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ht\Desktop\master\data\祖传数据\DataAnalysed_new\012王志钰\split\"/>
    </mc:Choice>
  </mc:AlternateContent>
  <xr:revisionPtr revIDLastSave="0" documentId="8_{B3D0CF70-E661-4B4C-94B1-44B822A7D0F6}" xr6:coauthVersionLast="47" xr6:coauthVersionMax="47" xr10:uidLastSave="{00000000-0000-0000-0000-000000000000}"/>
  <bookViews>
    <workbookView xWindow="5640" yWindow="2480" windowWidth="25800" windowHeight="9890"/>
  </bookViews>
  <sheets>
    <sheet name="Testhuanghun_off_with_headDir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</calcChain>
</file>

<file path=xl/sharedStrings.xml><?xml version="1.0" encoding="utf-8"?>
<sst xmlns="http://schemas.openxmlformats.org/spreadsheetml/2006/main" count="7738" uniqueCount="92">
  <si>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</si>
  <si>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</si>
  <si>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</si>
  <si>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</si>
  <si>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</si>
  <si>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</si>
  <si>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</si>
  <si>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</si>
  <si>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</si>
  <si>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</si>
  <si>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</si>
  <si>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</si>
  <si>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</si>
  <si>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</si>
  <si>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</si>
  <si>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</si>
  <si>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</si>
  <si>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</si>
  <si>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</si>
  <si>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</si>
  <si>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</si>
  <si>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</si>
  <si>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</si>
  <si>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</si>
  <si>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</si>
  <si>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</si>
  <si>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</si>
  <si>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</si>
  <si>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</si>
  <si>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</si>
  <si>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</si>
  <si>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</si>
  <si>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</si>
  <si>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</si>
  <si>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</si>
  <si>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</si>
  <si>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</si>
  <si>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</si>
  <si>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</si>
  <si>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</si>
  <si>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Testhuanghun_off</t>
  </si>
  <si>
    <t>mcp_road_part_02</t>
  </si>
  <si>
    <t>Kooper</t>
  </si>
  <si>
    <t>Plane_01</t>
  </si>
  <si>
    <t>FAR</t>
  </si>
  <si>
    <t>Building 07 (16)</t>
  </si>
  <si>
    <t>Building 03</t>
  </si>
  <si>
    <t>Building 15 (24)</t>
  </si>
  <si>
    <t>Building 18 (9)</t>
  </si>
  <si>
    <t>Plane_01 (1)</t>
  </si>
  <si>
    <t>Box001</t>
  </si>
  <si>
    <t>Floor 01</t>
  </si>
  <si>
    <t>Building 18 (5)</t>
  </si>
  <si>
    <t>mcp_roads_T_cross_01</t>
  </si>
  <si>
    <t>Building 18 (4)</t>
  </si>
  <si>
    <t>Building 07 (4)</t>
  </si>
  <si>
    <t>mcp_road_part_01</t>
  </si>
  <si>
    <t>Building 15 (33)</t>
  </si>
  <si>
    <t>Building 15 (31)</t>
  </si>
  <si>
    <t>mcp_roads_cross_01</t>
  </si>
  <si>
    <t>Bannar 14 (1)</t>
  </si>
  <si>
    <t>Building 02 (8)</t>
  </si>
  <si>
    <t>Building 15 (30)</t>
  </si>
  <si>
    <t>Building 09 (4)</t>
  </si>
  <si>
    <t>Building 07 (15)</t>
  </si>
  <si>
    <t>Building 24</t>
  </si>
  <si>
    <t>Building 07 (18)</t>
  </si>
  <si>
    <t>Building 11 (3)</t>
  </si>
  <si>
    <t>mcp_roads_cross_02</t>
  </si>
  <si>
    <t>Building 15 (32)</t>
  </si>
  <si>
    <t>Building 15 (7)</t>
  </si>
  <si>
    <t>Building 13 (1)</t>
  </si>
  <si>
    <t>mcp_roads_turn_01</t>
  </si>
  <si>
    <t>mcp_road_part_02 (1)</t>
  </si>
  <si>
    <t>mcp_road_part_02 (2)</t>
  </si>
  <si>
    <t>Building 15 (34)</t>
  </si>
  <si>
    <t>mcp_road_part_02 (3)</t>
  </si>
  <si>
    <t>Building 18 (11)</t>
  </si>
  <si>
    <t>Shurbs</t>
  </si>
  <si>
    <t>Building 04 (3)</t>
  </si>
  <si>
    <t>Building 07 (14)</t>
  </si>
  <si>
    <t>mcp_road_part_02 (6)</t>
  </si>
  <si>
    <t>mcp_road_part_02 (8)</t>
  </si>
  <si>
    <t>mcp_road_part_02 (10)</t>
  </si>
  <si>
    <t>mcp_road_part_02 (12)</t>
  </si>
  <si>
    <t>mcp_road_part_02 (11)</t>
  </si>
  <si>
    <t>Building 07 (17)</t>
  </si>
  <si>
    <t>Building 15 (22)</t>
  </si>
  <si>
    <t>Tree 02 (6)</t>
  </si>
  <si>
    <t>Building 14 (9)</t>
  </si>
  <si>
    <t>Building 15 (9)</t>
  </si>
  <si>
    <t>Building 23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</si>
</sst>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50"/>
  <sheetViews>
    <sheetView tabSelected="1" workbookViewId="0"/>
  </sheetViews>
  <sheetFormatPr defaultRowHeight="1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tr">
        <f>"20200111150221026"</f>
        <v>20200111150221026</v>
      </c>
      <c r="B2" t="str">
        <f>"1578726141015182"</f>
        <v>1578726141015182</v>
      </c>
      <c r="C2" t="s">
        <v>40</v>
      </c>
      <c r="D2">
        <v>5.318587</v>
      </c>
      <c r="E2">
        <v>0.54580810000000002</v>
      </c>
      <c r="F2" t="s">
        <v>41</v>
      </c>
      <c r="G2">
        <v>-451.6069</v>
      </c>
      <c r="H2" s="1">
        <v>-4.1255279999999996E-6</v>
      </c>
      <c r="I2">
        <v>366.5573</v>
      </c>
      <c r="J2">
        <v>-477.09199999999998</v>
      </c>
      <c r="K2">
        <v>1.1035459999999999</v>
      </c>
      <c r="L2">
        <v>367.52050000000003</v>
      </c>
      <c r="M2">
        <v>0.99996850000000004</v>
      </c>
      <c r="N2">
        <v>0</v>
      </c>
      <c r="O2">
        <v>2.0793379999999999E-4</v>
      </c>
      <c r="P2">
        <v>0.99413410000000002</v>
      </c>
      <c r="Q2">
        <v>7.2602230000000004E-2</v>
      </c>
      <c r="R2">
        <v>8.0164280000000004E-2</v>
      </c>
      <c r="S2">
        <v>3.036896</v>
      </c>
      <c r="T2">
        <v>-0.13147159999999999</v>
      </c>
      <c r="U2">
        <v>-0.1147156</v>
      </c>
      <c r="V2">
        <v>-7.9962710000000006E-2</v>
      </c>
      <c r="W2">
        <v>8.0476720000000002E-2</v>
      </c>
      <c r="X2">
        <v>0.99354390000000004</v>
      </c>
      <c r="Y2">
        <v>3.7919170000000002E-2</v>
      </c>
      <c r="Z2">
        <v>-8.2910609999999995E-4</v>
      </c>
      <c r="AA2">
        <v>0.99928050000000002</v>
      </c>
      <c r="AB2">
        <v>1</v>
      </c>
      <c r="AC2">
        <v>25.4850999999999</v>
      </c>
      <c r="AD2">
        <v>-1.103550125528</v>
      </c>
      <c r="AE2">
        <v>-0.96320000000002803</v>
      </c>
      <c r="AF2">
        <v>0.96668936013622198</v>
      </c>
      <c r="AG2">
        <v>-1.103550125528</v>
      </c>
      <c r="AH2">
        <v>25.437271193603099</v>
      </c>
      <c r="AI2">
        <v>92.482326748696707</v>
      </c>
      <c r="AJ2">
        <v>87.823643135678495</v>
      </c>
      <c r="AK2">
        <v>25.479542322723599</v>
      </c>
      <c r="AL2">
        <v>85.384031909724598</v>
      </c>
      <c r="AM2">
        <v>94.601378903035496</v>
      </c>
      <c r="AN2">
        <v>1.00000000933985</v>
      </c>
    </row>
    <row r="3" spans="1:40" x14ac:dyDescent="0.3">
      <c r="A3" t="str">
        <f>"20200111150221048"</f>
        <v>20200111150221048</v>
      </c>
      <c r="B3" t="str">
        <f>"1578726141045435"</f>
        <v>1578726141045435</v>
      </c>
      <c r="C3" t="s">
        <v>40</v>
      </c>
      <c r="D3">
        <v>5.1400499999999996</v>
      </c>
      <c r="E3">
        <v>0.56100260000000002</v>
      </c>
      <c r="F3" t="s">
        <v>41</v>
      </c>
      <c r="G3">
        <v>-453.47890000000001</v>
      </c>
      <c r="H3" s="1">
        <v>-3.3194820000000001E-6</v>
      </c>
      <c r="I3">
        <v>366.57420000000002</v>
      </c>
      <c r="J3">
        <v>-477.07920000000001</v>
      </c>
      <c r="K3">
        <v>1.1034010000000001</v>
      </c>
      <c r="L3">
        <v>367.5206</v>
      </c>
      <c r="M3">
        <v>0.99997650000000005</v>
      </c>
      <c r="N3">
        <v>0</v>
      </c>
      <c r="O3">
        <v>2.9921169999999999E-4</v>
      </c>
      <c r="P3">
        <v>0.99425450000000004</v>
      </c>
      <c r="Q3">
        <v>7.2629120000000005E-2</v>
      </c>
      <c r="R3">
        <v>7.8633369999999994E-2</v>
      </c>
      <c r="S3">
        <v>3.0378720000000001</v>
      </c>
      <c r="T3">
        <v>-0.14197270000000001</v>
      </c>
      <c r="U3">
        <v>-0.1217346</v>
      </c>
      <c r="V3">
        <v>-7.8342239999999994E-2</v>
      </c>
      <c r="W3">
        <v>7.9443399999999997E-2</v>
      </c>
      <c r="X3">
        <v>0.99375610000000003</v>
      </c>
      <c r="Y3">
        <v>4.029493E-2</v>
      </c>
      <c r="Z3">
        <v>-9.5465670000000004E-4</v>
      </c>
      <c r="AA3">
        <v>0.99918739999999995</v>
      </c>
      <c r="AB3">
        <v>1</v>
      </c>
      <c r="AC3">
        <v>23.600300000000001</v>
      </c>
      <c r="AD3">
        <v>-1.103404319482</v>
      </c>
      <c r="AE3">
        <v>-0.94639999999998203</v>
      </c>
      <c r="AF3">
        <v>0.95138529570158903</v>
      </c>
      <c r="AG3">
        <v>-1.103404319482</v>
      </c>
      <c r="AH3">
        <v>23.548622996144299</v>
      </c>
      <c r="AI3">
        <v>92.680529763282195</v>
      </c>
      <c r="AJ3">
        <v>87.686457789664203</v>
      </c>
      <c r="AK3">
        <v>23.593649147337601</v>
      </c>
      <c r="AL3">
        <v>85.443426801243305</v>
      </c>
      <c r="AM3">
        <v>94.507560125652304</v>
      </c>
      <c r="AN3">
        <v>0.99999997332949297</v>
      </c>
    </row>
    <row r="4" spans="1:40" x14ac:dyDescent="0.3">
      <c r="A4" t="str">
        <f>"20200111150221071"</f>
        <v>20200111150221071</v>
      </c>
      <c r="B4" t="str">
        <f>"1578726141065931"</f>
        <v>1578726141065931</v>
      </c>
      <c r="C4" t="s">
        <v>40</v>
      </c>
      <c r="D4">
        <v>4.7173970000000001</v>
      </c>
      <c r="E4">
        <v>0.56072149999999998</v>
      </c>
      <c r="F4" t="s">
        <v>42</v>
      </c>
      <c r="G4">
        <v>-476.42070000000001</v>
      </c>
      <c r="H4">
        <v>0.90637029999999996</v>
      </c>
      <c r="I4">
        <v>367.46890000000002</v>
      </c>
      <c r="J4">
        <v>-477.06720000000001</v>
      </c>
      <c r="K4">
        <v>1.103596</v>
      </c>
      <c r="L4">
        <v>367.52069999999998</v>
      </c>
      <c r="M4">
        <v>0.99997530000000001</v>
      </c>
      <c r="N4">
        <v>0</v>
      </c>
      <c r="O4">
        <v>3.4552440000000002E-4</v>
      </c>
      <c r="P4">
        <v>0.99431400000000003</v>
      </c>
      <c r="Q4">
        <v>7.2324449999999998E-2</v>
      </c>
      <c r="R4">
        <v>7.8161399999999895E-2</v>
      </c>
      <c r="S4">
        <v>3.1044010000000002</v>
      </c>
      <c r="T4">
        <v>-0.92898630000000004</v>
      </c>
      <c r="U4">
        <v>-0.24276729999999999</v>
      </c>
      <c r="V4">
        <v>-7.7821340000000003E-2</v>
      </c>
      <c r="W4">
        <v>7.9312209999999994E-2</v>
      </c>
      <c r="X4">
        <v>0.99380760000000001</v>
      </c>
      <c r="Y4">
        <v>7.5024779999999999E-2</v>
      </c>
      <c r="Z4">
        <v>-1.1070200000000001E-2</v>
      </c>
      <c r="AA4">
        <v>0.99712020000000001</v>
      </c>
      <c r="AB4">
        <v>1</v>
      </c>
      <c r="AC4">
        <v>0.64650000000000296</v>
      </c>
      <c r="AD4">
        <v>-0.197225699999999</v>
      </c>
      <c r="AE4">
        <v>-5.1799999999957401E-2</v>
      </c>
      <c r="AF4">
        <v>4.7619873660021898E-2</v>
      </c>
      <c r="AG4">
        <v>-0.197225699999999</v>
      </c>
      <c r="AH4">
        <v>0.59176070114128798</v>
      </c>
      <c r="AI4">
        <v>108.377123502199</v>
      </c>
      <c r="AJ4">
        <v>85.399236353619003</v>
      </c>
      <c r="AK4">
        <v>0.62557681904232598</v>
      </c>
      <c r="AL4">
        <v>85.450967653512095</v>
      </c>
      <c r="AM4">
        <v>94.4774804109678</v>
      </c>
      <c r="AN4">
        <v>1.00000006671611</v>
      </c>
    </row>
    <row r="5" spans="1:40" x14ac:dyDescent="0.3">
      <c r="A5" t="str">
        <f>"20200111150221094"</f>
        <v>20200111150221094</v>
      </c>
      <c r="B5" t="str">
        <f>"1578726141085454"</f>
        <v>1578726141085454</v>
      </c>
      <c r="C5" t="s">
        <v>40</v>
      </c>
      <c r="D5">
        <v>5.3183749999999996</v>
      </c>
      <c r="E5">
        <v>0.56163219999999903</v>
      </c>
      <c r="F5" t="s">
        <v>42</v>
      </c>
      <c r="G5">
        <v>-476.3981</v>
      </c>
      <c r="H5">
        <v>0.90498719999999999</v>
      </c>
      <c r="I5">
        <v>367.46879999999999</v>
      </c>
      <c r="J5">
        <v>-477.05059999999997</v>
      </c>
      <c r="K5">
        <v>1.103477</v>
      </c>
      <c r="L5">
        <v>367.52080000000001</v>
      </c>
      <c r="M5">
        <v>0.99998069999999895</v>
      </c>
      <c r="N5">
        <v>0</v>
      </c>
      <c r="O5">
        <v>4.2146620000000002E-4</v>
      </c>
      <c r="P5">
        <v>0.99438360000000003</v>
      </c>
      <c r="Q5">
        <v>7.2786669999999998E-2</v>
      </c>
      <c r="R5">
        <v>7.6833349999999995E-2</v>
      </c>
      <c r="S5">
        <v>3.1030880000000001</v>
      </c>
      <c r="T5">
        <v>-0.92104149999999996</v>
      </c>
      <c r="U5">
        <v>-0.24096679999999901</v>
      </c>
      <c r="V5">
        <v>-7.6417139999999995E-2</v>
      </c>
      <c r="W5">
        <v>7.8920050000000005E-2</v>
      </c>
      <c r="X5">
        <v>0.99394769999999999</v>
      </c>
      <c r="Y5">
        <v>7.4624019999999999E-2</v>
      </c>
      <c r="Z5">
        <v>-1.0948009999999999E-2</v>
      </c>
      <c r="AA5">
        <v>0.99715160000000003</v>
      </c>
      <c r="AB5">
        <v>1</v>
      </c>
      <c r="AC5">
        <v>0.65249999999997499</v>
      </c>
      <c r="AD5">
        <v>-0.19848979999999999</v>
      </c>
      <c r="AE5">
        <v>-5.2000000000020898E-2</v>
      </c>
      <c r="AF5">
        <v>4.7872946803858903E-2</v>
      </c>
      <c r="AG5">
        <v>-0.19848979999999999</v>
      </c>
      <c r="AH5">
        <v>0.59753307320554705</v>
      </c>
      <c r="AI5">
        <v>108.320797179046</v>
      </c>
      <c r="AJ5">
        <v>85.419380708836499</v>
      </c>
      <c r="AK5">
        <v>0.63145529795401201</v>
      </c>
      <c r="AL5">
        <v>85.473507078947904</v>
      </c>
      <c r="AM5">
        <v>94.396391613135705</v>
      </c>
      <c r="AN5">
        <v>0.99999999195653599</v>
      </c>
    </row>
    <row r="6" spans="1:40" x14ac:dyDescent="0.3">
      <c r="A6" t="str">
        <f>"20200111150221107"</f>
        <v>20200111150221107</v>
      </c>
      <c r="B6" t="str">
        <f>"1578726141095211"</f>
        <v>1578726141095211</v>
      </c>
      <c r="C6" t="s">
        <v>40</v>
      </c>
      <c r="D6">
        <v>5.2089489999999996</v>
      </c>
      <c r="E6">
        <v>0.55354009999999998</v>
      </c>
      <c r="F6" t="s">
        <v>42</v>
      </c>
      <c r="G6">
        <v>-476.38139999999999</v>
      </c>
      <c r="H6">
        <v>0.90517579999999997</v>
      </c>
      <c r="I6">
        <v>367.4665</v>
      </c>
      <c r="J6">
        <v>-477.03960000000001</v>
      </c>
      <c r="K6">
        <v>1.103353</v>
      </c>
      <c r="L6">
        <v>367.52089999999998</v>
      </c>
      <c r="M6">
        <v>0.99998500000000001</v>
      </c>
      <c r="N6">
        <v>0</v>
      </c>
      <c r="O6">
        <v>4.7945350000000003E-4</v>
      </c>
      <c r="P6">
        <v>0.99440649999999997</v>
      </c>
      <c r="Q6">
        <v>7.3209239999999995E-2</v>
      </c>
      <c r="R6">
        <v>7.6132969999999994E-2</v>
      </c>
      <c r="S6">
        <v>3.1036380000000001</v>
      </c>
      <c r="T6">
        <v>-0.91967140000000003</v>
      </c>
      <c r="U6">
        <v>-0.25122070000000002</v>
      </c>
      <c r="V6">
        <v>-7.5658989999999995E-2</v>
      </c>
      <c r="W6">
        <v>7.86491E-2</v>
      </c>
      <c r="X6">
        <v>0.9940272</v>
      </c>
      <c r="Y6">
        <v>7.7814369999999994E-2</v>
      </c>
      <c r="Z6">
        <v>-1.140803E-2</v>
      </c>
      <c r="AA6">
        <v>0.99690259999999997</v>
      </c>
      <c r="AB6">
        <v>2</v>
      </c>
      <c r="AC6">
        <v>0.65820000000002199</v>
      </c>
      <c r="AD6">
        <v>-0.1981772</v>
      </c>
      <c r="AE6">
        <v>-5.4399999999986903E-2</v>
      </c>
      <c r="AF6">
        <v>5.0195937039719002E-2</v>
      </c>
      <c r="AG6">
        <v>-0.1981772</v>
      </c>
      <c r="AH6">
        <v>0.60380710385505898</v>
      </c>
      <c r="AI6">
        <v>108.112117026178</v>
      </c>
      <c r="AJ6">
        <v>85.247791417180295</v>
      </c>
      <c r="AK6">
        <v>0.63747694339557903</v>
      </c>
      <c r="AL6">
        <v>85.489079898078202</v>
      </c>
      <c r="AM6">
        <v>94.352595795724099</v>
      </c>
      <c r="AN6">
        <v>1.00000001901923</v>
      </c>
    </row>
    <row r="7" spans="1:40" x14ac:dyDescent="0.3">
      <c r="A7" t="str">
        <f>"20200111150221123"</f>
        <v>20200111150221123</v>
      </c>
      <c r="B7" t="str">
        <f>"1578726141115707"</f>
        <v>1578726141115707</v>
      </c>
      <c r="C7" t="s">
        <v>40</v>
      </c>
      <c r="D7">
        <v>5.1781490000000003</v>
      </c>
      <c r="E7">
        <v>0.55508059999999904</v>
      </c>
      <c r="F7" t="s">
        <v>42</v>
      </c>
      <c r="G7">
        <v>-476.33789999999999</v>
      </c>
      <c r="H7">
        <v>0.99722040000000001</v>
      </c>
      <c r="I7">
        <v>367.47680000000003</v>
      </c>
      <c r="J7">
        <v>-477.0249</v>
      </c>
      <c r="K7">
        <v>1.103229</v>
      </c>
      <c r="L7">
        <v>367.52100000000002</v>
      </c>
      <c r="M7">
        <v>0.99998889999999996</v>
      </c>
      <c r="N7">
        <v>0</v>
      </c>
      <c r="O7">
        <v>5.5539450000000002E-4</v>
      </c>
      <c r="P7">
        <v>0.99442220000000003</v>
      </c>
      <c r="Q7">
        <v>7.3423669999999996E-2</v>
      </c>
      <c r="R7">
        <v>7.5721029999999995E-2</v>
      </c>
      <c r="S7">
        <v>3.0657649999999999</v>
      </c>
      <c r="T7">
        <v>-0.46383849999999999</v>
      </c>
      <c r="U7">
        <v>-0.1919556</v>
      </c>
      <c r="V7">
        <v>-7.5171719999999997E-2</v>
      </c>
      <c r="W7">
        <v>7.808959E-2</v>
      </c>
      <c r="X7">
        <v>0.99410829999999994</v>
      </c>
      <c r="Y7">
        <v>6.2331629999999999E-2</v>
      </c>
      <c r="Z7">
        <v>-4.7675529999999999E-3</v>
      </c>
      <c r="AA7">
        <v>0.99804409999999999</v>
      </c>
      <c r="AB7">
        <v>2</v>
      </c>
      <c r="AC7">
        <v>0.68700000000001105</v>
      </c>
      <c r="AD7">
        <v>-0.10600859999999999</v>
      </c>
      <c r="AE7">
        <v>-4.4199999999932502E-2</v>
      </c>
      <c r="AF7">
        <v>4.3548906130795498E-2</v>
      </c>
      <c r="AG7">
        <v>-0.10600859999999999</v>
      </c>
      <c r="AH7">
        <v>0.67106286254047198</v>
      </c>
      <c r="AI7">
        <v>98.958363223285602</v>
      </c>
      <c r="AJ7">
        <v>86.286972865492402</v>
      </c>
      <c r="AK7">
        <v>0.68077874230924795</v>
      </c>
      <c r="AL7">
        <v>85.521236462546099</v>
      </c>
      <c r="AM7">
        <v>94.324318797208704</v>
      </c>
      <c r="AN7">
        <v>1.0000000418415</v>
      </c>
    </row>
    <row r="8" spans="1:40" x14ac:dyDescent="0.3">
      <c r="A8" t="str">
        <f>"20200111150221140"</f>
        <v>20200111150221140</v>
      </c>
      <c r="B8" t="str">
        <f>"1578726141135228"</f>
        <v>1578726141135228</v>
      </c>
      <c r="C8" t="s">
        <v>40</v>
      </c>
      <c r="D8">
        <v>5.3117780000000003</v>
      </c>
      <c r="E8">
        <v>0.56511519999999904</v>
      </c>
      <c r="F8" t="s">
        <v>42</v>
      </c>
      <c r="G8">
        <v>-476.31729999999999</v>
      </c>
      <c r="H8">
        <v>1.0006710000000001</v>
      </c>
      <c r="I8">
        <v>367.47379999999998</v>
      </c>
      <c r="J8">
        <v>-477.01119999999997</v>
      </c>
      <c r="K8">
        <v>1.1033109999999999</v>
      </c>
      <c r="L8">
        <v>367.52109999999999</v>
      </c>
      <c r="M8">
        <v>0.99998889999999996</v>
      </c>
      <c r="N8">
        <v>0</v>
      </c>
      <c r="O8">
        <v>6.1559220000000005E-4</v>
      </c>
      <c r="P8">
        <v>0.99454200000000004</v>
      </c>
      <c r="Q8">
        <v>7.2977150000000005E-2</v>
      </c>
      <c r="R8">
        <v>7.457068E-2</v>
      </c>
      <c r="S8">
        <v>3.065277</v>
      </c>
      <c r="T8">
        <v>-0.44414680000000001</v>
      </c>
      <c r="U8">
        <v>-0.20565800000000001</v>
      </c>
      <c r="V8">
        <v>-7.395989E-2</v>
      </c>
      <c r="W8">
        <v>7.762703E-2</v>
      </c>
      <c r="X8">
        <v>0.99423539999999999</v>
      </c>
      <c r="Y8">
        <v>6.6855029999999996E-2</v>
      </c>
      <c r="Z8">
        <v>-4.901669E-3</v>
      </c>
      <c r="AA8">
        <v>0.99775060000000004</v>
      </c>
      <c r="AB8">
        <v>2</v>
      </c>
      <c r="AC8">
        <v>0.69389999999998497</v>
      </c>
      <c r="AD8">
        <v>-0.10264</v>
      </c>
      <c r="AE8">
        <v>-4.7300000000007003E-2</v>
      </c>
      <c r="AF8">
        <v>4.6709887907592298E-2</v>
      </c>
      <c r="AG8">
        <v>-0.10264</v>
      </c>
      <c r="AH8">
        <v>0.67908143491333095</v>
      </c>
      <c r="AI8">
        <v>98.574975480217404</v>
      </c>
      <c r="AJ8">
        <v>86.065168997808001</v>
      </c>
      <c r="AK8">
        <v>0.68838098352023702</v>
      </c>
      <c r="AL8">
        <v>85.547819821913293</v>
      </c>
      <c r="AM8">
        <v>94.254323384389394</v>
      </c>
      <c r="AN8">
        <v>1.00000002586429</v>
      </c>
    </row>
    <row r="9" spans="1:40" x14ac:dyDescent="0.3">
      <c r="A9" t="str">
        <f>"20200111150221162"</f>
        <v>20200111150221162</v>
      </c>
      <c r="B9" t="str">
        <f>"1578726141155723"</f>
        <v>1578726141155723</v>
      </c>
      <c r="C9" t="s">
        <v>40</v>
      </c>
      <c r="D9">
        <v>5.3458680000000003</v>
      </c>
      <c r="E9">
        <v>0.55983709999999998</v>
      </c>
      <c r="F9" t="s">
        <v>42</v>
      </c>
      <c r="G9">
        <v>-476.34390000000002</v>
      </c>
      <c r="H9">
        <v>0.91090550000000003</v>
      </c>
      <c r="I9">
        <v>367.45929999999998</v>
      </c>
      <c r="J9">
        <v>-476.99470000000002</v>
      </c>
      <c r="K9">
        <v>1.103737</v>
      </c>
      <c r="L9">
        <v>367.52120000000002</v>
      </c>
      <c r="M9">
        <v>0.99998220000000004</v>
      </c>
      <c r="N9">
        <v>0</v>
      </c>
      <c r="O9">
        <v>6.6670809999999896E-4</v>
      </c>
      <c r="P9">
        <v>0.99474850000000004</v>
      </c>
      <c r="Q9">
        <v>7.0289630000000006E-2</v>
      </c>
      <c r="R9">
        <v>7.4398309999999995E-2</v>
      </c>
      <c r="S9">
        <v>3.1036069999999998</v>
      </c>
      <c r="T9">
        <v>-0.89500009999999997</v>
      </c>
      <c r="U9">
        <v>-0.28576659999999998</v>
      </c>
      <c r="V9">
        <v>-7.373246E-2</v>
      </c>
      <c r="W9">
        <v>7.6192209999999996E-2</v>
      </c>
      <c r="X9">
        <v>0.9943632</v>
      </c>
      <c r="Y9">
        <v>8.8738449999999996E-2</v>
      </c>
      <c r="Z9">
        <v>-1.270257E-2</v>
      </c>
      <c r="AA9">
        <v>0.99597389999999997</v>
      </c>
      <c r="AB9">
        <v>2</v>
      </c>
      <c r="AC9">
        <v>0.65080000000000304</v>
      </c>
      <c r="AD9">
        <v>-0.19283149999999999</v>
      </c>
      <c r="AE9">
        <v>-6.1900000000036898E-2</v>
      </c>
      <c r="AF9">
        <v>5.7344561558342902E-2</v>
      </c>
      <c r="AG9">
        <v>-0.19283149999999999</v>
      </c>
      <c r="AH9">
        <v>0.59867059886977902</v>
      </c>
      <c r="AI9">
        <v>107.777510357159</v>
      </c>
      <c r="AJ9">
        <v>84.528530721111295</v>
      </c>
      <c r="AK9">
        <v>0.63156858066536903</v>
      </c>
      <c r="AL9">
        <v>85.630272850844904</v>
      </c>
      <c r="AM9">
        <v>94.240745838627902</v>
      </c>
      <c r="AN9">
        <v>0.99999995101828598</v>
      </c>
    </row>
    <row r="10" spans="1:40" x14ac:dyDescent="0.3">
      <c r="A10" t="str">
        <f>"20200111150221184"</f>
        <v>20200111150221184</v>
      </c>
      <c r="B10" t="str">
        <f>"1578726141175242"</f>
        <v>1578726141175242</v>
      </c>
      <c r="C10" t="s">
        <v>40</v>
      </c>
      <c r="D10">
        <v>5.1951499999999999</v>
      </c>
      <c r="E10">
        <v>0.56146960000000001</v>
      </c>
      <c r="F10" t="s">
        <v>42</v>
      </c>
      <c r="G10">
        <v>-476.29090000000002</v>
      </c>
      <c r="H10">
        <v>0.99472859999999996</v>
      </c>
      <c r="I10">
        <v>367.46420000000001</v>
      </c>
      <c r="J10">
        <v>-476.9821</v>
      </c>
      <c r="K10">
        <v>1.1042270000000001</v>
      </c>
      <c r="L10">
        <v>367.52120000000002</v>
      </c>
      <c r="M10">
        <v>0.99996940000000001</v>
      </c>
      <c r="N10">
        <v>0</v>
      </c>
      <c r="O10">
        <v>6.8240409999999999E-4</v>
      </c>
      <c r="P10">
        <v>0.99491070000000004</v>
      </c>
      <c r="Q10">
        <v>6.7411730000000003E-2</v>
      </c>
      <c r="R10">
        <v>7.4891520000000003E-2</v>
      </c>
      <c r="S10">
        <v>3.0679319999999999</v>
      </c>
      <c r="T10">
        <v>-0.47533310000000001</v>
      </c>
      <c r="U10">
        <v>-0.24804689999999999</v>
      </c>
      <c r="V10">
        <v>-7.4205670000000001E-2</v>
      </c>
      <c r="W10">
        <v>7.5181360000000003E-2</v>
      </c>
      <c r="X10">
        <v>0.99440499999999998</v>
      </c>
      <c r="Y10">
        <v>8.0308589999999999E-2</v>
      </c>
      <c r="Z10">
        <v>-6.2794929999999997E-3</v>
      </c>
      <c r="AA10">
        <v>0.99675029999999998</v>
      </c>
      <c r="AB10">
        <v>2</v>
      </c>
      <c r="AC10">
        <v>0.69119999999998005</v>
      </c>
      <c r="AD10">
        <v>-0.1094984</v>
      </c>
      <c r="AE10">
        <v>-5.7000000000016302E-2</v>
      </c>
      <c r="AF10">
        <v>5.6073940885685299E-2</v>
      </c>
      <c r="AG10">
        <v>-0.1094984</v>
      </c>
      <c r="AH10">
        <v>0.67435158623587599</v>
      </c>
      <c r="AI10">
        <v>99.191776396104203</v>
      </c>
      <c r="AJ10">
        <v>85.246654693758799</v>
      </c>
      <c r="AK10">
        <v>0.68548103424372997</v>
      </c>
      <c r="AL10">
        <v>85.688357160739997</v>
      </c>
      <c r="AM10">
        <v>94.267683679801905</v>
      </c>
      <c r="AN10">
        <v>1.0000000111882901</v>
      </c>
    </row>
    <row r="11" spans="1:40" x14ac:dyDescent="0.3">
      <c r="A11" t="str">
        <f>"20200111150221198"</f>
        <v>20200111150221198</v>
      </c>
      <c r="B11" t="str">
        <f>"1578726141195739"</f>
        <v>1578726141195739</v>
      </c>
      <c r="C11" t="s">
        <v>40</v>
      </c>
      <c r="D11">
        <v>5.3686150000000001</v>
      </c>
      <c r="E11">
        <v>0.56018669999999904</v>
      </c>
      <c r="F11" t="s">
        <v>42</v>
      </c>
      <c r="G11">
        <v>-476.27949999999998</v>
      </c>
      <c r="H11">
        <v>0.99616979999999999</v>
      </c>
      <c r="I11">
        <v>367.46140000000003</v>
      </c>
      <c r="J11">
        <v>-476.97489999999999</v>
      </c>
      <c r="K11">
        <v>1.1044160000000001</v>
      </c>
      <c r="L11">
        <v>367.52120000000002</v>
      </c>
      <c r="M11">
        <v>0.99996189999999996</v>
      </c>
      <c r="N11">
        <v>0</v>
      </c>
      <c r="O11">
        <v>6.817495E-4</v>
      </c>
      <c r="P11">
        <v>0.99494130000000003</v>
      </c>
      <c r="Q11">
        <v>6.6286910000000004E-2</v>
      </c>
      <c r="R11">
        <v>7.5485869999999997E-2</v>
      </c>
      <c r="S11">
        <v>3.0668639999999998</v>
      </c>
      <c r="T11">
        <v>-0.47192309999999998</v>
      </c>
      <c r="U11">
        <v>-0.25979609999999997</v>
      </c>
      <c r="V11">
        <v>-7.4798229999999993E-2</v>
      </c>
      <c r="W11">
        <v>7.4954069999999998E-2</v>
      </c>
      <c r="X11">
        <v>0.99437770000000003</v>
      </c>
      <c r="Y11">
        <v>8.4096920000000006E-2</v>
      </c>
      <c r="Z11">
        <v>-6.5252969999999898E-3</v>
      </c>
      <c r="AA11">
        <v>0.99643619999999999</v>
      </c>
      <c r="AB11">
        <v>1</v>
      </c>
      <c r="AC11">
        <v>0.69540000000000601</v>
      </c>
      <c r="AD11">
        <v>-0.1082462</v>
      </c>
      <c r="AE11">
        <v>-5.97999999999956E-2</v>
      </c>
      <c r="AF11">
        <v>5.8858413797472801E-2</v>
      </c>
      <c r="AG11">
        <v>-0.1082462</v>
      </c>
      <c r="AH11">
        <v>0.67902692467898496</v>
      </c>
      <c r="AI11">
        <v>99.024241854901405</v>
      </c>
      <c r="AJ11">
        <v>85.045954127414205</v>
      </c>
      <c r="AK11">
        <v>0.69011529263464</v>
      </c>
      <c r="AL11">
        <v>85.701416499173305</v>
      </c>
      <c r="AM11">
        <v>94.301752970418406</v>
      </c>
      <c r="AN11">
        <v>0.99999994903899203</v>
      </c>
    </row>
    <row r="12" spans="1:40" x14ac:dyDescent="0.3">
      <c r="A12" t="str">
        <f>"20200111150221217"</f>
        <v>20200111150221217</v>
      </c>
      <c r="B12" t="str">
        <f>"1578726141205501"</f>
        <v>1578726141205501</v>
      </c>
      <c r="C12" t="s">
        <v>40</v>
      </c>
      <c r="D12">
        <v>5.3989690000000001</v>
      </c>
      <c r="E12">
        <v>0.55985819999999997</v>
      </c>
      <c r="F12" t="s">
        <v>42</v>
      </c>
      <c r="G12">
        <v>-476.26850000000002</v>
      </c>
      <c r="H12">
        <v>0.99652430000000003</v>
      </c>
      <c r="I12">
        <v>367.464</v>
      </c>
      <c r="J12">
        <v>-476.96379999999999</v>
      </c>
      <c r="K12">
        <v>1.104487</v>
      </c>
      <c r="L12">
        <v>367.52120000000002</v>
      </c>
      <c r="M12">
        <v>0.99995639999999997</v>
      </c>
      <c r="N12">
        <v>0</v>
      </c>
      <c r="O12">
        <v>6.8237549999999999E-4</v>
      </c>
      <c r="P12">
        <v>0.99482769999999998</v>
      </c>
      <c r="Q12">
        <v>6.6012280000000007E-2</v>
      </c>
      <c r="R12">
        <v>7.7203250000000001E-2</v>
      </c>
      <c r="S12">
        <v>3.0653079999999999</v>
      </c>
      <c r="T12">
        <v>-0.46825929999999999</v>
      </c>
      <c r="U12">
        <v>-0.24823000000000001</v>
      </c>
      <c r="V12">
        <v>-7.6514470000000001E-2</v>
      </c>
      <c r="W12">
        <v>7.5298809999999994E-2</v>
      </c>
      <c r="X12">
        <v>0.99422109999999997</v>
      </c>
      <c r="Y12">
        <v>8.046114E-2</v>
      </c>
      <c r="Z12">
        <v>-6.2038830000000003E-3</v>
      </c>
      <c r="AA12">
        <v>0.99673840000000002</v>
      </c>
      <c r="AB12">
        <v>1</v>
      </c>
      <c r="AC12">
        <v>0.69529999999997405</v>
      </c>
      <c r="AD12">
        <v>-0.107962699999999</v>
      </c>
      <c r="AE12">
        <v>-5.7200000000023003E-2</v>
      </c>
      <c r="AF12">
        <v>5.63255645074782E-2</v>
      </c>
      <c r="AG12">
        <v>-0.107962699999999</v>
      </c>
      <c r="AH12">
        <v>0.67899994723442403</v>
      </c>
      <c r="AI12">
        <v>99.004125442451794</v>
      </c>
      <c r="AJ12">
        <v>85.257959813307295</v>
      </c>
      <c r="AK12">
        <v>0.68983290886469495</v>
      </c>
      <c r="AL12">
        <v>85.681608530453104</v>
      </c>
      <c r="AM12">
        <v>94.4007634199032</v>
      </c>
      <c r="AN12">
        <v>0.99999998529600298</v>
      </c>
    </row>
    <row r="13" spans="1:40" x14ac:dyDescent="0.3">
      <c r="A13" t="str">
        <f>"20200111150221239"</f>
        <v>20200111150221239</v>
      </c>
      <c r="B13" t="str">
        <f>"1578726141235755"</f>
        <v>1578726141235755</v>
      </c>
      <c r="C13" t="s">
        <v>40</v>
      </c>
      <c r="D13">
        <v>5.3401930000000002</v>
      </c>
      <c r="E13">
        <v>0.55700499999999997</v>
      </c>
      <c r="F13" t="s">
        <v>42</v>
      </c>
      <c r="G13">
        <v>-476.25549999999998</v>
      </c>
      <c r="H13">
        <v>0.99635410000000002</v>
      </c>
      <c r="I13">
        <v>367.46539999999999</v>
      </c>
      <c r="J13">
        <v>-476.94869999999997</v>
      </c>
      <c r="K13">
        <v>1.1043459999999901</v>
      </c>
      <c r="L13">
        <v>367.5213</v>
      </c>
      <c r="M13">
        <v>0.99995730000000005</v>
      </c>
      <c r="N13">
        <v>0</v>
      </c>
      <c r="O13">
        <v>7.0270009999999895E-4</v>
      </c>
      <c r="P13">
        <v>0.99461889999999997</v>
      </c>
      <c r="Q13">
        <v>6.6868759999999999E-2</v>
      </c>
      <c r="R13">
        <v>7.9134360000000001E-2</v>
      </c>
      <c r="S13">
        <v>3.065277</v>
      </c>
      <c r="T13">
        <v>-0.4682248</v>
      </c>
      <c r="U13">
        <v>-0.2403564</v>
      </c>
      <c r="V13">
        <v>-7.8427490000000002E-2</v>
      </c>
      <c r="W13">
        <v>7.6050989999999999E-2</v>
      </c>
      <c r="X13">
        <v>0.99401479999999998</v>
      </c>
      <c r="Y13">
        <v>7.7966270000000004E-2</v>
      </c>
      <c r="Z13">
        <v>-6.0180310000000001E-3</v>
      </c>
      <c r="AA13">
        <v>0.99693779999999999</v>
      </c>
      <c r="AB13">
        <v>1</v>
      </c>
      <c r="AC13">
        <v>0.69319999999999005</v>
      </c>
      <c r="AD13">
        <v>-0.107991899999999</v>
      </c>
      <c r="AE13">
        <v>-5.59000000000082E-2</v>
      </c>
      <c r="AF13">
        <v>5.50594726317193E-2</v>
      </c>
      <c r="AG13">
        <v>-0.107991899999999</v>
      </c>
      <c r="AH13">
        <v>0.67683994290120497</v>
      </c>
      <c r="AI13">
        <v>99.035954483329107</v>
      </c>
      <c r="AJ13">
        <v>85.349352121917406</v>
      </c>
      <c r="AK13">
        <v>0.68760897630746498</v>
      </c>
      <c r="AL13">
        <v>85.638388022648599</v>
      </c>
      <c r="AM13">
        <v>94.511275339214095</v>
      </c>
      <c r="AN13">
        <v>1.0000000234433499</v>
      </c>
    </row>
    <row r="14" spans="1:40" x14ac:dyDescent="0.3">
      <c r="A14" t="str">
        <f>"20200111150221263"</f>
        <v>20200111150221263</v>
      </c>
      <c r="B14" t="str">
        <f>"1578726141255275"</f>
        <v>1578726141255275</v>
      </c>
      <c r="C14" t="s">
        <v>40</v>
      </c>
      <c r="D14">
        <v>5.2873299999999999</v>
      </c>
      <c r="E14">
        <v>0.55670319999999995</v>
      </c>
      <c r="F14" t="s">
        <v>42</v>
      </c>
      <c r="G14">
        <v>-476.2414</v>
      </c>
      <c r="H14">
        <v>0.99594510000000003</v>
      </c>
      <c r="I14">
        <v>367.47210000000001</v>
      </c>
      <c r="J14">
        <v>-476.93259999999998</v>
      </c>
      <c r="K14">
        <v>1.1042639999999999</v>
      </c>
      <c r="L14">
        <v>367.5213</v>
      </c>
      <c r="M14">
        <v>0.9999574</v>
      </c>
      <c r="N14">
        <v>0</v>
      </c>
      <c r="O14">
        <v>7.4117970000000004E-4</v>
      </c>
      <c r="P14">
        <v>0.99445220000000001</v>
      </c>
      <c r="Q14">
        <v>6.7152210000000004E-2</v>
      </c>
      <c r="R14">
        <v>8.0966469999999999E-2</v>
      </c>
      <c r="S14">
        <v>3.0646969999999998</v>
      </c>
      <c r="T14">
        <v>-0.46983989999999998</v>
      </c>
      <c r="U14">
        <v>-0.21203610000000001</v>
      </c>
      <c r="V14">
        <v>-8.0223989999999995E-2</v>
      </c>
      <c r="W14">
        <v>7.6320570000000004E-2</v>
      </c>
      <c r="X14">
        <v>0.99385069999999998</v>
      </c>
      <c r="Y14">
        <v>6.8950699999999907E-2</v>
      </c>
      <c r="Z14">
        <v>-5.3612969999999897E-3</v>
      </c>
      <c r="AA14">
        <v>0.99760570000000004</v>
      </c>
      <c r="AB14">
        <v>1</v>
      </c>
      <c r="AC14">
        <v>0.69119999999998005</v>
      </c>
      <c r="AD14">
        <v>-0.108318899999999</v>
      </c>
      <c r="AE14">
        <v>-4.9199999999984798E-2</v>
      </c>
      <c r="AF14">
        <v>4.8526581465748099E-2</v>
      </c>
      <c r="AG14">
        <v>-0.108318899999999</v>
      </c>
      <c r="AH14">
        <v>0.67467782494095097</v>
      </c>
      <c r="AI14">
        <v>99.097840694096902</v>
      </c>
      <c r="AJ14">
        <v>85.886053328355501</v>
      </c>
      <c r="AK14">
        <v>0.68503867093253501</v>
      </c>
      <c r="AL14">
        <v>85.622896952613402</v>
      </c>
      <c r="AM14">
        <v>94.614930233708293</v>
      </c>
      <c r="AN14">
        <v>0.99999996593356599</v>
      </c>
    </row>
    <row r="15" spans="1:40" x14ac:dyDescent="0.3">
      <c r="A15" t="str">
        <f>"20200111150221284"</f>
        <v>20200111150221284</v>
      </c>
      <c r="B15" t="str">
        <f>"1578726141275771"</f>
        <v>1578726141275771</v>
      </c>
      <c r="C15" t="s">
        <v>40</v>
      </c>
      <c r="D15">
        <v>5.2595960000000002</v>
      </c>
      <c r="E15">
        <v>0.55683369999999999</v>
      </c>
      <c r="F15" t="s">
        <v>42</v>
      </c>
      <c r="G15">
        <v>-476.22680000000003</v>
      </c>
      <c r="H15">
        <v>0.99793969999999999</v>
      </c>
      <c r="I15">
        <v>367.47410000000002</v>
      </c>
      <c r="J15">
        <v>-476.91879999999998</v>
      </c>
      <c r="K15">
        <v>1.1043259999999999</v>
      </c>
      <c r="L15">
        <v>367.52140000000003</v>
      </c>
      <c r="M15">
        <v>0.99995299999999998</v>
      </c>
      <c r="N15">
        <v>0</v>
      </c>
      <c r="O15">
        <v>7.7740160000000003E-4</v>
      </c>
      <c r="P15">
        <v>0.99439690000000003</v>
      </c>
      <c r="Q15">
        <v>6.6867579999999996E-2</v>
      </c>
      <c r="R15">
        <v>8.1876389999999993E-2</v>
      </c>
      <c r="S15">
        <v>3.064514</v>
      </c>
      <c r="T15">
        <v>-0.46192440000000001</v>
      </c>
      <c r="U15">
        <v>-0.20355219999999999</v>
      </c>
      <c r="V15">
        <v>-8.1100110000000003E-2</v>
      </c>
      <c r="W15">
        <v>7.6488879999999995E-2</v>
      </c>
      <c r="X15">
        <v>0.9937667</v>
      </c>
      <c r="Y15">
        <v>6.6297610000000007E-2</v>
      </c>
      <c r="Z15">
        <v>-5.079592E-3</v>
      </c>
      <c r="AA15">
        <v>0.99778690000000003</v>
      </c>
      <c r="AB15">
        <v>2</v>
      </c>
      <c r="AC15">
        <v>0.69199999999994999</v>
      </c>
      <c r="AD15">
        <v>-0.1063863</v>
      </c>
      <c r="AE15">
        <v>-4.7300000000007003E-2</v>
      </c>
      <c r="AF15">
        <v>4.6738437681774797E-2</v>
      </c>
      <c r="AG15">
        <v>-0.1063863</v>
      </c>
      <c r="AH15">
        <v>0.67605854822508704</v>
      </c>
      <c r="AI15">
        <v>98.921922226603002</v>
      </c>
      <c r="AJ15">
        <v>86.045222590004201</v>
      </c>
      <c r="AK15">
        <v>0.68597207451385001</v>
      </c>
      <c r="AL15">
        <v>85.613225445134304</v>
      </c>
      <c r="AM15">
        <v>94.665500858358101</v>
      </c>
      <c r="AN15">
        <v>1.0000000153172699</v>
      </c>
    </row>
    <row r="16" spans="1:40" x14ac:dyDescent="0.3">
      <c r="A16" t="str">
        <f>"20200111150221299"</f>
        <v>20200111150221299</v>
      </c>
      <c r="B16" t="str">
        <f>"1578726141295291"</f>
        <v>1578726141295291</v>
      </c>
      <c r="C16" t="s">
        <v>40</v>
      </c>
      <c r="D16">
        <v>5.2063220000000001</v>
      </c>
      <c r="E16">
        <v>0.55630239999999997</v>
      </c>
      <c r="F16" t="s">
        <v>42</v>
      </c>
      <c r="G16">
        <v>-476.21440000000001</v>
      </c>
      <c r="H16">
        <v>0.99799320000000002</v>
      </c>
      <c r="I16">
        <v>367.47500000000002</v>
      </c>
      <c r="J16">
        <v>-476.91030000000001</v>
      </c>
      <c r="K16">
        <v>1.104376</v>
      </c>
      <c r="L16">
        <v>367.52140000000003</v>
      </c>
      <c r="M16">
        <v>0.99994959999999999</v>
      </c>
      <c r="N16">
        <v>0</v>
      </c>
      <c r="O16">
        <v>8.0050640000000001E-4</v>
      </c>
      <c r="P16">
        <v>0.99438459999999995</v>
      </c>
      <c r="Q16">
        <v>6.6462960000000001E-2</v>
      </c>
      <c r="R16">
        <v>8.2352980000000006E-2</v>
      </c>
      <c r="S16">
        <v>3.064575</v>
      </c>
      <c r="T16">
        <v>-0.46276420000000001</v>
      </c>
      <c r="U16">
        <v>-0.20156859999999999</v>
      </c>
      <c r="V16">
        <v>-8.1554470000000004E-2</v>
      </c>
      <c r="W16">
        <v>7.6424699999999998E-2</v>
      </c>
      <c r="X16">
        <v>0.99373440000000002</v>
      </c>
      <c r="Y16">
        <v>6.5680269999999999E-2</v>
      </c>
      <c r="Z16">
        <v>-5.0458969999999997E-3</v>
      </c>
      <c r="AA16">
        <v>0.99782789999999999</v>
      </c>
      <c r="AB16">
        <v>2</v>
      </c>
      <c r="AC16">
        <v>0.69589999999999397</v>
      </c>
      <c r="AD16">
        <v>-0.1063828</v>
      </c>
      <c r="AE16">
        <v>-4.6400000000005499E-2</v>
      </c>
      <c r="AF16">
        <v>4.58894198246022E-2</v>
      </c>
      <c r="AG16">
        <v>-0.1063828</v>
      </c>
      <c r="AH16">
        <v>0.68004076804095603</v>
      </c>
      <c r="AI16">
        <v>98.871204088501599</v>
      </c>
      <c r="AJ16">
        <v>86.1395107656177</v>
      </c>
      <c r="AK16">
        <v>0.68983953582366697</v>
      </c>
      <c r="AL16">
        <v>85.616913249527897</v>
      </c>
      <c r="AM16">
        <v>94.691674589769704</v>
      </c>
      <c r="AN16">
        <v>0.99999996204521402</v>
      </c>
    </row>
    <row r="17" spans="1:40" x14ac:dyDescent="0.3">
      <c r="A17" t="str">
        <f>"20200111150221317"</f>
        <v>20200111150221317</v>
      </c>
      <c r="B17" t="str">
        <f>"1578726141315787"</f>
        <v>1578726141315787</v>
      </c>
      <c r="C17" t="s">
        <v>40</v>
      </c>
      <c r="D17">
        <v>5.1942190000000004</v>
      </c>
      <c r="E17">
        <v>0.55582710000000002</v>
      </c>
      <c r="F17" t="s">
        <v>42</v>
      </c>
      <c r="G17">
        <v>-476.20249999999999</v>
      </c>
      <c r="H17">
        <v>0.9977028</v>
      </c>
      <c r="I17">
        <v>367.47559999999999</v>
      </c>
      <c r="J17">
        <v>-476.89850000000001</v>
      </c>
      <c r="K17">
        <v>1.1043970000000001</v>
      </c>
      <c r="L17">
        <v>367.52140000000003</v>
      </c>
      <c r="M17">
        <v>0.99994590000000005</v>
      </c>
      <c r="N17">
        <v>0</v>
      </c>
      <c r="O17">
        <v>8.3649869999999999E-4</v>
      </c>
      <c r="P17">
        <v>0.99447680000000005</v>
      </c>
      <c r="Q17">
        <v>6.5809619999999999E-2</v>
      </c>
      <c r="R17">
        <v>8.1761730000000005E-2</v>
      </c>
      <c r="S17">
        <v>3.0640869999999998</v>
      </c>
      <c r="T17">
        <v>-0.46213399999999999</v>
      </c>
      <c r="U17">
        <v>-0.1962585</v>
      </c>
      <c r="V17">
        <v>-8.0928949999999999E-2</v>
      </c>
      <c r="W17">
        <v>7.6123750000000004E-2</v>
      </c>
      <c r="X17">
        <v>0.99380869999999999</v>
      </c>
      <c r="Y17">
        <v>6.4024460000000005E-2</v>
      </c>
      <c r="Z17">
        <v>-4.9215250000000004E-3</v>
      </c>
      <c r="AA17">
        <v>0.99793620000000005</v>
      </c>
      <c r="AB17">
        <v>1</v>
      </c>
      <c r="AC17">
        <v>0.69600000000002604</v>
      </c>
      <c r="AD17">
        <v>-0.106694199999999</v>
      </c>
      <c r="AE17">
        <v>-4.5800000000042397E-2</v>
      </c>
      <c r="AF17">
        <v>4.5321760604695803E-2</v>
      </c>
      <c r="AG17">
        <v>-0.106694199999999</v>
      </c>
      <c r="AH17">
        <v>0.68004935967271496</v>
      </c>
      <c r="AI17">
        <v>98.897134537291393</v>
      </c>
      <c r="AJ17">
        <v>86.187171901124103</v>
      </c>
      <c r="AK17">
        <v>0.68985856948306301</v>
      </c>
      <c r="AL17">
        <v>85.634207074053705</v>
      </c>
      <c r="AM17">
        <v>94.655501859294105</v>
      </c>
      <c r="AN17">
        <v>1.0000000262289199</v>
      </c>
    </row>
    <row r="18" spans="1:40" x14ac:dyDescent="0.3">
      <c r="A18" t="str">
        <f>"20200111150221339"</f>
        <v>20200111150221339</v>
      </c>
      <c r="B18" t="str">
        <f>"1578726141335307"</f>
        <v>1578726141335307</v>
      </c>
      <c r="C18" t="s">
        <v>40</v>
      </c>
      <c r="D18">
        <v>5.1859869999999999</v>
      </c>
      <c r="E18">
        <v>0.55520000000000003</v>
      </c>
      <c r="F18" t="s">
        <v>42</v>
      </c>
      <c r="G18">
        <v>-476.18979999999999</v>
      </c>
      <c r="H18">
        <v>0.998332</v>
      </c>
      <c r="I18">
        <v>367.47629999999998</v>
      </c>
      <c r="J18">
        <v>-476.8852</v>
      </c>
      <c r="K18">
        <v>1.104358</v>
      </c>
      <c r="L18">
        <v>367.5215</v>
      </c>
      <c r="M18">
        <v>0.99994419999999995</v>
      </c>
      <c r="N18">
        <v>0</v>
      </c>
      <c r="O18">
        <v>8.8169780000000003E-4</v>
      </c>
      <c r="P18">
        <v>0.99457620000000002</v>
      </c>
      <c r="Q18">
        <v>6.5797579999999994E-2</v>
      </c>
      <c r="R18">
        <v>8.0555959999999996E-2</v>
      </c>
      <c r="S18">
        <v>3.0629270000000002</v>
      </c>
      <c r="T18">
        <v>-0.45849509999999999</v>
      </c>
      <c r="U18">
        <v>-0.19390869999999999</v>
      </c>
      <c r="V18">
        <v>-7.967834E-2</v>
      </c>
      <c r="W18">
        <v>7.627304E-2</v>
      </c>
      <c r="X18">
        <v>0.99389830000000001</v>
      </c>
      <c r="Y18">
        <v>6.3348959999999996E-2</v>
      </c>
      <c r="Z18">
        <v>-4.8416359999999999E-3</v>
      </c>
      <c r="AA18">
        <v>0.99797970000000003</v>
      </c>
      <c r="AB18">
        <v>1</v>
      </c>
      <c r="AC18">
        <v>0.69540000000000601</v>
      </c>
      <c r="AD18">
        <v>-0.106025999999999</v>
      </c>
      <c r="AE18">
        <v>-4.52000000000225E-2</v>
      </c>
      <c r="AF18">
        <v>4.4776633387998997E-2</v>
      </c>
      <c r="AG18">
        <v>-0.106025999999999</v>
      </c>
      <c r="AH18">
        <v>0.679627461221604</v>
      </c>
      <c r="AI18">
        <v>98.848136490612106</v>
      </c>
      <c r="AJ18">
        <v>86.230567704063702</v>
      </c>
      <c r="AK18">
        <v>0.68930395735124395</v>
      </c>
      <c r="AL18">
        <v>85.625628430678205</v>
      </c>
      <c r="AM18">
        <v>94.583457032864004</v>
      </c>
      <c r="AN18">
        <v>1.0000000226194401</v>
      </c>
    </row>
    <row r="19" spans="1:40" x14ac:dyDescent="0.3">
      <c r="A19" t="str">
        <f>"20200111150221352"</f>
        <v>20200111150221352</v>
      </c>
      <c r="B19" t="str">
        <f>"1578726141345067"</f>
        <v>1578726141345067</v>
      </c>
      <c r="C19" t="s">
        <v>40</v>
      </c>
      <c r="D19">
        <v>5.2153109999999998</v>
      </c>
      <c r="E19">
        <v>0.55512359999999905</v>
      </c>
      <c r="F19" t="s">
        <v>42</v>
      </c>
      <c r="G19">
        <v>-476.17630000000003</v>
      </c>
      <c r="H19">
        <v>0.99983949999999999</v>
      </c>
      <c r="I19">
        <v>367.47680000000003</v>
      </c>
      <c r="J19">
        <v>-476.87650000000002</v>
      </c>
      <c r="K19">
        <v>1.104328</v>
      </c>
      <c r="L19">
        <v>367.5215</v>
      </c>
      <c r="M19">
        <v>0.99994360000000004</v>
      </c>
      <c r="N19">
        <v>0</v>
      </c>
      <c r="O19">
        <v>9.1291379999999995E-4</v>
      </c>
      <c r="P19">
        <v>0.99463610000000002</v>
      </c>
      <c r="Q19">
        <v>6.5426600000000001E-2</v>
      </c>
      <c r="R19">
        <v>8.0117389999999997E-2</v>
      </c>
      <c r="S19">
        <v>3.061798</v>
      </c>
      <c r="T19">
        <v>-0.45156360000000001</v>
      </c>
      <c r="U19">
        <v>-0.19241330000000001</v>
      </c>
      <c r="V19">
        <v>-7.920866E-2</v>
      </c>
      <c r="W19">
        <v>7.5960639999999996E-2</v>
      </c>
      <c r="X19">
        <v>0.9939597</v>
      </c>
      <c r="Y19">
        <v>6.2942620000000005E-2</v>
      </c>
      <c r="Z19">
        <v>-4.7458359999999998E-3</v>
      </c>
      <c r="AA19">
        <v>0.9980059</v>
      </c>
      <c r="AB19">
        <v>1</v>
      </c>
      <c r="AC19">
        <v>0.70019999999999505</v>
      </c>
      <c r="AD19">
        <v>-0.104488499999999</v>
      </c>
      <c r="AE19">
        <v>-4.4699999999977501E-2</v>
      </c>
      <c r="AF19">
        <v>4.4355513606541101E-2</v>
      </c>
      <c r="AG19">
        <v>-0.104488499999999</v>
      </c>
      <c r="AH19">
        <v>0.684967546126243</v>
      </c>
      <c r="AI19">
        <v>98.655478326046307</v>
      </c>
      <c r="AJ19">
        <v>86.294947991174197</v>
      </c>
      <c r="AK19">
        <v>0.69430958330254799</v>
      </c>
      <c r="AL19">
        <v>85.643579427898004</v>
      </c>
      <c r="AM19">
        <v>94.556272744951499</v>
      </c>
      <c r="AN19">
        <v>0.99999995793614604</v>
      </c>
    </row>
    <row r="20" spans="1:40" x14ac:dyDescent="0.3">
      <c r="A20" t="str">
        <f>"20200111150221366"</f>
        <v>20200111150221366</v>
      </c>
      <c r="B20" t="str">
        <f>"1578726141355804"</f>
        <v>1578726141355804</v>
      </c>
      <c r="C20" t="s">
        <v>40</v>
      </c>
      <c r="D20">
        <v>5.1922870000000003</v>
      </c>
      <c r="E20">
        <v>0.55519819999999998</v>
      </c>
      <c r="F20" t="s">
        <v>42</v>
      </c>
      <c r="G20">
        <v>-476.16379999999998</v>
      </c>
      <c r="H20">
        <v>0.99960950000000004</v>
      </c>
      <c r="I20">
        <v>367.47629999999998</v>
      </c>
      <c r="J20">
        <v>-476.86779999999999</v>
      </c>
      <c r="K20">
        <v>1.1043050000000001</v>
      </c>
      <c r="L20">
        <v>367.5215</v>
      </c>
      <c r="M20">
        <v>0.99994280000000002</v>
      </c>
      <c r="N20">
        <v>0</v>
      </c>
      <c r="O20">
        <v>9.4350369999999996E-4</v>
      </c>
      <c r="P20">
        <v>0.99471909999999997</v>
      </c>
      <c r="Q20">
        <v>6.5033549999999996E-2</v>
      </c>
      <c r="R20">
        <v>7.9404260000000004E-2</v>
      </c>
      <c r="S20">
        <v>3.061401</v>
      </c>
      <c r="T20">
        <v>-0.4499358</v>
      </c>
      <c r="U20">
        <v>-0.19354250000000001</v>
      </c>
      <c r="V20">
        <v>-7.8464549999999994E-2</v>
      </c>
      <c r="W20">
        <v>7.5640189999999996E-2</v>
      </c>
      <c r="X20">
        <v>0.99404320000000002</v>
      </c>
      <c r="Y20">
        <v>6.3348000000000002E-2</v>
      </c>
      <c r="Z20">
        <v>-4.7635300000000002E-3</v>
      </c>
      <c r="AA20">
        <v>0.99798010000000004</v>
      </c>
      <c r="AB20">
        <v>1</v>
      </c>
      <c r="AC20">
        <v>0.70400000000000695</v>
      </c>
      <c r="AD20">
        <v>-0.104695499999999</v>
      </c>
      <c r="AE20">
        <v>-4.52000000000225E-2</v>
      </c>
      <c r="AF20">
        <v>4.4875835214828401E-2</v>
      </c>
      <c r="AG20">
        <v>-0.104695499999999</v>
      </c>
      <c r="AH20">
        <v>0.68878623401919103</v>
      </c>
      <c r="AI20">
        <v>98.624791978039596</v>
      </c>
      <c r="AJ20">
        <v>86.272330936910294</v>
      </c>
      <c r="AK20">
        <v>0.69814143587157096</v>
      </c>
      <c r="AL20">
        <v>85.661993035431607</v>
      </c>
      <c r="AM20">
        <v>94.513269868384</v>
      </c>
      <c r="AN20">
        <v>1.0000000037080801</v>
      </c>
    </row>
    <row r="21" spans="1:40" x14ac:dyDescent="0.3">
      <c r="A21" t="str">
        <f>"20200111150221386"</f>
        <v>20200111150221386</v>
      </c>
      <c r="B21" t="str">
        <f>"1578726141375322"</f>
        <v>1578726141375322</v>
      </c>
      <c r="C21" t="s">
        <v>40</v>
      </c>
      <c r="D21">
        <v>5.1740259999999996</v>
      </c>
      <c r="E21">
        <v>0.5628145</v>
      </c>
      <c r="F21" t="s">
        <v>42</v>
      </c>
      <c r="G21">
        <v>-476.16320000000002</v>
      </c>
      <c r="H21">
        <v>1.000845</v>
      </c>
      <c r="I21">
        <v>367.47609999999997</v>
      </c>
      <c r="J21">
        <v>-476.85610000000003</v>
      </c>
      <c r="K21">
        <v>1.1042989999999999</v>
      </c>
      <c r="L21">
        <v>367.5215</v>
      </c>
      <c r="M21">
        <v>0.99994110000000003</v>
      </c>
      <c r="N21">
        <v>0</v>
      </c>
      <c r="O21">
        <v>9.8341899999999992E-4</v>
      </c>
      <c r="P21">
        <v>0.99488750000000004</v>
      </c>
      <c r="Q21">
        <v>6.4151319999999998E-2</v>
      </c>
      <c r="R21">
        <v>7.7998330000000005E-2</v>
      </c>
      <c r="S21">
        <v>3.061035</v>
      </c>
      <c r="T21">
        <v>-0.44965929999999998</v>
      </c>
      <c r="U21">
        <v>-0.19668579999999999</v>
      </c>
      <c r="V21">
        <v>-7.7018299999999998E-2</v>
      </c>
      <c r="W21">
        <v>7.49108E-2</v>
      </c>
      <c r="X21">
        <v>0.99421159999999997</v>
      </c>
      <c r="Y21">
        <v>6.4404970000000006E-2</v>
      </c>
      <c r="Z21">
        <v>-4.844012E-3</v>
      </c>
      <c r="AA21">
        <v>0.99791209999999997</v>
      </c>
      <c r="AB21">
        <v>1</v>
      </c>
      <c r="AC21">
        <v>0.69290000000000795</v>
      </c>
      <c r="AD21">
        <v>-0.10345399999999901</v>
      </c>
      <c r="AE21">
        <v>-4.5400000000029202E-2</v>
      </c>
      <c r="AF21">
        <v>4.5080773950359997E-2</v>
      </c>
      <c r="AG21">
        <v>-0.10345399999999901</v>
      </c>
      <c r="AH21">
        <v>0.67780971805954504</v>
      </c>
      <c r="AI21">
        <v>98.659232398651099</v>
      </c>
      <c r="AJ21">
        <v>86.194891367989896</v>
      </c>
      <c r="AK21">
        <v>0.68713973847531495</v>
      </c>
      <c r="AL21">
        <v>85.703903223892098</v>
      </c>
      <c r="AM21">
        <v>94.429668625709397</v>
      </c>
      <c r="AN21">
        <v>1.0000000760330401</v>
      </c>
    </row>
    <row r="22" spans="1:40" x14ac:dyDescent="0.3">
      <c r="A22" t="str">
        <f>"20200111150221408"</f>
        <v>20200111150221408</v>
      </c>
      <c r="B22" t="str">
        <f>"1578726141405580"</f>
        <v>1578726141405580</v>
      </c>
      <c r="C22" t="s">
        <v>40</v>
      </c>
      <c r="D22">
        <v>5.1637620000000002</v>
      </c>
      <c r="E22">
        <v>0.56072819999999901</v>
      </c>
      <c r="F22" t="s">
        <v>42</v>
      </c>
      <c r="G22">
        <v>-476.19639999999998</v>
      </c>
      <c r="H22">
        <v>0.90605349999999996</v>
      </c>
      <c r="I22">
        <v>367.46640000000002</v>
      </c>
      <c r="J22">
        <v>-476.84230000000002</v>
      </c>
      <c r="K22">
        <v>1.1043019999999999</v>
      </c>
      <c r="L22">
        <v>367.52159999999998</v>
      </c>
      <c r="M22">
        <v>0.99993889999999996</v>
      </c>
      <c r="N22">
        <v>0</v>
      </c>
      <c r="O22">
        <v>1.0303720000000001E-3</v>
      </c>
      <c r="P22">
        <v>0.99508450000000004</v>
      </c>
      <c r="Q22">
        <v>6.3334139999999997E-2</v>
      </c>
      <c r="R22">
        <v>7.6128520000000005E-2</v>
      </c>
      <c r="S22">
        <v>3.09552</v>
      </c>
      <c r="T22">
        <v>-0.93021849999999995</v>
      </c>
      <c r="U22">
        <v>-0.25677489999999997</v>
      </c>
      <c r="V22">
        <v>-7.5100719999999996E-2</v>
      </c>
      <c r="W22">
        <v>7.4285039999999997E-2</v>
      </c>
      <c r="X22">
        <v>0.99440519999999999</v>
      </c>
      <c r="Y22">
        <v>8.0131930000000004E-2</v>
      </c>
      <c r="Z22">
        <v>-1.206337E-2</v>
      </c>
      <c r="AA22">
        <v>0.99671129999999997</v>
      </c>
      <c r="AB22">
        <v>1</v>
      </c>
      <c r="AC22">
        <v>0.64590000000004</v>
      </c>
      <c r="AD22">
        <v>-0.19824849999999999</v>
      </c>
      <c r="AE22">
        <v>-5.5199999999956603E-2</v>
      </c>
      <c r="AF22">
        <v>5.1087553094455201E-2</v>
      </c>
      <c r="AG22">
        <v>-0.19824849999999999</v>
      </c>
      <c r="AH22">
        <v>0.59060619636920497</v>
      </c>
      <c r="AI22">
        <v>108.491003882874</v>
      </c>
      <c r="AJ22">
        <v>85.056209486904805</v>
      </c>
      <c r="AK22">
        <v>0.62508246257844102</v>
      </c>
      <c r="AL22">
        <v>85.739856667801504</v>
      </c>
      <c r="AM22">
        <v>94.318964913576096</v>
      </c>
      <c r="AN22">
        <v>1.0000000435496701</v>
      </c>
    </row>
    <row r="23" spans="1:40" x14ac:dyDescent="0.3">
      <c r="A23" t="str">
        <f>"20200111150221423"</f>
        <v>20200111150221423</v>
      </c>
      <c r="B23" t="str">
        <f>"1578726141415339"</f>
        <v>1578726141415339</v>
      </c>
      <c r="C23" t="s">
        <v>40</v>
      </c>
      <c r="D23">
        <v>5.199592</v>
      </c>
      <c r="E23">
        <v>0.56041759999999996</v>
      </c>
      <c r="F23" t="s">
        <v>42</v>
      </c>
      <c r="G23">
        <v>-476.18259999999998</v>
      </c>
      <c r="H23">
        <v>0.90919830000000001</v>
      </c>
      <c r="I23">
        <v>367.46940000000001</v>
      </c>
      <c r="J23">
        <v>-476.83319999999998</v>
      </c>
      <c r="K23">
        <v>1.104295</v>
      </c>
      <c r="L23">
        <v>367.52170000000001</v>
      </c>
      <c r="M23">
        <v>0.99993799999999999</v>
      </c>
      <c r="N23">
        <v>0</v>
      </c>
      <c r="O23">
        <v>1.0600099999999999E-3</v>
      </c>
      <c r="P23">
        <v>0.99517109999999998</v>
      </c>
      <c r="Q23">
        <v>6.2857109999999994E-2</v>
      </c>
      <c r="R23">
        <v>7.539005E-2</v>
      </c>
      <c r="S23">
        <v>3.0917659999999998</v>
      </c>
      <c r="T23">
        <v>-0.91449610000000003</v>
      </c>
      <c r="U23">
        <v>-0.244812</v>
      </c>
      <c r="V23">
        <v>-7.4332770000000006E-2</v>
      </c>
      <c r="W23">
        <v>7.3899389999999995E-2</v>
      </c>
      <c r="X23">
        <v>0.99449160000000003</v>
      </c>
      <c r="Y23">
        <v>7.668237E-2</v>
      </c>
      <c r="Z23">
        <v>-1.1393210000000001E-2</v>
      </c>
      <c r="AA23">
        <v>0.9969905</v>
      </c>
      <c r="AB23">
        <v>1</v>
      </c>
      <c r="AC23">
        <v>0.65059999999999696</v>
      </c>
      <c r="AD23">
        <v>-0.19509670000000001</v>
      </c>
      <c r="AE23">
        <v>-5.23000000000024E-2</v>
      </c>
      <c r="AF23">
        <v>4.8643556504527299E-2</v>
      </c>
      <c r="AG23">
        <v>-0.19509670000000001</v>
      </c>
      <c r="AH23">
        <v>0.59718793966349903</v>
      </c>
      <c r="AI23">
        <v>108.035968907167</v>
      </c>
      <c r="AJ23">
        <v>85.343290060143005</v>
      </c>
      <c r="AK23">
        <v>0.630128838587661</v>
      </c>
      <c r="AL23">
        <v>85.762013549189206</v>
      </c>
      <c r="AM23">
        <v>94.274595440498302</v>
      </c>
      <c r="AN23">
        <v>1.0000000115044001</v>
      </c>
    </row>
    <row r="24" spans="1:40" x14ac:dyDescent="0.3">
      <c r="A24" t="str">
        <f>"20200111150221441"</f>
        <v>20200111150221441</v>
      </c>
      <c r="B24" t="str">
        <f>"1578726141435834"</f>
        <v>1578726141435834</v>
      </c>
      <c r="C24" t="s">
        <v>40</v>
      </c>
      <c r="D24">
        <v>5.1476139999999999</v>
      </c>
      <c r="E24">
        <v>0.55918129999999999</v>
      </c>
      <c r="F24" t="s">
        <v>42</v>
      </c>
      <c r="G24">
        <v>-476.17129999999997</v>
      </c>
      <c r="H24">
        <v>0.90718670000000001</v>
      </c>
      <c r="I24">
        <v>367.46879999999999</v>
      </c>
      <c r="J24">
        <v>-476.822</v>
      </c>
      <c r="K24">
        <v>1.104282</v>
      </c>
      <c r="L24">
        <v>367.52170000000001</v>
      </c>
      <c r="M24">
        <v>0.99993690000000002</v>
      </c>
      <c r="N24">
        <v>0</v>
      </c>
      <c r="O24">
        <v>1.095396E-3</v>
      </c>
      <c r="P24">
        <v>0.99526970000000003</v>
      </c>
      <c r="Q24">
        <v>6.1972899999999997E-2</v>
      </c>
      <c r="R24">
        <v>7.4818309999999999E-2</v>
      </c>
      <c r="S24">
        <v>3.091278</v>
      </c>
      <c r="T24">
        <v>-0.92075850000000004</v>
      </c>
      <c r="U24">
        <v>-0.24523929999999999</v>
      </c>
      <c r="V24">
        <v>-7.3725369999999998E-2</v>
      </c>
      <c r="W24">
        <v>7.3101879999999994E-2</v>
      </c>
      <c r="X24">
        <v>0.99459580000000003</v>
      </c>
      <c r="Y24">
        <v>7.6814209999999994E-2</v>
      </c>
      <c r="Z24">
        <v>-1.149917E-2</v>
      </c>
      <c r="AA24">
        <v>0.99697910000000001</v>
      </c>
      <c r="AB24">
        <v>1</v>
      </c>
      <c r="AC24">
        <v>0.65069999999997197</v>
      </c>
      <c r="AD24">
        <v>-0.1970953</v>
      </c>
      <c r="AE24">
        <v>-5.2900000000022297E-2</v>
      </c>
      <c r="AF24">
        <v>4.9134456138463498E-2</v>
      </c>
      <c r="AG24">
        <v>-0.1970953</v>
      </c>
      <c r="AH24">
        <v>0.596292897213892</v>
      </c>
      <c r="AI24">
        <v>108.232810052701</v>
      </c>
      <c r="AJ24">
        <v>85.289477157624802</v>
      </c>
      <c r="AK24">
        <v>0.62994124434732002</v>
      </c>
      <c r="AL24">
        <v>85.807831641145995</v>
      </c>
      <c r="AM24">
        <v>94.2393514961216</v>
      </c>
      <c r="AN24">
        <v>1.0000000602093999</v>
      </c>
    </row>
    <row r="25" spans="1:40" x14ac:dyDescent="0.3">
      <c r="A25" t="str">
        <f>"20200111150221464"</f>
        <v>20200111150221464</v>
      </c>
      <c r="B25" t="str">
        <f>"1578726141455356"</f>
        <v>1578726141455356</v>
      </c>
      <c r="C25" t="s">
        <v>40</v>
      </c>
      <c r="D25">
        <v>5.1405760000000003</v>
      </c>
      <c r="E25">
        <v>0.557421099999999</v>
      </c>
      <c r="F25" t="s">
        <v>42</v>
      </c>
      <c r="G25">
        <v>-476.15989999999999</v>
      </c>
      <c r="H25">
        <v>0.90523849999999995</v>
      </c>
      <c r="I25">
        <v>367.47059999999999</v>
      </c>
      <c r="J25">
        <v>-476.80790000000002</v>
      </c>
      <c r="K25">
        <v>1.1042700000000001</v>
      </c>
      <c r="L25">
        <v>367.52170000000001</v>
      </c>
      <c r="M25">
        <v>0.99993589999999999</v>
      </c>
      <c r="N25">
        <v>0</v>
      </c>
      <c r="O25">
        <v>1.1371829999999999E-3</v>
      </c>
      <c r="P25">
        <v>0.99538959999999999</v>
      </c>
      <c r="Q25">
        <v>6.0381419999999998E-2</v>
      </c>
      <c r="R25">
        <v>7.4525040000000001E-2</v>
      </c>
      <c r="S25">
        <v>3.0900569999999998</v>
      </c>
      <c r="T25">
        <v>-0.92890019999999995</v>
      </c>
      <c r="U25">
        <v>-0.23880000000000001</v>
      </c>
      <c r="V25">
        <v>-7.3390479999999994E-2</v>
      </c>
      <c r="W25">
        <v>7.160379E-2</v>
      </c>
      <c r="X25">
        <v>0.99472950000000004</v>
      </c>
      <c r="Y25">
        <v>7.4844809999999998E-2</v>
      </c>
      <c r="Z25">
        <v>-1.132492E-2</v>
      </c>
      <c r="AA25">
        <v>0.99713090000000004</v>
      </c>
      <c r="AB25">
        <v>1</v>
      </c>
      <c r="AC25">
        <v>0.648000000000024</v>
      </c>
      <c r="AD25">
        <v>-0.1990315</v>
      </c>
      <c r="AE25">
        <v>-5.1100000000019401E-2</v>
      </c>
      <c r="AF25">
        <v>4.7393464032316902E-2</v>
      </c>
      <c r="AG25">
        <v>-0.1990315</v>
      </c>
      <c r="AH25">
        <v>0.59240011853369401</v>
      </c>
      <c r="AI25">
        <v>108.51594151310699</v>
      </c>
      <c r="AJ25">
        <v>85.425938953569101</v>
      </c>
      <c r="AK25">
        <v>0.62673565309783297</v>
      </c>
      <c r="AL25">
        <v>85.893891274408205</v>
      </c>
      <c r="AM25">
        <v>94.219599226171397</v>
      </c>
      <c r="AN25">
        <v>1.00000002173362</v>
      </c>
    </row>
    <row r="26" spans="1:40" x14ac:dyDescent="0.3">
      <c r="A26" t="str">
        <f>"20200111150221487"</f>
        <v>20200111150221487</v>
      </c>
      <c r="B26" t="str">
        <f>"1578726141475851"</f>
        <v>1578726141475851</v>
      </c>
      <c r="C26" t="s">
        <v>40</v>
      </c>
      <c r="D26">
        <v>5.1840519999999897</v>
      </c>
      <c r="E26">
        <v>0.55574019999999902</v>
      </c>
      <c r="F26" t="s">
        <v>42</v>
      </c>
      <c r="G26">
        <v>-476.1481</v>
      </c>
      <c r="H26">
        <v>0.90394070000000004</v>
      </c>
      <c r="I26">
        <v>367.47329999999999</v>
      </c>
      <c r="J26">
        <v>-476.79419999999999</v>
      </c>
      <c r="K26">
        <v>1.104266</v>
      </c>
      <c r="L26">
        <v>367.52179999999998</v>
      </c>
      <c r="M26">
        <v>0.99993480000000001</v>
      </c>
      <c r="N26">
        <v>0</v>
      </c>
      <c r="O26">
        <v>1.1756850000000001E-3</v>
      </c>
      <c r="P26">
        <v>0.99542310000000001</v>
      </c>
      <c r="Q26">
        <v>5.951832E-2</v>
      </c>
      <c r="R26">
        <v>7.4769989999999995E-2</v>
      </c>
      <c r="S26">
        <v>3.0876459999999999</v>
      </c>
      <c r="T26">
        <v>-0.93762089999999998</v>
      </c>
      <c r="U26">
        <v>-0.22579959999999999</v>
      </c>
      <c r="V26">
        <v>-7.3597070000000001E-2</v>
      </c>
      <c r="W26">
        <v>7.08347E-2</v>
      </c>
      <c r="X26">
        <v>0.99476929999999997</v>
      </c>
      <c r="Y26">
        <v>7.0875789999999994E-2</v>
      </c>
      <c r="Z26">
        <v>-1.085971E-2</v>
      </c>
      <c r="AA26">
        <v>0.99742600000000003</v>
      </c>
      <c r="AB26">
        <v>1</v>
      </c>
      <c r="AC26">
        <v>0.64609999999998902</v>
      </c>
      <c r="AD26">
        <v>-0.20032530000000001</v>
      </c>
      <c r="AE26">
        <v>-4.8499999999990002E-2</v>
      </c>
      <c r="AF26">
        <v>4.4961558801639698E-2</v>
      </c>
      <c r="AG26">
        <v>-0.20032530000000001</v>
      </c>
      <c r="AH26">
        <v>0.58967316187285201</v>
      </c>
      <c r="AI26">
        <v>108.71326281643699</v>
      </c>
      <c r="AJ26">
        <v>85.639732745386397</v>
      </c>
      <c r="AK26">
        <v>0.62439266925796799</v>
      </c>
      <c r="AL26">
        <v>85.938069067318693</v>
      </c>
      <c r="AM26">
        <v>94.231265392370901</v>
      </c>
      <c r="AN26">
        <v>1.0000000218295799</v>
      </c>
    </row>
    <row r="27" spans="1:40" x14ac:dyDescent="0.3">
      <c r="A27" t="str">
        <f>"20200111150221509"</f>
        <v>20200111150221509</v>
      </c>
      <c r="B27" t="str">
        <f>"1578726141505131"</f>
        <v>1578726141505131</v>
      </c>
      <c r="C27" t="s">
        <v>40</v>
      </c>
      <c r="D27">
        <v>5.3493899999999996</v>
      </c>
      <c r="E27">
        <v>0.55397949999999996</v>
      </c>
      <c r="F27" t="s">
        <v>42</v>
      </c>
      <c r="G27">
        <v>-476.13569999999999</v>
      </c>
      <c r="H27">
        <v>0.90441990000000005</v>
      </c>
      <c r="I27">
        <v>367.47680000000003</v>
      </c>
      <c r="J27">
        <v>-476.78109999999998</v>
      </c>
      <c r="K27">
        <v>1.1042639999999999</v>
      </c>
      <c r="L27">
        <v>367.52190000000002</v>
      </c>
      <c r="M27">
        <v>0.99993359999999998</v>
      </c>
      <c r="N27">
        <v>0</v>
      </c>
      <c r="O27">
        <v>1.211939E-3</v>
      </c>
      <c r="P27">
        <v>0.99528709999999998</v>
      </c>
      <c r="Q27">
        <v>6.0498320000000001E-2</v>
      </c>
      <c r="R27">
        <v>7.5786989999999999E-2</v>
      </c>
      <c r="S27">
        <v>3.0856319999999999</v>
      </c>
      <c r="T27">
        <v>-0.93638060000000001</v>
      </c>
      <c r="U27">
        <v>-0.2111816</v>
      </c>
      <c r="V27">
        <v>-7.4577939999999995E-2</v>
      </c>
      <c r="W27">
        <v>7.1903419999999996E-2</v>
      </c>
      <c r="X27">
        <v>0.99461949999999999</v>
      </c>
      <c r="Y27">
        <v>6.6456370000000001E-2</v>
      </c>
      <c r="Z27">
        <v>-1.021008E-2</v>
      </c>
      <c r="AA27">
        <v>0.99773710000000004</v>
      </c>
      <c r="AB27">
        <v>1</v>
      </c>
      <c r="AC27">
        <v>0.64539999999999498</v>
      </c>
      <c r="AD27">
        <v>-0.199844099999999</v>
      </c>
      <c r="AE27">
        <v>-4.50999999999908E-2</v>
      </c>
      <c r="AF27">
        <v>4.1885744006784201E-2</v>
      </c>
      <c r="AG27">
        <v>-0.199844099999999</v>
      </c>
      <c r="AH27">
        <v>0.58913364231771703</v>
      </c>
      <c r="AI27">
        <v>108.69390778777</v>
      </c>
      <c r="AJ27">
        <v>85.933274283577504</v>
      </c>
      <c r="AK27">
        <v>0.62351465769968195</v>
      </c>
      <c r="AL27">
        <v>85.876679121208198</v>
      </c>
      <c r="AM27">
        <v>94.288092293579595</v>
      </c>
      <c r="AN27">
        <v>0.99999996036129402</v>
      </c>
    </row>
    <row r="28" spans="1:40" x14ac:dyDescent="0.3">
      <c r="A28" t="str">
        <f>"20200111150221530"</f>
        <v>20200111150221530</v>
      </c>
      <c r="B28" t="str">
        <f>"1578726141525627"</f>
        <v>1578726141525627</v>
      </c>
      <c r="C28" t="s">
        <v>40</v>
      </c>
      <c r="D28">
        <v>5.3227739999999999</v>
      </c>
      <c r="E28">
        <v>0.55250589999999999</v>
      </c>
      <c r="F28" t="s">
        <v>42</v>
      </c>
      <c r="G28">
        <v>-476.1234</v>
      </c>
      <c r="H28">
        <v>0.90453649999999997</v>
      </c>
      <c r="I28">
        <v>367.4803</v>
      </c>
      <c r="J28">
        <v>-476.76819999999998</v>
      </c>
      <c r="K28">
        <v>1.104266</v>
      </c>
      <c r="L28">
        <v>367.52190000000002</v>
      </c>
      <c r="M28">
        <v>0.9999325</v>
      </c>
      <c r="N28">
        <v>0</v>
      </c>
      <c r="O28">
        <v>1.2513649999999999E-3</v>
      </c>
      <c r="P28">
        <v>0.99519460000000004</v>
      </c>
      <c r="Q28">
        <v>6.028319E-2</v>
      </c>
      <c r="R28">
        <v>7.7158989999999997E-2</v>
      </c>
      <c r="S28">
        <v>3.0859070000000002</v>
      </c>
      <c r="T28">
        <v>-0.93714869999999995</v>
      </c>
      <c r="U28">
        <v>-0.19396969999999999</v>
      </c>
      <c r="V28">
        <v>-7.5910809999999995E-2</v>
      </c>
      <c r="W28">
        <v>7.1773100000000006E-2</v>
      </c>
      <c r="X28">
        <v>0.99452810000000003</v>
      </c>
      <c r="Y28">
        <v>6.1177259999999997E-2</v>
      </c>
      <c r="Z28">
        <v>-9.4474680000000005E-3</v>
      </c>
      <c r="AA28">
        <v>0.99808220000000003</v>
      </c>
      <c r="AB28">
        <v>1</v>
      </c>
      <c r="AC28">
        <v>0.64479999999997495</v>
      </c>
      <c r="AD28">
        <v>-0.1997295</v>
      </c>
      <c r="AE28">
        <v>-4.16000000000167E-2</v>
      </c>
      <c r="AF28">
        <v>3.8708323216501903E-2</v>
      </c>
      <c r="AG28">
        <v>-0.1997295</v>
      </c>
      <c r="AH28">
        <v>0.58851487066277597</v>
      </c>
      <c r="AI28">
        <v>108.708523160959</v>
      </c>
      <c r="AJ28">
        <v>86.236911277911304</v>
      </c>
      <c r="AK28">
        <v>0.62268769093961296</v>
      </c>
      <c r="AL28">
        <v>85.8841653523681</v>
      </c>
      <c r="AM28">
        <v>94.364835854999498</v>
      </c>
      <c r="AN28">
        <v>0.999999985324038</v>
      </c>
    </row>
    <row r="29" spans="1:40" x14ac:dyDescent="0.3">
      <c r="A29" t="str">
        <f>"20200111150221544"</f>
        <v>20200111150221544</v>
      </c>
      <c r="B29" t="str">
        <f>"1578726141535387"</f>
        <v>1578726141535387</v>
      </c>
      <c r="C29" t="s">
        <v>40</v>
      </c>
      <c r="D29">
        <v>5.2600040000000003</v>
      </c>
      <c r="E29">
        <v>0.55250589999999999</v>
      </c>
      <c r="F29" t="s">
        <v>42</v>
      </c>
      <c r="G29">
        <v>-476.10039999999998</v>
      </c>
      <c r="H29">
        <v>0.90185139999999997</v>
      </c>
      <c r="I29">
        <v>367.48340000000002</v>
      </c>
      <c r="J29">
        <v>-476.75920000000002</v>
      </c>
      <c r="K29">
        <v>1.104271</v>
      </c>
      <c r="L29">
        <v>367.52199999999999</v>
      </c>
      <c r="M29">
        <v>0.99993200000000004</v>
      </c>
      <c r="N29">
        <v>0</v>
      </c>
      <c r="O29">
        <v>1.278167E-3</v>
      </c>
      <c r="P29">
        <v>0.99517409999999995</v>
      </c>
      <c r="Q29">
        <v>5.9838130000000003E-2</v>
      </c>
      <c r="R29">
        <v>7.7769210000000005E-2</v>
      </c>
      <c r="S29">
        <v>3.0849000000000002</v>
      </c>
      <c r="T29">
        <v>-0.93522640000000001</v>
      </c>
      <c r="U29">
        <v>-0.1772156</v>
      </c>
      <c r="V29">
        <v>-7.6494820000000005E-2</v>
      </c>
      <c r="W29">
        <v>7.1384050000000004E-2</v>
      </c>
      <c r="X29">
        <v>0.99451140000000005</v>
      </c>
      <c r="Y29">
        <v>5.6058980000000001E-2</v>
      </c>
      <c r="Z29">
        <v>-8.6830420000000002E-3</v>
      </c>
      <c r="AA29">
        <v>0.99838970000000005</v>
      </c>
      <c r="AB29">
        <v>1</v>
      </c>
      <c r="AC29">
        <v>0.65880000000004202</v>
      </c>
      <c r="AD29">
        <v>-0.20241959999999901</v>
      </c>
      <c r="AE29">
        <v>-3.8599999999973898E-2</v>
      </c>
      <c r="AF29">
        <v>3.6050367049188202E-2</v>
      </c>
      <c r="AG29">
        <v>-0.20241959999999901</v>
      </c>
      <c r="AH29">
        <v>0.60210269804251404</v>
      </c>
      <c r="AI29">
        <v>108.55107517726699</v>
      </c>
      <c r="AJ29">
        <v>86.573556416301898</v>
      </c>
      <c r="AK29">
        <v>0.636239720874621</v>
      </c>
      <c r="AL29">
        <v>85.906513792973598</v>
      </c>
      <c r="AM29">
        <v>94.398358456105399</v>
      </c>
      <c r="AN29">
        <v>1.00000003240559</v>
      </c>
    </row>
    <row r="30" spans="1:40" x14ac:dyDescent="0.3">
      <c r="A30" t="str">
        <f>"20200111150221564"</f>
        <v>20200111150221564</v>
      </c>
      <c r="B30" t="str">
        <f>"1578726141555883"</f>
        <v>1578726141555883</v>
      </c>
      <c r="C30" t="s">
        <v>40</v>
      </c>
      <c r="D30">
        <v>5.3765720000000004</v>
      </c>
      <c r="E30">
        <v>0.53389160000000002</v>
      </c>
      <c r="F30" t="s">
        <v>42</v>
      </c>
      <c r="G30">
        <v>-476.09949999999998</v>
      </c>
      <c r="H30">
        <v>0.90395179999999997</v>
      </c>
      <c r="I30">
        <v>367.48439999999999</v>
      </c>
      <c r="J30">
        <v>-476.74759999999998</v>
      </c>
      <c r="K30">
        <v>1.104282</v>
      </c>
      <c r="L30">
        <v>367.52199999999999</v>
      </c>
      <c r="M30">
        <v>0.99993100000000001</v>
      </c>
      <c r="N30">
        <v>0</v>
      </c>
      <c r="O30">
        <v>1.312866E-3</v>
      </c>
      <c r="P30">
        <v>0.99509409999999998</v>
      </c>
      <c r="Q30">
        <v>5.9225439999999997E-2</v>
      </c>
      <c r="R30">
        <v>7.9248639999999995E-2</v>
      </c>
      <c r="S30">
        <v>3.0845030000000002</v>
      </c>
      <c r="T30">
        <v>-0.93669650000000004</v>
      </c>
      <c r="U30">
        <v>-0.17501829999999999</v>
      </c>
      <c r="V30">
        <v>-7.7939339999999996E-2</v>
      </c>
      <c r="W30">
        <v>7.0851349999999994E-2</v>
      </c>
      <c r="X30">
        <v>0.99443729999999997</v>
      </c>
      <c r="Y30">
        <v>5.541095E-2</v>
      </c>
      <c r="Z30">
        <v>-8.6114809999999903E-3</v>
      </c>
      <c r="AA30">
        <v>0.99842649999999999</v>
      </c>
      <c r="AB30">
        <v>1</v>
      </c>
      <c r="AC30">
        <v>0.64809999999999901</v>
      </c>
      <c r="AD30">
        <v>-0.20033020000000001</v>
      </c>
      <c r="AE30">
        <v>-3.7599999999997601E-2</v>
      </c>
      <c r="AF30">
        <v>3.5107768194253798E-2</v>
      </c>
      <c r="AG30">
        <v>-0.20033020000000001</v>
      </c>
      <c r="AH30">
        <v>0.59170514395823504</v>
      </c>
      <c r="AI30">
        <v>108.67370335771299</v>
      </c>
      <c r="AJ30">
        <v>86.604438106632699</v>
      </c>
      <c r="AK30">
        <v>0.62568340381238896</v>
      </c>
      <c r="AL30">
        <v>85.937112597080301</v>
      </c>
      <c r="AM30">
        <v>94.4814139642138</v>
      </c>
      <c r="AN30">
        <v>0.99999999907387405</v>
      </c>
    </row>
    <row r="31" spans="1:40" x14ac:dyDescent="0.3">
      <c r="A31" t="str">
        <f>"20200111150221587"</f>
        <v>20200111150221587</v>
      </c>
      <c r="B31" t="str">
        <f>"1578726141575403"</f>
        <v>1578726141575403</v>
      </c>
      <c r="C31" t="s">
        <v>40</v>
      </c>
      <c r="D31">
        <v>5.2294720000000003</v>
      </c>
      <c r="E31">
        <v>0.54429099999999997</v>
      </c>
      <c r="F31" t="s">
        <v>42</v>
      </c>
      <c r="G31">
        <v>-476.03149999999999</v>
      </c>
      <c r="H31">
        <v>1.020219</v>
      </c>
      <c r="I31">
        <v>367.51560000000001</v>
      </c>
      <c r="J31">
        <v>-476.73410000000001</v>
      </c>
      <c r="K31">
        <v>1.104311</v>
      </c>
      <c r="L31">
        <v>367.52210000000002</v>
      </c>
      <c r="M31">
        <v>0.99992950000000003</v>
      </c>
      <c r="N31">
        <v>0</v>
      </c>
      <c r="O31">
        <v>1.353159E-3</v>
      </c>
      <c r="P31">
        <v>0.99494150000000003</v>
      </c>
      <c r="Q31">
        <v>6.0059790000000002E-2</v>
      </c>
      <c r="R31">
        <v>8.0524129999999999E-2</v>
      </c>
      <c r="S31">
        <v>3.038208</v>
      </c>
      <c r="T31">
        <v>-0.35663319999999998</v>
      </c>
      <c r="U31">
        <v>-2.7221680000000002E-2</v>
      </c>
      <c r="V31">
        <v>-7.9175319999999993E-2</v>
      </c>
      <c r="W31">
        <v>7.1797360000000005E-2</v>
      </c>
      <c r="X31">
        <v>0.99427180000000004</v>
      </c>
      <c r="Y31">
        <v>1.023307E-2</v>
      </c>
      <c r="Z31">
        <v>-7.5682829999999997E-4</v>
      </c>
      <c r="AA31">
        <v>0.99994740000000004</v>
      </c>
      <c r="AB31">
        <v>1</v>
      </c>
      <c r="AC31">
        <v>0.70260000000001799</v>
      </c>
      <c r="AD31">
        <v>-8.4092E-2</v>
      </c>
      <c r="AE31">
        <v>-6.5000000000168196E-3</v>
      </c>
      <c r="AF31">
        <v>7.34557376087429E-3</v>
      </c>
      <c r="AG31">
        <v>-8.4092E-2</v>
      </c>
      <c r="AH31">
        <v>0.69266896240161802</v>
      </c>
      <c r="AI31">
        <v>96.921612307708003</v>
      </c>
      <c r="AJ31">
        <v>89.392415971536394</v>
      </c>
      <c r="AK31">
        <v>0.69779346041103796</v>
      </c>
      <c r="AL31">
        <v>85.882771831186005</v>
      </c>
      <c r="AM31">
        <v>94.5529394234607</v>
      </c>
      <c r="AN31">
        <v>1.0000000022376501</v>
      </c>
    </row>
    <row r="32" spans="1:40" x14ac:dyDescent="0.3">
      <c r="A32" t="str">
        <f>"20200111150221607"</f>
        <v>20200111150221607</v>
      </c>
      <c r="B32" t="str">
        <f>"1578726141595901"</f>
        <v>1578726141595901</v>
      </c>
      <c r="C32" t="s">
        <v>40</v>
      </c>
      <c r="D32">
        <v>5.3718760000000003</v>
      </c>
      <c r="E32">
        <v>0.53306390000000003</v>
      </c>
      <c r="F32" t="s">
        <v>42</v>
      </c>
      <c r="G32">
        <v>-476.0779</v>
      </c>
      <c r="H32">
        <v>0.89674159999999903</v>
      </c>
      <c r="I32">
        <v>367.5</v>
      </c>
      <c r="J32">
        <v>-476.72199999999998</v>
      </c>
      <c r="K32">
        <v>1.1043430000000001</v>
      </c>
      <c r="L32">
        <v>367.52210000000002</v>
      </c>
      <c r="M32">
        <v>0.99992820000000004</v>
      </c>
      <c r="N32">
        <v>0</v>
      </c>
      <c r="O32">
        <v>1.389911E-3</v>
      </c>
      <c r="P32">
        <v>0.9947319</v>
      </c>
      <c r="Q32">
        <v>6.1326730000000003E-2</v>
      </c>
      <c r="R32">
        <v>8.2144809999999999E-2</v>
      </c>
      <c r="S32">
        <v>3.0824579999999999</v>
      </c>
      <c r="T32">
        <v>-0.97506999999999999</v>
      </c>
      <c r="U32">
        <v>-0.1028748</v>
      </c>
      <c r="V32">
        <v>-8.0759639999999994E-2</v>
      </c>
      <c r="W32">
        <v>7.3175130000000005E-2</v>
      </c>
      <c r="X32">
        <v>0.99404389999999998</v>
      </c>
      <c r="Y32">
        <v>3.3063990000000001E-2</v>
      </c>
      <c r="Z32">
        <v>-5.5326709999999899E-3</v>
      </c>
      <c r="AA32">
        <v>0.99943789999999999</v>
      </c>
      <c r="AB32">
        <v>1</v>
      </c>
      <c r="AC32">
        <v>0.64409999999998002</v>
      </c>
      <c r="AD32">
        <v>-0.20760139999999999</v>
      </c>
      <c r="AE32">
        <v>-2.2100000000023101E-2</v>
      </c>
      <c r="AF32">
        <v>2.0833531727601402E-2</v>
      </c>
      <c r="AG32">
        <v>-0.20760139999999999</v>
      </c>
      <c r="AH32">
        <v>0.58352073331694498</v>
      </c>
      <c r="AI32">
        <v>109.572704930546</v>
      </c>
      <c r="AJ32">
        <v>87.955228388923999</v>
      </c>
      <c r="AK32">
        <v>0.61970059184815196</v>
      </c>
      <c r="AL32">
        <v>85.803623189916294</v>
      </c>
      <c r="AM32">
        <v>94.644710415953099</v>
      </c>
      <c r="AN32">
        <v>0.99999999711532805</v>
      </c>
    </row>
    <row r="33" spans="1:40" x14ac:dyDescent="0.3">
      <c r="A33" t="str">
        <f>"20200111150221631"</f>
        <v>20200111150221631</v>
      </c>
      <c r="B33" t="str">
        <f>"1578726141625179"</f>
        <v>1578726141625179</v>
      </c>
      <c r="C33" t="s">
        <v>40</v>
      </c>
      <c r="D33">
        <v>5.2754570000000003</v>
      </c>
      <c r="E33">
        <v>0.54779829999999996</v>
      </c>
      <c r="F33" t="s">
        <v>42</v>
      </c>
      <c r="G33">
        <v>-476.03519999999997</v>
      </c>
      <c r="H33">
        <v>0.9629337</v>
      </c>
      <c r="I33">
        <v>367.51960000000003</v>
      </c>
      <c r="J33">
        <v>-476.70859999999999</v>
      </c>
      <c r="K33">
        <v>1.104368</v>
      </c>
      <c r="L33">
        <v>367.5222</v>
      </c>
      <c r="M33">
        <v>0.9999266</v>
      </c>
      <c r="N33">
        <v>0</v>
      </c>
      <c r="O33">
        <v>1.4315580000000001E-3</v>
      </c>
      <c r="P33">
        <v>0.99467130000000004</v>
      </c>
      <c r="Q33">
        <v>6.1527650000000003E-2</v>
      </c>
      <c r="R33">
        <v>8.272583E-2</v>
      </c>
      <c r="S33">
        <v>3.0556030000000001</v>
      </c>
      <c r="T33">
        <v>-0.62910489999999997</v>
      </c>
      <c r="U33">
        <v>-1.132202E-2</v>
      </c>
      <c r="V33">
        <v>-8.1299419999999997E-2</v>
      </c>
      <c r="W33">
        <v>7.3506589999999997E-2</v>
      </c>
      <c r="X33">
        <v>0.99397550000000001</v>
      </c>
      <c r="Y33">
        <v>5.0020129999999996E-3</v>
      </c>
      <c r="Z33">
        <v>-8.0127439999999996E-4</v>
      </c>
      <c r="AA33">
        <v>0.99998719999999996</v>
      </c>
      <c r="AB33">
        <v>1</v>
      </c>
      <c r="AC33">
        <v>0.67340000000001499</v>
      </c>
      <c r="AD33">
        <v>-0.14143429999999901</v>
      </c>
      <c r="AE33">
        <v>-2.5999999999726199E-3</v>
      </c>
      <c r="AF33">
        <v>3.41350185905776E-3</v>
      </c>
      <c r="AG33">
        <v>-0.14143429999999901</v>
      </c>
      <c r="AH33">
        <v>0.64494573829069102</v>
      </c>
      <c r="AI33">
        <v>102.36879453824599</v>
      </c>
      <c r="AJ33">
        <v>89.696753676978801</v>
      </c>
      <c r="AK33">
        <v>0.66028048475686096</v>
      </c>
      <c r="AL33">
        <v>85.784580890327206</v>
      </c>
      <c r="AM33">
        <v>94.675937795556194</v>
      </c>
      <c r="AN33">
        <v>1.0000000545329999</v>
      </c>
    </row>
    <row r="34" spans="1:40" x14ac:dyDescent="0.3">
      <c r="A34" t="str">
        <f>"20200111150221653"</f>
        <v>20200111150221653</v>
      </c>
      <c r="B34" t="str">
        <f>"1578726141645675"</f>
        <v>1578726141645675</v>
      </c>
      <c r="C34" t="s">
        <v>40</v>
      </c>
      <c r="D34">
        <v>5.2703419999999896</v>
      </c>
      <c r="E34">
        <v>0.54791999999999996</v>
      </c>
      <c r="F34" t="s">
        <v>42</v>
      </c>
      <c r="G34">
        <v>-476.04</v>
      </c>
      <c r="H34">
        <v>0.90294099999999999</v>
      </c>
      <c r="I34">
        <v>367.49560000000002</v>
      </c>
      <c r="J34">
        <v>-476.69529999999997</v>
      </c>
      <c r="K34">
        <v>1.104374</v>
      </c>
      <c r="L34">
        <v>367.52229999999997</v>
      </c>
      <c r="M34">
        <v>0.99992510000000001</v>
      </c>
      <c r="N34">
        <v>0</v>
      </c>
      <c r="O34">
        <v>1.4719749999999999E-3</v>
      </c>
      <c r="P34">
        <v>0.99470130000000001</v>
      </c>
      <c r="Q34">
        <v>6.089029E-2</v>
      </c>
      <c r="R34">
        <v>8.2835880000000001E-2</v>
      </c>
      <c r="S34">
        <v>3.083771</v>
      </c>
      <c r="T34">
        <v>-0.92910420000000005</v>
      </c>
      <c r="U34">
        <v>-0.1230469</v>
      </c>
      <c r="V34">
        <v>-8.1369369999999996E-2</v>
      </c>
      <c r="W34">
        <v>7.2985380000000002E-2</v>
      </c>
      <c r="X34">
        <v>0.99400809999999995</v>
      </c>
      <c r="Y34">
        <v>3.9523129999999997E-2</v>
      </c>
      <c r="Z34">
        <v>-6.2561780000000003E-3</v>
      </c>
      <c r="AA34">
        <v>0.99919910000000001</v>
      </c>
      <c r="AB34">
        <v>1</v>
      </c>
      <c r="AC34">
        <v>0.65529999999995403</v>
      </c>
      <c r="AD34">
        <v>-0.201433</v>
      </c>
      <c r="AE34">
        <v>-2.66999999999484E-2</v>
      </c>
      <c r="AF34">
        <v>2.5279914497082299E-2</v>
      </c>
      <c r="AG34">
        <v>-0.201433</v>
      </c>
      <c r="AH34">
        <v>0.59877605095474395</v>
      </c>
      <c r="AI34">
        <v>108.577933867962</v>
      </c>
      <c r="AJ34">
        <v>87.582447180340694</v>
      </c>
      <c r="AK34">
        <v>0.63225555494826502</v>
      </c>
      <c r="AL34">
        <v>85.814524105230504</v>
      </c>
      <c r="AM34">
        <v>94.6797903043757</v>
      </c>
      <c r="AN34">
        <v>0.999999971466775</v>
      </c>
    </row>
    <row r="35" spans="1:40" x14ac:dyDescent="0.3">
      <c r="A35" t="str">
        <f>"20200111150221675"</f>
        <v>20200111150221675</v>
      </c>
      <c r="B35" t="str">
        <f>"1578726141665194"</f>
        <v>1578726141665194</v>
      </c>
      <c r="C35" t="s">
        <v>40</v>
      </c>
      <c r="D35">
        <v>5.2450669999999997</v>
      </c>
      <c r="E35">
        <v>0.54880980000000001</v>
      </c>
      <c r="F35" t="s">
        <v>42</v>
      </c>
      <c r="G35">
        <v>-476.02730000000003</v>
      </c>
      <c r="H35">
        <v>0.90536589999999995</v>
      </c>
      <c r="I35">
        <v>367.49540000000002</v>
      </c>
      <c r="J35">
        <v>-476.6807</v>
      </c>
      <c r="K35">
        <v>1.104285</v>
      </c>
      <c r="L35">
        <v>367.52229999999997</v>
      </c>
      <c r="M35">
        <v>0.99992829999999999</v>
      </c>
      <c r="N35">
        <v>0</v>
      </c>
      <c r="O35">
        <v>1.520785E-3</v>
      </c>
      <c r="P35">
        <v>0.99476339999999996</v>
      </c>
      <c r="Q35">
        <v>6.0224720000000002E-2</v>
      </c>
      <c r="R35">
        <v>8.2576880000000005E-2</v>
      </c>
      <c r="S35">
        <v>3.0823360000000002</v>
      </c>
      <c r="T35">
        <v>-0.91838430000000004</v>
      </c>
      <c r="U35">
        <v>-0.12219240000000001</v>
      </c>
      <c r="V35">
        <v>-8.1062499999999996E-2</v>
      </c>
      <c r="W35">
        <v>7.2053699999999998E-2</v>
      </c>
      <c r="X35">
        <v>0.99410120000000002</v>
      </c>
      <c r="Y35">
        <v>3.9358079999999997E-2</v>
      </c>
      <c r="Z35">
        <v>-6.1799719999999997E-3</v>
      </c>
      <c r="AA35">
        <v>0.99920609999999999</v>
      </c>
      <c r="AB35">
        <v>1</v>
      </c>
      <c r="AC35">
        <v>0.653399999999976</v>
      </c>
      <c r="AD35">
        <v>-0.19891909999999999</v>
      </c>
      <c r="AE35">
        <v>-2.6899999999955002E-2</v>
      </c>
      <c r="AF35">
        <v>2.5531424077194401E-2</v>
      </c>
      <c r="AG35">
        <v>-0.19891909999999999</v>
      </c>
      <c r="AH35">
        <v>0.59802596104276895</v>
      </c>
      <c r="AI35">
        <v>108.382858426144</v>
      </c>
      <c r="AJ35">
        <v>87.555365240668905</v>
      </c>
      <c r="AK35">
        <v>0.63075804556212101</v>
      </c>
      <c r="AL35">
        <v>85.8680466083092</v>
      </c>
      <c r="AM35">
        <v>94.661784558788497</v>
      </c>
      <c r="AN35">
        <v>1.00000003021568</v>
      </c>
    </row>
    <row r="36" spans="1:40" x14ac:dyDescent="0.3">
      <c r="A36" t="str">
        <f>"20200111150221698"</f>
        <v>20200111150221698</v>
      </c>
      <c r="B36" t="str">
        <f>"1578726141695451"</f>
        <v>1578726141695451</v>
      </c>
      <c r="C36" t="s">
        <v>40</v>
      </c>
      <c r="D36">
        <v>5.2577259999999999</v>
      </c>
      <c r="E36">
        <v>0.54999330000000002</v>
      </c>
      <c r="F36" t="s">
        <v>42</v>
      </c>
      <c r="G36">
        <v>-476.01369999999997</v>
      </c>
      <c r="H36">
        <v>0.90162620000000004</v>
      </c>
      <c r="I36">
        <v>367.4939</v>
      </c>
      <c r="J36">
        <v>-476.66239999999999</v>
      </c>
      <c r="K36">
        <v>1.10398</v>
      </c>
      <c r="L36">
        <v>367.5224</v>
      </c>
      <c r="M36">
        <v>0.99994170000000004</v>
      </c>
      <c r="N36">
        <v>0</v>
      </c>
      <c r="O36">
        <v>1.5989960000000001E-3</v>
      </c>
      <c r="P36">
        <v>0.99481679999999995</v>
      </c>
      <c r="Q36">
        <v>6.1298419999999999E-2</v>
      </c>
      <c r="R36">
        <v>8.1130069999999999E-2</v>
      </c>
      <c r="S36">
        <v>3.0833740000000001</v>
      </c>
      <c r="T36">
        <v>-0.93683059999999996</v>
      </c>
      <c r="U36">
        <v>-0.13101199999999999</v>
      </c>
      <c r="V36">
        <v>-7.953963E-2</v>
      </c>
      <c r="W36">
        <v>7.1929099999999996E-2</v>
      </c>
      <c r="X36">
        <v>0.99423320000000004</v>
      </c>
      <c r="Y36">
        <v>4.2080890000000003E-2</v>
      </c>
      <c r="Z36">
        <v>-6.7239819999999999E-3</v>
      </c>
      <c r="AA36">
        <v>0.99909159999999997</v>
      </c>
      <c r="AB36">
        <v>1</v>
      </c>
      <c r="AC36">
        <v>0.64870000000001904</v>
      </c>
      <c r="AD36">
        <v>-0.2023538</v>
      </c>
      <c r="AE36">
        <v>-2.8500000000008099E-2</v>
      </c>
      <c r="AF36">
        <v>2.6922632793684599E-2</v>
      </c>
      <c r="AG36">
        <v>-0.2023538</v>
      </c>
      <c r="AH36">
        <v>0.59123439403513001</v>
      </c>
      <c r="AI36">
        <v>108.875670177144</v>
      </c>
      <c r="AJ36">
        <v>87.392762696838503</v>
      </c>
      <c r="AK36">
        <v>0.62548381051876201</v>
      </c>
      <c r="AL36">
        <v>85.875204118178402</v>
      </c>
      <c r="AM36">
        <v>94.573977032728806</v>
      </c>
      <c r="AN36">
        <v>1.0000000020747899</v>
      </c>
    </row>
    <row r="37" spans="1:40" x14ac:dyDescent="0.3">
      <c r="A37" t="str">
        <f>"20200111150221720"</f>
        <v>20200111150221720</v>
      </c>
      <c r="B37" t="str">
        <f>"1578726141715946"</f>
        <v>1578726141715946</v>
      </c>
      <c r="C37" t="s">
        <v>40</v>
      </c>
      <c r="D37">
        <v>5.2369890000000003</v>
      </c>
      <c r="E37">
        <v>0.54986459999999904</v>
      </c>
      <c r="F37" t="s">
        <v>42</v>
      </c>
      <c r="G37">
        <v>-475.99549999999999</v>
      </c>
      <c r="H37">
        <v>0.90303809999999995</v>
      </c>
      <c r="I37">
        <v>367.49079999999998</v>
      </c>
      <c r="J37">
        <v>-476.64159999999998</v>
      </c>
      <c r="K37">
        <v>1.103691</v>
      </c>
      <c r="L37">
        <v>367.52260000000001</v>
      </c>
      <c r="M37">
        <v>0.99995489999999998</v>
      </c>
      <c r="N37">
        <v>0</v>
      </c>
      <c r="O37">
        <v>1.7003669999999999E-3</v>
      </c>
      <c r="P37">
        <v>0.99484150000000005</v>
      </c>
      <c r="Q37">
        <v>6.2428129999999998E-2</v>
      </c>
      <c r="R37">
        <v>7.9959509999999998E-2</v>
      </c>
      <c r="S37">
        <v>3.0847169999999999</v>
      </c>
      <c r="T37">
        <v>-0.92973300000000003</v>
      </c>
      <c r="U37">
        <v>-0.14471439999999999</v>
      </c>
      <c r="V37">
        <v>-7.8270610000000004E-2</v>
      </c>
      <c r="W37">
        <v>7.1729349999999997E-2</v>
      </c>
      <c r="X37">
        <v>0.99434829999999996</v>
      </c>
      <c r="Y37">
        <v>4.64264E-2</v>
      </c>
      <c r="Z37">
        <v>-7.341991E-3</v>
      </c>
      <c r="AA37">
        <v>0.99889479999999997</v>
      </c>
      <c r="AB37">
        <v>2</v>
      </c>
      <c r="AC37">
        <v>0.64609999999998902</v>
      </c>
      <c r="AD37">
        <v>-0.2006529</v>
      </c>
      <c r="AE37">
        <v>-3.18000000000324E-2</v>
      </c>
      <c r="AF37">
        <v>3.0011105051923601E-2</v>
      </c>
      <c r="AG37">
        <v>-0.2006529</v>
      </c>
      <c r="AH37">
        <v>0.58934175780627196</v>
      </c>
      <c r="AI37">
        <v>108.779518572865</v>
      </c>
      <c r="AJ37">
        <v>87.084839786904993</v>
      </c>
      <c r="AK37">
        <v>0.62328641907154902</v>
      </c>
      <c r="AL37">
        <v>85.886678436050502</v>
      </c>
      <c r="AM37">
        <v>94.500784645671601</v>
      </c>
      <c r="AN37">
        <v>0.99999996487704101</v>
      </c>
    </row>
    <row r="38" spans="1:40" x14ac:dyDescent="0.3">
      <c r="A38" t="str">
        <f>"20200111150221742"</f>
        <v>20200111150221742</v>
      </c>
      <c r="B38" t="str">
        <f>"1578726141735467"</f>
        <v>1578726141735467</v>
      </c>
      <c r="C38" t="s">
        <v>40</v>
      </c>
      <c r="D38">
        <v>5.2448550000000003</v>
      </c>
      <c r="E38">
        <v>0.55028089999999996</v>
      </c>
      <c r="F38" t="s">
        <v>42</v>
      </c>
      <c r="G38">
        <v>-475.976</v>
      </c>
      <c r="H38">
        <v>0.90266860000000004</v>
      </c>
      <c r="I38">
        <v>367.4905</v>
      </c>
      <c r="J38">
        <v>-476.6191</v>
      </c>
      <c r="K38">
        <v>1.1034870000000001</v>
      </c>
      <c r="L38">
        <v>367.52269999999999</v>
      </c>
      <c r="M38">
        <v>0.99996529999999995</v>
      </c>
      <c r="N38">
        <v>0</v>
      </c>
      <c r="O38">
        <v>1.819558E-3</v>
      </c>
      <c r="P38">
        <v>0.99485429999999997</v>
      </c>
      <c r="Q38">
        <v>6.3655749999999997E-2</v>
      </c>
      <c r="R38">
        <v>7.8822909999999996E-2</v>
      </c>
      <c r="S38">
        <v>3.0859070000000002</v>
      </c>
      <c r="T38">
        <v>-0.93204960000000003</v>
      </c>
      <c r="U38">
        <v>-0.14785770000000001</v>
      </c>
      <c r="V38">
        <v>-7.7017680000000005E-2</v>
      </c>
      <c r="W38">
        <v>7.1761229999999995E-2</v>
      </c>
      <c r="X38">
        <v>0.99444390000000005</v>
      </c>
      <c r="Y38">
        <v>4.748161E-2</v>
      </c>
      <c r="Z38">
        <v>-7.5476079999999999E-3</v>
      </c>
      <c r="AA38">
        <v>0.99884360000000005</v>
      </c>
      <c r="AB38">
        <v>2</v>
      </c>
      <c r="AC38">
        <v>0.643100000000004</v>
      </c>
      <c r="AD38">
        <v>-0.20081840000000001</v>
      </c>
      <c r="AE38">
        <v>-3.2199999999988897E-2</v>
      </c>
      <c r="AF38">
        <v>3.0412072179238601E-2</v>
      </c>
      <c r="AG38">
        <v>-0.20081840000000001</v>
      </c>
      <c r="AH38">
        <v>0.58603852191581296</v>
      </c>
      <c r="AI38">
        <v>108.891485537349</v>
      </c>
      <c r="AJ38">
        <v>87.029339099230995</v>
      </c>
      <c r="AK38">
        <v>0.62023711037156304</v>
      </c>
      <c r="AL38">
        <v>85.884847410954393</v>
      </c>
      <c r="AM38">
        <v>94.428602472532503</v>
      </c>
      <c r="AN38">
        <v>1.00000003370545</v>
      </c>
    </row>
    <row r="39" spans="1:40" x14ac:dyDescent="0.3">
      <c r="A39" t="str">
        <f>"20200111150221764"</f>
        <v>20200111150221764</v>
      </c>
      <c r="B39" t="str">
        <f>"1578726141755963"</f>
        <v>1578726141755963</v>
      </c>
      <c r="C39" t="s">
        <v>40</v>
      </c>
      <c r="D39">
        <v>5.2815300000000001</v>
      </c>
      <c r="E39">
        <v>0.55085640000000002</v>
      </c>
      <c r="F39" t="s">
        <v>42</v>
      </c>
      <c r="G39">
        <v>-475.9547</v>
      </c>
      <c r="H39">
        <v>0.90215239999999997</v>
      </c>
      <c r="I39">
        <v>367.48930000000001</v>
      </c>
      <c r="J39">
        <v>-476.59309999999999</v>
      </c>
      <c r="K39">
        <v>1.1033329999999999</v>
      </c>
      <c r="L39">
        <v>367.52280000000002</v>
      </c>
      <c r="M39">
        <v>0.99997349999999996</v>
      </c>
      <c r="N39">
        <v>0</v>
      </c>
      <c r="O39">
        <v>1.9638440000000002E-3</v>
      </c>
      <c r="P39">
        <v>0.99485559999999995</v>
      </c>
      <c r="Q39">
        <v>6.4506530000000006E-2</v>
      </c>
      <c r="R39">
        <v>7.81115E-2</v>
      </c>
      <c r="S39">
        <v>3.087555</v>
      </c>
      <c r="T39">
        <v>-0.93575940000000002</v>
      </c>
      <c r="U39">
        <v>-0.15356449999999999</v>
      </c>
      <c r="V39">
        <v>-7.6164190000000007E-2</v>
      </c>
      <c r="W39">
        <v>7.1486789999999995E-2</v>
      </c>
      <c r="X39">
        <v>0.99452940000000001</v>
      </c>
      <c r="Y39">
        <v>4.9337699999999998E-2</v>
      </c>
      <c r="Z39">
        <v>-7.8898470000000002E-3</v>
      </c>
      <c r="AA39">
        <v>0.99875100000000006</v>
      </c>
      <c r="AB39">
        <v>2</v>
      </c>
      <c r="AC39">
        <v>0.63839999999998998</v>
      </c>
      <c r="AD39">
        <v>-0.20118059999999999</v>
      </c>
      <c r="AE39">
        <v>-3.3500000000003603E-2</v>
      </c>
      <c r="AF39">
        <v>3.1621976546342002E-2</v>
      </c>
      <c r="AG39">
        <v>-0.20118059999999999</v>
      </c>
      <c r="AH39">
        <v>0.58081181697676898</v>
      </c>
      <c r="AI39">
        <v>109.07876583079999</v>
      </c>
      <c r="AJ39">
        <v>86.883639869566395</v>
      </c>
      <c r="AK39">
        <v>0.61548025959969899</v>
      </c>
      <c r="AL39">
        <v>85.900612163088795</v>
      </c>
      <c r="AM39">
        <v>94.379342799636703</v>
      </c>
      <c r="AN39">
        <v>1.0000000362235999</v>
      </c>
    </row>
    <row r="40" spans="1:40" x14ac:dyDescent="0.3">
      <c r="A40" t="str">
        <f>"20200111150221787"</f>
        <v>20200111150221787</v>
      </c>
      <c r="B40" t="str">
        <f>"1578726141775483"</f>
        <v>1578726141775483</v>
      </c>
      <c r="C40" t="s">
        <v>40</v>
      </c>
      <c r="D40">
        <v>5.2553330000000003</v>
      </c>
      <c r="E40">
        <v>0.55114730000000001</v>
      </c>
      <c r="F40" t="s">
        <v>42</v>
      </c>
      <c r="G40">
        <v>-475.93049999999999</v>
      </c>
      <c r="H40">
        <v>0.90342029999999995</v>
      </c>
      <c r="I40">
        <v>367.48860000000002</v>
      </c>
      <c r="J40">
        <v>-476.5643</v>
      </c>
      <c r="K40">
        <v>1.103202</v>
      </c>
      <c r="L40">
        <v>367.52300000000002</v>
      </c>
      <c r="M40">
        <v>0.99998030000000004</v>
      </c>
      <c r="N40">
        <v>0</v>
      </c>
      <c r="O40">
        <v>2.1247639999999999E-3</v>
      </c>
      <c r="P40">
        <v>0.99475270000000005</v>
      </c>
      <c r="Q40">
        <v>6.5963359999999999E-2</v>
      </c>
      <c r="R40">
        <v>7.8200999999999896E-2</v>
      </c>
      <c r="S40">
        <v>3.0883180000000001</v>
      </c>
      <c r="T40">
        <v>-0.93170450000000005</v>
      </c>
      <c r="U40">
        <v>-0.1581726</v>
      </c>
      <c r="V40">
        <v>-7.6094519999999999E-2</v>
      </c>
      <c r="W40">
        <v>7.1826840000000003E-2</v>
      </c>
      <c r="X40">
        <v>0.99451020000000001</v>
      </c>
      <c r="Y40">
        <v>5.0916070000000001E-2</v>
      </c>
      <c r="Z40">
        <v>-8.1352030000000006E-3</v>
      </c>
      <c r="AA40">
        <v>0.99866980000000005</v>
      </c>
      <c r="AB40">
        <v>2</v>
      </c>
      <c r="AC40">
        <v>0.63380000000000702</v>
      </c>
      <c r="AD40">
        <v>-0.19978169999999901</v>
      </c>
      <c r="AE40">
        <v>-3.4400000000005003E-2</v>
      </c>
      <c r="AF40">
        <v>3.2524512173659897E-2</v>
      </c>
      <c r="AG40">
        <v>-0.19978169999999901</v>
      </c>
      <c r="AH40">
        <v>0.576603081257828</v>
      </c>
      <c r="AI40">
        <v>109.08206682993701</v>
      </c>
      <c r="AJ40">
        <v>86.771531959112593</v>
      </c>
      <c r="AK40">
        <v>0.61109875213671205</v>
      </c>
      <c r="AL40">
        <v>85.881078388387294</v>
      </c>
      <c r="AM40">
        <v>94.375436569551297</v>
      </c>
      <c r="AN40">
        <v>1.0000000044112201</v>
      </c>
    </row>
    <row r="41" spans="1:40" x14ac:dyDescent="0.3">
      <c r="A41" t="str">
        <f>"20200111150221807"</f>
        <v>20200111150221807</v>
      </c>
      <c r="B41" t="str">
        <f>"1578726141805740"</f>
        <v>1578726141805740</v>
      </c>
      <c r="C41" t="s">
        <v>40</v>
      </c>
      <c r="D41">
        <v>5.2919619999999998</v>
      </c>
      <c r="E41">
        <v>0.5517107</v>
      </c>
      <c r="F41" t="s">
        <v>42</v>
      </c>
      <c r="G41">
        <v>-475.90370000000001</v>
      </c>
      <c r="H41">
        <v>0.90390459999999995</v>
      </c>
      <c r="I41">
        <v>367.48860000000002</v>
      </c>
      <c r="J41">
        <v>-476.53699999999998</v>
      </c>
      <c r="K41">
        <v>1.1032999999999999</v>
      </c>
      <c r="L41">
        <v>367.52330000000001</v>
      </c>
      <c r="M41">
        <v>0.99998129999999996</v>
      </c>
      <c r="N41">
        <v>0</v>
      </c>
      <c r="O41">
        <v>2.2158109999999998E-3</v>
      </c>
      <c r="P41">
        <v>0.9947783</v>
      </c>
      <c r="Q41">
        <v>6.5846409999999994E-2</v>
      </c>
      <c r="R41">
        <v>7.7977690000000002E-2</v>
      </c>
      <c r="S41">
        <v>3.090179</v>
      </c>
      <c r="T41">
        <v>-0.93242349999999996</v>
      </c>
      <c r="U41">
        <v>-0.15972900000000001</v>
      </c>
      <c r="V41">
        <v>-7.5778429999999994E-2</v>
      </c>
      <c r="W41">
        <v>7.1524840000000006E-2</v>
      </c>
      <c r="X41">
        <v>0.99455610000000005</v>
      </c>
      <c r="Y41">
        <v>5.1449469999999997E-2</v>
      </c>
      <c r="Z41">
        <v>-8.2419520000000003E-3</v>
      </c>
      <c r="AA41">
        <v>0.99864160000000002</v>
      </c>
      <c r="AB41">
        <v>3</v>
      </c>
      <c r="AC41">
        <v>0.633299999999962</v>
      </c>
      <c r="AD41">
        <v>-0.199395399999999</v>
      </c>
      <c r="AE41">
        <v>-3.4699999999986603E-2</v>
      </c>
      <c r="AF41">
        <v>3.2855907281946997E-2</v>
      </c>
      <c r="AG41">
        <v>-0.199395399999999</v>
      </c>
      <c r="AH41">
        <v>0.57626644002255201</v>
      </c>
      <c r="AI41">
        <v>109.05754791735301</v>
      </c>
      <c r="AJ41">
        <v>86.736806409797794</v>
      </c>
      <c r="AK41">
        <v>0.61067261775909398</v>
      </c>
      <c r="AL41">
        <v>85.898426333915495</v>
      </c>
      <c r="AM41">
        <v>94.357131208122993</v>
      </c>
      <c r="AN41">
        <v>1.00000000461875</v>
      </c>
    </row>
    <row r="42" spans="1:40" x14ac:dyDescent="0.3">
      <c r="A42" t="str">
        <f>"20200111150221832"</f>
        <v>20200111150221832</v>
      </c>
      <c r="B42" t="str">
        <f>"1578726141825259"</f>
        <v>1578726141825259</v>
      </c>
      <c r="C42" t="s">
        <v>40</v>
      </c>
      <c r="D42">
        <v>5.2921120000000004</v>
      </c>
      <c r="E42">
        <v>0.5518788</v>
      </c>
      <c r="F42" t="s">
        <v>42</v>
      </c>
      <c r="G42">
        <v>-475.87830000000002</v>
      </c>
      <c r="H42">
        <v>0.90361570000000002</v>
      </c>
      <c r="I42">
        <v>367.488</v>
      </c>
      <c r="J42">
        <v>-476.50360000000001</v>
      </c>
      <c r="K42">
        <v>1.1032200000000001</v>
      </c>
      <c r="L42">
        <v>367.52350000000001</v>
      </c>
      <c r="M42">
        <v>0.99998529999999997</v>
      </c>
      <c r="N42">
        <v>0</v>
      </c>
      <c r="O42">
        <v>2.334409E-3</v>
      </c>
      <c r="P42">
        <v>0.99481359999999996</v>
      </c>
      <c r="Q42">
        <v>6.5807130000000005E-2</v>
      </c>
      <c r="R42">
        <v>7.7561000000000005E-2</v>
      </c>
      <c r="S42">
        <v>3.0906370000000001</v>
      </c>
      <c r="T42">
        <v>-0.93723690000000004</v>
      </c>
      <c r="U42">
        <v>-0.1641541</v>
      </c>
      <c r="V42">
        <v>-7.524277E-2</v>
      </c>
      <c r="W42">
        <v>7.0690580000000003E-2</v>
      </c>
      <c r="X42">
        <v>0.9946564</v>
      </c>
      <c r="Y42">
        <v>5.2892809999999998E-2</v>
      </c>
      <c r="Z42">
        <v>-8.5302580000000006E-3</v>
      </c>
      <c r="AA42">
        <v>0.9985638</v>
      </c>
      <c r="AB42">
        <v>3</v>
      </c>
      <c r="AC42">
        <v>0.62529999999998098</v>
      </c>
      <c r="AD42">
        <v>-0.19960430000000001</v>
      </c>
      <c r="AE42">
        <v>-3.5499999999956303E-2</v>
      </c>
      <c r="AF42">
        <v>3.3551773581536597E-2</v>
      </c>
      <c r="AG42">
        <v>-0.19960430000000001</v>
      </c>
      <c r="AH42">
        <v>0.56756759223271702</v>
      </c>
      <c r="AI42">
        <v>109.34468801039399</v>
      </c>
      <c r="AJ42">
        <v>86.616895627296003</v>
      </c>
      <c r="AK42">
        <v>0.60257826864383401</v>
      </c>
      <c r="AL42">
        <v>85.946347171030894</v>
      </c>
      <c r="AM42">
        <v>94.3260144058154</v>
      </c>
      <c r="AN42">
        <v>0.99999999329948397</v>
      </c>
    </row>
    <row r="43" spans="1:40" x14ac:dyDescent="0.3">
      <c r="A43" t="str">
        <f>"20200111150221853"</f>
        <v>20200111150221853</v>
      </c>
      <c r="B43" t="str">
        <f>"1578726141845755"</f>
        <v>1578726141845755</v>
      </c>
      <c r="C43" t="s">
        <v>40</v>
      </c>
      <c r="D43">
        <v>5.2966629999999997</v>
      </c>
      <c r="E43">
        <v>0.55214439999999998</v>
      </c>
      <c r="F43" t="s">
        <v>42</v>
      </c>
      <c r="G43">
        <v>-475.82069999999999</v>
      </c>
      <c r="H43">
        <v>0.89642849999999996</v>
      </c>
      <c r="I43">
        <v>367.48669999999998</v>
      </c>
      <c r="J43">
        <v>-476.46660000000003</v>
      </c>
      <c r="K43">
        <v>1.103067</v>
      </c>
      <c r="L43">
        <v>367.52370000000002</v>
      </c>
      <c r="M43">
        <v>0.99998940000000003</v>
      </c>
      <c r="N43">
        <v>0</v>
      </c>
      <c r="O43">
        <v>2.4868759999999998E-3</v>
      </c>
      <c r="P43">
        <v>0.99478390000000005</v>
      </c>
      <c r="Q43">
        <v>6.6164390000000003E-2</v>
      </c>
      <c r="R43">
        <v>7.7636060000000007E-2</v>
      </c>
      <c r="S43">
        <v>3.0904850000000001</v>
      </c>
      <c r="T43">
        <v>-0.93577929999999998</v>
      </c>
      <c r="U43">
        <v>-0.16610720000000001</v>
      </c>
      <c r="V43">
        <v>-7.5166209999999997E-2</v>
      </c>
      <c r="W43">
        <v>7.0010399999999903E-2</v>
      </c>
      <c r="X43">
        <v>0.99471030000000005</v>
      </c>
      <c r="Y43">
        <v>5.364389E-2</v>
      </c>
      <c r="Z43">
        <v>-8.6740940000000002E-3</v>
      </c>
      <c r="AA43">
        <v>0.99852249999999998</v>
      </c>
      <c r="AB43">
        <v>3</v>
      </c>
      <c r="AC43">
        <v>0.64590000000004</v>
      </c>
      <c r="AD43">
        <v>-0.2066385</v>
      </c>
      <c r="AE43">
        <v>-3.7000000000034498E-2</v>
      </c>
      <c r="AF43">
        <v>3.5032308189546398E-2</v>
      </c>
      <c r="AG43">
        <v>-0.2066385</v>
      </c>
      <c r="AH43">
        <v>0.58602223136283804</v>
      </c>
      <c r="AI43">
        <v>109.391236574015</v>
      </c>
      <c r="AJ43">
        <v>86.578939478874602</v>
      </c>
      <c r="AK43">
        <v>0.62237351160763299</v>
      </c>
      <c r="AL43">
        <v>85.985415432614005</v>
      </c>
      <c r="AM43">
        <v>94.321396055377903</v>
      </c>
      <c r="AN43">
        <v>0.99999999808000695</v>
      </c>
    </row>
    <row r="44" spans="1:40" x14ac:dyDescent="0.3">
      <c r="A44" t="str">
        <f>"20200111150221876"</f>
        <v>20200111150221876</v>
      </c>
      <c r="B44" t="str">
        <f>"1578726141865274"</f>
        <v>1578726141865274</v>
      </c>
      <c r="C44" t="s">
        <v>40</v>
      </c>
      <c r="D44">
        <v>5.269876</v>
      </c>
      <c r="E44">
        <v>0.55222590000000005</v>
      </c>
      <c r="F44" t="s">
        <v>42</v>
      </c>
      <c r="G44">
        <v>-475.78609999999998</v>
      </c>
      <c r="H44">
        <v>0.89758850000000001</v>
      </c>
      <c r="I44">
        <v>367.48649999999998</v>
      </c>
      <c r="J44">
        <v>-476.42759999999998</v>
      </c>
      <c r="K44">
        <v>1.1029599999999999</v>
      </c>
      <c r="L44">
        <v>367.524</v>
      </c>
      <c r="M44">
        <v>0.9999922</v>
      </c>
      <c r="N44">
        <v>0</v>
      </c>
      <c r="O44">
        <v>2.6589729999999998E-3</v>
      </c>
      <c r="P44">
        <v>0.9947279</v>
      </c>
      <c r="Q44">
        <v>6.6299810000000001E-2</v>
      </c>
      <c r="R44">
        <v>7.8238409999999994E-2</v>
      </c>
      <c r="S44">
        <v>3.0909420000000001</v>
      </c>
      <c r="T44">
        <v>-0.93345199999999995</v>
      </c>
      <c r="U44">
        <v>-0.16815189999999999</v>
      </c>
      <c r="V44">
        <v>-7.5597529999999996E-2</v>
      </c>
      <c r="W44">
        <v>6.9261199999999995E-2</v>
      </c>
      <c r="X44">
        <v>0.99473009999999995</v>
      </c>
      <c r="Y44">
        <v>5.4436489999999997E-2</v>
      </c>
      <c r="Z44">
        <v>-8.8198640000000002E-3</v>
      </c>
      <c r="AA44">
        <v>0.99847830000000004</v>
      </c>
      <c r="AB44">
        <v>4</v>
      </c>
      <c r="AC44">
        <v>0.64150000000000695</v>
      </c>
      <c r="AD44">
        <v>-0.20537150000000001</v>
      </c>
      <c r="AE44">
        <v>-3.7500000000022703E-2</v>
      </c>
      <c r="AF44">
        <v>3.5572182529651199E-2</v>
      </c>
      <c r="AG44">
        <v>-0.20537150000000001</v>
      </c>
      <c r="AH44">
        <v>0.58195574168960795</v>
      </c>
      <c r="AI44">
        <v>109.40437417835</v>
      </c>
      <c r="AJ44">
        <v>86.502133929184296</v>
      </c>
      <c r="AK44">
        <v>0.61815476902445299</v>
      </c>
      <c r="AL44">
        <v>86.028446040238705</v>
      </c>
      <c r="AM44">
        <v>94.346012245693601</v>
      </c>
      <c r="AN44">
        <v>1.00000003610677</v>
      </c>
    </row>
    <row r="45" spans="1:40" x14ac:dyDescent="0.3">
      <c r="A45" t="str">
        <f>"20200111150221898"</f>
        <v>20200111150221898</v>
      </c>
      <c r="B45" t="str">
        <f>"1578726141895532"</f>
        <v>1578726141895532</v>
      </c>
      <c r="C45" t="s">
        <v>40</v>
      </c>
      <c r="D45">
        <v>5.2781940000000001</v>
      </c>
      <c r="E45">
        <v>0.55221129999999996</v>
      </c>
      <c r="F45" t="s">
        <v>42</v>
      </c>
      <c r="G45">
        <v>-475.74919999999997</v>
      </c>
      <c r="H45">
        <v>0.89917950000000002</v>
      </c>
      <c r="I45">
        <v>367.48719999999997</v>
      </c>
      <c r="J45">
        <v>-476.38760000000002</v>
      </c>
      <c r="K45">
        <v>1.1028990000000001</v>
      </c>
      <c r="L45">
        <v>367.52429999999998</v>
      </c>
      <c r="M45">
        <v>0.99999340000000003</v>
      </c>
      <c r="N45">
        <v>0</v>
      </c>
      <c r="O45">
        <v>2.8413869999999999E-3</v>
      </c>
      <c r="P45">
        <v>0.99476379999999998</v>
      </c>
      <c r="Q45">
        <v>6.5081070000000005E-2</v>
      </c>
      <c r="R45">
        <v>7.8801709999999997E-2</v>
      </c>
      <c r="S45">
        <v>3.0909420000000001</v>
      </c>
      <c r="T45">
        <v>-0.92855500000000002</v>
      </c>
      <c r="U45">
        <v>-0.16726679999999999</v>
      </c>
      <c r="V45">
        <v>-7.597988E-2</v>
      </c>
      <c r="W45">
        <v>6.734118E-2</v>
      </c>
      <c r="X45">
        <v>0.99483279999999996</v>
      </c>
      <c r="Y45">
        <v>5.435508E-2</v>
      </c>
      <c r="Z45">
        <v>-8.8172389999999993E-3</v>
      </c>
      <c r="AA45">
        <v>0.9984828</v>
      </c>
      <c r="AB45">
        <v>4</v>
      </c>
      <c r="AC45">
        <v>0.63840000000004604</v>
      </c>
      <c r="AD45">
        <v>-0.2037195</v>
      </c>
      <c r="AE45">
        <v>-3.7100000000009403E-2</v>
      </c>
      <c r="AF45">
        <v>3.5328385025674203E-2</v>
      </c>
      <c r="AG45">
        <v>-0.2037195</v>
      </c>
      <c r="AH45">
        <v>0.57948151828924499</v>
      </c>
      <c r="AI45">
        <v>109.33613891909501</v>
      </c>
      <c r="AJ45">
        <v>86.511251749745497</v>
      </c>
      <c r="AK45">
        <v>0.61526300027515102</v>
      </c>
      <c r="AL45">
        <v>86.138712604915696</v>
      </c>
      <c r="AM45">
        <v>94.3674590717239</v>
      </c>
      <c r="AN45">
        <v>1.0000000383222201</v>
      </c>
    </row>
    <row r="46" spans="1:40" x14ac:dyDescent="0.3">
      <c r="A46" t="str">
        <f>"20200111150221920"</f>
        <v>20200111150221920</v>
      </c>
      <c r="B46" t="str">
        <f>"1578726141915051"</f>
        <v>1578726141915051</v>
      </c>
      <c r="C46" t="s">
        <v>40</v>
      </c>
      <c r="D46">
        <v>5.3083960000000001</v>
      </c>
      <c r="E46">
        <v>0.55216769999999904</v>
      </c>
      <c r="F46" t="s">
        <v>42</v>
      </c>
      <c r="G46">
        <v>-475.71039999999999</v>
      </c>
      <c r="H46">
        <v>0.90039599999999897</v>
      </c>
      <c r="I46">
        <v>367.48790000000002</v>
      </c>
      <c r="J46">
        <v>-476.34309999999999</v>
      </c>
      <c r="K46">
        <v>1.1028480000000001</v>
      </c>
      <c r="L46">
        <v>367.5247</v>
      </c>
      <c r="M46">
        <v>0.99999400000000005</v>
      </c>
      <c r="N46">
        <v>0</v>
      </c>
      <c r="O46">
        <v>3.044667E-3</v>
      </c>
      <c r="P46">
        <v>0.99484079999999997</v>
      </c>
      <c r="Q46">
        <v>6.4002299999999998E-2</v>
      </c>
      <c r="R46">
        <v>7.8711760000000006E-2</v>
      </c>
      <c r="S46">
        <v>3.0892940000000002</v>
      </c>
      <c r="T46">
        <v>-0.92396080000000003</v>
      </c>
      <c r="U46">
        <v>-0.16476440000000001</v>
      </c>
      <c r="V46">
        <v>-7.5688320000000003E-2</v>
      </c>
      <c r="W46">
        <v>6.5614080000000005E-2</v>
      </c>
      <c r="X46">
        <v>0.99497040000000003</v>
      </c>
      <c r="Y46">
        <v>5.3816509999999998E-2</v>
      </c>
      <c r="Z46">
        <v>-8.7607940000000006E-3</v>
      </c>
      <c r="AA46">
        <v>0.99851239999999997</v>
      </c>
      <c r="AB46">
        <v>4</v>
      </c>
      <c r="AC46">
        <v>0.63269999999999904</v>
      </c>
      <c r="AD46">
        <v>-0.20245199999999999</v>
      </c>
      <c r="AE46">
        <v>-3.6799999999971002E-2</v>
      </c>
      <c r="AF46">
        <v>3.5140375699861899E-2</v>
      </c>
      <c r="AG46">
        <v>-0.20245199999999999</v>
      </c>
      <c r="AH46">
        <v>0.57401137939007196</v>
      </c>
      <c r="AI46">
        <v>109.39399453303101</v>
      </c>
      <c r="AJ46">
        <v>86.496784401337806</v>
      </c>
      <c r="AK46">
        <v>0.60968083615742796</v>
      </c>
      <c r="AL46">
        <v>86.237887442623304</v>
      </c>
      <c r="AM46">
        <v>94.350164774776204</v>
      </c>
      <c r="AN46">
        <v>1.00000001307741</v>
      </c>
    </row>
    <row r="47" spans="1:40" x14ac:dyDescent="0.3">
      <c r="A47" t="str">
        <f>"20200111150221943"</f>
        <v>20200111150221943</v>
      </c>
      <c r="B47" t="str">
        <f>"1578726141935547"</f>
        <v>1578726141935547</v>
      </c>
      <c r="C47" t="s">
        <v>40</v>
      </c>
      <c r="D47">
        <v>5.2914870000000001</v>
      </c>
      <c r="E47">
        <v>0.55203619999999898</v>
      </c>
      <c r="F47" t="s">
        <v>42</v>
      </c>
      <c r="G47">
        <v>-475.6694</v>
      </c>
      <c r="H47">
        <v>0.90130690000000002</v>
      </c>
      <c r="I47">
        <v>367.48869999999999</v>
      </c>
      <c r="J47">
        <v>-476.29509999999999</v>
      </c>
      <c r="K47">
        <v>1.1028039999999999</v>
      </c>
      <c r="L47">
        <v>367.52499999999998</v>
      </c>
      <c r="M47">
        <v>0.99999420000000006</v>
      </c>
      <c r="N47">
        <v>0</v>
      </c>
      <c r="O47">
        <v>3.2669130000000002E-3</v>
      </c>
      <c r="P47">
        <v>0.99478949999999999</v>
      </c>
      <c r="Q47">
        <v>6.4356369999999996E-2</v>
      </c>
      <c r="R47">
        <v>7.9070520000000005E-2</v>
      </c>
      <c r="S47">
        <v>3.087952</v>
      </c>
      <c r="T47">
        <v>-0.92380320000000005</v>
      </c>
      <c r="U47">
        <v>-0.16400149999999999</v>
      </c>
      <c r="V47">
        <v>-7.5826850000000001E-2</v>
      </c>
      <c r="W47">
        <v>6.5330979999999997E-2</v>
      </c>
      <c r="X47">
        <v>0.99497849999999999</v>
      </c>
      <c r="Y47">
        <v>5.3804980000000002E-2</v>
      </c>
      <c r="Z47">
        <v>-8.8263960000000002E-3</v>
      </c>
      <c r="AA47">
        <v>0.99851239999999997</v>
      </c>
      <c r="AB47">
        <v>4</v>
      </c>
      <c r="AC47">
        <v>0.62569999999999404</v>
      </c>
      <c r="AD47">
        <v>-0.20149710000000001</v>
      </c>
      <c r="AE47">
        <v>-3.6299999999982901E-2</v>
      </c>
      <c r="AF47">
        <v>3.4752001425899598E-2</v>
      </c>
      <c r="AG47">
        <v>-0.20149710000000001</v>
      </c>
      <c r="AH47">
        <v>0.56697627826019104</v>
      </c>
      <c r="AI47">
        <v>109.53077850633299</v>
      </c>
      <c r="AJ47">
        <v>86.492525025191796</v>
      </c>
      <c r="AK47">
        <v>0.602719572455792</v>
      </c>
      <c r="AL47">
        <v>86.254142825714396</v>
      </c>
      <c r="AM47">
        <v>94.358060758784504</v>
      </c>
      <c r="AN47">
        <v>1.00000003179546</v>
      </c>
    </row>
    <row r="48" spans="1:40" x14ac:dyDescent="0.3">
      <c r="A48" t="str">
        <f>"20200111150221965"</f>
        <v>20200111150221965</v>
      </c>
      <c r="B48" t="str">
        <f>"1578726141955073"</f>
        <v>1578726141955073</v>
      </c>
      <c r="C48" t="s">
        <v>40</v>
      </c>
      <c r="D48">
        <v>5.3387570000000002</v>
      </c>
      <c r="E48">
        <v>0.54569449999999997</v>
      </c>
      <c r="F48" t="s">
        <v>42</v>
      </c>
      <c r="G48">
        <v>-475.62540000000001</v>
      </c>
      <c r="H48">
        <v>0.90365459999999997</v>
      </c>
      <c r="I48">
        <v>367.4896</v>
      </c>
      <c r="J48">
        <v>-476.24529999999999</v>
      </c>
      <c r="K48">
        <v>1.1027659999999999</v>
      </c>
      <c r="L48">
        <v>367.52539999999999</v>
      </c>
      <c r="M48">
        <v>0.99999389999999999</v>
      </c>
      <c r="N48">
        <v>0</v>
      </c>
      <c r="O48">
        <v>3.5002050000000002E-3</v>
      </c>
      <c r="P48">
        <v>0.9947433</v>
      </c>
      <c r="Q48">
        <v>6.5313410000000002E-2</v>
      </c>
      <c r="R48">
        <v>7.8867770000000004E-2</v>
      </c>
      <c r="S48">
        <v>3.0880740000000002</v>
      </c>
      <c r="T48">
        <v>-0.91841079999999997</v>
      </c>
      <c r="U48">
        <v>-0.16235350000000001</v>
      </c>
      <c r="V48">
        <v>-7.5393329999999995E-2</v>
      </c>
      <c r="W48">
        <v>6.5689750000000005E-2</v>
      </c>
      <c r="X48">
        <v>0.99498779999999998</v>
      </c>
      <c r="Y48">
        <v>5.353455E-2</v>
      </c>
      <c r="Z48">
        <v>-8.8053339999999997E-3</v>
      </c>
      <c r="AA48">
        <v>0.99852719999999995</v>
      </c>
      <c r="AB48">
        <v>5</v>
      </c>
      <c r="AC48">
        <v>0.61989999999997203</v>
      </c>
      <c r="AD48">
        <v>-0.19911139999999899</v>
      </c>
      <c r="AE48">
        <v>-3.5799999999994697E-2</v>
      </c>
      <c r="AF48">
        <v>3.4429327780801301E-2</v>
      </c>
      <c r="AG48">
        <v>-0.19911139999999899</v>
      </c>
      <c r="AH48">
        <v>0.56198429963417695</v>
      </c>
      <c r="AI48">
        <v>109.475510276848</v>
      </c>
      <c r="AJ48">
        <v>86.494221004937202</v>
      </c>
      <c r="AK48">
        <v>0.59720773710386099</v>
      </c>
      <c r="AL48">
        <v>86.233542484857793</v>
      </c>
      <c r="AM48">
        <v>94.333199521189798</v>
      </c>
      <c r="AN48">
        <v>1.0000000098061901</v>
      </c>
    </row>
    <row r="49" spans="1:40" x14ac:dyDescent="0.3">
      <c r="A49" t="str">
        <f>"20200111150221986"</f>
        <v>20200111150221986</v>
      </c>
      <c r="B49" t="str">
        <f>"1578726141975566"</f>
        <v>1578726141975566</v>
      </c>
      <c r="C49" t="s">
        <v>40</v>
      </c>
      <c r="D49">
        <v>5.4732649999999996</v>
      </c>
      <c r="E49">
        <v>0.54383619999999899</v>
      </c>
      <c r="F49" t="s">
        <v>42</v>
      </c>
      <c r="G49">
        <v>-475.52710000000002</v>
      </c>
      <c r="H49">
        <v>1.0184709999999999</v>
      </c>
      <c r="I49">
        <v>367.49700000000001</v>
      </c>
      <c r="J49">
        <v>-476.19499999999999</v>
      </c>
      <c r="K49">
        <v>1.1027309999999999</v>
      </c>
      <c r="L49">
        <v>367.5258</v>
      </c>
      <c r="M49">
        <v>0.99999300000000002</v>
      </c>
      <c r="N49">
        <v>0</v>
      </c>
      <c r="O49">
        <v>3.7371349999999999E-3</v>
      </c>
      <c r="P49">
        <v>0.99470579999999997</v>
      </c>
      <c r="Q49">
        <v>6.6347110000000001E-2</v>
      </c>
      <c r="R49">
        <v>7.847751E-2</v>
      </c>
      <c r="S49">
        <v>3.048889</v>
      </c>
      <c r="T49">
        <v>-0.35796460000000002</v>
      </c>
      <c r="U49">
        <v>-0.1200256</v>
      </c>
      <c r="V49">
        <v>-7.4767810000000004E-2</v>
      </c>
      <c r="W49">
        <v>6.6204089999999993E-2</v>
      </c>
      <c r="X49">
        <v>0.99500089999999997</v>
      </c>
      <c r="Y49">
        <v>4.2751659999999997E-2</v>
      </c>
      <c r="Z49">
        <v>-2.9372579999999999E-3</v>
      </c>
      <c r="AA49">
        <v>0.99908140000000001</v>
      </c>
      <c r="AB49">
        <v>5</v>
      </c>
      <c r="AC49">
        <v>0.66789999999997396</v>
      </c>
      <c r="AD49">
        <v>-8.4260000000000002E-2</v>
      </c>
      <c r="AE49">
        <v>-2.88000000000465E-2</v>
      </c>
      <c r="AF49">
        <v>3.0806441718869801E-2</v>
      </c>
      <c r="AG49">
        <v>-8.4260000000000002E-2</v>
      </c>
      <c r="AH49">
        <v>0.65734515248536196</v>
      </c>
      <c r="AI49">
        <v>97.296549610733706</v>
      </c>
      <c r="AJ49">
        <v>87.316799921456294</v>
      </c>
      <c r="AK49">
        <v>0.66343909588400196</v>
      </c>
      <c r="AL49">
        <v>86.204008641224405</v>
      </c>
      <c r="AM49">
        <v>94.297326898070196</v>
      </c>
      <c r="AN49">
        <v>0.99999999897286695</v>
      </c>
    </row>
    <row r="50" spans="1:40" x14ac:dyDescent="0.3">
      <c r="A50" t="str">
        <f>"20200111150222009"</f>
        <v>20200111150222009</v>
      </c>
      <c r="B50" t="str">
        <f>"1578726142005822"</f>
        <v>1578726142005822</v>
      </c>
      <c r="C50" t="s">
        <v>40</v>
      </c>
      <c r="D50">
        <v>5.2734019999999999</v>
      </c>
      <c r="E50">
        <v>0.55006239999999995</v>
      </c>
      <c r="F50" t="s">
        <v>42</v>
      </c>
      <c r="G50">
        <v>-475.47820000000002</v>
      </c>
      <c r="H50">
        <v>1.020972</v>
      </c>
      <c r="I50">
        <v>367.50069999999999</v>
      </c>
      <c r="J50">
        <v>-476.13729999999998</v>
      </c>
      <c r="K50">
        <v>1.102697</v>
      </c>
      <c r="L50">
        <v>367.52640000000002</v>
      </c>
      <c r="M50">
        <v>0.99999190000000004</v>
      </c>
      <c r="N50">
        <v>0</v>
      </c>
      <c r="O50">
        <v>4.0083840000000003E-3</v>
      </c>
      <c r="P50">
        <v>0.9946855</v>
      </c>
      <c r="Q50">
        <v>6.6159289999999996E-2</v>
      </c>
      <c r="R50">
        <v>7.8891279999999994E-2</v>
      </c>
      <c r="S50">
        <v>3.0476070000000002</v>
      </c>
      <c r="T50">
        <v>-0.34778769999999998</v>
      </c>
      <c r="U50">
        <v>-0.1062012</v>
      </c>
      <c r="V50">
        <v>-7.4913049999999995E-2</v>
      </c>
      <c r="W50">
        <v>6.5523689999999996E-2</v>
      </c>
      <c r="X50">
        <v>0.995035</v>
      </c>
      <c r="Y50">
        <v>3.8555989999999998E-2</v>
      </c>
      <c r="Z50">
        <v>-2.6480169999999999E-3</v>
      </c>
      <c r="AA50">
        <v>0.9992529</v>
      </c>
      <c r="AB50">
        <v>5</v>
      </c>
      <c r="AC50">
        <v>0.65909999999996605</v>
      </c>
      <c r="AD50">
        <v>-8.1725000000000006E-2</v>
      </c>
      <c r="AE50">
        <v>-2.5700000000028901E-2</v>
      </c>
      <c r="AF50">
        <v>2.7913213258044699E-2</v>
      </c>
      <c r="AG50">
        <v>-8.1725000000000006E-2</v>
      </c>
      <c r="AH50">
        <v>0.64902821077852801</v>
      </c>
      <c r="AI50">
        <v>97.170297503103995</v>
      </c>
      <c r="AJ50">
        <v>87.537357671370799</v>
      </c>
      <c r="AK50">
        <v>0.65474860938055102</v>
      </c>
      <c r="AL50">
        <v>86.243077471810594</v>
      </c>
      <c r="AM50">
        <v>94.305496296460902</v>
      </c>
      <c r="AN50">
        <v>0.99999998511825905</v>
      </c>
    </row>
    <row r="51" spans="1:40" x14ac:dyDescent="0.3">
      <c r="A51" t="str">
        <f>"20200111150222032"</f>
        <v>20200111150222032</v>
      </c>
      <c r="B51" t="str">
        <f>"1578726142025343"</f>
        <v>1578726142025343</v>
      </c>
      <c r="C51" t="s">
        <v>40</v>
      </c>
      <c r="D51">
        <v>5.3080069999999999</v>
      </c>
      <c r="E51">
        <v>0.54990260000000002</v>
      </c>
      <c r="F51" t="s">
        <v>42</v>
      </c>
      <c r="G51">
        <v>-475.42610000000002</v>
      </c>
      <c r="H51">
        <v>0.91207249999999995</v>
      </c>
      <c r="I51">
        <v>367.49189999999999</v>
      </c>
      <c r="J51">
        <v>-476.07749999999999</v>
      </c>
      <c r="K51">
        <v>1.1026670000000001</v>
      </c>
      <c r="L51">
        <v>367.52690000000001</v>
      </c>
      <c r="M51">
        <v>0.9999903</v>
      </c>
      <c r="N51">
        <v>0</v>
      </c>
      <c r="O51">
        <v>4.2873049999999999E-3</v>
      </c>
      <c r="P51">
        <v>0.99462919999999999</v>
      </c>
      <c r="Q51">
        <v>6.5796019999999997E-2</v>
      </c>
      <c r="R51">
        <v>7.9897750000000003E-2</v>
      </c>
      <c r="S51">
        <v>3.0827640000000001</v>
      </c>
      <c r="T51">
        <v>-0.82632839999999996</v>
      </c>
      <c r="U51">
        <v>-0.14846799999999999</v>
      </c>
      <c r="V51">
        <v>-7.5642319999999999E-2</v>
      </c>
      <c r="W51">
        <v>6.4748570000000005E-2</v>
      </c>
      <c r="X51">
        <v>0.99503059999999999</v>
      </c>
      <c r="Y51">
        <v>5.0458509999999998E-2</v>
      </c>
      <c r="Z51">
        <v>-7.7703769999999898E-3</v>
      </c>
      <c r="AA51">
        <v>0.99869589999999997</v>
      </c>
      <c r="AB51">
        <v>6</v>
      </c>
      <c r="AC51">
        <v>0.65139999999996601</v>
      </c>
      <c r="AD51">
        <v>-0.1905945</v>
      </c>
      <c r="AE51">
        <v>-3.5000000000024997E-2</v>
      </c>
      <c r="AF51">
        <v>3.4820060960202397E-2</v>
      </c>
      <c r="AG51">
        <v>-0.1905945</v>
      </c>
      <c r="AH51">
        <v>0.60002371275462096</v>
      </c>
      <c r="AI51">
        <v>107.594416940522</v>
      </c>
      <c r="AJ51">
        <v>86.678785360263703</v>
      </c>
      <c r="AK51">
        <v>0.63052926652405505</v>
      </c>
      <c r="AL51">
        <v>86.287583207260397</v>
      </c>
      <c r="AM51">
        <v>94.347269057136302</v>
      </c>
      <c r="AN51">
        <v>1.00000001641419</v>
      </c>
    </row>
    <row r="52" spans="1:40" x14ac:dyDescent="0.3">
      <c r="A52" t="str">
        <f>"20200111150222055"</f>
        <v>20200111150222055</v>
      </c>
      <c r="B52" t="str">
        <f>"1578726142045841"</f>
        <v>1578726142045841</v>
      </c>
      <c r="C52" t="s">
        <v>40</v>
      </c>
      <c r="D52">
        <v>5.3271569999999997</v>
      </c>
      <c r="E52">
        <v>0.54945350000000004</v>
      </c>
      <c r="F52" t="s">
        <v>42</v>
      </c>
      <c r="G52">
        <v>-475.37119999999999</v>
      </c>
      <c r="H52">
        <v>0.91217969999999904</v>
      </c>
      <c r="I52">
        <v>367.4939</v>
      </c>
      <c r="J52">
        <v>-476.01369999999997</v>
      </c>
      <c r="K52">
        <v>1.102643</v>
      </c>
      <c r="L52">
        <v>367.5274</v>
      </c>
      <c r="M52">
        <v>0.99998849999999995</v>
      </c>
      <c r="N52">
        <v>0</v>
      </c>
      <c r="O52">
        <v>4.5805910000000002E-3</v>
      </c>
      <c r="P52">
        <v>0.99459799999999998</v>
      </c>
      <c r="Q52">
        <v>6.6227220000000003E-2</v>
      </c>
      <c r="R52">
        <v>7.9932000000000003E-2</v>
      </c>
      <c r="S52">
        <v>3.0828250000000001</v>
      </c>
      <c r="T52">
        <v>-0.83146790000000004</v>
      </c>
      <c r="U52">
        <v>-0.1444397</v>
      </c>
      <c r="V52">
        <v>-7.5385350000000004E-2</v>
      </c>
      <c r="W52">
        <v>6.4805189999999999E-2</v>
      </c>
      <c r="X52">
        <v>0.9950464</v>
      </c>
      <c r="Y52">
        <v>4.9450139999999997E-2</v>
      </c>
      <c r="Z52">
        <v>-7.7612749999999998E-3</v>
      </c>
      <c r="AA52">
        <v>0.99874649999999998</v>
      </c>
      <c r="AB52">
        <v>6</v>
      </c>
      <c r="AC52">
        <v>0.64249999999998397</v>
      </c>
      <c r="AD52">
        <v>-0.1904633</v>
      </c>
      <c r="AE52">
        <v>-3.3500000000003603E-2</v>
      </c>
      <c r="AF52">
        <v>3.3506229679984699E-2</v>
      </c>
      <c r="AG52">
        <v>-0.1904633</v>
      </c>
      <c r="AH52">
        <v>0.590581824961524</v>
      </c>
      <c r="AI52">
        <v>107.84769366835501</v>
      </c>
      <c r="AJ52">
        <v>86.752846650981695</v>
      </c>
      <c r="AK52">
        <v>0.62143851509955705</v>
      </c>
      <c r="AL52">
        <v>86.2843322348876</v>
      </c>
      <c r="AM52">
        <v>94.332488429564705</v>
      </c>
      <c r="AN52">
        <v>1.00000000089925</v>
      </c>
    </row>
    <row r="53" spans="1:40" x14ac:dyDescent="0.3">
      <c r="A53" t="str">
        <f>"20200111150222077"</f>
        <v>20200111150222077</v>
      </c>
      <c r="B53" t="str">
        <f>"1578726142065358"</f>
        <v>1578726142065358</v>
      </c>
      <c r="C53" t="s">
        <v>40</v>
      </c>
      <c r="D53">
        <v>5.3460400000000003</v>
      </c>
      <c r="E53">
        <v>0.5471376</v>
      </c>
      <c r="F53" t="s">
        <v>42</v>
      </c>
      <c r="G53">
        <v>-475.31360000000001</v>
      </c>
      <c r="H53">
        <v>0.91320199999999996</v>
      </c>
      <c r="I53">
        <v>367.49549999999999</v>
      </c>
      <c r="J53">
        <v>-475.95179999999999</v>
      </c>
      <c r="K53">
        <v>1.1026229999999999</v>
      </c>
      <c r="L53">
        <v>367.52800000000002</v>
      </c>
      <c r="M53">
        <v>0.99998670000000001</v>
      </c>
      <c r="N53">
        <v>0</v>
      </c>
      <c r="O53">
        <v>4.8611660000000001E-3</v>
      </c>
      <c r="P53">
        <v>0.994641</v>
      </c>
      <c r="Q53">
        <v>6.6984409999999994E-2</v>
      </c>
      <c r="R53">
        <v>7.8754790000000005E-2</v>
      </c>
      <c r="S53">
        <v>3.0829770000000001</v>
      </c>
      <c r="T53">
        <v>-0.83446520000000002</v>
      </c>
      <c r="U53">
        <v>-0.1389465</v>
      </c>
      <c r="V53">
        <v>-7.3929350000000005E-2</v>
      </c>
      <c r="W53">
        <v>6.5245810000000001E-2</v>
      </c>
      <c r="X53">
        <v>0.99512679999999998</v>
      </c>
      <c r="Y53">
        <v>4.798119E-2</v>
      </c>
      <c r="Z53">
        <v>-7.6675900000000002E-3</v>
      </c>
      <c r="AA53">
        <v>0.99881880000000001</v>
      </c>
      <c r="AB53">
        <v>6</v>
      </c>
      <c r="AC53">
        <v>0.638199999999983</v>
      </c>
      <c r="AD53">
        <v>-0.18942099999999901</v>
      </c>
      <c r="AE53">
        <v>-3.2500000000027202E-2</v>
      </c>
      <c r="AF53">
        <v>3.27264907950316E-2</v>
      </c>
      <c r="AG53">
        <v>-0.18942099999999901</v>
      </c>
      <c r="AH53">
        <v>0.58650130412398305</v>
      </c>
      <c r="AI53">
        <v>107.872752831759</v>
      </c>
      <c r="AJ53">
        <v>86.806234989578599</v>
      </c>
      <c r="AK53">
        <v>0.61719941524590805</v>
      </c>
      <c r="AL53">
        <v>86.259032858055605</v>
      </c>
      <c r="AM53">
        <v>94.248777755872993</v>
      </c>
      <c r="AN53">
        <v>0.99999995629610805</v>
      </c>
    </row>
    <row r="54" spans="1:40" x14ac:dyDescent="0.3">
      <c r="A54" t="str">
        <f>"20200111150222098"</f>
        <v>20200111150222098</v>
      </c>
      <c r="B54" t="str">
        <f>"1578726142095614"</f>
        <v>1578726142095614</v>
      </c>
      <c r="C54" t="s">
        <v>40</v>
      </c>
      <c r="D54">
        <v>5.4204569999999999</v>
      </c>
      <c r="E54">
        <v>0.54185319999999904</v>
      </c>
      <c r="F54" t="s">
        <v>42</v>
      </c>
      <c r="G54">
        <v>-475.20870000000002</v>
      </c>
      <c r="H54">
        <v>1.0122150000000001</v>
      </c>
      <c r="I54">
        <v>367.4966</v>
      </c>
      <c r="J54">
        <v>-475.88600000000002</v>
      </c>
      <c r="K54">
        <v>1.102592</v>
      </c>
      <c r="L54">
        <v>367.52870000000001</v>
      </c>
      <c r="M54">
        <v>0.99998469999999995</v>
      </c>
      <c r="N54">
        <v>0</v>
      </c>
      <c r="O54">
        <v>5.1563169999999997E-3</v>
      </c>
      <c r="P54">
        <v>0.99466529999999997</v>
      </c>
      <c r="Q54">
        <v>6.7229899999999995E-2</v>
      </c>
      <c r="R54">
        <v>7.823782E-2</v>
      </c>
      <c r="S54">
        <v>3.0514220000000001</v>
      </c>
      <c r="T54">
        <v>-0.37119229999999998</v>
      </c>
      <c r="U54">
        <v>-0.12911989999999901</v>
      </c>
      <c r="V54">
        <v>-7.3118619999999995E-2</v>
      </c>
      <c r="W54">
        <v>6.5196320000000002E-2</v>
      </c>
      <c r="X54">
        <v>0.99519000000000002</v>
      </c>
      <c r="Y54">
        <v>4.7043840000000003E-2</v>
      </c>
      <c r="Z54">
        <v>-3.4742499999999999E-3</v>
      </c>
      <c r="AA54">
        <v>0.99888679999999996</v>
      </c>
      <c r="AB54">
        <v>6</v>
      </c>
      <c r="AC54">
        <v>0.67729999999994495</v>
      </c>
      <c r="AD54">
        <v>-9.0377000000000096E-2</v>
      </c>
      <c r="AE54">
        <v>-3.2100000000013999E-2</v>
      </c>
      <c r="AF54">
        <v>3.4970679536549101E-2</v>
      </c>
      <c r="AG54">
        <v>-9.0377000000000096E-2</v>
      </c>
      <c r="AH54">
        <v>0.66530593526355297</v>
      </c>
      <c r="AI54">
        <v>97.725329496241699</v>
      </c>
      <c r="AJ54">
        <v>86.991113448913495</v>
      </c>
      <c r="AK54">
        <v>0.67232651149062905</v>
      </c>
      <c r="AL54">
        <v>86.261874694138498</v>
      </c>
      <c r="AM54">
        <v>94.202086388787706</v>
      </c>
      <c r="AN54">
        <v>1.0000000144161201</v>
      </c>
    </row>
    <row r="55" spans="1:40" x14ac:dyDescent="0.3">
      <c r="A55" t="str">
        <f>"20200111150222362"</f>
        <v>20200111150222362</v>
      </c>
      <c r="B55" t="str">
        <f>"1578726142355231"</f>
        <v>1578726142355231</v>
      </c>
      <c r="C55" t="s">
        <v>40</v>
      </c>
      <c r="D55">
        <v>5.4035120000000001</v>
      </c>
      <c r="E55">
        <v>0.49145070000000002</v>
      </c>
      <c r="F55" t="s">
        <v>42</v>
      </c>
      <c r="G55">
        <v>-474.25670000000002</v>
      </c>
      <c r="H55">
        <v>0.92065920000000001</v>
      </c>
      <c r="I55">
        <v>367.52370000000002</v>
      </c>
      <c r="J55">
        <v>-474.8612</v>
      </c>
      <c r="K55">
        <v>1.1022799999999999</v>
      </c>
      <c r="L55">
        <v>367.54039999999998</v>
      </c>
      <c r="M55">
        <v>0.99994910000000004</v>
      </c>
      <c r="N55">
        <v>0</v>
      </c>
      <c r="O55">
        <v>9.2394639999999993E-3</v>
      </c>
      <c r="P55">
        <v>0.9942976</v>
      </c>
      <c r="Q55">
        <v>6.8051319999999998E-2</v>
      </c>
      <c r="R55">
        <v>8.2109150000000006E-2</v>
      </c>
      <c r="S55">
        <v>3.0800779999999999</v>
      </c>
      <c r="T55">
        <v>-0.83348449999999996</v>
      </c>
      <c r="U55">
        <v>-7.2143550000000001E-2</v>
      </c>
      <c r="V55">
        <v>-7.2933189999999995E-2</v>
      </c>
      <c r="W55">
        <v>6.3968170000000005E-2</v>
      </c>
      <c r="X55">
        <v>0.99528329999999998</v>
      </c>
      <c r="Y55">
        <v>3.1198509999999999E-2</v>
      </c>
      <c r="Z55">
        <v>-6.6019420000000004E-3</v>
      </c>
      <c r="AA55">
        <v>0.99949140000000003</v>
      </c>
      <c r="AB55">
        <v>10</v>
      </c>
      <c r="AC55">
        <v>0.60449999999997295</v>
      </c>
      <c r="AD55">
        <v>-0.1816208</v>
      </c>
      <c r="AE55">
        <v>-1.6699999999957499E-2</v>
      </c>
      <c r="AF55">
        <v>2.0440823780327001E-2</v>
      </c>
      <c r="AG55">
        <v>-0.1816208</v>
      </c>
      <c r="AH55">
        <v>0.55432014001707497</v>
      </c>
      <c r="AI55">
        <v>108.12966291658201</v>
      </c>
      <c r="AJ55">
        <v>87.888147252132399</v>
      </c>
      <c r="AK55">
        <v>0.58367350453657496</v>
      </c>
      <c r="AL55">
        <v>86.332389708810595</v>
      </c>
      <c r="AM55">
        <v>94.191076340212405</v>
      </c>
      <c r="AN55">
        <v>1.0000000121178001</v>
      </c>
    </row>
    <row r="56" spans="1:40" x14ac:dyDescent="0.3">
      <c r="A56" t="str">
        <f>"20200111150222378"</f>
        <v>20200111150222378</v>
      </c>
      <c r="B56" t="str">
        <f>"1578726142375726"</f>
        <v>1578726142375726</v>
      </c>
      <c r="C56" t="s">
        <v>40</v>
      </c>
      <c r="D56">
        <v>5.4115580000000003</v>
      </c>
      <c r="E56">
        <v>0.4917974</v>
      </c>
      <c r="F56" t="s">
        <v>43</v>
      </c>
      <c r="G56">
        <v>-404.65820000000002</v>
      </c>
      <c r="H56">
        <v>-0.05</v>
      </c>
      <c r="I56">
        <v>374.97789999999998</v>
      </c>
      <c r="J56">
        <v>-474.7835</v>
      </c>
      <c r="K56">
        <v>1.102266</v>
      </c>
      <c r="L56">
        <v>367.54149999999998</v>
      </c>
      <c r="M56">
        <v>0.99994620000000001</v>
      </c>
      <c r="N56">
        <v>0</v>
      </c>
      <c r="O56">
        <v>9.5147740000000001E-3</v>
      </c>
      <c r="P56">
        <v>0.99425680000000005</v>
      </c>
      <c r="Q56">
        <v>6.8190260000000003E-2</v>
      </c>
      <c r="R56">
        <v>8.2484260000000004E-2</v>
      </c>
      <c r="S56">
        <v>2.994354</v>
      </c>
      <c r="T56">
        <v>-4.9147959999999997E-2</v>
      </c>
      <c r="U56">
        <v>0.31723020000000002</v>
      </c>
      <c r="V56">
        <v>-7.3034929999999998E-2</v>
      </c>
      <c r="W56">
        <v>6.4030509999999999E-2</v>
      </c>
      <c r="X56">
        <v>0.99527180000000004</v>
      </c>
      <c r="Y56">
        <v>-9.5875020000000005E-2</v>
      </c>
      <c r="Z56">
        <v>6.2887169999999897E-4</v>
      </c>
      <c r="AA56">
        <v>0.99539319999999998</v>
      </c>
      <c r="AB56">
        <v>10</v>
      </c>
      <c r="AC56">
        <v>70.125299999999896</v>
      </c>
      <c r="AD56">
        <v>-1.152266</v>
      </c>
      <c r="AE56">
        <v>7.4363999999999901</v>
      </c>
      <c r="AF56">
        <v>-6.7670245533412103</v>
      </c>
      <c r="AG56">
        <v>-1.152266</v>
      </c>
      <c r="AH56">
        <v>70.174145901242497</v>
      </c>
      <c r="AI56">
        <v>90.936374617052707</v>
      </c>
      <c r="AJ56">
        <v>95.508108157472506</v>
      </c>
      <c r="AK56">
        <v>70.509085167864299</v>
      </c>
      <c r="AL56">
        <v>86.328810440077106</v>
      </c>
      <c r="AM56">
        <v>94.196950232696295</v>
      </c>
      <c r="AN56">
        <v>0.99999998154310199</v>
      </c>
    </row>
    <row r="57" spans="1:40" x14ac:dyDescent="0.3">
      <c r="A57" t="str">
        <f>"20200111150222392"</f>
        <v>20200111150222392</v>
      </c>
      <c r="B57" t="str">
        <f>"1578726142385486"</f>
        <v>1578726142385486</v>
      </c>
      <c r="C57" t="s">
        <v>40</v>
      </c>
      <c r="D57">
        <v>5.4354110000000002</v>
      </c>
      <c r="E57">
        <v>0.49196580000000001</v>
      </c>
      <c r="F57" t="s">
        <v>43</v>
      </c>
      <c r="G57">
        <v>-426.80959999999999</v>
      </c>
      <c r="H57">
        <v>-0.05</v>
      </c>
      <c r="I57">
        <v>372.60050000000001</v>
      </c>
      <c r="J57">
        <v>-474.71620000000001</v>
      </c>
      <c r="K57">
        <v>1.1022479999999999</v>
      </c>
      <c r="L57">
        <v>367.54239999999999</v>
      </c>
      <c r="M57">
        <v>0.99994369999999999</v>
      </c>
      <c r="N57">
        <v>0</v>
      </c>
      <c r="O57">
        <v>9.7501800000000007E-3</v>
      </c>
      <c r="P57">
        <v>0.99422880000000002</v>
      </c>
      <c r="Q57">
        <v>6.8258250000000006E-2</v>
      </c>
      <c r="R57">
        <v>8.2765179999999994E-2</v>
      </c>
      <c r="S57">
        <v>2.9960629999999999</v>
      </c>
      <c r="T57">
        <v>-7.1961159999999996E-2</v>
      </c>
      <c r="U57">
        <v>0.31594850000000002</v>
      </c>
      <c r="V57">
        <v>-7.3082369999999994E-2</v>
      </c>
      <c r="W57">
        <v>6.4035759999999997E-2</v>
      </c>
      <c r="X57">
        <v>0.99526800000000004</v>
      </c>
      <c r="Y57">
        <v>-9.5147209999999996E-2</v>
      </c>
      <c r="Z57">
        <v>9.0585399999999999E-4</v>
      </c>
      <c r="AA57">
        <v>0.99546279999999998</v>
      </c>
      <c r="AB57">
        <v>10</v>
      </c>
      <c r="AC57">
        <v>47.906599999999997</v>
      </c>
      <c r="AD57">
        <v>-1.1522479999999999</v>
      </c>
      <c r="AE57">
        <v>5.05810000000002</v>
      </c>
      <c r="AF57">
        <v>-4.5881325363970102</v>
      </c>
      <c r="AG57">
        <v>-1.1522479999999999</v>
      </c>
      <c r="AH57">
        <v>47.926221060301202</v>
      </c>
      <c r="AI57">
        <v>91.370981054525004</v>
      </c>
      <c r="AJ57">
        <v>95.468445545718296</v>
      </c>
      <c r="AK57">
        <v>48.159124792150401</v>
      </c>
      <c r="AL57">
        <v>86.328509092360804</v>
      </c>
      <c r="AM57">
        <v>94.199682597559999</v>
      </c>
      <c r="AN57">
        <v>1.00000000159379</v>
      </c>
    </row>
    <row r="58" spans="1:40" x14ac:dyDescent="0.3">
      <c r="A58" t="str">
        <f>"20200111150222412"</f>
        <v>20200111150222412</v>
      </c>
      <c r="B58" t="str">
        <f>"1578726142405006"</f>
        <v>1578726142405006</v>
      </c>
      <c r="C58" t="s">
        <v>40</v>
      </c>
      <c r="D58">
        <v>5.337726</v>
      </c>
      <c r="E58">
        <v>0.49255520000000003</v>
      </c>
      <c r="F58" t="s">
        <v>41</v>
      </c>
      <c r="G58">
        <v>-443.2808</v>
      </c>
      <c r="H58" s="1">
        <v>-3.4876810000000002E-6</v>
      </c>
      <c r="I58">
        <v>370.86040000000003</v>
      </c>
      <c r="J58">
        <v>-474.61250000000001</v>
      </c>
      <c r="K58">
        <v>1.1022270000000001</v>
      </c>
      <c r="L58">
        <v>367.54379999999998</v>
      </c>
      <c r="M58">
        <v>0.99993960000000004</v>
      </c>
      <c r="N58">
        <v>0</v>
      </c>
      <c r="O58">
        <v>1.010693E-2</v>
      </c>
      <c r="P58">
        <v>0.99419049999999998</v>
      </c>
      <c r="Q58">
        <v>6.7918800000000001E-2</v>
      </c>
      <c r="R58">
        <v>8.3499539999999997E-2</v>
      </c>
      <c r="S58">
        <v>2.998291</v>
      </c>
      <c r="T58">
        <v>-0.105132</v>
      </c>
      <c r="U58">
        <v>0.31646729999999901</v>
      </c>
      <c r="V58">
        <v>-7.3462139999999995E-2</v>
      </c>
      <c r="W58">
        <v>6.3607469999999999E-2</v>
      </c>
      <c r="X58">
        <v>0.99526749999999997</v>
      </c>
      <c r="Y58">
        <v>-9.4858109999999995E-2</v>
      </c>
      <c r="Z58">
        <v>1.304688E-3</v>
      </c>
      <c r="AA58">
        <v>0.99548999999999999</v>
      </c>
      <c r="AB58">
        <v>11</v>
      </c>
      <c r="AC58">
        <v>31.331700000000001</v>
      </c>
      <c r="AD58">
        <v>-1.1022304876809901</v>
      </c>
      <c r="AE58">
        <v>3.31660000000005</v>
      </c>
      <c r="AF58">
        <v>-2.99609349725272</v>
      </c>
      <c r="AG58">
        <v>-1.1022304876809901</v>
      </c>
      <c r="AH58">
        <v>31.325282337899601</v>
      </c>
      <c r="AI58">
        <v>92.006065627204805</v>
      </c>
      <c r="AJ58">
        <v>95.463411703237298</v>
      </c>
      <c r="AK58">
        <v>31.4875340705076</v>
      </c>
      <c r="AL58">
        <v>86.353098412699794</v>
      </c>
      <c r="AM58">
        <v>94.2214295259067</v>
      </c>
      <c r="AN58">
        <v>0.99999999640471504</v>
      </c>
    </row>
    <row r="59" spans="1:40" x14ac:dyDescent="0.3">
      <c r="A59" t="str">
        <f>"20200111150222427"</f>
        <v>20200111150222427</v>
      </c>
      <c r="B59" t="str">
        <f>"1578726142415742"</f>
        <v>1578726142415742</v>
      </c>
      <c r="C59" t="s">
        <v>40</v>
      </c>
      <c r="D59">
        <v>5.4054080000000004</v>
      </c>
      <c r="E59">
        <v>0.49223240000000001</v>
      </c>
      <c r="F59" t="s">
        <v>41</v>
      </c>
      <c r="G59">
        <v>-452.68880000000001</v>
      </c>
      <c r="H59" s="1">
        <v>-3.1783519999999999E-6</v>
      </c>
      <c r="I59">
        <v>369.84010000000001</v>
      </c>
      <c r="J59">
        <v>-474.5401</v>
      </c>
      <c r="K59">
        <v>1.1022179999999999</v>
      </c>
      <c r="L59">
        <v>367.54469999999998</v>
      </c>
      <c r="M59">
        <v>0.99993690000000002</v>
      </c>
      <c r="N59">
        <v>0</v>
      </c>
      <c r="O59">
        <v>1.0351819999999999E-2</v>
      </c>
      <c r="P59">
        <v>0.99414939999999996</v>
      </c>
      <c r="Q59">
        <v>6.7694690000000002E-2</v>
      </c>
      <c r="R59">
        <v>8.4169720000000003E-2</v>
      </c>
      <c r="S59">
        <v>3.001465</v>
      </c>
      <c r="T59">
        <v>-0.15090010000000001</v>
      </c>
      <c r="U59">
        <v>0.31439210000000001</v>
      </c>
      <c r="V59">
        <v>-7.3889159999999995E-2</v>
      </c>
      <c r="W59">
        <v>6.3327190000000005E-2</v>
      </c>
      <c r="X59">
        <v>0.99525370000000002</v>
      </c>
      <c r="Y59">
        <v>-9.3770909999999999E-2</v>
      </c>
      <c r="Z59">
        <v>1.8306609999999999E-3</v>
      </c>
      <c r="AA59">
        <v>0.99559209999999998</v>
      </c>
      <c r="AB59">
        <v>11</v>
      </c>
      <c r="AC59">
        <v>21.851299999999899</v>
      </c>
      <c r="AD59">
        <v>-1.102221178352</v>
      </c>
      <c r="AE59">
        <v>2.2954000000000199</v>
      </c>
      <c r="AF59">
        <v>-2.06388013656492</v>
      </c>
      <c r="AG59">
        <v>-1.102221178352</v>
      </c>
      <c r="AH59">
        <v>21.818980960244801</v>
      </c>
      <c r="AI59">
        <v>92.879100937965703</v>
      </c>
      <c r="AJ59">
        <v>95.403589596321694</v>
      </c>
      <c r="AK59">
        <v>21.944074892499799</v>
      </c>
      <c r="AL59">
        <v>86.369189489001997</v>
      </c>
      <c r="AM59">
        <v>94.2459369888944</v>
      </c>
      <c r="AN59">
        <v>0.999999934161243</v>
      </c>
    </row>
    <row r="60" spans="1:40" x14ac:dyDescent="0.3">
      <c r="A60" t="str">
        <f>"20200111150222446"</f>
        <v>20200111150222446</v>
      </c>
      <c r="B60" t="str">
        <f>"1578726142435265"</f>
        <v>1578726142435265</v>
      </c>
      <c r="C60" t="s">
        <v>40</v>
      </c>
      <c r="D60">
        <v>5.625534</v>
      </c>
      <c r="E60">
        <v>0.49121409999999999</v>
      </c>
      <c r="F60" t="s">
        <v>41</v>
      </c>
      <c r="G60">
        <v>-454.71890000000002</v>
      </c>
      <c r="H60" s="1">
        <v>-2.2573590000000001E-6</v>
      </c>
      <c r="I60">
        <v>369.65190000000001</v>
      </c>
      <c r="J60">
        <v>-474.43889999999999</v>
      </c>
      <c r="K60">
        <v>1.102201</v>
      </c>
      <c r="L60">
        <v>367.5462</v>
      </c>
      <c r="M60">
        <v>0.99993310000000002</v>
      </c>
      <c r="N60">
        <v>0</v>
      </c>
      <c r="O60">
        <v>1.068704E-2</v>
      </c>
      <c r="P60">
        <v>0.99409250000000005</v>
      </c>
      <c r="Q60">
        <v>6.7881899999999995E-2</v>
      </c>
      <c r="R60">
        <v>8.4689849999999997E-2</v>
      </c>
      <c r="S60">
        <v>3.002014</v>
      </c>
      <c r="T60">
        <v>-0.16693559999999999</v>
      </c>
      <c r="U60">
        <v>0.31915280000000001</v>
      </c>
      <c r="V60">
        <v>-7.4077000000000004E-2</v>
      </c>
      <c r="W60">
        <v>6.3444719999999996E-2</v>
      </c>
      <c r="X60">
        <v>0.99523229999999996</v>
      </c>
      <c r="Y60">
        <v>-9.4955170000000005E-2</v>
      </c>
      <c r="Z60">
        <v>2.0386200000000001E-3</v>
      </c>
      <c r="AA60">
        <v>0.99547949999999996</v>
      </c>
      <c r="AB60">
        <v>11</v>
      </c>
      <c r="AC60">
        <v>19.719999999999899</v>
      </c>
      <c r="AD60">
        <v>-1.1022032573589999</v>
      </c>
      <c r="AE60">
        <v>2.1057000000000099</v>
      </c>
      <c r="AF60">
        <v>-1.8889945803999399</v>
      </c>
      <c r="AG60">
        <v>-1.1022032573589999</v>
      </c>
      <c r="AH60">
        <v>19.680588887071298</v>
      </c>
      <c r="AI60">
        <v>93.190844059168498</v>
      </c>
      <c r="AJ60">
        <v>95.482604012252594</v>
      </c>
      <c r="AK60">
        <v>19.801735567551301</v>
      </c>
      <c r="AL60">
        <v>86.3624421236551</v>
      </c>
      <c r="AM60">
        <v>94.256782519999405</v>
      </c>
      <c r="AN60">
        <v>0.99999998269408397</v>
      </c>
    </row>
    <row r="61" spans="1:40" x14ac:dyDescent="0.3">
      <c r="A61" t="str">
        <f>"20200111150222467"</f>
        <v>20200111150222467</v>
      </c>
      <c r="B61" t="str">
        <f>"1578726142455445"</f>
        <v>1578726142455445</v>
      </c>
      <c r="C61" t="s">
        <v>40</v>
      </c>
      <c r="D61">
        <v>5.3841559999999999</v>
      </c>
      <c r="E61">
        <v>0.49071959999999998</v>
      </c>
      <c r="F61" t="s">
        <v>41</v>
      </c>
      <c r="G61">
        <v>-451.66849999999999</v>
      </c>
      <c r="H61" s="1">
        <v>-3.66897E-6</v>
      </c>
      <c r="I61">
        <v>370.03910000000002</v>
      </c>
      <c r="J61">
        <v>-474.33150000000001</v>
      </c>
      <c r="K61">
        <v>1.102193</v>
      </c>
      <c r="L61">
        <v>367.54770000000002</v>
      </c>
      <c r="M61">
        <v>0.99992899999999996</v>
      </c>
      <c r="N61">
        <v>0</v>
      </c>
      <c r="O61">
        <v>1.1034779999999999E-2</v>
      </c>
      <c r="P61">
        <v>0.99407190000000001</v>
      </c>
      <c r="Q61">
        <v>6.8318889999999993E-2</v>
      </c>
      <c r="R61">
        <v>8.4579189999999999E-2</v>
      </c>
      <c r="S61">
        <v>2.9997560000000001</v>
      </c>
      <c r="T61">
        <v>-0.14520350000000001</v>
      </c>
      <c r="U61">
        <v>0.32843020000000001</v>
      </c>
      <c r="V61">
        <v>-7.3621549999999994E-2</v>
      </c>
      <c r="W61">
        <v>6.3819710000000002E-2</v>
      </c>
      <c r="X61">
        <v>0.99524210000000002</v>
      </c>
      <c r="Y61">
        <v>-9.7759009999999993E-2</v>
      </c>
      <c r="Z61">
        <v>1.8254440000000001E-3</v>
      </c>
      <c r="AA61">
        <v>0.99520839999999999</v>
      </c>
      <c r="AB61">
        <v>11</v>
      </c>
      <c r="AC61">
        <v>22.663</v>
      </c>
      <c r="AD61">
        <v>-1.10219666897</v>
      </c>
      <c r="AE61">
        <v>2.4913999999999898</v>
      </c>
      <c r="AF61">
        <v>-2.2359390780060902</v>
      </c>
      <c r="AG61">
        <v>-1.10219666897</v>
      </c>
      <c r="AH61">
        <v>22.636210710213899</v>
      </c>
      <c r="AI61">
        <v>92.7741505221924</v>
      </c>
      <c r="AJ61">
        <v>95.641211066238299</v>
      </c>
      <c r="AK61">
        <v>22.7730607599165</v>
      </c>
      <c r="AL61">
        <v>86.340913075686899</v>
      </c>
      <c r="AM61">
        <v>94.230664220165295</v>
      </c>
      <c r="AN61">
        <v>0.99999996281064696</v>
      </c>
    </row>
    <row r="62" spans="1:40" x14ac:dyDescent="0.3">
      <c r="A62" t="str">
        <f>"20200111150222481"</f>
        <v>20200111150222481</v>
      </c>
      <c r="B62" t="str">
        <f>"1578726142475941"</f>
        <v>1578726142475941</v>
      </c>
      <c r="C62" t="s">
        <v>40</v>
      </c>
      <c r="D62">
        <v>5.4130690000000001</v>
      </c>
      <c r="E62">
        <v>0.49084260000000002</v>
      </c>
      <c r="F62" t="s">
        <v>41</v>
      </c>
      <c r="G62">
        <v>-451.96960000000001</v>
      </c>
      <c r="H62" s="1">
        <v>-3.5359860000000001E-6</v>
      </c>
      <c r="I62">
        <v>370.02480000000003</v>
      </c>
      <c r="J62">
        <v>-474.25510000000003</v>
      </c>
      <c r="K62">
        <v>1.1021860000000001</v>
      </c>
      <c r="L62">
        <v>367.54880000000003</v>
      </c>
      <c r="M62">
        <v>0.99992610000000004</v>
      </c>
      <c r="N62">
        <v>0</v>
      </c>
      <c r="O62">
        <v>1.1275429999999999E-2</v>
      </c>
      <c r="P62">
        <v>0.99404840000000005</v>
      </c>
      <c r="Q62">
        <v>6.892247E-2</v>
      </c>
      <c r="R62">
        <v>8.4365990000000002E-2</v>
      </c>
      <c r="S62">
        <v>2.9997859999999998</v>
      </c>
      <c r="T62">
        <v>-0.1478564</v>
      </c>
      <c r="U62">
        <v>0.33230589999999999</v>
      </c>
      <c r="V62">
        <v>-7.3169919999999999E-2</v>
      </c>
      <c r="W62">
        <v>6.4390260000000005E-2</v>
      </c>
      <c r="X62">
        <v>0.99523870000000003</v>
      </c>
      <c r="Y62">
        <v>-9.8784129999999998E-2</v>
      </c>
      <c r="Z62">
        <v>1.871965E-3</v>
      </c>
      <c r="AA62">
        <v>0.99510710000000002</v>
      </c>
      <c r="AB62">
        <v>12</v>
      </c>
      <c r="AC62">
        <v>22.285499999999999</v>
      </c>
      <c r="AD62">
        <v>-1.1021895359859999</v>
      </c>
      <c r="AE62">
        <v>2.4759999999999902</v>
      </c>
      <c r="AF62">
        <v>-2.2191992939888601</v>
      </c>
      <c r="AG62">
        <v>-1.1021895359859999</v>
      </c>
      <c r="AH62">
        <v>22.258220387264199</v>
      </c>
      <c r="AI62">
        <v>92.820911471720393</v>
      </c>
      <c r="AJ62">
        <v>95.693713558194005</v>
      </c>
      <c r="AK62">
        <v>22.3957148152878</v>
      </c>
      <c r="AL62">
        <v>86.308155751174596</v>
      </c>
      <c r="AM62">
        <v>94.204818973407299</v>
      </c>
      <c r="AN62">
        <v>1.0000000063766801</v>
      </c>
    </row>
    <row r="63" spans="1:40" x14ac:dyDescent="0.3">
      <c r="A63" t="str">
        <f>"20200111150222502"</f>
        <v>20200111150222502</v>
      </c>
      <c r="B63" t="str">
        <f>"1578726142495462"</f>
        <v>1578726142495462</v>
      </c>
      <c r="C63" t="s">
        <v>40</v>
      </c>
      <c r="D63">
        <v>5.3236039999999996</v>
      </c>
      <c r="E63">
        <v>0.49088219999999999</v>
      </c>
      <c r="F63" t="s">
        <v>41</v>
      </c>
      <c r="G63">
        <v>-455.28919999999999</v>
      </c>
      <c r="H63" s="1">
        <v>-2.0093649999999999E-6</v>
      </c>
      <c r="I63">
        <v>369.6395</v>
      </c>
      <c r="J63">
        <v>-474.14280000000002</v>
      </c>
      <c r="K63">
        <v>1.102187</v>
      </c>
      <c r="L63">
        <v>367.5505</v>
      </c>
      <c r="M63">
        <v>0.99992199999999998</v>
      </c>
      <c r="N63">
        <v>0</v>
      </c>
      <c r="O63">
        <v>1.1623E-2</v>
      </c>
      <c r="P63">
        <v>0.99403710000000001</v>
      </c>
      <c r="Q63">
        <v>6.9722809999999996E-2</v>
      </c>
      <c r="R63">
        <v>8.3840250000000005E-2</v>
      </c>
      <c r="S63">
        <v>3.002014</v>
      </c>
      <c r="T63">
        <v>-0.1744598</v>
      </c>
      <c r="U63">
        <v>0.33093260000000002</v>
      </c>
      <c r="V63">
        <v>-7.2298790000000002E-2</v>
      </c>
      <c r="W63">
        <v>6.5154459999999997E-2</v>
      </c>
      <c r="X63">
        <v>0.99525260000000004</v>
      </c>
      <c r="Y63">
        <v>-9.7868839999999999E-2</v>
      </c>
      <c r="Z63">
        <v>2.1600830000000001E-3</v>
      </c>
      <c r="AA63">
        <v>0.995197</v>
      </c>
      <c r="AB63">
        <v>12</v>
      </c>
      <c r="AC63">
        <v>18.8536</v>
      </c>
      <c r="AD63">
        <v>-1.102189009365</v>
      </c>
      <c r="AE63">
        <v>2.0889999999999902</v>
      </c>
      <c r="AF63">
        <v>-1.86342994817392</v>
      </c>
      <c r="AG63">
        <v>-1.102189009365</v>
      </c>
      <c r="AH63">
        <v>18.813090940323999</v>
      </c>
      <c r="AI63">
        <v>93.336623529523706</v>
      </c>
      <c r="AJ63">
        <v>95.6566757786929</v>
      </c>
      <c r="AK63">
        <v>18.937253827126501</v>
      </c>
      <c r="AL63">
        <v>86.264278070424993</v>
      </c>
      <c r="AM63">
        <v>94.1548767289582</v>
      </c>
      <c r="AN63">
        <v>0.99999997825005704</v>
      </c>
    </row>
    <row r="64" spans="1:40" x14ac:dyDescent="0.3">
      <c r="A64" t="str">
        <f>"20200111150222537"</f>
        <v>20200111150222537</v>
      </c>
      <c r="B64" t="str">
        <f>"1578726142535477"</f>
        <v>1578726142535477</v>
      </c>
      <c r="C64" t="s">
        <v>40</v>
      </c>
      <c r="D64">
        <v>5.1782570000000003</v>
      </c>
      <c r="E64">
        <v>0.51715599999999995</v>
      </c>
      <c r="F64" t="s">
        <v>41</v>
      </c>
      <c r="G64">
        <v>-455.65910000000002</v>
      </c>
      <c r="H64" s="1">
        <v>-1.851715E-6</v>
      </c>
      <c r="I64">
        <v>369.57580000000002</v>
      </c>
      <c r="J64">
        <v>-473.93799999999999</v>
      </c>
      <c r="K64">
        <v>1.1021879999999999</v>
      </c>
      <c r="L64">
        <v>367.55360000000002</v>
      </c>
      <c r="M64">
        <v>0.99991479999999999</v>
      </c>
      <c r="N64">
        <v>0</v>
      </c>
      <c r="O64">
        <v>1.223107E-2</v>
      </c>
      <c r="P64">
        <v>0.99410960000000004</v>
      </c>
      <c r="Q64">
        <v>6.9950199999999907E-2</v>
      </c>
      <c r="R64">
        <v>8.2785800000000007E-2</v>
      </c>
      <c r="S64">
        <v>3.002777</v>
      </c>
      <c r="T64">
        <v>-0.179056299999999</v>
      </c>
      <c r="U64">
        <v>0.32904050000000001</v>
      </c>
      <c r="V64">
        <v>-7.0639530000000006E-2</v>
      </c>
      <c r="W64">
        <v>6.5369040000000003E-2</v>
      </c>
      <c r="X64">
        <v>0.99535770000000001</v>
      </c>
      <c r="Y64">
        <v>-9.6612089999999998E-2</v>
      </c>
      <c r="Z64">
        <v>2.142981E-3</v>
      </c>
      <c r="AA64">
        <v>0.99531979999999998</v>
      </c>
      <c r="AB64">
        <v>12</v>
      </c>
      <c r="AC64">
        <v>18.2789</v>
      </c>
      <c r="AD64">
        <v>-1.1021898517149999</v>
      </c>
      <c r="AE64">
        <v>2.02219999999999</v>
      </c>
      <c r="AF64">
        <v>-1.79203899718302</v>
      </c>
      <c r="AG64">
        <v>-1.1021898517149999</v>
      </c>
      <c r="AH64">
        <v>18.236761161291</v>
      </c>
      <c r="AI64">
        <v>93.442085817528394</v>
      </c>
      <c r="AJ64">
        <v>95.612163780018193</v>
      </c>
      <c r="AK64">
        <v>18.3577145606587</v>
      </c>
      <c r="AL64">
        <v>86.251957368074699</v>
      </c>
      <c r="AM64">
        <v>94.059417477607695</v>
      </c>
      <c r="AN64">
        <v>1.00000000276921</v>
      </c>
    </row>
    <row r="65" spans="1:40" x14ac:dyDescent="0.3">
      <c r="A65" t="str">
        <f>"20200111150222557"</f>
        <v>20200111150222557</v>
      </c>
      <c r="B65" t="str">
        <f>"1578726142554997"</f>
        <v>1578726142554997</v>
      </c>
      <c r="C65" t="s">
        <v>40</v>
      </c>
      <c r="D65">
        <v>5.6407769999999999</v>
      </c>
      <c r="E65">
        <v>0.53638960000000002</v>
      </c>
      <c r="F65" t="s">
        <v>44</v>
      </c>
      <c r="G65">
        <v>0</v>
      </c>
      <c r="H65">
        <v>0</v>
      </c>
      <c r="I65">
        <v>0</v>
      </c>
      <c r="J65">
        <v>-473.82220000000001</v>
      </c>
      <c r="K65">
        <v>1.10219</v>
      </c>
      <c r="L65">
        <v>367.55540000000002</v>
      </c>
      <c r="M65">
        <v>0.99991070000000004</v>
      </c>
      <c r="N65">
        <v>0</v>
      </c>
      <c r="O65">
        <v>1.25618E-2</v>
      </c>
      <c r="P65">
        <v>0.9942377</v>
      </c>
      <c r="Q65">
        <v>7.0251930000000004E-2</v>
      </c>
      <c r="R65">
        <v>8.0970680000000003E-2</v>
      </c>
      <c r="S65">
        <v>2.936188</v>
      </c>
      <c r="T65">
        <v>1.03831299999999</v>
      </c>
      <c r="U65">
        <v>0.1020813</v>
      </c>
      <c r="V65">
        <v>-6.84945E-2</v>
      </c>
      <c r="W65">
        <v>6.5696399999999905E-2</v>
      </c>
      <c r="X65">
        <v>0.99548610000000004</v>
      </c>
      <c r="Y65">
        <v>-2.163841E-2</v>
      </c>
      <c r="Z65">
        <v>5.9764599999999996E-4</v>
      </c>
      <c r="AA65">
        <v>0.99976569999999998</v>
      </c>
      <c r="AB65">
        <v>13</v>
      </c>
      <c r="AC65">
        <v>2.936188</v>
      </c>
      <c r="AD65">
        <v>1.03831299999999</v>
      </c>
      <c r="AE65">
        <v>0.1020813</v>
      </c>
      <c r="AF65">
        <v>-5.7950951558239497E-2</v>
      </c>
      <c r="AG65">
        <v>1.03831299999999</v>
      </c>
      <c r="AH65">
        <v>2.6111097041895799</v>
      </c>
      <c r="AI65">
        <v>68.319502376825099</v>
      </c>
      <c r="AJ65">
        <v>91.271413425355604</v>
      </c>
      <c r="AK65">
        <v>2.8105775360357002</v>
      </c>
      <c r="AL65">
        <v>86.233160773593198</v>
      </c>
      <c r="AM65">
        <v>93.936037222838294</v>
      </c>
      <c r="AN65">
        <v>1.0000000443982</v>
      </c>
    </row>
    <row r="66" spans="1:40" x14ac:dyDescent="0.3">
      <c r="A66" t="str">
        <f>"20200111150222571"</f>
        <v>20200111150222571</v>
      </c>
      <c r="B66" t="str">
        <f>"1578726142565733"</f>
        <v>1578726142565733</v>
      </c>
      <c r="C66" t="s">
        <v>40</v>
      </c>
      <c r="D66">
        <v>5.5518000000000001</v>
      </c>
      <c r="E66">
        <v>0.53864499999999904</v>
      </c>
      <c r="F66" t="s">
        <v>41</v>
      </c>
      <c r="G66">
        <v>-446.9248</v>
      </c>
      <c r="H66" s="1">
        <v>-1.8671770000000001E-6</v>
      </c>
      <c r="I66">
        <v>367.17500000000001</v>
      </c>
      <c r="J66">
        <v>-473.73970000000003</v>
      </c>
      <c r="K66">
        <v>1.1021989999999999</v>
      </c>
      <c r="L66">
        <v>367.55669999999998</v>
      </c>
      <c r="M66">
        <v>0.99990800000000002</v>
      </c>
      <c r="N66">
        <v>0</v>
      </c>
      <c r="O66">
        <v>1.279254E-2</v>
      </c>
      <c r="P66">
        <v>0.99435629999999997</v>
      </c>
      <c r="Q66">
        <v>7.0407579999999997E-2</v>
      </c>
      <c r="R66">
        <v>7.936182E-2</v>
      </c>
      <c r="S66">
        <v>3.029633</v>
      </c>
      <c r="T66">
        <v>-0.1241472</v>
      </c>
      <c r="U66">
        <v>-4.2846679999999998E-2</v>
      </c>
      <c r="V66">
        <v>-6.6655099999999995E-2</v>
      </c>
      <c r="W66">
        <v>6.5883869999999997E-2</v>
      </c>
      <c r="X66">
        <v>0.99559850000000005</v>
      </c>
      <c r="Y66">
        <v>2.689805E-2</v>
      </c>
      <c r="Z66">
        <v>-1.0748190000000001E-3</v>
      </c>
      <c r="AA66">
        <v>0.99963760000000002</v>
      </c>
      <c r="AB66">
        <v>13</v>
      </c>
      <c r="AC66">
        <v>26.814900000000002</v>
      </c>
      <c r="AD66">
        <v>-1.1022008671769901</v>
      </c>
      <c r="AE66">
        <v>-0.38169999999996601</v>
      </c>
      <c r="AF66">
        <v>0.72348083158238796</v>
      </c>
      <c r="AG66">
        <v>-1.1022008671769901</v>
      </c>
      <c r="AH66">
        <v>26.762615369297801</v>
      </c>
      <c r="AI66">
        <v>92.357496257853299</v>
      </c>
      <c r="AJ66">
        <v>88.451485241840999</v>
      </c>
      <c r="AK66">
        <v>26.795071424988802</v>
      </c>
      <c r="AL66">
        <v>86.222395968814993</v>
      </c>
      <c r="AM66">
        <v>93.830223923187205</v>
      </c>
      <c r="AN66">
        <v>0.99999997994221801</v>
      </c>
    </row>
    <row r="67" spans="1:40" x14ac:dyDescent="0.3">
      <c r="A67" t="str">
        <f>"20200111150222592"</f>
        <v>20200111150222592</v>
      </c>
      <c r="B67" t="str">
        <f>"1578726142585254"</f>
        <v>1578726142585254</v>
      </c>
      <c r="C67" t="s">
        <v>40</v>
      </c>
      <c r="D67">
        <v>5.394895</v>
      </c>
      <c r="E67">
        <v>0.53874849999999996</v>
      </c>
      <c r="F67" t="s">
        <v>42</v>
      </c>
      <c r="G67">
        <v>-472.90660000000003</v>
      </c>
      <c r="H67">
        <v>1.055758</v>
      </c>
      <c r="I67">
        <v>367.53840000000002</v>
      </c>
      <c r="J67">
        <v>-473.61689999999999</v>
      </c>
      <c r="K67">
        <v>1.102209</v>
      </c>
      <c r="L67">
        <v>367.55869999999999</v>
      </c>
      <c r="M67">
        <v>0.99990389999999996</v>
      </c>
      <c r="N67">
        <v>0</v>
      </c>
      <c r="O67">
        <v>1.3130360000000001E-2</v>
      </c>
      <c r="P67">
        <v>0.99459900000000001</v>
      </c>
      <c r="Q67">
        <v>7.0598140000000004E-2</v>
      </c>
      <c r="R67">
        <v>7.6084330000000006E-2</v>
      </c>
      <c r="S67">
        <v>3.0342410000000002</v>
      </c>
      <c r="T67">
        <v>-0.16946559999999999</v>
      </c>
      <c r="U67">
        <v>-6.5307619999999997E-2</v>
      </c>
      <c r="V67">
        <v>-6.3038919999999998E-2</v>
      </c>
      <c r="W67">
        <v>6.6145560000000006E-2</v>
      </c>
      <c r="X67">
        <v>0.9958167</v>
      </c>
      <c r="Y67">
        <v>3.4569839999999998E-2</v>
      </c>
      <c r="Z67">
        <v>-1.697224E-3</v>
      </c>
      <c r="AA67">
        <v>0.99940090000000004</v>
      </c>
      <c r="AB67">
        <v>13</v>
      </c>
      <c r="AC67">
        <v>0.71029999999996096</v>
      </c>
      <c r="AD67">
        <v>-4.6450999999999999E-2</v>
      </c>
      <c r="AE67">
        <v>-2.0299999999963299E-2</v>
      </c>
      <c r="AF67">
        <v>2.94987831100335E-2</v>
      </c>
      <c r="AG67">
        <v>-4.6450999999999999E-2</v>
      </c>
      <c r="AH67">
        <v>0.70695128187226197</v>
      </c>
      <c r="AI67">
        <v>93.756018474352103</v>
      </c>
      <c r="AJ67">
        <v>87.610619122934196</v>
      </c>
      <c r="AK67">
        <v>0.70908954903228405</v>
      </c>
      <c r="AL67">
        <v>86.207369611017</v>
      </c>
      <c r="AM67">
        <v>93.622203709453004</v>
      </c>
      <c r="AN67">
        <v>1.00000002027068</v>
      </c>
    </row>
    <row r="68" spans="1:40" x14ac:dyDescent="0.3">
      <c r="A68" t="str">
        <f>"20200111150222614"</f>
        <v>20200111150222614</v>
      </c>
      <c r="B68" t="str">
        <f>"1578726142605749"</f>
        <v>1578726142605749</v>
      </c>
      <c r="C68" t="s">
        <v>40</v>
      </c>
      <c r="D68">
        <v>5.5470649999999999</v>
      </c>
      <c r="E68">
        <v>0.53937230000000003</v>
      </c>
      <c r="F68" t="s">
        <v>42</v>
      </c>
      <c r="G68">
        <v>-472.78949999999998</v>
      </c>
      <c r="H68">
        <v>1.047712</v>
      </c>
      <c r="I68">
        <v>367.53800000000001</v>
      </c>
      <c r="J68">
        <v>-473.47539999999998</v>
      </c>
      <c r="K68">
        <v>1.1022190000000001</v>
      </c>
      <c r="L68">
        <v>367.56099999999998</v>
      </c>
      <c r="M68">
        <v>0.99989939999999999</v>
      </c>
      <c r="N68">
        <v>0</v>
      </c>
      <c r="O68">
        <v>1.3507079999999999E-2</v>
      </c>
      <c r="P68">
        <v>0.99487300000000001</v>
      </c>
      <c r="Q68">
        <v>6.8891540000000001E-2</v>
      </c>
      <c r="R68">
        <v>7.4040090000000003E-2</v>
      </c>
      <c r="S68">
        <v>3.0361940000000001</v>
      </c>
      <c r="T68">
        <v>-0.2002369</v>
      </c>
      <c r="U68">
        <v>-7.4798580000000003E-2</v>
      </c>
      <c r="V68">
        <v>-6.0615790000000003E-2</v>
      </c>
      <c r="W68">
        <v>6.4548700000000001E-2</v>
      </c>
      <c r="X68">
        <v>0.99607190000000001</v>
      </c>
      <c r="Y68">
        <v>3.8017160000000001E-2</v>
      </c>
      <c r="Z68">
        <v>-2.1417820000000001E-3</v>
      </c>
      <c r="AA68">
        <v>0.99927480000000002</v>
      </c>
      <c r="AB68">
        <v>13</v>
      </c>
      <c r="AC68">
        <v>0.68590000000000295</v>
      </c>
      <c r="AD68">
        <v>-5.4507E-2</v>
      </c>
      <c r="AE68">
        <v>-2.2999999999967699E-2</v>
      </c>
      <c r="AF68">
        <v>3.20602572165887E-2</v>
      </c>
      <c r="AG68">
        <v>-5.4507E-2</v>
      </c>
      <c r="AH68">
        <v>0.68122953436592704</v>
      </c>
      <c r="AI68">
        <v>94.569606813506596</v>
      </c>
      <c r="AJ68">
        <v>87.305514571362593</v>
      </c>
      <c r="AK68">
        <v>0.68415827966502796</v>
      </c>
      <c r="AL68">
        <v>86.299058931480701</v>
      </c>
      <c r="AM68">
        <v>93.482430540108794</v>
      </c>
      <c r="AN68">
        <v>1.0000000193193099</v>
      </c>
    </row>
    <row r="69" spans="1:40" x14ac:dyDescent="0.3">
      <c r="A69" t="str">
        <f>"20200111150222637"</f>
        <v>20200111150222637</v>
      </c>
      <c r="B69" t="str">
        <f>"1578726142625269"</f>
        <v>1578726142625269</v>
      </c>
      <c r="C69" t="s">
        <v>40</v>
      </c>
      <c r="D69">
        <v>5.6262040000000004</v>
      </c>
      <c r="E69">
        <v>0.54028050000000005</v>
      </c>
      <c r="F69" t="s">
        <v>42</v>
      </c>
      <c r="G69">
        <v>-472.66750000000002</v>
      </c>
      <c r="H69">
        <v>1.0418430000000001</v>
      </c>
      <c r="I69">
        <v>367.53789999999998</v>
      </c>
      <c r="J69">
        <v>-473.33600000000001</v>
      </c>
      <c r="K69">
        <v>1.102222</v>
      </c>
      <c r="L69">
        <v>367.56330000000003</v>
      </c>
      <c r="M69">
        <v>0.99989510000000004</v>
      </c>
      <c r="N69">
        <v>0</v>
      </c>
      <c r="O69">
        <v>1.3862360000000001E-2</v>
      </c>
      <c r="P69">
        <v>0.99510069999999995</v>
      </c>
      <c r="Q69">
        <v>6.6219009999999995E-2</v>
      </c>
      <c r="R69">
        <v>7.3414969999999996E-2</v>
      </c>
      <c r="S69">
        <v>3.0375369999999999</v>
      </c>
      <c r="T69">
        <v>-0.2273164</v>
      </c>
      <c r="U69">
        <v>-8.5571289999999994E-2</v>
      </c>
      <c r="V69">
        <v>-5.9631759999999999E-2</v>
      </c>
      <c r="W69">
        <v>6.2006079999999998E-2</v>
      </c>
      <c r="X69">
        <v>0.99629279999999998</v>
      </c>
      <c r="Y69">
        <v>4.1858689999999997E-2</v>
      </c>
      <c r="Z69">
        <v>-2.5995509999999999E-3</v>
      </c>
      <c r="AA69">
        <v>0.99912020000000001</v>
      </c>
      <c r="AB69">
        <v>14</v>
      </c>
      <c r="AC69">
        <v>0.66849999999999399</v>
      </c>
      <c r="AD69">
        <v>-6.0378999999999898E-2</v>
      </c>
      <c r="AE69">
        <v>-2.5400000000047301E-2</v>
      </c>
      <c r="AF69">
        <v>3.43845334928072E-2</v>
      </c>
      <c r="AG69">
        <v>-6.0378999999999898E-2</v>
      </c>
      <c r="AH69">
        <v>0.66268544577537103</v>
      </c>
      <c r="AI69">
        <v>95.199038467451999</v>
      </c>
      <c r="AJ69">
        <v>87.029777040666104</v>
      </c>
      <c r="AK69">
        <v>0.66631818212249005</v>
      </c>
      <c r="AL69">
        <v>86.445032908192402</v>
      </c>
      <c r="AM69">
        <v>93.425275099201698</v>
      </c>
      <c r="AN69">
        <v>1.00000002204475</v>
      </c>
    </row>
    <row r="70" spans="1:40" x14ac:dyDescent="0.3">
      <c r="A70" t="str">
        <f>"20200111150222659"</f>
        <v>20200111150222659</v>
      </c>
      <c r="B70" t="str">
        <f>"1578726142655057"</f>
        <v>1578726142655057</v>
      </c>
      <c r="C70" t="s">
        <v>40</v>
      </c>
      <c r="D70">
        <v>5.4294079999999996</v>
      </c>
      <c r="E70">
        <v>0.52444139999999995</v>
      </c>
      <c r="F70" t="s">
        <v>42</v>
      </c>
      <c r="G70">
        <v>-472.5421</v>
      </c>
      <c r="H70">
        <v>1.0385500000000001</v>
      </c>
      <c r="I70">
        <v>367.53840000000002</v>
      </c>
      <c r="J70">
        <v>-473.19420000000002</v>
      </c>
      <c r="K70">
        <v>1.1022240000000001</v>
      </c>
      <c r="L70">
        <v>367.56580000000002</v>
      </c>
      <c r="M70">
        <v>0.99989099999999997</v>
      </c>
      <c r="N70">
        <v>0</v>
      </c>
      <c r="O70">
        <v>1.419286E-2</v>
      </c>
      <c r="P70">
        <v>0.99511430000000001</v>
      </c>
      <c r="Q70">
        <v>6.4447290000000004E-2</v>
      </c>
      <c r="R70">
        <v>7.4795840000000002E-2</v>
      </c>
      <c r="S70">
        <v>3.0379640000000001</v>
      </c>
      <c r="T70">
        <v>-0.24394579999999999</v>
      </c>
      <c r="U70">
        <v>-9.4451900000000005E-2</v>
      </c>
      <c r="V70">
        <v>-6.0680560000000001E-2</v>
      </c>
      <c r="W70">
        <v>6.0381690000000002E-2</v>
      </c>
      <c r="X70">
        <v>0.99632920000000003</v>
      </c>
      <c r="Y70">
        <v>4.5067929999999999E-2</v>
      </c>
      <c r="Z70">
        <v>-2.9437280000000001E-3</v>
      </c>
      <c r="AA70">
        <v>0.99897959999999997</v>
      </c>
      <c r="AB70">
        <v>14</v>
      </c>
      <c r="AC70">
        <v>0.652100000000018</v>
      </c>
      <c r="AD70">
        <v>-6.3673999999999703E-2</v>
      </c>
      <c r="AE70">
        <v>-2.7400000000000001E-2</v>
      </c>
      <c r="AF70">
        <v>3.6306924081462903E-2</v>
      </c>
      <c r="AG70">
        <v>-6.3673999999999703E-2</v>
      </c>
      <c r="AH70">
        <v>0.64550176869828002</v>
      </c>
      <c r="AI70">
        <v>95.624748859782301</v>
      </c>
      <c r="AJ70">
        <v>86.7807307674979</v>
      </c>
      <c r="AK70">
        <v>0.64964998607316604</v>
      </c>
      <c r="AL70">
        <v>86.538278202503093</v>
      </c>
      <c r="AM70">
        <v>93.485244391727505</v>
      </c>
      <c r="AN70">
        <v>0.99999997681090402</v>
      </c>
    </row>
    <row r="71" spans="1:40" x14ac:dyDescent="0.3">
      <c r="A71" t="str">
        <f>"20200111150222681"</f>
        <v>20200111150222681</v>
      </c>
      <c r="B71" t="str">
        <f>"1578726142675552"</f>
        <v>1578726142675552</v>
      </c>
      <c r="C71" t="s">
        <v>40</v>
      </c>
      <c r="D71">
        <v>5.4209139999999998</v>
      </c>
      <c r="E71">
        <v>0.54555659999999995</v>
      </c>
      <c r="F71" t="s">
        <v>44</v>
      </c>
      <c r="G71">
        <v>0</v>
      </c>
      <c r="H71">
        <v>0</v>
      </c>
      <c r="I71">
        <v>0</v>
      </c>
      <c r="J71">
        <v>-473.05279999999999</v>
      </c>
      <c r="K71">
        <v>1.1022240000000001</v>
      </c>
      <c r="L71">
        <v>367.56819999999999</v>
      </c>
      <c r="M71">
        <v>0.99988779999999999</v>
      </c>
      <c r="N71">
        <v>0</v>
      </c>
      <c r="O71">
        <v>1.4469360000000001E-2</v>
      </c>
      <c r="P71">
        <v>0.99490279999999998</v>
      </c>
      <c r="Q71">
        <v>6.4723359999999994E-2</v>
      </c>
      <c r="R71">
        <v>7.7328729999999998E-2</v>
      </c>
      <c r="S71">
        <v>2.9447939999999999</v>
      </c>
      <c r="T71">
        <v>1.0566169999999999</v>
      </c>
      <c r="U71">
        <v>1.934814E-2</v>
      </c>
      <c r="V71">
        <v>-6.293588E-2</v>
      </c>
      <c r="W71">
        <v>6.0813369999999999E-2</v>
      </c>
      <c r="X71">
        <v>0.99616309999999997</v>
      </c>
      <c r="Y71">
        <v>6.5855150000000001E-3</v>
      </c>
      <c r="Z71">
        <v>6.1800850000000001E-3</v>
      </c>
      <c r="AA71">
        <v>0.99995919999999905</v>
      </c>
      <c r="AB71">
        <v>14</v>
      </c>
      <c r="AC71">
        <v>2.9447939999999999</v>
      </c>
      <c r="AD71">
        <v>1.0566169999999999</v>
      </c>
      <c r="AE71">
        <v>1.934814E-2</v>
      </c>
      <c r="AF71">
        <v>2.061017800398E-2</v>
      </c>
      <c r="AG71">
        <v>1.0566169999999999</v>
      </c>
      <c r="AH71">
        <v>2.6089010854202099</v>
      </c>
      <c r="AI71">
        <v>67.952447033850802</v>
      </c>
      <c r="AJ71">
        <v>89.547375844820607</v>
      </c>
      <c r="AK71">
        <v>2.8148231094747498</v>
      </c>
      <c r="AL71">
        <v>86.513499500599593</v>
      </c>
      <c r="AM71">
        <v>93.615044600389396</v>
      </c>
      <c r="AN71">
        <v>1.0000000563818601</v>
      </c>
    </row>
    <row r="72" spans="1:40" x14ac:dyDescent="0.3">
      <c r="A72" t="str">
        <f>"20200111150222703"</f>
        <v>20200111150222703</v>
      </c>
      <c r="B72" t="str">
        <f>"1578726142695072"</f>
        <v>1578726142695072</v>
      </c>
      <c r="C72" t="s">
        <v>40</v>
      </c>
      <c r="D72">
        <v>5.3847370000000003</v>
      </c>
      <c r="E72">
        <v>0.54548129999999995</v>
      </c>
      <c r="F72" t="s">
        <v>42</v>
      </c>
      <c r="G72">
        <v>-472.28199999999998</v>
      </c>
      <c r="H72">
        <v>1.037887</v>
      </c>
      <c r="I72">
        <v>367.53590000000003</v>
      </c>
      <c r="J72">
        <v>-472.90359999999998</v>
      </c>
      <c r="K72">
        <v>1.1022110000000001</v>
      </c>
      <c r="L72">
        <v>367.57060000000001</v>
      </c>
      <c r="M72">
        <v>0.99988529999999998</v>
      </c>
      <c r="N72">
        <v>0</v>
      </c>
      <c r="O72">
        <v>1.4681629999999999E-2</v>
      </c>
      <c r="P72">
        <v>0.99461809999999995</v>
      </c>
      <c r="Q72">
        <v>6.6021730000000001E-2</v>
      </c>
      <c r="R72">
        <v>7.9849920000000005E-2</v>
      </c>
      <c r="S72">
        <v>3.041687</v>
      </c>
      <c r="T72">
        <v>-0.25407570000000002</v>
      </c>
      <c r="U72">
        <v>-0.1262817</v>
      </c>
      <c r="V72">
        <v>-6.5243120000000002E-2</v>
      </c>
      <c r="W72">
        <v>6.2278300000000002E-2</v>
      </c>
      <c r="X72">
        <v>0.99592409999999998</v>
      </c>
      <c r="Y72">
        <v>5.5900459999999999E-2</v>
      </c>
      <c r="Z72">
        <v>-3.5534450000000001E-3</v>
      </c>
      <c r="AA72">
        <v>0.99843000000000004</v>
      </c>
      <c r="AB72">
        <v>14</v>
      </c>
      <c r="AC72">
        <v>0.62160000000000004</v>
      </c>
      <c r="AD72">
        <v>-6.4324000000000006E-2</v>
      </c>
      <c r="AE72">
        <v>-3.4699999999986603E-2</v>
      </c>
      <c r="AF72">
        <v>4.3359555803110197E-2</v>
      </c>
      <c r="AG72">
        <v>-6.4324000000000006E-2</v>
      </c>
      <c r="AH72">
        <v>0.61446406825379396</v>
      </c>
      <c r="AI72">
        <v>95.961416452746107</v>
      </c>
      <c r="AJ72">
        <v>85.9636234521397</v>
      </c>
      <c r="AK72">
        <v>0.61934135921190203</v>
      </c>
      <c r="AL72">
        <v>86.429405684848604</v>
      </c>
      <c r="AM72">
        <v>93.748098492554405</v>
      </c>
      <c r="AN72">
        <v>1.0000000321595099</v>
      </c>
    </row>
    <row r="73" spans="1:40" x14ac:dyDescent="0.3">
      <c r="A73" t="str">
        <f>"20200111150222718"</f>
        <v>20200111150222718</v>
      </c>
      <c r="B73" t="str">
        <f>"1578726142715568"</f>
        <v>1578726142715568</v>
      </c>
      <c r="C73" t="s">
        <v>40</v>
      </c>
      <c r="D73">
        <v>4.8509929999999999</v>
      </c>
      <c r="E73">
        <v>0.54545869999999996</v>
      </c>
      <c r="F73" t="s">
        <v>42</v>
      </c>
      <c r="G73">
        <v>-472.14510000000001</v>
      </c>
      <c r="H73">
        <v>1.0453589999999999</v>
      </c>
      <c r="I73">
        <v>367.54090000000002</v>
      </c>
      <c r="J73">
        <v>-472.80520000000001</v>
      </c>
      <c r="K73">
        <v>1.102187</v>
      </c>
      <c r="L73">
        <v>367.57229999999998</v>
      </c>
      <c r="M73">
        <v>0.99988429999999995</v>
      </c>
      <c r="N73">
        <v>0</v>
      </c>
      <c r="O73">
        <v>1.4760799999999999E-2</v>
      </c>
      <c r="P73">
        <v>0.99446840000000003</v>
      </c>
      <c r="Q73">
        <v>6.7020969999999999E-2</v>
      </c>
      <c r="R73">
        <v>8.0874420000000002E-2</v>
      </c>
      <c r="S73">
        <v>3.0408629999999999</v>
      </c>
      <c r="T73">
        <v>-0.22800290000000001</v>
      </c>
      <c r="U73">
        <v>-0.1191711</v>
      </c>
      <c r="V73">
        <v>-6.6184430000000002E-2</v>
      </c>
      <c r="W73">
        <v>6.3384759999999998E-2</v>
      </c>
      <c r="X73">
        <v>0.99579220000000002</v>
      </c>
      <c r="Y73">
        <v>5.3713209999999997E-2</v>
      </c>
      <c r="Z73">
        <v>-3.1149519999999998E-3</v>
      </c>
      <c r="AA73">
        <v>0.99855150000000004</v>
      </c>
      <c r="AB73">
        <v>15</v>
      </c>
      <c r="AC73">
        <v>0.66009999999999902</v>
      </c>
      <c r="AD73">
        <v>-5.6828000000000101E-2</v>
      </c>
      <c r="AE73">
        <v>-3.1399999999962298E-2</v>
      </c>
      <c r="AF73">
        <v>4.0838260056431701E-2</v>
      </c>
      <c r="AG73">
        <v>-5.6828000000000101E-2</v>
      </c>
      <c r="AH73">
        <v>0.65472307564033005</v>
      </c>
      <c r="AI73">
        <v>94.951095271816399</v>
      </c>
      <c r="AJ73">
        <v>86.430807786580004</v>
      </c>
      <c r="AK73">
        <v>0.65845234515822804</v>
      </c>
      <c r="AL73">
        <v>86.365884774321799</v>
      </c>
      <c r="AM73">
        <v>93.802519683763904</v>
      </c>
      <c r="AN73">
        <v>1.00000005607775</v>
      </c>
    </row>
    <row r="74" spans="1:40" x14ac:dyDescent="0.3">
      <c r="A74" t="str">
        <f>"20200111150222736"</f>
        <v>20200111150222736</v>
      </c>
      <c r="B74" t="str">
        <f>"1578726142725328"</f>
        <v>1578726142725328</v>
      </c>
      <c r="C74" t="s">
        <v>40</v>
      </c>
      <c r="D74">
        <v>5.6179699999999997</v>
      </c>
      <c r="E74">
        <v>0.5406455</v>
      </c>
      <c r="F74" t="s">
        <v>42</v>
      </c>
      <c r="G74">
        <v>-472.01</v>
      </c>
      <c r="H74">
        <v>1.0444580000000001</v>
      </c>
      <c r="I74">
        <v>367.5419</v>
      </c>
      <c r="J74">
        <v>-472.67959999999999</v>
      </c>
      <c r="K74">
        <v>1.102144</v>
      </c>
      <c r="L74">
        <v>367.57420000000002</v>
      </c>
      <c r="M74">
        <v>0.99988449999999995</v>
      </c>
      <c r="N74">
        <v>0</v>
      </c>
      <c r="O74">
        <v>1.4786189999999999E-2</v>
      </c>
      <c r="P74">
        <v>0.99431429999999998</v>
      </c>
      <c r="Q74">
        <v>6.8376419999999993E-2</v>
      </c>
      <c r="R74">
        <v>8.1633609999999995E-2</v>
      </c>
      <c r="S74">
        <v>3.0409549999999999</v>
      </c>
      <c r="T74">
        <v>-0.22079660000000001</v>
      </c>
      <c r="U74">
        <v>-0.1159058</v>
      </c>
      <c r="V74">
        <v>-6.6911150000000003E-2</v>
      </c>
      <c r="W74">
        <v>6.4872760000000002E-2</v>
      </c>
      <c r="X74">
        <v>0.99564770000000002</v>
      </c>
      <c r="Y74">
        <v>5.2681289999999999E-2</v>
      </c>
      <c r="Z74">
        <v>-2.9811719999999998E-3</v>
      </c>
      <c r="AA74">
        <v>0.99860689999999996</v>
      </c>
      <c r="AB74">
        <v>15</v>
      </c>
      <c r="AC74">
        <v>0.66960000000000197</v>
      </c>
      <c r="AD74">
        <v>-5.7686000000000098E-2</v>
      </c>
      <c r="AE74">
        <v>-3.2300000000020597E-2</v>
      </c>
      <c r="AF74">
        <v>4.18872055795435E-2</v>
      </c>
      <c r="AG74">
        <v>-5.7686000000000098E-2</v>
      </c>
      <c r="AH74">
        <v>0.66413158322702504</v>
      </c>
      <c r="AI74">
        <v>94.954416534198899</v>
      </c>
      <c r="AJ74">
        <v>86.391098604919193</v>
      </c>
      <c r="AK74">
        <v>0.66794683353310202</v>
      </c>
      <c r="AL74">
        <v>86.280452442024398</v>
      </c>
      <c r="AM74">
        <v>93.844703934423507</v>
      </c>
      <c r="AN74">
        <v>0.99999995974981404</v>
      </c>
    </row>
    <row r="75" spans="1:40" x14ac:dyDescent="0.3">
      <c r="A75" t="str">
        <f>"20200111150222758"</f>
        <v>20200111150222758</v>
      </c>
      <c r="B75" t="str">
        <f>"1578726142755584"</f>
        <v>1578726142755584</v>
      </c>
      <c r="C75" t="s">
        <v>40</v>
      </c>
      <c r="D75">
        <v>4.7541609999999999</v>
      </c>
      <c r="E75">
        <v>0.53877010000000003</v>
      </c>
      <c r="F75" t="s">
        <v>41</v>
      </c>
      <c r="G75">
        <v>-449.30689999999998</v>
      </c>
      <c r="H75" s="1">
        <v>-9.4845690000000004E-7</v>
      </c>
      <c r="I75">
        <v>366.99270000000001</v>
      </c>
      <c r="J75">
        <v>-472.5274</v>
      </c>
      <c r="K75">
        <v>1.1020719999999999</v>
      </c>
      <c r="L75">
        <v>367.57650000000001</v>
      </c>
      <c r="M75">
        <v>0.99988659999999996</v>
      </c>
      <c r="N75">
        <v>0</v>
      </c>
      <c r="O75">
        <v>1.468065E-2</v>
      </c>
      <c r="P75">
        <v>0.99408450000000004</v>
      </c>
      <c r="Q75">
        <v>7.0220829999999998E-2</v>
      </c>
      <c r="R75">
        <v>8.2856949999999999E-2</v>
      </c>
      <c r="S75">
        <v>3.0331730000000001</v>
      </c>
      <c r="T75">
        <v>-0.1430302</v>
      </c>
      <c r="U75">
        <v>-7.5469969999999997E-2</v>
      </c>
      <c r="V75">
        <v>-6.8227599999999999E-2</v>
      </c>
      <c r="W75">
        <v>6.6868269999999994E-2</v>
      </c>
      <c r="X75">
        <v>0.99542640000000004</v>
      </c>
      <c r="Y75">
        <v>3.9487179999999997E-2</v>
      </c>
      <c r="Z75">
        <v>-1.6221510000000001E-3</v>
      </c>
      <c r="AA75">
        <v>0.99921879999999996</v>
      </c>
      <c r="AB75">
        <v>15</v>
      </c>
      <c r="AC75">
        <v>23.220500000000001</v>
      </c>
      <c r="AD75">
        <v>-1.1020729484568901</v>
      </c>
      <c r="AE75">
        <v>-0.58379999999999599</v>
      </c>
      <c r="AF75">
        <v>0.922554237019932</v>
      </c>
      <c r="AG75">
        <v>-1.1020729484568901</v>
      </c>
      <c r="AH75">
        <v>23.157296576439801</v>
      </c>
      <c r="AI75">
        <v>92.722536543860997</v>
      </c>
      <c r="AJ75">
        <v>87.718622877965799</v>
      </c>
      <c r="AK75">
        <v>23.201854577450401</v>
      </c>
      <c r="AL75">
        <v>86.165869587947498</v>
      </c>
      <c r="AM75">
        <v>93.920982150133995</v>
      </c>
      <c r="AN75">
        <v>1.00000004437575</v>
      </c>
    </row>
    <row r="76" spans="1:40" x14ac:dyDescent="0.3">
      <c r="A76" t="str">
        <f>"20200111150222773"</f>
        <v>20200111150222773</v>
      </c>
      <c r="B76" t="str">
        <f>"1578726142765344"</f>
        <v>1578726142765344</v>
      </c>
      <c r="C76" t="s">
        <v>40</v>
      </c>
      <c r="D76">
        <v>5.196148</v>
      </c>
      <c r="E76">
        <v>0.53820239999999997</v>
      </c>
      <c r="F76" t="s">
        <v>42</v>
      </c>
      <c r="G76">
        <v>-471.71409999999997</v>
      </c>
      <c r="H76">
        <v>1.0597810000000001</v>
      </c>
      <c r="I76">
        <v>367.56110000000001</v>
      </c>
      <c r="J76">
        <v>-472.42660000000001</v>
      </c>
      <c r="K76">
        <v>1.1020179999999999</v>
      </c>
      <c r="L76">
        <v>367.5779</v>
      </c>
      <c r="M76">
        <v>0.99988900000000003</v>
      </c>
      <c r="N76">
        <v>0</v>
      </c>
      <c r="O76">
        <v>1.4531270000000001E-2</v>
      </c>
      <c r="P76">
        <v>0.99398509999999995</v>
      </c>
      <c r="Q76">
        <v>7.0985210000000007E-2</v>
      </c>
      <c r="R76">
        <v>8.3397589999999994E-2</v>
      </c>
      <c r="S76">
        <v>3.033722</v>
      </c>
      <c r="T76">
        <v>-0.15786449999999999</v>
      </c>
      <c r="U76">
        <v>-5.6426999999999998E-2</v>
      </c>
      <c r="V76">
        <v>-6.8908059999999993E-2</v>
      </c>
      <c r="W76">
        <v>6.7726529999999993E-2</v>
      </c>
      <c r="X76">
        <v>0.99532149999999997</v>
      </c>
      <c r="Y76">
        <v>3.3059209999999999E-2</v>
      </c>
      <c r="Z76">
        <v>-1.6150779999999901E-3</v>
      </c>
      <c r="AA76">
        <v>0.99945209999999995</v>
      </c>
      <c r="AB76">
        <v>15</v>
      </c>
      <c r="AC76">
        <v>0.712500000000034</v>
      </c>
      <c r="AD76">
        <v>-4.2236999999999997E-2</v>
      </c>
      <c r="AE76">
        <v>-1.6799999999989199E-2</v>
      </c>
      <c r="AF76">
        <v>2.70567841898946E-2</v>
      </c>
      <c r="AG76">
        <v>-4.2236999999999997E-2</v>
      </c>
      <c r="AH76">
        <v>0.70968810134223703</v>
      </c>
      <c r="AI76">
        <v>93.403466995175705</v>
      </c>
      <c r="AJ76">
        <v>87.816661857913701</v>
      </c>
      <c r="AK76">
        <v>0.71145852649781904</v>
      </c>
      <c r="AL76">
        <v>86.116583184869896</v>
      </c>
      <c r="AM76">
        <v>93.960379829881404</v>
      </c>
      <c r="AN76">
        <v>1.0000000459805201</v>
      </c>
    </row>
    <row r="77" spans="1:40" x14ac:dyDescent="0.3">
      <c r="A77" t="str">
        <f>"20200111150222792"</f>
        <v>20200111150222792</v>
      </c>
      <c r="B77" t="str">
        <f>"1578726142785840"</f>
        <v>1578726142785840</v>
      </c>
      <c r="C77" t="s">
        <v>40</v>
      </c>
      <c r="D77">
        <v>5.4437360000000004</v>
      </c>
      <c r="E77">
        <v>0.53990719999999903</v>
      </c>
      <c r="F77" t="s">
        <v>42</v>
      </c>
      <c r="G77">
        <v>-471.57339999999999</v>
      </c>
      <c r="H77">
        <v>1.0595870000000001</v>
      </c>
      <c r="I77">
        <v>367.56310000000002</v>
      </c>
      <c r="J77">
        <v>-472.28559999999999</v>
      </c>
      <c r="K77">
        <v>1.1019399999999999</v>
      </c>
      <c r="L77">
        <v>367.5797</v>
      </c>
      <c r="M77">
        <v>0.99989410000000001</v>
      </c>
      <c r="N77">
        <v>0</v>
      </c>
      <c r="O77">
        <v>1.4196240000000001E-2</v>
      </c>
      <c r="P77">
        <v>0.99371109999999896</v>
      </c>
      <c r="Q77">
        <v>7.2849360000000002E-2</v>
      </c>
      <c r="R77">
        <v>8.5036879999999995E-2</v>
      </c>
      <c r="S77">
        <v>3.0332340000000002</v>
      </c>
      <c r="T77">
        <v>-0.1510164</v>
      </c>
      <c r="U77">
        <v>-5.0720210000000002E-2</v>
      </c>
      <c r="V77">
        <v>-7.0867830000000007E-2</v>
      </c>
      <c r="W77">
        <v>6.9711190000000006E-2</v>
      </c>
      <c r="X77">
        <v>0.99504680000000001</v>
      </c>
      <c r="Y77">
        <v>3.0856020000000001E-2</v>
      </c>
      <c r="Z77">
        <v>-1.4739009999999999E-3</v>
      </c>
      <c r="AA77">
        <v>0.99952269999999999</v>
      </c>
      <c r="AB77">
        <v>16</v>
      </c>
      <c r="AC77">
        <v>0.71219999999999495</v>
      </c>
      <c r="AD77">
        <v>-4.2352999999999801E-2</v>
      </c>
      <c r="AE77">
        <v>-1.6599999999982601E-2</v>
      </c>
      <c r="AF77">
        <v>2.66148707641304E-2</v>
      </c>
      <c r="AG77">
        <v>-4.2352999999999801E-2</v>
      </c>
      <c r="AH77">
        <v>0.70938524549688797</v>
      </c>
      <c r="AI77">
        <v>93.414323851204003</v>
      </c>
      <c r="AJ77">
        <v>87.851372185184104</v>
      </c>
      <c r="AK77">
        <v>0.71114664766380697</v>
      </c>
      <c r="AL77">
        <v>86.002600966087101</v>
      </c>
      <c r="AM77">
        <v>94.0737611994237</v>
      </c>
      <c r="AN77">
        <v>1.0000000167651799</v>
      </c>
    </row>
    <row r="78" spans="1:40" x14ac:dyDescent="0.3">
      <c r="A78" t="str">
        <f>"20200111150222805"</f>
        <v>20200111150222805</v>
      </c>
      <c r="B78" t="str">
        <f>"1578726142795600"</f>
        <v>1578726142795600</v>
      </c>
      <c r="C78" t="s">
        <v>40</v>
      </c>
      <c r="D78">
        <v>5.3455000000000004</v>
      </c>
      <c r="E78">
        <v>0.53976179999999996</v>
      </c>
      <c r="F78" t="s">
        <v>42</v>
      </c>
      <c r="G78">
        <v>-471.4375</v>
      </c>
      <c r="H78">
        <v>1.0572140000000001</v>
      </c>
      <c r="I78">
        <v>367.56299999999999</v>
      </c>
      <c r="J78">
        <v>-472.19159999999999</v>
      </c>
      <c r="K78">
        <v>1.1018790000000001</v>
      </c>
      <c r="L78">
        <v>367.58080000000001</v>
      </c>
      <c r="M78">
        <v>0.99989859999999997</v>
      </c>
      <c r="N78">
        <v>0</v>
      </c>
      <c r="O78">
        <v>1.3896210000000001E-2</v>
      </c>
      <c r="P78">
        <v>0.99365700000000001</v>
      </c>
      <c r="Q78">
        <v>7.2998419999999994E-2</v>
      </c>
      <c r="R78">
        <v>8.5540829999999998E-2</v>
      </c>
      <c r="S78">
        <v>3.0358580000000002</v>
      </c>
      <c r="T78">
        <v>-0.16019510000000001</v>
      </c>
      <c r="U78">
        <v>-5.9082030000000001E-2</v>
      </c>
      <c r="V78">
        <v>-7.1660009999999996E-2</v>
      </c>
      <c r="W78">
        <v>6.9934289999999996E-2</v>
      </c>
      <c r="X78">
        <v>0.99497440000000004</v>
      </c>
      <c r="Y78">
        <v>3.3283859999999998E-2</v>
      </c>
      <c r="Z78">
        <v>-1.6101640000000001E-3</v>
      </c>
      <c r="AA78">
        <v>0.99944469999999996</v>
      </c>
      <c r="AB78">
        <v>16</v>
      </c>
      <c r="AC78">
        <v>0.754099999999994</v>
      </c>
      <c r="AD78">
        <v>-4.46650000000001E-2</v>
      </c>
      <c r="AE78">
        <v>-1.77999999999656E-2</v>
      </c>
      <c r="AF78">
        <v>2.8178664351405799E-2</v>
      </c>
      <c r="AG78">
        <v>-4.46650000000001E-2</v>
      </c>
      <c r="AH78">
        <v>0.75114617410822604</v>
      </c>
      <c r="AI78">
        <v>93.400554765881694</v>
      </c>
      <c r="AJ78">
        <v>87.851600854212606</v>
      </c>
      <c r="AK78">
        <v>0.75300038129276903</v>
      </c>
      <c r="AL78">
        <v>85.989786974320396</v>
      </c>
      <c r="AM78">
        <v>94.119441632458205</v>
      </c>
      <c r="AN78">
        <v>1.00000000930318</v>
      </c>
    </row>
    <row r="79" spans="1:40" x14ac:dyDescent="0.3">
      <c r="A79" t="str">
        <f>"20200111150222826"</f>
        <v>20200111150222826</v>
      </c>
      <c r="B79" t="str">
        <f>"1578726142816098"</f>
        <v>1578726142816098</v>
      </c>
      <c r="C79" t="s">
        <v>40</v>
      </c>
      <c r="D79">
        <v>5.4016500000000001</v>
      </c>
      <c r="E79">
        <v>0.53589980000000004</v>
      </c>
      <c r="F79" t="s">
        <v>41</v>
      </c>
      <c r="G79">
        <v>-451.9008</v>
      </c>
      <c r="H79" s="1">
        <v>-3.8847689999999998E-6</v>
      </c>
      <c r="I79">
        <v>367.2038</v>
      </c>
      <c r="J79">
        <v>-472.03870000000001</v>
      </c>
      <c r="K79">
        <v>1.1017889999999999</v>
      </c>
      <c r="L79">
        <v>367.58229999999998</v>
      </c>
      <c r="M79">
        <v>0.99990710000000005</v>
      </c>
      <c r="N79">
        <v>0</v>
      </c>
      <c r="O79">
        <v>1.328709E-2</v>
      </c>
      <c r="P79">
        <v>0.99361790000000005</v>
      </c>
      <c r="Q79">
        <v>7.3282299999999995E-2</v>
      </c>
      <c r="R79">
        <v>8.5752789999999995E-2</v>
      </c>
      <c r="S79">
        <v>3.0360719999999999</v>
      </c>
      <c r="T79">
        <v>-0.1648723</v>
      </c>
      <c r="U79">
        <v>-5.6396479999999999E-2</v>
      </c>
      <c r="V79">
        <v>-7.2461670000000006E-2</v>
      </c>
      <c r="W79">
        <v>7.0326710000000001E-2</v>
      </c>
      <c r="X79">
        <v>0.99488869999999896</v>
      </c>
      <c r="Y79">
        <v>3.1789099999999897E-2</v>
      </c>
      <c r="Z79">
        <v>-1.5834009999999999E-3</v>
      </c>
      <c r="AA79">
        <v>0.99949339999999998</v>
      </c>
      <c r="AB79">
        <v>16</v>
      </c>
      <c r="AC79">
        <v>20.137899999999998</v>
      </c>
      <c r="AD79">
        <v>-1.1017928847689999</v>
      </c>
      <c r="AE79">
        <v>-0.37849999999997402</v>
      </c>
      <c r="AF79">
        <v>0.64411447166700797</v>
      </c>
      <c r="AG79">
        <v>-1.1017928847689999</v>
      </c>
      <c r="AH79">
        <v>20.0710327233048</v>
      </c>
      <c r="AI79">
        <v>93.140466278904796</v>
      </c>
      <c r="AJ79">
        <v>88.1619092636939</v>
      </c>
      <c r="AK79">
        <v>20.1115684518516</v>
      </c>
      <c r="AL79">
        <v>85.967247562383704</v>
      </c>
      <c r="AM79">
        <v>94.165722026108796</v>
      </c>
      <c r="AN79">
        <v>1.00000003257315</v>
      </c>
    </row>
    <row r="80" spans="1:40" x14ac:dyDescent="0.3">
      <c r="A80" t="str">
        <f>"20200111150222839"</f>
        <v>20200111150222839</v>
      </c>
      <c r="B80" t="str">
        <f>"1578726142835616"</f>
        <v>1578726142835616</v>
      </c>
      <c r="C80" t="s">
        <v>40</v>
      </c>
      <c r="D80">
        <v>5.3747230000000004</v>
      </c>
      <c r="E80">
        <v>0.53275729999999999</v>
      </c>
      <c r="F80" t="s">
        <v>41</v>
      </c>
      <c r="G80">
        <v>-446.49259999999998</v>
      </c>
      <c r="H80" s="1">
        <v>-2.0367529999999999E-6</v>
      </c>
      <c r="I80">
        <v>367.37090000000001</v>
      </c>
      <c r="J80">
        <v>-471.94200000000001</v>
      </c>
      <c r="K80">
        <v>1.101731</v>
      </c>
      <c r="L80">
        <v>367.58319999999998</v>
      </c>
      <c r="M80">
        <v>0.99991350000000001</v>
      </c>
      <c r="N80">
        <v>0</v>
      </c>
      <c r="O80">
        <v>1.281496E-2</v>
      </c>
      <c r="P80">
        <v>0.99360079999999995</v>
      </c>
      <c r="Q80">
        <v>7.3791609999999994E-2</v>
      </c>
      <c r="R80">
        <v>8.5513030000000004E-2</v>
      </c>
      <c r="S80">
        <v>3.0310670000000002</v>
      </c>
      <c r="T80">
        <v>-0.13072839999999999</v>
      </c>
      <c r="U80">
        <v>-2.5085449999999999E-2</v>
      </c>
      <c r="V80">
        <v>-7.2681229999999999E-2</v>
      </c>
      <c r="W80">
        <v>7.0897489999999994E-2</v>
      </c>
      <c r="X80">
        <v>0.99483220000000006</v>
      </c>
      <c r="Y80">
        <v>2.1058239999999999E-2</v>
      </c>
      <c r="Z80">
        <v>-1.006332E-3</v>
      </c>
      <c r="AA80">
        <v>0.99977769999999999</v>
      </c>
      <c r="AB80">
        <v>16</v>
      </c>
      <c r="AC80">
        <v>25.449399999999901</v>
      </c>
      <c r="AD80">
        <v>-1.1017330367530001</v>
      </c>
      <c r="AE80">
        <v>-0.21229999999997001</v>
      </c>
      <c r="AF80">
        <v>0.53740993863485398</v>
      </c>
      <c r="AG80">
        <v>-1.1017330367530001</v>
      </c>
      <c r="AH80">
        <v>25.396995843329702</v>
      </c>
      <c r="AI80">
        <v>92.483403933143194</v>
      </c>
      <c r="AJ80">
        <v>88.787780765323006</v>
      </c>
      <c r="AK80">
        <v>25.426561367839799</v>
      </c>
      <c r="AL80">
        <v>85.934462556024002</v>
      </c>
      <c r="AM80">
        <v>94.178536053352602</v>
      </c>
      <c r="AN80">
        <v>1.0000000607197199</v>
      </c>
    </row>
    <row r="81" spans="1:40" x14ac:dyDescent="0.3">
      <c r="A81" t="str">
        <f>"20200111150222858"</f>
        <v>20200111150222858</v>
      </c>
      <c r="B81" t="str">
        <f>"1578726142856112"</f>
        <v>1578726142856112</v>
      </c>
      <c r="C81" t="s">
        <v>40</v>
      </c>
      <c r="D81">
        <v>5.3237730000000001</v>
      </c>
      <c r="E81">
        <v>0.53122360000000002</v>
      </c>
      <c r="F81" t="s">
        <v>41</v>
      </c>
      <c r="G81">
        <v>-442.95100000000002</v>
      </c>
      <c r="H81" s="1">
        <v>-3.6742010000000001E-6</v>
      </c>
      <c r="I81">
        <v>367.57760000000002</v>
      </c>
      <c r="J81">
        <v>-471.80259999999998</v>
      </c>
      <c r="K81">
        <v>1.10165</v>
      </c>
      <c r="L81">
        <v>367.58429999999998</v>
      </c>
      <c r="M81">
        <v>0.99992309999999995</v>
      </c>
      <c r="N81">
        <v>0</v>
      </c>
      <c r="O81">
        <v>1.205736E-2</v>
      </c>
      <c r="P81">
        <v>0.99356369999999905</v>
      </c>
      <c r="Q81">
        <v>7.5075970000000006E-2</v>
      </c>
      <c r="R81">
        <v>8.4824269999999993E-2</v>
      </c>
      <c r="S81">
        <v>3.0278930000000002</v>
      </c>
      <c r="T81">
        <v>-0.1150682</v>
      </c>
      <c r="U81">
        <v>-5.7983399999999999E-4</v>
      </c>
      <c r="V81">
        <v>-7.2730530000000002E-2</v>
      </c>
      <c r="W81">
        <v>7.2262499999999993E-2</v>
      </c>
      <c r="X81">
        <v>0.99473029999999996</v>
      </c>
      <c r="Y81">
        <v>1.223136E-2</v>
      </c>
      <c r="Z81">
        <v>-6.9036970000000005E-4</v>
      </c>
      <c r="AA81">
        <v>0.99992499999999995</v>
      </c>
      <c r="AB81">
        <v>16</v>
      </c>
      <c r="AC81">
        <v>28.851600000000001</v>
      </c>
      <c r="AD81">
        <v>-1.1016536742009999</v>
      </c>
      <c r="AE81">
        <v>-6.6999999999666198E-3</v>
      </c>
      <c r="AF81">
        <v>0.354058894937271</v>
      </c>
      <c r="AG81">
        <v>-1.1016536742009999</v>
      </c>
      <c r="AH81">
        <v>28.807421373490101</v>
      </c>
      <c r="AI81">
        <v>92.189873305996699</v>
      </c>
      <c r="AJ81">
        <v>89.295839125835499</v>
      </c>
      <c r="AK81">
        <v>28.8306525196496</v>
      </c>
      <c r="AL81">
        <v>85.856051791851598</v>
      </c>
      <c r="AM81">
        <v>94.181787141860397</v>
      </c>
      <c r="AN81">
        <v>0.99999998431921</v>
      </c>
    </row>
    <row r="82" spans="1:40" x14ac:dyDescent="0.3">
      <c r="A82" t="str">
        <f>"20200111150222872"</f>
        <v>20200111150222872</v>
      </c>
      <c r="B82" t="str">
        <f>"1578726142865872"</f>
        <v>1578726142865872</v>
      </c>
      <c r="C82" t="s">
        <v>40</v>
      </c>
      <c r="D82">
        <v>5.3752300000000002</v>
      </c>
      <c r="E82">
        <v>0.53069219999999995</v>
      </c>
      <c r="F82" t="s">
        <v>41</v>
      </c>
      <c r="G82">
        <v>-441.82580000000002</v>
      </c>
      <c r="H82" s="1">
        <v>-4.188094E-6</v>
      </c>
      <c r="I82">
        <v>367.67919999999998</v>
      </c>
      <c r="J82">
        <v>-471.69130000000001</v>
      </c>
      <c r="K82">
        <v>1.1015950000000001</v>
      </c>
      <c r="L82">
        <v>367.58499999999998</v>
      </c>
      <c r="M82">
        <v>0.99993100000000001</v>
      </c>
      <c r="N82">
        <v>0</v>
      </c>
      <c r="O82">
        <v>1.1390630000000001E-2</v>
      </c>
      <c r="P82">
        <v>0.99363760000000001</v>
      </c>
      <c r="Q82">
        <v>7.5334940000000003E-2</v>
      </c>
      <c r="R82">
        <v>8.3721699999999996E-2</v>
      </c>
      <c r="S82">
        <v>3.0270389999999998</v>
      </c>
      <c r="T82">
        <v>-0.1112443</v>
      </c>
      <c r="U82">
        <v>9.5825200000000006E-3</v>
      </c>
      <c r="V82">
        <v>-7.2279670000000004E-2</v>
      </c>
      <c r="W82">
        <v>7.2579229999999995E-2</v>
      </c>
      <c r="X82">
        <v>0.99474010000000002</v>
      </c>
      <c r="Y82">
        <v>8.2119700000000007E-3</v>
      </c>
      <c r="Z82">
        <v>-5.6930350000000002E-4</v>
      </c>
      <c r="AA82">
        <v>0.99996609999999997</v>
      </c>
      <c r="AB82">
        <v>17</v>
      </c>
      <c r="AC82">
        <v>29.865500000000001</v>
      </c>
      <c r="AD82">
        <v>-1.1015991880939999</v>
      </c>
      <c r="AE82">
        <v>9.42000000000007E-2</v>
      </c>
      <c r="AF82">
        <v>0.24566015034111599</v>
      </c>
      <c r="AG82">
        <v>-1.1015991880939999</v>
      </c>
      <c r="AH82">
        <v>29.8240593733961</v>
      </c>
      <c r="AI82">
        <v>92.115277634554005</v>
      </c>
      <c r="AJ82">
        <v>89.528066541180294</v>
      </c>
      <c r="AK82">
        <v>29.845408142435101</v>
      </c>
      <c r="AL82">
        <v>85.837856707821501</v>
      </c>
      <c r="AM82">
        <v>94.155914357950195</v>
      </c>
      <c r="AN82">
        <v>0.99999998093535503</v>
      </c>
    </row>
    <row r="83" spans="1:40" x14ac:dyDescent="0.3">
      <c r="A83" t="str">
        <f>"20200111150222886"</f>
        <v>20200111150222886</v>
      </c>
      <c r="B83" t="str">
        <f>"1578726142875632"</f>
        <v>1578726142875632</v>
      </c>
      <c r="C83" t="s">
        <v>40</v>
      </c>
      <c r="D83">
        <v>5.4284670000000004</v>
      </c>
      <c r="E83">
        <v>0.53004289999999998</v>
      </c>
      <c r="F83" t="s">
        <v>41</v>
      </c>
      <c r="G83">
        <v>-442.34210000000002</v>
      </c>
      <c r="H83" s="1">
        <v>-3.9423889999999996E-6</v>
      </c>
      <c r="I83">
        <v>367.68849999999998</v>
      </c>
      <c r="J83">
        <v>-471.58870000000002</v>
      </c>
      <c r="K83">
        <v>1.10155</v>
      </c>
      <c r="L83">
        <v>367.58550000000002</v>
      </c>
      <c r="M83">
        <v>0.99993840000000001</v>
      </c>
      <c r="N83">
        <v>0</v>
      </c>
      <c r="O83">
        <v>1.0731849999999999E-2</v>
      </c>
      <c r="P83">
        <v>0.99369220000000003</v>
      </c>
      <c r="Q83">
        <v>7.5650010000000004E-2</v>
      </c>
      <c r="R83">
        <v>8.2782629999999996E-2</v>
      </c>
      <c r="S83">
        <v>3.0268860000000002</v>
      </c>
      <c r="T83">
        <v>-0.1136115</v>
      </c>
      <c r="U83">
        <v>1.068115E-2</v>
      </c>
      <c r="V83">
        <v>-7.1986999999999995E-2</v>
      </c>
      <c r="W83">
        <v>7.2942110000000004E-2</v>
      </c>
      <c r="X83">
        <v>0.99473480000000003</v>
      </c>
      <c r="Y83">
        <v>7.190676E-3</v>
      </c>
      <c r="Z83">
        <v>-5.3756150000000005E-4</v>
      </c>
      <c r="AA83">
        <v>0.99997400000000003</v>
      </c>
      <c r="AB83">
        <v>17</v>
      </c>
      <c r="AC83">
        <v>29.246600000000001</v>
      </c>
      <c r="AD83">
        <v>-1.101553942389</v>
      </c>
      <c r="AE83">
        <v>0.10299999999995101</v>
      </c>
      <c r="AF83">
        <v>0.21057859136628901</v>
      </c>
      <c r="AG83">
        <v>-1.101553942389</v>
      </c>
      <c r="AH83">
        <v>29.204591921712499</v>
      </c>
      <c r="AI83">
        <v>92.160031838212205</v>
      </c>
      <c r="AJ83">
        <v>89.586878135949206</v>
      </c>
      <c r="AK83">
        <v>29.2261176645974</v>
      </c>
      <c r="AL83">
        <v>85.817010042957193</v>
      </c>
      <c r="AM83">
        <v>94.139167090073499</v>
      </c>
      <c r="AN83">
        <v>1.00000000095564</v>
      </c>
    </row>
    <row r="84" spans="1:40" x14ac:dyDescent="0.3">
      <c r="A84" t="str">
        <f>"20200111150222903"</f>
        <v>20200111150222903</v>
      </c>
      <c r="B84" t="str">
        <f>"1578726142896129"</f>
        <v>1578726142896129</v>
      </c>
      <c r="C84" t="s">
        <v>40</v>
      </c>
      <c r="D84">
        <v>5.4042859999999999</v>
      </c>
      <c r="E84">
        <v>0.52896319999999997</v>
      </c>
      <c r="F84" t="s">
        <v>41</v>
      </c>
      <c r="G84">
        <v>-443.22910000000002</v>
      </c>
      <c r="H84" s="1">
        <v>-3.5189310000000001E-6</v>
      </c>
      <c r="I84">
        <v>367.71190000000001</v>
      </c>
      <c r="J84">
        <v>-471.45170000000002</v>
      </c>
      <c r="K84">
        <v>1.101504</v>
      </c>
      <c r="L84">
        <v>367.58589999999998</v>
      </c>
      <c r="M84">
        <v>0.99994810000000001</v>
      </c>
      <c r="N84">
        <v>0</v>
      </c>
      <c r="O84">
        <v>9.805144E-3</v>
      </c>
      <c r="P84">
        <v>0.99394039999999995</v>
      </c>
      <c r="Q84">
        <v>7.4973689999999996E-2</v>
      </c>
      <c r="R84">
        <v>8.0386020000000002E-2</v>
      </c>
      <c r="S84">
        <v>3.0268860000000002</v>
      </c>
      <c r="T84">
        <v>-0.1175716</v>
      </c>
      <c r="U84">
        <v>1.3488770000000001E-2</v>
      </c>
      <c r="V84">
        <v>-7.0502629999999997E-2</v>
      </c>
      <c r="W84">
        <v>7.2319090000000003E-2</v>
      </c>
      <c r="X84">
        <v>0.99488659999999995</v>
      </c>
      <c r="Y84">
        <v>5.3376040000000001E-3</v>
      </c>
      <c r="Z84">
        <v>-4.843281E-4</v>
      </c>
      <c r="AA84">
        <v>0.99998560000000003</v>
      </c>
      <c r="AB84">
        <v>17</v>
      </c>
      <c r="AC84">
        <v>28.2226</v>
      </c>
      <c r="AD84">
        <v>-1.101507518931</v>
      </c>
      <c r="AE84">
        <v>0.126000000000033</v>
      </c>
      <c r="AF84">
        <v>0.150504516940211</v>
      </c>
      <c r="AG84">
        <v>-1.101507518931</v>
      </c>
      <c r="AH84">
        <v>28.179554128112599</v>
      </c>
      <c r="AI84">
        <v>92.238456955729802</v>
      </c>
      <c r="AJ84">
        <v>89.693991197071696</v>
      </c>
      <c r="AK84">
        <v>28.201475870654502</v>
      </c>
      <c r="AL84">
        <v>85.852801021565497</v>
      </c>
      <c r="AM84">
        <v>94.053488631757403</v>
      </c>
      <c r="AN84">
        <v>1.0000000092374499</v>
      </c>
    </row>
    <row r="85" spans="1:40" x14ac:dyDescent="0.3">
      <c r="A85" t="str">
        <f>"20200111150222918"</f>
        <v>20200111150222918</v>
      </c>
      <c r="B85" t="str">
        <f>"1578726142915648"</f>
        <v>1578726142915648</v>
      </c>
      <c r="C85" t="s">
        <v>40</v>
      </c>
      <c r="D85">
        <v>5.347092</v>
      </c>
      <c r="E85">
        <v>0.52809490000000003</v>
      </c>
      <c r="F85" t="s">
        <v>41</v>
      </c>
      <c r="G85">
        <v>-445.73160000000001</v>
      </c>
      <c r="H85" s="1">
        <v>-2.3354609999999999E-6</v>
      </c>
      <c r="I85">
        <v>367.71480000000003</v>
      </c>
      <c r="J85">
        <v>-471.34480000000002</v>
      </c>
      <c r="K85">
        <v>1.1014699999999999</v>
      </c>
      <c r="L85">
        <v>367.58620000000002</v>
      </c>
      <c r="M85">
        <v>0.99995509999999999</v>
      </c>
      <c r="N85">
        <v>0</v>
      </c>
      <c r="O85">
        <v>9.045081E-3</v>
      </c>
      <c r="P85">
        <v>0.99405690000000002</v>
      </c>
      <c r="Q85">
        <v>7.5166899999999995E-2</v>
      </c>
      <c r="R85">
        <v>7.8746930000000007E-2</v>
      </c>
      <c r="S85">
        <v>3.0268549999999999</v>
      </c>
      <c r="T85">
        <v>-0.1296302</v>
      </c>
      <c r="U85">
        <v>1.516724E-2</v>
      </c>
      <c r="V85">
        <v>-6.9615479999999993E-2</v>
      </c>
      <c r="W85">
        <v>7.2503150000000002E-2</v>
      </c>
      <c r="X85">
        <v>0.99493569999999998</v>
      </c>
      <c r="Y85">
        <v>4.0224049999999997E-3</v>
      </c>
      <c r="Z85">
        <v>-4.7327959999999999E-4</v>
      </c>
      <c r="AA85">
        <v>0.99999179999999999</v>
      </c>
      <c r="AB85">
        <v>17</v>
      </c>
      <c r="AC85">
        <v>25.613199999999999</v>
      </c>
      <c r="AD85">
        <v>-1.1014723354610001</v>
      </c>
      <c r="AE85">
        <v>0.12860000000000499</v>
      </c>
      <c r="AF85">
        <v>0.102889380477287</v>
      </c>
      <c r="AG85">
        <v>-1.1014723354610001</v>
      </c>
      <c r="AH85">
        <v>25.566036019789198</v>
      </c>
      <c r="AI85">
        <v>92.466952704158601</v>
      </c>
      <c r="AJ85">
        <v>89.769416915961997</v>
      </c>
      <c r="AK85">
        <v>25.5899594625619</v>
      </c>
      <c r="AL85">
        <v>85.842227508456702</v>
      </c>
      <c r="AM85">
        <v>94.002452649756805</v>
      </c>
      <c r="AN85">
        <v>1.0000000344750199</v>
      </c>
    </row>
    <row r="86" spans="1:40" x14ac:dyDescent="0.3">
      <c r="A86" t="str">
        <f>"20200111150222938"</f>
        <v>20200111150222938</v>
      </c>
      <c r="B86" t="str">
        <f>"1578726142925407"</f>
        <v>1578726142925407</v>
      </c>
      <c r="C86" t="s">
        <v>40</v>
      </c>
      <c r="D86">
        <v>5.3628679999999997</v>
      </c>
      <c r="E86">
        <v>0.52757049999999905</v>
      </c>
      <c r="F86" t="s">
        <v>41</v>
      </c>
      <c r="G86">
        <v>-445.80560000000003</v>
      </c>
      <c r="H86" s="1">
        <v>-2.29733E-6</v>
      </c>
      <c r="I86">
        <v>367.73270000000002</v>
      </c>
      <c r="J86">
        <v>-471.18950000000001</v>
      </c>
      <c r="K86">
        <v>1.1014090000000001</v>
      </c>
      <c r="L86">
        <v>367.58640000000003</v>
      </c>
      <c r="M86">
        <v>0.99996470000000004</v>
      </c>
      <c r="N86">
        <v>0</v>
      </c>
      <c r="O86">
        <v>7.9255539999999996E-3</v>
      </c>
      <c r="P86">
        <v>0.99428430000000001</v>
      </c>
      <c r="Q86">
        <v>7.4765670000000006E-2</v>
      </c>
      <c r="R86">
        <v>7.6215749999999999E-2</v>
      </c>
      <c r="S86">
        <v>3.0264280000000001</v>
      </c>
      <c r="T86">
        <v>-0.13052549999999999</v>
      </c>
      <c r="U86">
        <v>1.7364500000000001E-2</v>
      </c>
      <c r="V86">
        <v>-6.8195420000000007E-2</v>
      </c>
      <c r="W86">
        <v>7.2135039999999997E-2</v>
      </c>
      <c r="X86">
        <v>0.99506070000000002</v>
      </c>
      <c r="Y86">
        <v>2.1787149999999999E-3</v>
      </c>
      <c r="Z86">
        <v>-3.88613E-4</v>
      </c>
      <c r="AA86">
        <v>0.99999760000000004</v>
      </c>
      <c r="AB86">
        <v>17</v>
      </c>
      <c r="AC86">
        <v>25.383899999999901</v>
      </c>
      <c r="AD86">
        <v>-1.1014112973299901</v>
      </c>
      <c r="AE86">
        <v>0.14629999999999599</v>
      </c>
      <c r="AF86">
        <v>5.4783710042104701E-2</v>
      </c>
      <c r="AG86">
        <v>-1.1014112973299901</v>
      </c>
      <c r="AH86">
        <v>25.3365625595839</v>
      </c>
      <c r="AI86">
        <v>92.4891444871934</v>
      </c>
      <c r="AJ86">
        <v>89.876113009710394</v>
      </c>
      <c r="AK86">
        <v>25.360550278660799</v>
      </c>
      <c r="AL86">
        <v>85.863373628633497</v>
      </c>
      <c r="AM86">
        <v>93.920574409653298</v>
      </c>
      <c r="AN86">
        <v>0.99999993799463205</v>
      </c>
    </row>
    <row r="87" spans="1:40" x14ac:dyDescent="0.3">
      <c r="A87" t="str">
        <f>"20200111150222954"</f>
        <v>20200111150222954</v>
      </c>
      <c r="B87" t="str">
        <f>"1578726142945904"</f>
        <v>1578726142945904</v>
      </c>
      <c r="C87" t="s">
        <v>40</v>
      </c>
      <c r="D87">
        <v>5.2948219999999999</v>
      </c>
      <c r="E87">
        <v>0.52612040000000004</v>
      </c>
      <c r="F87" t="s">
        <v>41</v>
      </c>
      <c r="G87">
        <v>-445.98649999999998</v>
      </c>
      <c r="H87" s="1">
        <v>-2.2170519999999999E-6</v>
      </c>
      <c r="I87">
        <v>367.70310000000001</v>
      </c>
      <c r="J87">
        <v>-471.05599999999998</v>
      </c>
      <c r="K87">
        <v>1.101345</v>
      </c>
      <c r="L87">
        <v>367.58640000000003</v>
      </c>
      <c r="M87">
        <v>0.99997210000000003</v>
      </c>
      <c r="N87">
        <v>0</v>
      </c>
      <c r="O87">
        <v>6.9932780000000003E-3</v>
      </c>
      <c r="P87">
        <v>0.9943729</v>
      </c>
      <c r="Q87">
        <v>7.4962210000000001E-2</v>
      </c>
      <c r="R87">
        <v>7.4853530000000001E-2</v>
      </c>
      <c r="S87">
        <v>3.0260929999999999</v>
      </c>
      <c r="T87">
        <v>-0.13224540000000001</v>
      </c>
      <c r="U87">
        <v>1.400757E-2</v>
      </c>
      <c r="V87">
        <v>-6.7759130000000001E-2</v>
      </c>
      <c r="W87">
        <v>7.2470329999999999E-2</v>
      </c>
      <c r="X87">
        <v>0.99506620000000001</v>
      </c>
      <c r="Y87">
        <v>2.3555379999999999E-3</v>
      </c>
      <c r="Z87">
        <v>-3.5691450000000001E-4</v>
      </c>
      <c r="AA87">
        <v>0.99999709999999997</v>
      </c>
      <c r="AB87">
        <v>18</v>
      </c>
      <c r="AC87">
        <v>25.069500000000001</v>
      </c>
      <c r="AD87">
        <v>-1.101347217052</v>
      </c>
      <c r="AE87">
        <v>0.11669999999998</v>
      </c>
      <c r="AF87">
        <v>5.85085218336312E-2</v>
      </c>
      <c r="AG87">
        <v>-1.101347217052</v>
      </c>
      <c r="AH87">
        <v>25.021412817753099</v>
      </c>
      <c r="AI87">
        <v>92.520308135759606</v>
      </c>
      <c r="AJ87">
        <v>89.866023342441196</v>
      </c>
      <c r="AK87">
        <v>25.0457079823281</v>
      </c>
      <c r="AL87">
        <v>85.844112753018806</v>
      </c>
      <c r="AM87">
        <v>93.895547981045397</v>
      </c>
      <c r="AN87">
        <v>0.99999999540555196</v>
      </c>
    </row>
    <row r="88" spans="1:40" x14ac:dyDescent="0.3">
      <c r="A88" t="str">
        <f>"20200111150222971"</f>
        <v>20200111150222971</v>
      </c>
      <c r="B88" t="str">
        <f>"1578726142965424"</f>
        <v>1578726142965424</v>
      </c>
      <c r="C88" t="s">
        <v>40</v>
      </c>
      <c r="D88">
        <v>5.3926910000000001</v>
      </c>
      <c r="E88">
        <v>0.52485319999999902</v>
      </c>
      <c r="F88" t="s">
        <v>41</v>
      </c>
      <c r="G88">
        <v>-445.77330000000001</v>
      </c>
      <c r="H88" s="1">
        <v>-2.3069380000000001E-6</v>
      </c>
      <c r="I88">
        <v>367.7647</v>
      </c>
      <c r="J88">
        <v>-470.91660000000002</v>
      </c>
      <c r="K88">
        <v>1.1012820000000001</v>
      </c>
      <c r="L88">
        <v>367.58629999999999</v>
      </c>
      <c r="M88">
        <v>0.99997849999999999</v>
      </c>
      <c r="N88">
        <v>0</v>
      </c>
      <c r="O88">
        <v>6.0710130000000001E-3</v>
      </c>
      <c r="P88">
        <v>0.99446489999999998</v>
      </c>
      <c r="Q88">
        <v>7.5019020000000006E-2</v>
      </c>
      <c r="R88">
        <v>7.3564439999999995E-2</v>
      </c>
      <c r="S88">
        <v>3.025299</v>
      </c>
      <c r="T88">
        <v>-0.1317855</v>
      </c>
      <c r="U88">
        <v>2.133179E-2</v>
      </c>
      <c r="V88">
        <v>-6.7386940000000006E-2</v>
      </c>
      <c r="W88">
        <v>7.2705279999999997E-2</v>
      </c>
      <c r="X88">
        <v>0.99507429999999997</v>
      </c>
      <c r="Y88">
        <v>-9.8477039999999997E-4</v>
      </c>
      <c r="Z88">
        <v>-2.4289139999999999E-4</v>
      </c>
      <c r="AA88">
        <v>0.99999950000000004</v>
      </c>
      <c r="AB88">
        <v>18</v>
      </c>
      <c r="AC88">
        <v>25.1433</v>
      </c>
      <c r="AD88">
        <v>-1.1012843069379901</v>
      </c>
      <c r="AE88">
        <v>0.17840000000001</v>
      </c>
      <c r="AF88">
        <v>-2.5701637060850699E-2</v>
      </c>
      <c r="AG88">
        <v>-1.1012843069379901</v>
      </c>
      <c r="AH88">
        <v>25.0957767118473</v>
      </c>
      <c r="AI88">
        <v>92.512711728920493</v>
      </c>
      <c r="AJ88">
        <v>90.058678989386095</v>
      </c>
      <c r="AK88">
        <v>25.1199422067359</v>
      </c>
      <c r="AL88">
        <v>85.8306153561348</v>
      </c>
      <c r="AM88">
        <v>93.874184264068603</v>
      </c>
      <c r="AN88">
        <v>0.99999995997146496</v>
      </c>
    </row>
    <row r="89" spans="1:40" x14ac:dyDescent="0.3">
      <c r="A89" t="str">
        <f>"20200111150222993"</f>
        <v>20200111150222993</v>
      </c>
      <c r="B89" t="str">
        <f>"1578726142985921"</f>
        <v>1578726142985921</v>
      </c>
      <c r="C89" t="s">
        <v>40</v>
      </c>
      <c r="D89">
        <v>5.4628589999999999</v>
      </c>
      <c r="E89">
        <v>0.52378210000000003</v>
      </c>
      <c r="F89" t="s">
        <v>41</v>
      </c>
      <c r="G89">
        <v>-443.37880000000001</v>
      </c>
      <c r="H89" s="1">
        <v>-3.4262069999999999E-6</v>
      </c>
      <c r="I89">
        <v>367.8356</v>
      </c>
      <c r="J89">
        <v>-470.7303</v>
      </c>
      <c r="K89">
        <v>1.101224</v>
      </c>
      <c r="L89">
        <v>367.58589999999998</v>
      </c>
      <c r="M89">
        <v>0.99998540000000002</v>
      </c>
      <c r="N89">
        <v>0</v>
      </c>
      <c r="O89">
        <v>4.9158470000000001E-3</v>
      </c>
      <c r="P89">
        <v>0.99451579999999995</v>
      </c>
      <c r="Q89">
        <v>7.4853719999999999E-2</v>
      </c>
      <c r="R89">
        <v>7.304302E-2</v>
      </c>
      <c r="S89">
        <v>3.0238649999999998</v>
      </c>
      <c r="T89">
        <v>-0.1209297</v>
      </c>
      <c r="U89">
        <v>2.7374269999999999E-2</v>
      </c>
      <c r="V89">
        <v>-6.8018809999999999E-2</v>
      </c>
      <c r="W89">
        <v>7.2728089999999995E-2</v>
      </c>
      <c r="X89">
        <v>0.99502970000000002</v>
      </c>
      <c r="Y89">
        <v>-4.1372249999999996E-3</v>
      </c>
      <c r="Z89">
        <v>-1.13817E-4</v>
      </c>
      <c r="AA89">
        <v>0.99999139999999997</v>
      </c>
      <c r="AB89">
        <v>18</v>
      </c>
      <c r="AC89">
        <v>27.351499999999898</v>
      </c>
      <c r="AD89">
        <v>-1.1012274262070001</v>
      </c>
      <c r="AE89">
        <v>0.24970000000001799</v>
      </c>
      <c r="AF89">
        <v>-0.115054363906512</v>
      </c>
      <c r="AG89">
        <v>-1.1012274262070001</v>
      </c>
      <c r="AH89">
        <v>27.308133319986599</v>
      </c>
      <c r="AI89">
        <v>92.309237162230403</v>
      </c>
      <c r="AJ89">
        <v>90.241396597270295</v>
      </c>
      <c r="AK89">
        <v>27.3305705167867</v>
      </c>
      <c r="AL89">
        <v>85.829305215805803</v>
      </c>
      <c r="AM89">
        <v>93.910574042837695</v>
      </c>
      <c r="AN89">
        <v>1.0000000187354701</v>
      </c>
    </row>
    <row r="90" spans="1:40" x14ac:dyDescent="0.3">
      <c r="A90" t="str">
        <f>"20200111150223016"</f>
        <v>20200111150223016</v>
      </c>
      <c r="B90" t="str">
        <f>"1578726143005439"</f>
        <v>1578726143005439</v>
      </c>
      <c r="C90" t="s">
        <v>40</v>
      </c>
      <c r="D90">
        <v>5.3943789999999998</v>
      </c>
      <c r="E90">
        <v>0.52303319999999998</v>
      </c>
      <c r="F90" t="s">
        <v>43</v>
      </c>
      <c r="G90">
        <v>-436.15859999999998</v>
      </c>
      <c r="H90">
        <v>-0.05</v>
      </c>
      <c r="I90">
        <v>367.971</v>
      </c>
      <c r="J90">
        <v>-470.5478</v>
      </c>
      <c r="K90">
        <v>1.1012090000000001</v>
      </c>
      <c r="L90">
        <v>367.58539999999999</v>
      </c>
      <c r="M90">
        <v>0.99999039999999995</v>
      </c>
      <c r="N90">
        <v>0</v>
      </c>
      <c r="O90">
        <v>3.839266E-3</v>
      </c>
      <c r="P90">
        <v>0.99442249999999999</v>
      </c>
      <c r="Q90">
        <v>7.5762449999999995E-2</v>
      </c>
      <c r="R90">
        <v>7.3375399999999993E-2</v>
      </c>
      <c r="S90">
        <v>3.0216669999999999</v>
      </c>
      <c r="T90">
        <v>-0.1006205</v>
      </c>
      <c r="U90">
        <v>3.3660889999999999E-2</v>
      </c>
      <c r="V90">
        <v>-6.9430309999999995E-2</v>
      </c>
      <c r="W90">
        <v>7.3745309999999994E-2</v>
      </c>
      <c r="X90">
        <v>0.99485730000000006</v>
      </c>
      <c r="Y90">
        <v>-7.2981130000000002E-3</v>
      </c>
      <c r="Z90" s="1">
        <v>-6.3313349999999998E-6</v>
      </c>
      <c r="AA90">
        <v>0.99997340000000001</v>
      </c>
      <c r="AB90">
        <v>18</v>
      </c>
      <c r="AC90">
        <v>34.389200000000002</v>
      </c>
      <c r="AD90">
        <v>-1.1512089999999999</v>
      </c>
      <c r="AE90">
        <v>0.38560000000000999</v>
      </c>
      <c r="AF90">
        <v>-0.25328377436556698</v>
      </c>
      <c r="AG90">
        <v>-1.1512089999999999</v>
      </c>
      <c r="AH90">
        <v>34.351935830064299</v>
      </c>
      <c r="AI90">
        <v>91.919337264270297</v>
      </c>
      <c r="AJ90">
        <v>90.422445721593803</v>
      </c>
      <c r="AK90">
        <v>34.372153410935603</v>
      </c>
      <c r="AL90">
        <v>85.770865758808597</v>
      </c>
      <c r="AM90">
        <v>93.992154562492999</v>
      </c>
      <c r="AN90">
        <v>0.99999999302849096</v>
      </c>
    </row>
    <row r="91" spans="1:40" x14ac:dyDescent="0.3">
      <c r="A91" t="str">
        <f>"20200111150223029"</f>
        <v>20200111150223029</v>
      </c>
      <c r="B91" t="str">
        <f>"1578726143025936"</f>
        <v>1578726143025936</v>
      </c>
      <c r="C91" t="s">
        <v>40</v>
      </c>
      <c r="D91">
        <v>5.4052579999999999</v>
      </c>
      <c r="E91">
        <v>0.52218729999999902</v>
      </c>
      <c r="F91" t="s">
        <v>43</v>
      </c>
      <c r="G91">
        <v>-433.99520000000001</v>
      </c>
      <c r="H91">
        <v>-0.05</v>
      </c>
      <c r="I91">
        <v>368.07170000000002</v>
      </c>
      <c r="J91">
        <v>-470.43299999999999</v>
      </c>
      <c r="K91">
        <v>1.101216</v>
      </c>
      <c r="L91">
        <v>367.58499999999998</v>
      </c>
      <c r="M91">
        <v>0.99999269999999996</v>
      </c>
      <c r="N91">
        <v>0</v>
      </c>
      <c r="O91">
        <v>3.1834250000000001E-3</v>
      </c>
      <c r="P91">
        <v>0.99433859999999996</v>
      </c>
      <c r="Q91">
        <v>7.6474849999999997E-2</v>
      </c>
      <c r="R91">
        <v>7.377338E-2</v>
      </c>
      <c r="S91">
        <v>3.021118</v>
      </c>
      <c r="T91">
        <v>-9.5148919999999998E-2</v>
      </c>
      <c r="U91">
        <v>4.0191650000000002E-2</v>
      </c>
      <c r="V91">
        <v>-7.0487010000000003E-2</v>
      </c>
      <c r="W91">
        <v>7.4500440000000001E-2</v>
      </c>
      <c r="X91">
        <v>0.99472669999999996</v>
      </c>
      <c r="Y91">
        <v>-1.011574E-2</v>
      </c>
      <c r="Z91" s="1">
        <v>5.9018060000000001E-5</v>
      </c>
      <c r="AA91">
        <v>0.99994890000000003</v>
      </c>
      <c r="AB91">
        <v>18</v>
      </c>
      <c r="AC91">
        <v>36.437800000000003</v>
      </c>
      <c r="AD91">
        <v>-1.151216</v>
      </c>
      <c r="AE91">
        <v>0.48670000000004099</v>
      </c>
      <c r="AF91">
        <v>-0.37033068021009202</v>
      </c>
      <c r="AG91">
        <v>-1.151216</v>
      </c>
      <c r="AH91">
        <v>36.402834601739997</v>
      </c>
      <c r="AI91">
        <v>91.811244473687694</v>
      </c>
      <c r="AJ91">
        <v>90.582857167482004</v>
      </c>
      <c r="AK91">
        <v>36.422916002607501</v>
      </c>
      <c r="AL91">
        <v>85.727480553412704</v>
      </c>
      <c r="AM91">
        <v>94.053242839650395</v>
      </c>
      <c r="AN91">
        <v>0.99999997091591097</v>
      </c>
    </row>
    <row r="92" spans="1:40" x14ac:dyDescent="0.3">
      <c r="A92" t="str">
        <f>"20200111150223048"</f>
        <v>20200111150223048</v>
      </c>
      <c r="B92" t="str">
        <f>"1578726143045456"</f>
        <v>1578726143045456</v>
      </c>
      <c r="C92" t="s">
        <v>40</v>
      </c>
      <c r="D92">
        <v>5.0805879999999997</v>
      </c>
      <c r="E92">
        <v>0.52188859999999904</v>
      </c>
      <c r="F92" t="s">
        <v>43</v>
      </c>
      <c r="G92">
        <v>-435.35379999999998</v>
      </c>
      <c r="H92">
        <v>-0.05</v>
      </c>
      <c r="I92">
        <v>368.14350000000002</v>
      </c>
      <c r="J92">
        <v>-470.27749999999997</v>
      </c>
      <c r="K92">
        <v>1.101264</v>
      </c>
      <c r="L92">
        <v>367.58449999999999</v>
      </c>
      <c r="M92">
        <v>0.99999519999999997</v>
      </c>
      <c r="N92">
        <v>0</v>
      </c>
      <c r="O92">
        <v>2.3343859999999999E-3</v>
      </c>
      <c r="P92">
        <v>0.99414559999999996</v>
      </c>
      <c r="Q92">
        <v>7.8515329999999994E-2</v>
      </c>
      <c r="R92">
        <v>7.4229210000000004E-2</v>
      </c>
      <c r="S92">
        <v>3.021118</v>
      </c>
      <c r="T92">
        <v>-9.914589E-2</v>
      </c>
      <c r="U92">
        <v>4.8095699999999998E-2</v>
      </c>
      <c r="V92">
        <v>-7.1796600000000002E-2</v>
      </c>
      <c r="W92">
        <v>7.6576829999999999E-2</v>
      </c>
      <c r="X92">
        <v>0.99447540000000001</v>
      </c>
      <c r="Y92">
        <v>-1.357763E-2</v>
      </c>
      <c r="Z92">
        <v>1.4613540000000001E-4</v>
      </c>
      <c r="AA92">
        <v>0.99990780000000001</v>
      </c>
      <c r="AB92">
        <v>19</v>
      </c>
      <c r="AC92">
        <v>34.923699999999997</v>
      </c>
      <c r="AD92">
        <v>-1.1512639999999901</v>
      </c>
      <c r="AE92">
        <v>0.55900000000002503</v>
      </c>
      <c r="AF92">
        <v>-0.47695473777765202</v>
      </c>
      <c r="AG92">
        <v>-1.1512639999999901</v>
      </c>
      <c r="AH92">
        <v>34.887007794864701</v>
      </c>
      <c r="AI92">
        <v>91.889886439439493</v>
      </c>
      <c r="AJ92">
        <v>90.783265543242194</v>
      </c>
      <c r="AK92">
        <v>34.909256759469002</v>
      </c>
      <c r="AL92">
        <v>85.608171575491099</v>
      </c>
      <c r="AM92">
        <v>94.129330310910007</v>
      </c>
      <c r="AN92">
        <v>1.0000000419347801</v>
      </c>
    </row>
    <row r="93" spans="1:40" x14ac:dyDescent="0.3">
      <c r="A93" t="str">
        <f>"20200111150223071"</f>
        <v>20200111150223071</v>
      </c>
      <c r="B93" t="str">
        <f>"1578726143065952"</f>
        <v>1578726143065952</v>
      </c>
      <c r="C93" t="s">
        <v>40</v>
      </c>
      <c r="D93">
        <v>5.4024070000000002</v>
      </c>
      <c r="E93">
        <v>0.521289</v>
      </c>
      <c r="F93" t="s">
        <v>43</v>
      </c>
      <c r="G93">
        <v>-434.17110000000002</v>
      </c>
      <c r="H93">
        <v>-0.05</v>
      </c>
      <c r="I93">
        <v>368.20190000000002</v>
      </c>
      <c r="J93">
        <v>-470.0797</v>
      </c>
      <c r="K93">
        <v>1.1013500000000001</v>
      </c>
      <c r="L93">
        <v>367.58370000000002</v>
      </c>
      <c r="M93">
        <v>0.99999709999999997</v>
      </c>
      <c r="N93">
        <v>0</v>
      </c>
      <c r="O93">
        <v>1.3321380000000001E-3</v>
      </c>
      <c r="P93">
        <v>0.99394890000000002</v>
      </c>
      <c r="Q93">
        <v>8.0702010000000005E-2</v>
      </c>
      <c r="R93">
        <v>7.4517360000000005E-2</v>
      </c>
      <c r="S93">
        <v>3.021423</v>
      </c>
      <c r="T93">
        <v>-9.6339229999999998E-2</v>
      </c>
      <c r="U93">
        <v>5.1666259999999999E-2</v>
      </c>
      <c r="V93">
        <v>-7.3094590000000001E-2</v>
      </c>
      <c r="W93">
        <v>7.8791239999999999E-2</v>
      </c>
      <c r="X93">
        <v>0.99420779999999997</v>
      </c>
      <c r="Y93">
        <v>-1.575818E-2</v>
      </c>
      <c r="Z93">
        <v>2.0868389999999999E-4</v>
      </c>
      <c r="AA93">
        <v>0.99987579999999998</v>
      </c>
      <c r="AB93">
        <v>19</v>
      </c>
      <c r="AC93">
        <v>35.9085999999999</v>
      </c>
      <c r="AD93">
        <v>-1.1513500000000001</v>
      </c>
      <c r="AE93">
        <v>0.61820000000000097</v>
      </c>
      <c r="AF93">
        <v>-0.56977855254425402</v>
      </c>
      <c r="AG93">
        <v>-1.1513500000000001</v>
      </c>
      <c r="AH93">
        <v>35.8725235459492</v>
      </c>
      <c r="AI93">
        <v>91.838079411919693</v>
      </c>
      <c r="AJ93">
        <v>90.909976722256303</v>
      </c>
      <c r="AK93">
        <v>35.895517825713597</v>
      </c>
      <c r="AL93">
        <v>85.480910502190497</v>
      </c>
      <c r="AM93">
        <v>94.204845440101096</v>
      </c>
      <c r="AN93">
        <v>1.0000000140844201</v>
      </c>
    </row>
    <row r="94" spans="1:40" x14ac:dyDescent="0.3">
      <c r="A94" t="str">
        <f>"20200111150223084"</f>
        <v>20200111150223084</v>
      </c>
      <c r="B94" t="str">
        <f>"1578726143075712"</f>
        <v>1578726143075712</v>
      </c>
      <c r="C94" t="s">
        <v>40</v>
      </c>
      <c r="D94">
        <v>5.3787120000000002</v>
      </c>
      <c r="E94">
        <v>0.52103969999999999</v>
      </c>
      <c r="F94" t="s">
        <v>43</v>
      </c>
      <c r="G94">
        <v>-431.5446</v>
      </c>
      <c r="H94">
        <v>-0.05</v>
      </c>
      <c r="I94">
        <v>368.31700000000001</v>
      </c>
      <c r="J94">
        <v>-469.96230000000003</v>
      </c>
      <c r="K94">
        <v>1.1014060000000001</v>
      </c>
      <c r="L94">
        <v>367.58319999999998</v>
      </c>
      <c r="M94">
        <v>0.99999769999999999</v>
      </c>
      <c r="N94">
        <v>0</v>
      </c>
      <c r="O94">
        <v>7.8331669999999996E-4</v>
      </c>
      <c r="P94">
        <v>0.99382820000000005</v>
      </c>
      <c r="Q94">
        <v>8.1925719999999994E-2</v>
      </c>
      <c r="R94">
        <v>7.4790250000000003E-2</v>
      </c>
      <c r="S94">
        <v>3.021271</v>
      </c>
      <c r="T94">
        <v>-9.0269210000000003E-2</v>
      </c>
      <c r="U94">
        <v>5.7495119999999997E-2</v>
      </c>
      <c r="V94">
        <v>-7.3921189999999998E-2</v>
      </c>
      <c r="W94">
        <v>8.0024239999999996E-2</v>
      </c>
      <c r="X94">
        <v>0.99404820000000005</v>
      </c>
      <c r="Y94">
        <v>-1.8235700000000001E-2</v>
      </c>
      <c r="Z94">
        <v>2.4894020000000003E-4</v>
      </c>
      <c r="AA94">
        <v>0.99983370000000005</v>
      </c>
      <c r="AB94">
        <v>19</v>
      </c>
      <c r="AC94">
        <v>38.417700000000004</v>
      </c>
      <c r="AD94">
        <v>-1.1514059999999999</v>
      </c>
      <c r="AE94">
        <v>0.73379999999997303</v>
      </c>
      <c r="AF94">
        <v>-0.70307518626065701</v>
      </c>
      <c r="AG94">
        <v>-1.1514059999999999</v>
      </c>
      <c r="AH94">
        <v>38.383797576415297</v>
      </c>
      <c r="AI94">
        <v>91.7179090502337</v>
      </c>
      <c r="AJ94">
        <v>91.049368200567201</v>
      </c>
      <c r="AK94">
        <v>38.407498836576103</v>
      </c>
      <c r="AL94">
        <v>85.410041051444495</v>
      </c>
      <c r="AM94">
        <v>94.252903270756903</v>
      </c>
      <c r="AN94">
        <v>1.00000002262091</v>
      </c>
    </row>
    <row r="95" spans="1:40" x14ac:dyDescent="0.3">
      <c r="A95" t="str">
        <f>"20200111150223098"</f>
        <v>20200111150223098</v>
      </c>
      <c r="B95" t="str">
        <f>"1578726143095232"</f>
        <v>1578726143095232</v>
      </c>
      <c r="C95" t="s">
        <v>40</v>
      </c>
      <c r="D95">
        <v>5.3740839999999999</v>
      </c>
      <c r="E95">
        <v>0.52064659999999996</v>
      </c>
      <c r="F95" t="s">
        <v>43</v>
      </c>
      <c r="G95">
        <v>-431.39499999999998</v>
      </c>
      <c r="H95">
        <v>-0.05</v>
      </c>
      <c r="I95">
        <v>368.3494</v>
      </c>
      <c r="J95">
        <v>-469.8494</v>
      </c>
      <c r="K95">
        <v>1.1014600000000001</v>
      </c>
      <c r="L95">
        <v>367.58269999999999</v>
      </c>
      <c r="M95">
        <v>0.99999800000000005</v>
      </c>
      <c r="N95">
        <v>0</v>
      </c>
      <c r="O95">
        <v>2.8724609999999999E-4</v>
      </c>
      <c r="P95">
        <v>0.99374229999999997</v>
      </c>
      <c r="Q95">
        <v>8.2748989999999994E-2</v>
      </c>
      <c r="R95">
        <v>7.5028689999999995E-2</v>
      </c>
      <c r="S95">
        <v>3.0215450000000001</v>
      </c>
      <c r="T95">
        <v>-9.0206499999999995E-2</v>
      </c>
      <c r="U95">
        <v>6.0028079999999998E-2</v>
      </c>
      <c r="V95">
        <v>-7.4659859999999995E-2</v>
      </c>
      <c r="W95">
        <v>8.0852679999999996E-2</v>
      </c>
      <c r="X95">
        <v>0.99392590000000003</v>
      </c>
      <c r="Y95">
        <v>-1.9566980000000001E-2</v>
      </c>
      <c r="Z95">
        <v>2.8341379999999999E-4</v>
      </c>
      <c r="AA95">
        <v>0.99980849999999999</v>
      </c>
      <c r="AB95">
        <v>19</v>
      </c>
      <c r="AC95">
        <v>38.4544</v>
      </c>
      <c r="AD95">
        <v>-1.1514599999999999</v>
      </c>
      <c r="AE95">
        <v>0.76670000000001404</v>
      </c>
      <c r="AF95">
        <v>-0.75497741578640198</v>
      </c>
      <c r="AG95">
        <v>-1.1514599999999999</v>
      </c>
      <c r="AH95">
        <v>38.420184249573502</v>
      </c>
      <c r="AI95">
        <v>91.716320075351703</v>
      </c>
      <c r="AJ95">
        <v>91.125748194005595</v>
      </c>
      <c r="AK95">
        <v>38.444848924155202</v>
      </c>
      <c r="AL95">
        <v>85.362420392854105</v>
      </c>
      <c r="AM95">
        <v>94.295769404480495</v>
      </c>
      <c r="AN95">
        <v>0.99999997262460505</v>
      </c>
    </row>
    <row r="96" spans="1:40" x14ac:dyDescent="0.3">
      <c r="A96" t="str">
        <f>"20200111150223118"</f>
        <v>20200111150223118</v>
      </c>
      <c r="B96" t="str">
        <f>"1578726143115728"</f>
        <v>1578726143115728</v>
      </c>
      <c r="C96" t="s">
        <v>40</v>
      </c>
      <c r="D96">
        <v>5.3727269999999896</v>
      </c>
      <c r="E96">
        <v>0.51995279999999999</v>
      </c>
      <c r="F96" t="s">
        <v>43</v>
      </c>
      <c r="G96">
        <v>-430.4092</v>
      </c>
      <c r="H96">
        <v>-0.05</v>
      </c>
      <c r="I96">
        <v>368.41480000000001</v>
      </c>
      <c r="J96">
        <v>-469.67009999999999</v>
      </c>
      <c r="K96">
        <v>1.101553</v>
      </c>
      <c r="L96">
        <v>367.58179999999999</v>
      </c>
      <c r="M96">
        <v>0.99999800000000005</v>
      </c>
      <c r="N96">
        <v>0</v>
      </c>
      <c r="O96">
        <v>-4.42798E-4</v>
      </c>
      <c r="P96">
        <v>0.99358950000000001</v>
      </c>
      <c r="Q96">
        <v>8.3736599999999994E-2</v>
      </c>
      <c r="R96">
        <v>7.5949249999999996E-2</v>
      </c>
      <c r="S96">
        <v>3.021423</v>
      </c>
      <c r="T96">
        <v>-8.8210819999999995E-2</v>
      </c>
      <c r="U96">
        <v>6.3751219999999997E-2</v>
      </c>
      <c r="V96">
        <v>-7.6316610000000007E-2</v>
      </c>
      <c r="W96">
        <v>8.1844050000000002E-2</v>
      </c>
      <c r="X96">
        <v>0.99371889999999996</v>
      </c>
      <c r="Y96">
        <v>-2.152838E-2</v>
      </c>
      <c r="Z96">
        <v>3.2708329999999998E-4</v>
      </c>
      <c r="AA96">
        <v>0.9997682</v>
      </c>
      <c r="AB96">
        <v>19</v>
      </c>
      <c r="AC96">
        <v>39.2608999999999</v>
      </c>
      <c r="AD96">
        <v>-1.151553</v>
      </c>
      <c r="AE96">
        <v>0.83300000000002605</v>
      </c>
      <c r="AF96">
        <v>-0.84965397529772402</v>
      </c>
      <c r="AG96">
        <v>-1.151553</v>
      </c>
      <c r="AH96">
        <v>39.226795870879698</v>
      </c>
      <c r="AI96">
        <v>91.681114227317195</v>
      </c>
      <c r="AJ96">
        <v>91.240834862619593</v>
      </c>
      <c r="AK96">
        <v>39.252891619410804</v>
      </c>
      <c r="AL96">
        <v>85.305430145031593</v>
      </c>
      <c r="AM96">
        <v>94.391637574930897</v>
      </c>
      <c r="AN96">
        <v>0.99999996284975101</v>
      </c>
    </row>
    <row r="97" spans="1:40" x14ac:dyDescent="0.3">
      <c r="A97" t="str">
        <f>"20200111150223140"</f>
        <v>20200111150223140</v>
      </c>
      <c r="B97" t="str">
        <f>"1578726143135248"</f>
        <v>1578726143135248</v>
      </c>
      <c r="C97" t="s">
        <v>40</v>
      </c>
      <c r="D97">
        <v>5.4022759999999996</v>
      </c>
      <c r="E97">
        <v>0.51954639999999996</v>
      </c>
      <c r="F97" t="s">
        <v>43</v>
      </c>
      <c r="G97">
        <v>-433.49200000000002</v>
      </c>
      <c r="H97">
        <v>-0.05</v>
      </c>
      <c r="I97">
        <v>368.44479999999999</v>
      </c>
      <c r="J97">
        <v>-469.48180000000002</v>
      </c>
      <c r="K97">
        <v>1.1016520000000001</v>
      </c>
      <c r="L97">
        <v>367.58100000000002</v>
      </c>
      <c r="M97">
        <v>0.99999760000000004</v>
      </c>
      <c r="N97">
        <v>0</v>
      </c>
      <c r="O97">
        <v>-1.128317E-3</v>
      </c>
      <c r="P97">
        <v>0.99334849999999997</v>
      </c>
      <c r="Q97">
        <v>8.5799349999999996E-2</v>
      </c>
      <c r="R97">
        <v>7.6794860000000006E-2</v>
      </c>
      <c r="S97">
        <v>3.0219119999999999</v>
      </c>
      <c r="T97">
        <v>-9.6187949999999994E-2</v>
      </c>
      <c r="U97">
        <v>7.2082519999999997E-2</v>
      </c>
      <c r="V97">
        <v>-7.785164E-2</v>
      </c>
      <c r="W97">
        <v>8.3908789999999997E-2</v>
      </c>
      <c r="X97">
        <v>0.99342759999999997</v>
      </c>
      <c r="Y97">
        <v>-2.4961279999999999E-2</v>
      </c>
      <c r="Z97">
        <v>4.3300430000000001E-4</v>
      </c>
      <c r="AA97">
        <v>0.99968829999999997</v>
      </c>
      <c r="AB97">
        <v>20</v>
      </c>
      <c r="AC97">
        <v>35.989800000000002</v>
      </c>
      <c r="AD97">
        <v>-1.1516519999999999</v>
      </c>
      <c r="AE97">
        <v>0.86380000000002599</v>
      </c>
      <c r="AF97">
        <v>-0.90348282583695005</v>
      </c>
      <c r="AG97">
        <v>-1.1516519999999999</v>
      </c>
      <c r="AH97">
        <v>35.952010165753997</v>
      </c>
      <c r="AI97">
        <v>91.834151660817398</v>
      </c>
      <c r="AJ97">
        <v>91.439553990905395</v>
      </c>
      <c r="AK97">
        <v>35.981795654249503</v>
      </c>
      <c r="AL97">
        <v>85.186720932449205</v>
      </c>
      <c r="AM97">
        <v>94.480923026778797</v>
      </c>
      <c r="AN97">
        <v>0.99999997966585596</v>
      </c>
    </row>
    <row r="98" spans="1:40" x14ac:dyDescent="0.3">
      <c r="A98" t="str">
        <f>"20200111150223162"</f>
        <v>20200111150223162</v>
      </c>
      <c r="B98" t="str">
        <f>"1578726143155744"</f>
        <v>1578726143155744</v>
      </c>
      <c r="C98" t="s">
        <v>40</v>
      </c>
      <c r="D98">
        <v>5.3674429999999997</v>
      </c>
      <c r="E98">
        <v>0.51890599999999998</v>
      </c>
      <c r="F98" t="s">
        <v>43</v>
      </c>
      <c r="G98">
        <v>-431.84530000000001</v>
      </c>
      <c r="H98">
        <v>-0.05</v>
      </c>
      <c r="I98">
        <v>368.5498</v>
      </c>
      <c r="J98">
        <v>-469.2756</v>
      </c>
      <c r="K98">
        <v>1.1017629999999901</v>
      </c>
      <c r="L98">
        <v>367.58</v>
      </c>
      <c r="M98">
        <v>0.99999649999999995</v>
      </c>
      <c r="N98">
        <v>0</v>
      </c>
      <c r="O98">
        <v>-1.789037E-3</v>
      </c>
      <c r="P98">
        <v>0.99298790000000003</v>
      </c>
      <c r="Q98">
        <v>8.9103390000000005E-2</v>
      </c>
      <c r="R98">
        <v>7.7690620000000002E-2</v>
      </c>
      <c r="S98">
        <v>3.0220639999999999</v>
      </c>
      <c r="T98">
        <v>-9.2473390000000003E-2</v>
      </c>
      <c r="U98">
        <v>7.778931E-2</v>
      </c>
      <c r="V98">
        <v>-7.9410079999999994E-2</v>
      </c>
      <c r="W98">
        <v>8.7218740000000003E-2</v>
      </c>
      <c r="X98">
        <v>0.99301910000000004</v>
      </c>
      <c r="Y98">
        <v>-2.7506639999999999E-2</v>
      </c>
      <c r="Z98">
        <v>4.7539739999999999E-4</v>
      </c>
      <c r="AA98">
        <v>0.99962150000000005</v>
      </c>
      <c r="AB98">
        <v>20</v>
      </c>
      <c r="AC98">
        <v>37.430299999999903</v>
      </c>
      <c r="AD98">
        <v>-1.1517630000000001</v>
      </c>
      <c r="AE98">
        <v>0.96980000000001998</v>
      </c>
      <c r="AF98">
        <v>-1.03578269741102</v>
      </c>
      <c r="AG98">
        <v>-1.1517630000000001</v>
      </c>
      <c r="AH98">
        <v>37.393123287380902</v>
      </c>
      <c r="AI98">
        <v>91.763560178740207</v>
      </c>
      <c r="AJ98">
        <v>91.586676920700995</v>
      </c>
      <c r="AK98">
        <v>37.425193025416597</v>
      </c>
      <c r="AL98">
        <v>84.996376731643295</v>
      </c>
      <c r="AM98">
        <v>94.572118289793295</v>
      </c>
      <c r="AN98">
        <v>1.0000000011887999</v>
      </c>
    </row>
    <row r="99" spans="1:40" x14ac:dyDescent="0.3">
      <c r="A99" t="str">
        <f>"20200111150223183"</f>
        <v>20200111150223183</v>
      </c>
      <c r="B99" t="str">
        <f>"1578726143175264"</f>
        <v>1578726143175264</v>
      </c>
      <c r="C99" t="s">
        <v>40</v>
      </c>
      <c r="D99">
        <v>5.4307780000000001</v>
      </c>
      <c r="E99">
        <v>0.51841939999999997</v>
      </c>
      <c r="F99" t="s">
        <v>43</v>
      </c>
      <c r="G99">
        <v>-428.94869999999997</v>
      </c>
      <c r="H99">
        <v>-0.05</v>
      </c>
      <c r="I99">
        <v>368.71890000000002</v>
      </c>
      <c r="J99">
        <v>-469.08319999999998</v>
      </c>
      <c r="K99">
        <v>1.1018650000000001</v>
      </c>
      <c r="L99">
        <v>367.57900000000001</v>
      </c>
      <c r="M99">
        <v>0.99999559999999998</v>
      </c>
      <c r="N99">
        <v>0</v>
      </c>
      <c r="O99">
        <v>-2.321357E-3</v>
      </c>
      <c r="P99">
        <v>0.99264969999999997</v>
      </c>
      <c r="Q99">
        <v>9.1677220000000004E-2</v>
      </c>
      <c r="R99">
        <v>7.900575E-2</v>
      </c>
      <c r="S99">
        <v>3.022278</v>
      </c>
      <c r="T99">
        <v>-8.6318370000000005E-2</v>
      </c>
      <c r="U99">
        <v>8.5357669999999997E-2</v>
      </c>
      <c r="V99">
        <v>-8.1259670000000006E-2</v>
      </c>
      <c r="W99">
        <v>8.9804449999999994E-2</v>
      </c>
      <c r="X99">
        <v>0.99263889999999999</v>
      </c>
      <c r="Y99">
        <v>-3.0538539999999999E-2</v>
      </c>
      <c r="Z99">
        <v>5.0219869999999995E-4</v>
      </c>
      <c r="AA99">
        <v>0.99953349999999996</v>
      </c>
      <c r="AB99">
        <v>20</v>
      </c>
      <c r="AC99">
        <v>40.134500000000003</v>
      </c>
      <c r="AD99">
        <v>-1.1518649999999999</v>
      </c>
      <c r="AE99">
        <v>1.1399000000000099</v>
      </c>
      <c r="AF99">
        <v>-1.23204957264482</v>
      </c>
      <c r="AG99">
        <v>-1.1518649999999999</v>
      </c>
      <c r="AH99">
        <v>40.0987431541948</v>
      </c>
      <c r="AI99">
        <v>91.644633958373902</v>
      </c>
      <c r="AJ99">
        <v>91.759881577512004</v>
      </c>
      <c r="AK99">
        <v>40.134199153262799</v>
      </c>
      <c r="AL99">
        <v>84.847642547709498</v>
      </c>
      <c r="AM99">
        <v>94.679926910095205</v>
      </c>
      <c r="AN99">
        <v>0.99999997950076003</v>
      </c>
    </row>
    <row r="100" spans="1:40" x14ac:dyDescent="0.3">
      <c r="A100" t="str">
        <f>"20200111150223196"</f>
        <v>20200111150223196</v>
      </c>
      <c r="B100" t="str">
        <f>"1578726143186000"</f>
        <v>1578726143186000</v>
      </c>
      <c r="C100" t="s">
        <v>40</v>
      </c>
      <c r="D100">
        <v>5.4455519999999904</v>
      </c>
      <c r="E100">
        <v>0.51819380000000004</v>
      </c>
      <c r="F100" t="s">
        <v>43</v>
      </c>
      <c r="G100">
        <v>-428.10169999999999</v>
      </c>
      <c r="H100">
        <v>-0.05</v>
      </c>
      <c r="I100">
        <v>368.84179999999998</v>
      </c>
      <c r="J100">
        <v>-468.95830000000001</v>
      </c>
      <c r="K100">
        <v>1.101931</v>
      </c>
      <c r="L100">
        <v>367.57839999999999</v>
      </c>
      <c r="M100">
        <v>0.99999479999999996</v>
      </c>
      <c r="N100">
        <v>0</v>
      </c>
      <c r="O100">
        <v>-2.618937E-3</v>
      </c>
      <c r="P100">
        <v>0.99244929999999998</v>
      </c>
      <c r="Q100">
        <v>9.3444470000000002E-2</v>
      </c>
      <c r="R100">
        <v>7.94517E-2</v>
      </c>
      <c r="S100">
        <v>3.0226440000000001</v>
      </c>
      <c r="T100">
        <v>-8.4957240000000003E-2</v>
      </c>
      <c r="U100">
        <v>9.3139650000000004E-2</v>
      </c>
      <c r="V100">
        <v>-8.2005529999999993E-2</v>
      </c>
      <c r="W100">
        <v>9.1581410000000002E-2</v>
      </c>
      <c r="X100">
        <v>0.99241520000000005</v>
      </c>
      <c r="Y100">
        <v>-3.3402729999999999E-2</v>
      </c>
      <c r="Z100">
        <v>5.4279920000000002E-4</v>
      </c>
      <c r="AA100">
        <v>0.99944180000000005</v>
      </c>
      <c r="AB100">
        <v>20</v>
      </c>
      <c r="AC100">
        <v>40.8566</v>
      </c>
      <c r="AD100">
        <v>-1.151931</v>
      </c>
      <c r="AE100">
        <v>1.2633999999999901</v>
      </c>
      <c r="AF100">
        <v>-1.36930925399426</v>
      </c>
      <c r="AG100">
        <v>-1.151931</v>
      </c>
      <c r="AH100">
        <v>40.820732518468397</v>
      </c>
      <c r="AI100">
        <v>91.615507543695202</v>
      </c>
      <c r="AJ100">
        <v>91.921235343442504</v>
      </c>
      <c r="AK100">
        <v>40.859933384749603</v>
      </c>
      <c r="AL100">
        <v>84.745408992588096</v>
      </c>
      <c r="AM100">
        <v>94.7237489628438</v>
      </c>
      <c r="AN100">
        <v>0.99999999539960405</v>
      </c>
    </row>
    <row r="101" spans="1:40" x14ac:dyDescent="0.3">
      <c r="A101" t="str">
        <f>"20200111150223211"</f>
        <v>20200111150223211</v>
      </c>
      <c r="B101" t="str">
        <f>"1578726143205520"</f>
        <v>1578726143205520</v>
      </c>
      <c r="C101" t="s">
        <v>40</v>
      </c>
      <c r="D101">
        <v>5.213679</v>
      </c>
      <c r="E101">
        <v>0.51749129999999999</v>
      </c>
      <c r="F101" t="s">
        <v>43</v>
      </c>
      <c r="G101">
        <v>-426.44560000000001</v>
      </c>
      <c r="H101">
        <v>-0.05</v>
      </c>
      <c r="I101">
        <v>368.9316</v>
      </c>
      <c r="J101">
        <v>-468.82729999999998</v>
      </c>
      <c r="K101">
        <v>1.101993</v>
      </c>
      <c r="L101">
        <v>367.57769999999999</v>
      </c>
      <c r="M101">
        <v>0.99999389999999999</v>
      </c>
      <c r="N101">
        <v>0</v>
      </c>
      <c r="O101">
        <v>-2.8978350000000001E-3</v>
      </c>
      <c r="P101">
        <v>0.99223030000000001</v>
      </c>
      <c r="Q101">
        <v>9.5212240000000004E-2</v>
      </c>
      <c r="R101">
        <v>8.0087649999999996E-2</v>
      </c>
      <c r="S101">
        <v>3.0228269999999999</v>
      </c>
      <c r="T101">
        <v>-8.1907030000000006E-2</v>
      </c>
      <c r="U101">
        <v>9.6221920000000002E-2</v>
      </c>
      <c r="V101">
        <v>-8.2922860000000001E-2</v>
      </c>
      <c r="W101">
        <v>9.3321550000000003E-2</v>
      </c>
      <c r="X101">
        <v>0.99217679999999997</v>
      </c>
      <c r="Y101">
        <v>-3.4698100000000003E-2</v>
      </c>
      <c r="Z101">
        <v>5.4837440000000005E-4</v>
      </c>
      <c r="AA101">
        <v>0.99939770000000006</v>
      </c>
      <c r="AB101">
        <v>21</v>
      </c>
      <c r="AC101">
        <v>42.381699999999903</v>
      </c>
      <c r="AD101">
        <v>-1.151993</v>
      </c>
      <c r="AE101">
        <v>1.3539000000000101</v>
      </c>
      <c r="AF101">
        <v>-1.4756206051035701</v>
      </c>
      <c r="AG101">
        <v>-1.151993</v>
      </c>
      <c r="AH101">
        <v>42.346343924406597</v>
      </c>
      <c r="AI101">
        <v>91.557349417003095</v>
      </c>
      <c r="AJ101">
        <v>91.995748129279804</v>
      </c>
      <c r="AK101">
        <v>42.387703261752499</v>
      </c>
      <c r="AL101">
        <v>84.645277253173305</v>
      </c>
      <c r="AM101">
        <v>94.777488971414499</v>
      </c>
      <c r="AN101">
        <v>0.99999995743160996</v>
      </c>
    </row>
    <row r="102" spans="1:40" x14ac:dyDescent="0.3">
      <c r="A102" t="str">
        <f>"20200111150223226"</f>
        <v>20200111150223226</v>
      </c>
      <c r="B102" t="str">
        <f>"1578726143215281"</f>
        <v>1578726143215281</v>
      </c>
      <c r="C102" t="s">
        <v>40</v>
      </c>
      <c r="D102">
        <v>5.630331</v>
      </c>
      <c r="E102">
        <v>0.51749129999999999</v>
      </c>
      <c r="F102" t="s">
        <v>43</v>
      </c>
      <c r="G102">
        <v>-420.21510000000001</v>
      </c>
      <c r="H102">
        <v>-0.05</v>
      </c>
      <c r="I102">
        <v>369.24829999999997</v>
      </c>
      <c r="J102">
        <v>-468.666</v>
      </c>
      <c r="K102">
        <v>1.102004</v>
      </c>
      <c r="L102">
        <v>367.57690000000002</v>
      </c>
      <c r="M102">
        <v>0.9999924</v>
      </c>
      <c r="N102">
        <v>0</v>
      </c>
      <c r="O102">
        <v>-3.174194E-3</v>
      </c>
      <c r="P102">
        <v>0.99171169999999997</v>
      </c>
      <c r="Q102">
        <v>0.1001002</v>
      </c>
      <c r="R102">
        <v>8.0549999999999997E-2</v>
      </c>
      <c r="S102">
        <v>3.021973</v>
      </c>
      <c r="T102">
        <v>-7.1613549999999998E-2</v>
      </c>
      <c r="U102">
        <v>0.10385129999999999</v>
      </c>
      <c r="V102">
        <v>-8.3665920000000005E-2</v>
      </c>
      <c r="W102">
        <v>9.7853529999999994E-2</v>
      </c>
      <c r="X102">
        <v>0.9916777</v>
      </c>
      <c r="Y102">
        <v>-3.7505879999999998E-2</v>
      </c>
      <c r="Z102">
        <v>5.1939589999999995E-4</v>
      </c>
      <c r="AA102">
        <v>0.99929619999999997</v>
      </c>
      <c r="AB102">
        <v>21</v>
      </c>
      <c r="AC102">
        <v>48.450899999999898</v>
      </c>
      <c r="AD102">
        <v>-1.152004</v>
      </c>
      <c r="AE102">
        <v>1.67139999999994</v>
      </c>
      <c r="AF102">
        <v>-1.8241545011298199</v>
      </c>
      <c r="AG102">
        <v>-1.152004</v>
      </c>
      <c r="AH102">
        <v>48.418010792572503</v>
      </c>
      <c r="AI102">
        <v>91.362008624838793</v>
      </c>
      <c r="AJ102">
        <v>92.157605068179805</v>
      </c>
      <c r="AK102">
        <v>48.466054326401299</v>
      </c>
      <c r="AL102">
        <v>84.384419350640698</v>
      </c>
      <c r="AM102">
        <v>94.822513022385095</v>
      </c>
      <c r="AN102">
        <v>0.99999998009009805</v>
      </c>
    </row>
    <row r="103" spans="1:40" x14ac:dyDescent="0.3">
      <c r="A103" t="str">
        <f>"20200111150223241"</f>
        <v>20200111150223241</v>
      </c>
      <c r="B103" t="str">
        <f>"1578726143235776"</f>
        <v>1578726143235776</v>
      </c>
      <c r="C103" t="s">
        <v>40</v>
      </c>
      <c r="D103">
        <v>4.5784419999999999</v>
      </c>
      <c r="E103">
        <v>0.51015679999999997</v>
      </c>
      <c r="F103" t="s">
        <v>43</v>
      </c>
      <c r="G103">
        <v>-407.40839999999997</v>
      </c>
      <c r="H103">
        <v>-0.05</v>
      </c>
      <c r="I103">
        <v>369.70850000000002</v>
      </c>
      <c r="J103">
        <v>-468.53339999999997</v>
      </c>
      <c r="K103">
        <v>1.1020030000000001</v>
      </c>
      <c r="L103">
        <v>367.5763</v>
      </c>
      <c r="M103">
        <v>0.99999179999999999</v>
      </c>
      <c r="N103">
        <v>0</v>
      </c>
      <c r="O103">
        <v>-3.3433820000000002E-3</v>
      </c>
      <c r="P103">
        <v>0.99146290000000004</v>
      </c>
      <c r="Q103">
        <v>0.1028261</v>
      </c>
      <c r="R103">
        <v>8.0176339999999999E-2</v>
      </c>
      <c r="S103">
        <v>3.0222169999999999</v>
      </c>
      <c r="T103">
        <v>-5.6835530000000002E-2</v>
      </c>
      <c r="U103">
        <v>0.1051636</v>
      </c>
      <c r="V103">
        <v>-8.3467260000000001E-2</v>
      </c>
      <c r="W103">
        <v>0.1005182</v>
      </c>
      <c r="X103">
        <v>0.99142790000000003</v>
      </c>
      <c r="Y103">
        <v>-3.810964E-2</v>
      </c>
      <c r="Z103">
        <v>4.2105490000000001E-4</v>
      </c>
      <c r="AA103">
        <v>0.99927350000000004</v>
      </c>
      <c r="AB103">
        <v>21</v>
      </c>
      <c r="AC103">
        <v>61.125</v>
      </c>
      <c r="AD103">
        <v>-1.1520030000000001</v>
      </c>
      <c r="AE103">
        <v>2.1322000000000099</v>
      </c>
      <c r="AF103">
        <v>-2.3357242068333099</v>
      </c>
      <c r="AG103">
        <v>-1.1520030000000001</v>
      </c>
      <c r="AH103">
        <v>61.095854885721799</v>
      </c>
      <c r="AI103">
        <v>91.079433683750295</v>
      </c>
      <c r="AJ103">
        <v>92.189379251326201</v>
      </c>
      <c r="AK103">
        <v>61.151338519279903</v>
      </c>
      <c r="AL103">
        <v>84.230988412930699</v>
      </c>
      <c r="AM103">
        <v>94.812322566818395</v>
      </c>
      <c r="AN103">
        <v>0.99999998646077803</v>
      </c>
    </row>
    <row r="104" spans="1:40" x14ac:dyDescent="0.3">
      <c r="A104" t="str">
        <f>"20200111150223261"</f>
        <v>20200111150223261</v>
      </c>
      <c r="B104" t="str">
        <f>"1578726143255296"</f>
        <v>1578726143255296</v>
      </c>
      <c r="C104" t="s">
        <v>40</v>
      </c>
      <c r="D104">
        <v>5.4736019999999996</v>
      </c>
      <c r="E104">
        <v>0.51184569999999996</v>
      </c>
      <c r="F104" t="s">
        <v>45</v>
      </c>
      <c r="G104">
        <v>-158.78319999999999</v>
      </c>
      <c r="H104">
        <v>38.361759999999997</v>
      </c>
      <c r="I104">
        <v>384.14190000000002</v>
      </c>
      <c r="J104">
        <v>-468.34989999999999</v>
      </c>
      <c r="K104">
        <v>1.102058</v>
      </c>
      <c r="L104">
        <v>367.5754</v>
      </c>
      <c r="M104">
        <v>0.99999150000000003</v>
      </c>
      <c r="N104">
        <v>0</v>
      </c>
      <c r="O104">
        <v>-3.5103859999999999E-3</v>
      </c>
      <c r="P104">
        <v>0.99104950000000003</v>
      </c>
      <c r="Q104">
        <v>0.1068344</v>
      </c>
      <c r="R104">
        <v>8.0045050000000006E-2</v>
      </c>
      <c r="S104">
        <v>2.9758300000000002</v>
      </c>
      <c r="T104">
        <v>0.35796240000000001</v>
      </c>
      <c r="U104">
        <v>0.15914919999999999</v>
      </c>
      <c r="V104">
        <v>-8.3513630000000005E-2</v>
      </c>
      <c r="W104">
        <v>0.1046624</v>
      </c>
      <c r="X104">
        <v>0.99099510000000002</v>
      </c>
      <c r="Y104">
        <v>-5.6478100000000003E-2</v>
      </c>
      <c r="Z104">
        <v>-3.8027429999999999E-3</v>
      </c>
      <c r="AA104">
        <v>0.99839659999999997</v>
      </c>
      <c r="AB104">
        <v>21</v>
      </c>
      <c r="AC104">
        <v>309.56670000000003</v>
      </c>
      <c r="AD104">
        <v>37.259701999999997</v>
      </c>
      <c r="AE104">
        <v>16.566500000000001</v>
      </c>
      <c r="AF104">
        <v>-17.401724939490901</v>
      </c>
      <c r="AG104">
        <v>37.259701999999997</v>
      </c>
      <c r="AH104">
        <v>305.09936822670602</v>
      </c>
      <c r="AI104">
        <v>83.048522124830697</v>
      </c>
      <c r="AJ104">
        <v>93.264399832534096</v>
      </c>
      <c r="AK104">
        <v>307.85829518844201</v>
      </c>
      <c r="AL104">
        <v>83.992283763556401</v>
      </c>
      <c r="AM104">
        <v>94.817076440823101</v>
      </c>
      <c r="AN104">
        <v>1.0000000162967699</v>
      </c>
    </row>
    <row r="105" spans="1:40" x14ac:dyDescent="0.3">
      <c r="A105" t="str">
        <f>"20200111150223284"</f>
        <v>20200111150223284</v>
      </c>
      <c r="B105" t="str">
        <f>"1578726143275792"</f>
        <v>1578726143275792</v>
      </c>
      <c r="C105" t="s">
        <v>40</v>
      </c>
      <c r="D105">
        <v>5.5108050000000004</v>
      </c>
      <c r="E105">
        <v>0.51386769999999904</v>
      </c>
      <c r="F105" t="s">
        <v>45</v>
      </c>
      <c r="G105">
        <v>-158.19499999999999</v>
      </c>
      <c r="H105">
        <v>38.872570000000003</v>
      </c>
      <c r="I105">
        <v>382.7355</v>
      </c>
      <c r="J105">
        <v>-468.12599999999998</v>
      </c>
      <c r="K105">
        <v>1.10215</v>
      </c>
      <c r="L105">
        <v>367.5745</v>
      </c>
      <c r="M105">
        <v>0.99999179999999999</v>
      </c>
      <c r="N105">
        <v>0</v>
      </c>
      <c r="O105">
        <v>-3.58917E-3</v>
      </c>
      <c r="P105">
        <v>0.99053979999999997</v>
      </c>
      <c r="Q105">
        <v>0.1114855</v>
      </c>
      <c r="R105">
        <v>8.0010349999999994E-2</v>
      </c>
      <c r="S105">
        <v>2.9762879999999998</v>
      </c>
      <c r="T105">
        <v>0.36245159999999998</v>
      </c>
      <c r="U105">
        <v>0.1454773</v>
      </c>
      <c r="V105">
        <v>-8.3573750000000002E-2</v>
      </c>
      <c r="W105">
        <v>0.1096067</v>
      </c>
      <c r="X105">
        <v>0.99045530000000004</v>
      </c>
      <c r="Y105">
        <v>-5.1995380000000001E-2</v>
      </c>
      <c r="Z105">
        <v>-3.5877109999999999E-3</v>
      </c>
      <c r="AA105">
        <v>0.99864090000000005</v>
      </c>
      <c r="AB105">
        <v>21</v>
      </c>
      <c r="AC105">
        <v>309.93099999999998</v>
      </c>
      <c r="AD105">
        <v>37.770420000000001</v>
      </c>
      <c r="AE105">
        <v>15.161</v>
      </c>
      <c r="AF105">
        <v>-16.035711707462799</v>
      </c>
      <c r="AG105">
        <v>37.770420000000001</v>
      </c>
      <c r="AH105">
        <v>305.35046734426197</v>
      </c>
      <c r="AI105">
        <v>82.958204740344499</v>
      </c>
      <c r="AJ105">
        <v>93.006169830085497</v>
      </c>
      <c r="AK105">
        <v>308.09520701286601</v>
      </c>
      <c r="AL105">
        <v>83.7073556374161</v>
      </c>
      <c r="AM105">
        <v>94.823142640867204</v>
      </c>
      <c r="AN105">
        <v>0.99999995083602</v>
      </c>
    </row>
    <row r="106" spans="1:40" x14ac:dyDescent="0.3">
      <c r="A106" t="str">
        <f>"20200111150223307"</f>
        <v>20200111150223307</v>
      </c>
      <c r="B106" t="str">
        <f>"1578726143295315"</f>
        <v>1578726143295315</v>
      </c>
      <c r="C106" t="s">
        <v>40</v>
      </c>
      <c r="D106">
        <v>5.5794620000000004</v>
      </c>
      <c r="E106">
        <v>0.51357779999999997</v>
      </c>
      <c r="F106" t="s">
        <v>45</v>
      </c>
      <c r="G106">
        <v>-158.19499999999999</v>
      </c>
      <c r="H106">
        <v>41.286659999999998</v>
      </c>
      <c r="I106">
        <v>381.03960000000001</v>
      </c>
      <c r="J106">
        <v>-467.91250000000002</v>
      </c>
      <c r="K106">
        <v>1.1021879999999999</v>
      </c>
      <c r="L106">
        <v>367.57380000000001</v>
      </c>
      <c r="M106">
        <v>0.9999922</v>
      </c>
      <c r="N106">
        <v>0</v>
      </c>
      <c r="O106">
        <v>-3.5271320000000001E-3</v>
      </c>
      <c r="P106">
        <v>0.99001269999999997</v>
      </c>
      <c r="Q106">
        <v>0.11607820000000001</v>
      </c>
      <c r="R106">
        <v>8.000612E-2</v>
      </c>
      <c r="S106">
        <v>2.9748230000000002</v>
      </c>
      <c r="T106">
        <v>0.38570520000000003</v>
      </c>
      <c r="U106">
        <v>0.12924189999999999</v>
      </c>
      <c r="V106">
        <v>-8.3526600000000006E-2</v>
      </c>
      <c r="W106">
        <v>0.1142859</v>
      </c>
      <c r="X106">
        <v>0.98993030000000004</v>
      </c>
      <c r="Y106">
        <v>-4.6509790000000002E-2</v>
      </c>
      <c r="Z106">
        <v>-3.4563910000000001E-3</v>
      </c>
      <c r="AA106">
        <v>0.99891189999999996</v>
      </c>
      <c r="AB106">
        <v>21</v>
      </c>
      <c r="AC106">
        <v>309.71749999999997</v>
      </c>
      <c r="AD106">
        <v>40.184472</v>
      </c>
      <c r="AE106">
        <v>13.4658</v>
      </c>
      <c r="AF106">
        <v>-14.317566562478101</v>
      </c>
      <c r="AG106">
        <v>40.184472</v>
      </c>
      <c r="AH106">
        <v>304.55096658222601</v>
      </c>
      <c r="AI106">
        <v>82.491633415340701</v>
      </c>
      <c r="AJ106">
        <v>92.691610522726705</v>
      </c>
      <c r="AK106">
        <v>307.52410596302502</v>
      </c>
      <c r="AL106">
        <v>83.437561284447398</v>
      </c>
      <c r="AM106">
        <v>94.822978797779101</v>
      </c>
      <c r="AN106">
        <v>0.99999997935222895</v>
      </c>
    </row>
    <row r="107" spans="1:40" x14ac:dyDescent="0.3">
      <c r="A107" t="str">
        <f>"20200111150223386"</f>
        <v>20200111150223386</v>
      </c>
      <c r="B107" t="str">
        <f>"1578726143375344"</f>
        <v>1578726143375344</v>
      </c>
      <c r="C107" t="s">
        <v>40</v>
      </c>
      <c r="D107">
        <v>5.4714640000000001</v>
      </c>
      <c r="E107">
        <v>0.51402000000000003</v>
      </c>
      <c r="F107" t="s">
        <v>45</v>
      </c>
      <c r="G107">
        <v>-158.19499999999999</v>
      </c>
      <c r="H107">
        <v>43.350549999999998</v>
      </c>
      <c r="I107">
        <v>381.25150000000002</v>
      </c>
      <c r="J107">
        <v>-467.11270000000002</v>
      </c>
      <c r="K107">
        <v>1.102454</v>
      </c>
      <c r="L107">
        <v>367.57249999999999</v>
      </c>
      <c r="M107">
        <v>0.99999610000000005</v>
      </c>
      <c r="N107">
        <v>0</v>
      </c>
      <c r="O107">
        <v>-2.1046630000000001E-3</v>
      </c>
      <c r="P107">
        <v>0.98793410000000004</v>
      </c>
      <c r="Q107">
        <v>0.1297633</v>
      </c>
      <c r="R107">
        <v>8.454631E-2</v>
      </c>
      <c r="S107">
        <v>2.9721679999999999</v>
      </c>
      <c r="T107">
        <v>0.40543210000000002</v>
      </c>
      <c r="U107">
        <v>0.13125609999999999</v>
      </c>
      <c r="V107">
        <v>-8.6749770000000004E-2</v>
      </c>
      <c r="W107">
        <v>0.12773029999999999</v>
      </c>
      <c r="X107">
        <v>0.98800779999999999</v>
      </c>
      <c r="Y107">
        <v>-4.577867E-2</v>
      </c>
      <c r="Z107">
        <v>-3.3920790000000001E-3</v>
      </c>
      <c r="AA107">
        <v>0.99894579999999999</v>
      </c>
      <c r="AB107">
        <v>22</v>
      </c>
      <c r="AC107">
        <v>308.91770000000002</v>
      </c>
      <c r="AD107">
        <v>42.248095999999997</v>
      </c>
      <c r="AE107">
        <v>13.679</v>
      </c>
      <c r="AF107">
        <v>-14.066555961057301</v>
      </c>
      <c r="AG107">
        <v>42.248095999999997</v>
      </c>
      <c r="AH107">
        <v>303.22782714104801</v>
      </c>
      <c r="AI107">
        <v>82.076573928089601</v>
      </c>
      <c r="AJ107">
        <v>92.656012511495206</v>
      </c>
      <c r="AK107">
        <v>306.47982766393</v>
      </c>
      <c r="AL107">
        <v>82.661545224318701</v>
      </c>
      <c r="AM107">
        <v>95.017856809687004</v>
      </c>
      <c r="AN107">
        <v>0.99999998249699096</v>
      </c>
    </row>
    <row r="108" spans="1:40" x14ac:dyDescent="0.3">
      <c r="A108" t="str">
        <f>"20200111150223406"</f>
        <v>20200111150223406</v>
      </c>
      <c r="B108" t="str">
        <f>"1578726143395842"</f>
        <v>1578726143395842</v>
      </c>
      <c r="C108" t="s">
        <v>40</v>
      </c>
      <c r="D108">
        <v>5.4987250000000003</v>
      </c>
      <c r="E108">
        <v>0.52648969999999995</v>
      </c>
      <c r="F108" t="s">
        <v>45</v>
      </c>
      <c r="G108">
        <v>-159.1737</v>
      </c>
      <c r="H108">
        <v>46.647669999999998</v>
      </c>
      <c r="I108">
        <v>382.27280000000002</v>
      </c>
      <c r="J108">
        <v>-466.90550000000002</v>
      </c>
      <c r="K108">
        <v>1.1025830000000001</v>
      </c>
      <c r="L108">
        <v>367.5727</v>
      </c>
      <c r="M108">
        <v>0.99999700000000002</v>
      </c>
      <c r="N108">
        <v>0</v>
      </c>
      <c r="O108">
        <v>-1.4928000000000001E-3</v>
      </c>
      <c r="P108">
        <v>0.98746339999999999</v>
      </c>
      <c r="Q108">
        <v>0.13170490000000001</v>
      </c>
      <c r="R108">
        <v>8.7006490000000006E-2</v>
      </c>
      <c r="S108">
        <v>2.966888</v>
      </c>
      <c r="T108">
        <v>0.43881340000000002</v>
      </c>
      <c r="U108">
        <v>0.14163210000000001</v>
      </c>
      <c r="V108">
        <v>-8.8628899999999997E-2</v>
      </c>
      <c r="W108">
        <v>0.12971920000000001</v>
      </c>
      <c r="X108">
        <v>0.98758179999999995</v>
      </c>
      <c r="Y108">
        <v>-4.863029E-2</v>
      </c>
      <c r="Z108">
        <v>-3.794314E-3</v>
      </c>
      <c r="AA108">
        <v>0.99880959999999996</v>
      </c>
      <c r="AB108">
        <v>23</v>
      </c>
      <c r="AC108">
        <v>307.73180000000002</v>
      </c>
      <c r="AD108">
        <v>45.545087000000002</v>
      </c>
      <c r="AE108">
        <v>14.700100000000001</v>
      </c>
      <c r="AF108">
        <v>-14.835244035615601</v>
      </c>
      <c r="AG108">
        <v>45.545087000000002</v>
      </c>
      <c r="AH108">
        <v>301.12838789689903</v>
      </c>
      <c r="AI108">
        <v>81.409574566026507</v>
      </c>
      <c r="AJ108">
        <v>92.820425545960006</v>
      </c>
      <c r="AK108">
        <v>304.91432470912002</v>
      </c>
      <c r="AL108">
        <v>82.546633601148102</v>
      </c>
      <c r="AM108">
        <v>95.128177465315304</v>
      </c>
      <c r="AN108">
        <v>0.99999998222754405</v>
      </c>
    </row>
    <row r="109" spans="1:40" x14ac:dyDescent="0.3">
      <c r="A109" t="str">
        <f>"20200111150223429"</f>
        <v>20200111150223429</v>
      </c>
      <c r="B109" t="str">
        <f>"1578726143426096"</f>
        <v>1578726143426096</v>
      </c>
      <c r="C109" t="s">
        <v>40</v>
      </c>
      <c r="D109">
        <v>5.7194180000000001</v>
      </c>
      <c r="E109">
        <v>0.52162149999999996</v>
      </c>
      <c r="F109" t="s">
        <v>41</v>
      </c>
      <c r="G109">
        <v>-448.31830000000002</v>
      </c>
      <c r="H109" s="1">
        <v>-1.0762580000000001E-6</v>
      </c>
      <c r="I109">
        <v>367.9391</v>
      </c>
      <c r="J109">
        <v>-466.6823</v>
      </c>
      <c r="K109">
        <v>1.1026940000000001</v>
      </c>
      <c r="L109">
        <v>367.57310000000001</v>
      </c>
      <c r="M109">
        <v>0.99999819999999995</v>
      </c>
      <c r="N109">
        <v>0</v>
      </c>
      <c r="O109">
        <v>-7.6418600000000003E-4</v>
      </c>
      <c r="P109">
        <v>0.98683220000000005</v>
      </c>
      <c r="Q109">
        <v>0.13350310000000001</v>
      </c>
      <c r="R109">
        <v>9.1320570000000004E-2</v>
      </c>
      <c r="S109">
        <v>3.0569760000000001</v>
      </c>
      <c r="T109">
        <v>-0.1813389</v>
      </c>
      <c r="U109">
        <v>6.0272220000000001E-2</v>
      </c>
      <c r="V109">
        <v>-9.2243909999999998E-2</v>
      </c>
      <c r="W109">
        <v>0.13156999999999999</v>
      </c>
      <c r="X109">
        <v>0.98700580000000004</v>
      </c>
      <c r="Y109">
        <v>-2.0439229999999999E-2</v>
      </c>
      <c r="Z109">
        <v>6.5092069999999995E-4</v>
      </c>
      <c r="AA109">
        <v>0.99979090000000004</v>
      </c>
      <c r="AB109">
        <v>23</v>
      </c>
      <c r="AC109">
        <v>18.363999999999901</v>
      </c>
      <c r="AD109">
        <v>-1.1026950762579999</v>
      </c>
      <c r="AE109">
        <v>0.365999999999985</v>
      </c>
      <c r="AF109">
        <v>-0.37866864435423703</v>
      </c>
      <c r="AG109">
        <v>-1.1026950762579999</v>
      </c>
      <c r="AH109">
        <v>18.297766901460498</v>
      </c>
      <c r="AI109">
        <v>93.447960644191994</v>
      </c>
      <c r="AJ109">
        <v>91.185555525338799</v>
      </c>
      <c r="AK109">
        <v>18.3348738734032</v>
      </c>
      <c r="AL109">
        <v>82.439674167431804</v>
      </c>
      <c r="AM109">
        <v>95.339258515798903</v>
      </c>
      <c r="AN109">
        <v>1.0000000265328599</v>
      </c>
    </row>
    <row r="110" spans="1:40" x14ac:dyDescent="0.3">
      <c r="A110" t="str">
        <f>"20200111150223443"</f>
        <v>20200111150223443</v>
      </c>
      <c r="B110" t="str">
        <f>"1578726143435856"</f>
        <v>1578726143435856</v>
      </c>
      <c r="C110" t="s">
        <v>40</v>
      </c>
      <c r="D110">
        <v>5.5212289999999999</v>
      </c>
      <c r="E110">
        <v>0.52162149999999996</v>
      </c>
      <c r="F110" t="s">
        <v>45</v>
      </c>
      <c r="G110">
        <v>-158.19499999999999</v>
      </c>
      <c r="H110">
        <v>52.74559</v>
      </c>
      <c r="I110">
        <v>378.04640000000001</v>
      </c>
      <c r="J110">
        <v>-466.52550000000002</v>
      </c>
      <c r="K110">
        <v>1.1027549999999999</v>
      </c>
      <c r="L110">
        <v>367.57350000000002</v>
      </c>
      <c r="M110">
        <v>0.99999839999999995</v>
      </c>
      <c r="N110">
        <v>0</v>
      </c>
      <c r="O110">
        <v>-2.2121350000000001E-4</v>
      </c>
      <c r="P110">
        <v>0.98650769999999999</v>
      </c>
      <c r="Q110">
        <v>0.13373589999999999</v>
      </c>
      <c r="R110">
        <v>9.4433169999999997E-2</v>
      </c>
      <c r="S110">
        <v>2.9636230000000001</v>
      </c>
      <c r="T110">
        <v>0.4961315</v>
      </c>
      <c r="U110">
        <v>0.1006165</v>
      </c>
      <c r="V110">
        <v>-9.4829609999999995E-2</v>
      </c>
      <c r="W110">
        <v>0.1318404</v>
      </c>
      <c r="X110">
        <v>0.98672459999999995</v>
      </c>
      <c r="Y110">
        <v>-3.3680799999999997E-2</v>
      </c>
      <c r="Z110">
        <v>-2.8356990000000001E-3</v>
      </c>
      <c r="AA110">
        <v>0.9994286</v>
      </c>
      <c r="AB110">
        <v>23</v>
      </c>
      <c r="AC110">
        <v>308.33049999999997</v>
      </c>
      <c r="AD110">
        <v>51.642834999999998</v>
      </c>
      <c r="AE110">
        <v>10.4728999999999</v>
      </c>
      <c r="AF110">
        <v>-10.2537836103256</v>
      </c>
      <c r="AG110">
        <v>51.642834999999998</v>
      </c>
      <c r="AH110">
        <v>299.92395282060602</v>
      </c>
      <c r="AI110">
        <v>80.235838958255101</v>
      </c>
      <c r="AJ110">
        <v>91.958062326459</v>
      </c>
      <c r="AK110">
        <v>304.510262488313</v>
      </c>
      <c r="AL110">
        <v>82.424044974534596</v>
      </c>
      <c r="AM110">
        <v>95.489576952888797</v>
      </c>
      <c r="AN110">
        <v>0.99999999112503601</v>
      </c>
    </row>
    <row r="111" spans="1:40" x14ac:dyDescent="0.3">
      <c r="A111" t="str">
        <f>"20200111150223463"</f>
        <v>20200111150223463</v>
      </c>
      <c r="B111" t="str">
        <f>"1578726143455376"</f>
        <v>1578726143455376</v>
      </c>
      <c r="C111" t="s">
        <v>40</v>
      </c>
      <c r="D111">
        <v>5.764589</v>
      </c>
      <c r="E111">
        <v>0.527694</v>
      </c>
      <c r="F111" t="s">
        <v>45</v>
      </c>
      <c r="G111">
        <v>-158.19499999999999</v>
      </c>
      <c r="H111">
        <v>52.823990000000002</v>
      </c>
      <c r="I111">
        <v>379.05329999999998</v>
      </c>
      <c r="J111">
        <v>-466.32279999999997</v>
      </c>
      <c r="K111">
        <v>1.1028070000000001</v>
      </c>
      <c r="L111">
        <v>367.57420000000002</v>
      </c>
      <c r="M111">
        <v>0.99999859999999896</v>
      </c>
      <c r="N111">
        <v>0</v>
      </c>
      <c r="O111">
        <v>4.8578839999999999E-4</v>
      </c>
      <c r="P111">
        <v>0.98603160000000001</v>
      </c>
      <c r="Q111">
        <v>0.1326051</v>
      </c>
      <c r="R111">
        <v>0.1007859</v>
      </c>
      <c r="S111">
        <v>2.9630740000000002</v>
      </c>
      <c r="T111">
        <v>0.49704480000000001</v>
      </c>
      <c r="U111">
        <v>0.110321</v>
      </c>
      <c r="V111">
        <v>-0.1004891</v>
      </c>
      <c r="W111">
        <v>0.1307603</v>
      </c>
      <c r="X111">
        <v>0.98630810000000002</v>
      </c>
      <c r="Y111">
        <v>-3.6222119999999997E-2</v>
      </c>
      <c r="Z111">
        <v>-2.9350679999999999E-3</v>
      </c>
      <c r="AA111">
        <v>0.99933950000000005</v>
      </c>
      <c r="AB111">
        <v>23</v>
      </c>
      <c r="AC111">
        <v>308.12779999999998</v>
      </c>
      <c r="AD111">
        <v>51.721183000000003</v>
      </c>
      <c r="AE111">
        <v>11.479099999999899</v>
      </c>
      <c r="AF111">
        <v>-11.0193652262958</v>
      </c>
      <c r="AG111">
        <v>51.721183000000003</v>
      </c>
      <c r="AH111">
        <v>299.70075677502899</v>
      </c>
      <c r="AI111">
        <v>80.215046920660797</v>
      </c>
      <c r="AJ111">
        <v>92.105696525759001</v>
      </c>
      <c r="AK111">
        <v>304.33049599479</v>
      </c>
      <c r="AL111">
        <v>82.486470595522206</v>
      </c>
      <c r="AM111">
        <v>95.817454482968202</v>
      </c>
      <c r="AN111">
        <v>0.999999991700255</v>
      </c>
    </row>
    <row r="112" spans="1:40" x14ac:dyDescent="0.3">
      <c r="A112" t="str">
        <f>"20200111150223475"</f>
        <v>20200111150223475</v>
      </c>
      <c r="B112" t="str">
        <f>"1578726143465136"</f>
        <v>1578726143465136</v>
      </c>
      <c r="C112" t="s">
        <v>40</v>
      </c>
      <c r="D112">
        <v>5.8323589999999896</v>
      </c>
      <c r="E112">
        <v>0.51772450000000003</v>
      </c>
      <c r="F112" t="s">
        <v>41</v>
      </c>
      <c r="G112">
        <v>-450.8682</v>
      </c>
      <c r="H112" s="1">
        <v>-4.1798829999999997E-6</v>
      </c>
      <c r="I112">
        <v>368.03739999999999</v>
      </c>
      <c r="J112">
        <v>-466.17680000000001</v>
      </c>
      <c r="K112">
        <v>1.102832</v>
      </c>
      <c r="L112">
        <v>367.57479999999998</v>
      </c>
      <c r="M112">
        <v>0.99999819999999995</v>
      </c>
      <c r="N112">
        <v>0</v>
      </c>
      <c r="O112">
        <v>9.8886429999999999E-4</v>
      </c>
      <c r="P112">
        <v>0.98580140000000005</v>
      </c>
      <c r="Q112">
        <v>0.13123959999999901</v>
      </c>
      <c r="R112">
        <v>0.10474700000000001</v>
      </c>
      <c r="S112">
        <v>3.0625</v>
      </c>
      <c r="T112">
        <v>-0.2185338</v>
      </c>
      <c r="U112">
        <v>9.1796879999999997E-2</v>
      </c>
      <c r="V112">
        <v>-0.10395219999999999</v>
      </c>
      <c r="W112">
        <v>0.12943650000000001</v>
      </c>
      <c r="X112">
        <v>0.98612379999999999</v>
      </c>
      <c r="Y112">
        <v>-2.8901690000000001E-2</v>
      </c>
      <c r="Z112">
        <v>9.5918529999999998E-4</v>
      </c>
      <c r="AA112">
        <v>0.99958179999999996</v>
      </c>
      <c r="AB112">
        <v>23</v>
      </c>
      <c r="AC112">
        <v>15.3086</v>
      </c>
      <c r="AD112">
        <v>-1.102836179883</v>
      </c>
      <c r="AE112">
        <v>0.462600000000008</v>
      </c>
      <c r="AF112">
        <v>-0.44515347380493098</v>
      </c>
      <c r="AG112">
        <v>-1.102836179883</v>
      </c>
      <c r="AH112">
        <v>15.2300809210639</v>
      </c>
      <c r="AI112">
        <v>94.139894667149505</v>
      </c>
      <c r="AJ112">
        <v>91.674197003069295</v>
      </c>
      <c r="AK112">
        <v>15.2764450745929</v>
      </c>
      <c r="AL112">
        <v>82.562969030665698</v>
      </c>
      <c r="AM112">
        <v>96.017608071491793</v>
      </c>
      <c r="AN112">
        <v>1.0000000081717599</v>
      </c>
    </row>
    <row r="113" spans="1:40" x14ac:dyDescent="0.3">
      <c r="A113" t="str">
        <f>"20200111150223496"</f>
        <v>20200111150223496</v>
      </c>
      <c r="B113" t="str">
        <f>"1578726143485632"</f>
        <v>1578726143485632</v>
      </c>
      <c r="C113" t="s">
        <v>40</v>
      </c>
      <c r="D113">
        <v>7.2755039999999997</v>
      </c>
      <c r="E113">
        <v>0.51790899999999995</v>
      </c>
      <c r="F113" t="s">
        <v>45</v>
      </c>
      <c r="G113">
        <v>-158.78319999999999</v>
      </c>
      <c r="H113">
        <v>51.200380000000003</v>
      </c>
      <c r="I113">
        <v>385.45139999999998</v>
      </c>
      <c r="J113">
        <v>-465.96660000000003</v>
      </c>
      <c r="K113">
        <v>1.102851</v>
      </c>
      <c r="L113">
        <v>367.57580000000002</v>
      </c>
      <c r="M113">
        <v>0.99999740000000004</v>
      </c>
      <c r="N113">
        <v>0</v>
      </c>
      <c r="O113">
        <v>1.6872390000000001E-3</v>
      </c>
      <c r="P113">
        <v>0.98539679999999996</v>
      </c>
      <c r="Q113">
        <v>0.12796730000000001</v>
      </c>
      <c r="R113">
        <v>0.1123285</v>
      </c>
      <c r="S113">
        <v>2.960693</v>
      </c>
      <c r="T113">
        <v>0.48252020000000001</v>
      </c>
      <c r="U113">
        <v>0.17218020000000001</v>
      </c>
      <c r="V113">
        <v>-0.11083610000000001</v>
      </c>
      <c r="W113">
        <v>0.12622809999999901</v>
      </c>
      <c r="X113">
        <v>0.98579000000000006</v>
      </c>
      <c r="Y113">
        <v>-5.566306E-2</v>
      </c>
      <c r="Z113">
        <v>-4.2294519999999999E-3</v>
      </c>
      <c r="AA113">
        <v>0.99844060000000001</v>
      </c>
      <c r="AB113">
        <v>24</v>
      </c>
      <c r="AC113">
        <v>307.18340000000001</v>
      </c>
      <c r="AD113">
        <v>50.097529000000002</v>
      </c>
      <c r="AE113">
        <v>17.875599999999899</v>
      </c>
      <c r="AF113">
        <v>-16.909064903142902</v>
      </c>
      <c r="AG113">
        <v>50.097529000000002</v>
      </c>
      <c r="AH113">
        <v>299.27995635258401</v>
      </c>
      <c r="AI113">
        <v>80.512017556142695</v>
      </c>
      <c r="AJ113">
        <v>93.233725251260495</v>
      </c>
      <c r="AK113">
        <v>303.91474324587898</v>
      </c>
      <c r="AL113">
        <v>82.748317828068593</v>
      </c>
      <c r="AM113">
        <v>96.415040225801604</v>
      </c>
      <c r="AN113">
        <v>1.0000000491964001</v>
      </c>
    </row>
    <row r="114" spans="1:40" x14ac:dyDescent="0.3">
      <c r="A114" t="str">
        <f>"20200111150224926"</f>
        <v>20200111150224926</v>
      </c>
      <c r="B114" t="str">
        <f>"1578726144915808"</f>
        <v>1578726144915808</v>
      </c>
      <c r="C114" t="s">
        <v>40</v>
      </c>
      <c r="D114">
        <v>4.6745739999999998</v>
      </c>
      <c r="E114">
        <v>0.59147869999999902</v>
      </c>
      <c r="F114" t="s">
        <v>44</v>
      </c>
      <c r="G114">
        <v>0</v>
      </c>
      <c r="H114">
        <v>0</v>
      </c>
      <c r="I114">
        <v>0</v>
      </c>
      <c r="J114">
        <v>-446.76979999999998</v>
      </c>
      <c r="K114">
        <v>1.10171</v>
      </c>
      <c r="L114">
        <v>367.5487</v>
      </c>
      <c r="M114">
        <v>0.99976560000000003</v>
      </c>
      <c r="N114">
        <v>0</v>
      </c>
      <c r="O114">
        <v>-2.129116E-2</v>
      </c>
      <c r="P114">
        <v>0.99346420000000002</v>
      </c>
      <c r="Q114">
        <v>9.7748310000000005E-2</v>
      </c>
      <c r="R114">
        <v>5.8941279999999999E-2</v>
      </c>
      <c r="S114">
        <v>2.9607239999999999</v>
      </c>
      <c r="T114">
        <v>0.47533760000000003</v>
      </c>
      <c r="U114">
        <v>0.1931763</v>
      </c>
      <c r="V114">
        <v>-7.9893220000000001E-2</v>
      </c>
      <c r="W114">
        <v>0.10179249999999999</v>
      </c>
      <c r="X114">
        <v>0.99159229999999998</v>
      </c>
      <c r="Y114">
        <v>-8.4983589999999998E-2</v>
      </c>
      <c r="Z114">
        <v>-1.0164879999999999E-2</v>
      </c>
      <c r="AA114">
        <v>0.99633050000000001</v>
      </c>
      <c r="AB114">
        <v>34</v>
      </c>
      <c r="AC114">
        <v>2.9607239999999999</v>
      </c>
      <c r="AD114">
        <v>0.47533760000000003</v>
      </c>
      <c r="AE114">
        <v>0.1931763</v>
      </c>
      <c r="AF114">
        <v>-0.24975982899423799</v>
      </c>
      <c r="AG114">
        <v>0.47533760000000003</v>
      </c>
      <c r="AH114">
        <v>2.8819702972839201</v>
      </c>
      <c r="AI114">
        <v>80.668601144023498</v>
      </c>
      <c r="AJ114">
        <v>94.953041798916303</v>
      </c>
      <c r="AK114">
        <v>2.9315658956570898</v>
      </c>
      <c r="AL114">
        <v>84.157599830809502</v>
      </c>
      <c r="AM114">
        <v>94.606406769785806</v>
      </c>
      <c r="AN114">
        <v>0.99999996453875295</v>
      </c>
    </row>
    <row r="115" spans="1:40" x14ac:dyDescent="0.3">
      <c r="A115" t="str">
        <f>"20200111150224947"</f>
        <v>20200111150224947</v>
      </c>
      <c r="B115" t="str">
        <f>"1578726144935325"</f>
        <v>1578726144935325</v>
      </c>
      <c r="C115" t="s">
        <v>40</v>
      </c>
      <c r="D115">
        <v>5.7165189999999999</v>
      </c>
      <c r="E115">
        <v>0.59353319999999998</v>
      </c>
      <c r="F115" t="s">
        <v>46</v>
      </c>
      <c r="G115">
        <v>-244.95509999999999</v>
      </c>
      <c r="H115">
        <v>49.867510000000003</v>
      </c>
      <c r="I115">
        <v>330.1139</v>
      </c>
      <c r="J115">
        <v>-446.44380000000001</v>
      </c>
      <c r="K115">
        <v>1.101647</v>
      </c>
      <c r="L115">
        <v>367.5412</v>
      </c>
      <c r="M115">
        <v>0.99975230000000004</v>
      </c>
      <c r="N115">
        <v>0</v>
      </c>
      <c r="O115">
        <v>-2.2033959999999998E-2</v>
      </c>
      <c r="P115">
        <v>0.99334310000000003</v>
      </c>
      <c r="Q115">
        <v>9.8732669999999995E-2</v>
      </c>
      <c r="R115">
        <v>5.9341379999999999E-2</v>
      </c>
      <c r="S115">
        <v>2.9816590000000001</v>
      </c>
      <c r="T115">
        <v>0.72047779999999995</v>
      </c>
      <c r="U115">
        <v>-0.55307010000000001</v>
      </c>
      <c r="V115">
        <v>-8.1023880000000006E-2</v>
      </c>
      <c r="W115">
        <v>0.1019969</v>
      </c>
      <c r="X115">
        <v>0.99147960000000002</v>
      </c>
      <c r="Y115">
        <v>0.15692010000000001</v>
      </c>
      <c r="Z115">
        <v>1.3335069999999999E-2</v>
      </c>
      <c r="AA115">
        <v>0.98752130000000005</v>
      </c>
      <c r="AB115">
        <v>34</v>
      </c>
      <c r="AC115">
        <v>201.48869999999999</v>
      </c>
      <c r="AD115">
        <v>48.765863000000003</v>
      </c>
      <c r="AE115">
        <v>-37.427300000000002</v>
      </c>
      <c r="AF115">
        <v>31.211299125814801</v>
      </c>
      <c r="AG115">
        <v>48.765863000000003</v>
      </c>
      <c r="AH115">
        <v>191.42525667007899</v>
      </c>
      <c r="AI115">
        <v>75.886598257697102</v>
      </c>
      <c r="AJ115">
        <v>80.739586198719394</v>
      </c>
      <c r="AK115">
        <v>199.989708431362</v>
      </c>
      <c r="AL115">
        <v>84.145827607307695</v>
      </c>
      <c r="AM115">
        <v>94.671839409404797</v>
      </c>
      <c r="AN115">
        <v>1.0000000169780101</v>
      </c>
    </row>
    <row r="116" spans="1:40" x14ac:dyDescent="0.3">
      <c r="A116" t="str">
        <f>"20200111150225015"</f>
        <v>20200111150225015</v>
      </c>
      <c r="B116" t="str">
        <f>"1578726145005597"</f>
        <v>1578726145005597</v>
      </c>
      <c r="C116" t="s">
        <v>40</v>
      </c>
      <c r="D116">
        <v>6.118684</v>
      </c>
      <c r="E116">
        <v>0.59353319999999998</v>
      </c>
      <c r="F116" t="s">
        <v>46</v>
      </c>
      <c r="G116">
        <v>-251.82169999999999</v>
      </c>
      <c r="H116">
        <v>47.451099999999997</v>
      </c>
      <c r="I116">
        <v>330.49799999999999</v>
      </c>
      <c r="J116">
        <v>-445.38069999999999</v>
      </c>
      <c r="K116">
        <v>1.101945</v>
      </c>
      <c r="L116">
        <v>367.51499999999999</v>
      </c>
      <c r="M116">
        <v>0.99971019999999999</v>
      </c>
      <c r="N116">
        <v>0</v>
      </c>
      <c r="O116">
        <v>-2.3939829999999999E-2</v>
      </c>
      <c r="P116">
        <v>0.99318430000000002</v>
      </c>
      <c r="Q116">
        <v>9.8150639999999997E-2</v>
      </c>
      <c r="R116">
        <v>6.2861929999999996E-2</v>
      </c>
      <c r="S116">
        <v>2.9833980000000002</v>
      </c>
      <c r="T116">
        <v>0.7104994</v>
      </c>
      <c r="U116">
        <v>-0.56784060000000003</v>
      </c>
      <c r="V116">
        <v>-8.6442930000000001E-2</v>
      </c>
      <c r="W116">
        <v>0.1008318</v>
      </c>
      <c r="X116">
        <v>0.99114100000000005</v>
      </c>
      <c r="Y116">
        <v>0.15974269999999999</v>
      </c>
      <c r="Z116">
        <v>1.3027739999999999E-2</v>
      </c>
      <c r="AA116">
        <v>0.98707270000000003</v>
      </c>
      <c r="AB116">
        <v>35</v>
      </c>
      <c r="AC116">
        <v>193.559</v>
      </c>
      <c r="AD116">
        <v>46.349155000000003</v>
      </c>
      <c r="AE116">
        <v>-37.016999999999904</v>
      </c>
      <c r="AF116">
        <v>30.675725768419799</v>
      </c>
      <c r="AG116">
        <v>46.349155000000003</v>
      </c>
      <c r="AH116">
        <v>184.200348952729</v>
      </c>
      <c r="AI116">
        <v>76.060577023701796</v>
      </c>
      <c r="AJ116">
        <v>80.545042016763205</v>
      </c>
      <c r="AK116">
        <v>192.40325588445799</v>
      </c>
      <c r="AL116">
        <v>84.212928530055805</v>
      </c>
      <c r="AM116">
        <v>94.984471539974606</v>
      </c>
      <c r="AN116">
        <v>0.99999995695961097</v>
      </c>
    </row>
    <row r="117" spans="1:40" x14ac:dyDescent="0.3">
      <c r="A117" t="str">
        <f>"20200111150225036"</f>
        <v>20200111150225036</v>
      </c>
      <c r="B117" t="str">
        <f>"1578726145026111"</f>
        <v>1578726145026111</v>
      </c>
      <c r="C117" t="s">
        <v>40</v>
      </c>
      <c r="D117">
        <v>5.2087329999999996</v>
      </c>
      <c r="E117">
        <v>0.50524209999999903</v>
      </c>
      <c r="F117" t="s">
        <v>46</v>
      </c>
      <c r="G117">
        <v>-244.9555</v>
      </c>
      <c r="H117">
        <v>48.739339999999999</v>
      </c>
      <c r="I117">
        <v>330.13780000000003</v>
      </c>
      <c r="J117">
        <v>-445.03969999999998</v>
      </c>
      <c r="K117">
        <v>1.102123</v>
      </c>
      <c r="L117">
        <v>367.50630000000001</v>
      </c>
      <c r="M117">
        <v>0.99969669999999999</v>
      </c>
      <c r="N117">
        <v>0</v>
      </c>
      <c r="O117">
        <v>-2.4476109999999999E-2</v>
      </c>
      <c r="P117">
        <v>0.9932107</v>
      </c>
      <c r="Q117">
        <v>9.7120590000000007E-2</v>
      </c>
      <c r="R117">
        <v>6.4033839999999995E-2</v>
      </c>
      <c r="S117">
        <v>2.9856569999999998</v>
      </c>
      <c r="T117">
        <v>0.70963609999999999</v>
      </c>
      <c r="U117">
        <v>-0.55679319999999999</v>
      </c>
      <c r="V117">
        <v>-8.8162770000000001E-2</v>
      </c>
      <c r="W117">
        <v>0.1000229</v>
      </c>
      <c r="X117">
        <v>0.99107149999999999</v>
      </c>
      <c r="Y117">
        <v>0.155682399999999</v>
      </c>
      <c r="Z117">
        <v>1.2410579999999999E-2</v>
      </c>
      <c r="AA117">
        <v>0.98772919999999997</v>
      </c>
      <c r="AB117">
        <v>35</v>
      </c>
      <c r="AC117">
        <v>200.08420000000001</v>
      </c>
      <c r="AD117">
        <v>47.637217</v>
      </c>
      <c r="AE117">
        <v>-37.368499999999898</v>
      </c>
      <c r="AF117">
        <v>30.7743596737341</v>
      </c>
      <c r="AG117">
        <v>47.637217</v>
      </c>
      <c r="AH117">
        <v>190.50416333453799</v>
      </c>
      <c r="AI117">
        <v>76.133291530443202</v>
      </c>
      <c r="AJ117">
        <v>80.823617800436494</v>
      </c>
      <c r="AK117">
        <v>198.76670220292399</v>
      </c>
      <c r="AL117">
        <v>84.259510759111095</v>
      </c>
      <c r="AM117">
        <v>95.083481018101395</v>
      </c>
      <c r="AN117">
        <v>0.99999998632536602</v>
      </c>
    </row>
    <row r="118" spans="1:40" x14ac:dyDescent="0.3">
      <c r="A118" t="str">
        <f>"20200111150225058"</f>
        <v>20200111150225058</v>
      </c>
      <c r="B118" t="str">
        <f>"1578726145055375"</f>
        <v>1578726145055375</v>
      </c>
      <c r="C118" t="s">
        <v>40</v>
      </c>
      <c r="D118">
        <v>5.8035439999999996</v>
      </c>
      <c r="E118">
        <v>0.51006720000000005</v>
      </c>
      <c r="F118" t="s">
        <v>44</v>
      </c>
      <c r="G118">
        <v>0</v>
      </c>
      <c r="H118">
        <v>0</v>
      </c>
      <c r="I118">
        <v>0</v>
      </c>
      <c r="J118">
        <v>-444.69850000000002</v>
      </c>
      <c r="K118">
        <v>1.102301</v>
      </c>
      <c r="L118">
        <v>367.49740000000003</v>
      </c>
      <c r="M118">
        <v>0.9996834</v>
      </c>
      <c r="N118">
        <v>0</v>
      </c>
      <c r="O118">
        <v>-2.497487E-2</v>
      </c>
      <c r="P118">
        <v>0.9933109</v>
      </c>
      <c r="Q118">
        <v>9.5878179999999993E-2</v>
      </c>
      <c r="R118">
        <v>6.4351000000000005E-2</v>
      </c>
      <c r="S118">
        <v>2.8594360000000001</v>
      </c>
      <c r="T118">
        <v>1.5500959999999999</v>
      </c>
      <c r="U118">
        <v>0.1468506</v>
      </c>
      <c r="V118">
        <v>-8.8995619999999998E-2</v>
      </c>
      <c r="W118">
        <v>9.9051230000000004E-2</v>
      </c>
      <c r="X118">
        <v>0.99109460000000005</v>
      </c>
      <c r="Y118">
        <v>-6.4007910000000001E-2</v>
      </c>
      <c r="Z118">
        <v>-2.8886640000000002E-2</v>
      </c>
      <c r="AA118">
        <v>0.99753119999999995</v>
      </c>
      <c r="AB118">
        <v>35</v>
      </c>
      <c r="AC118">
        <v>2.8594360000000001</v>
      </c>
      <c r="AD118">
        <v>1.5500959999999999</v>
      </c>
      <c r="AE118">
        <v>0.1468506</v>
      </c>
      <c r="AF118">
        <v>-0.168756901437142</v>
      </c>
      <c r="AG118">
        <v>1.5500959999999999</v>
      </c>
      <c r="AH118">
        <v>2.2077808681692699</v>
      </c>
      <c r="AI118">
        <v>55.005527664290497</v>
      </c>
      <c r="AJ118">
        <v>94.371037481587194</v>
      </c>
      <c r="AK118">
        <v>2.70288232501027</v>
      </c>
      <c r="AL118">
        <v>84.315460925245503</v>
      </c>
      <c r="AM118">
        <v>95.131129165238207</v>
      </c>
      <c r="AN118">
        <v>0.99999993634642603</v>
      </c>
    </row>
    <row r="119" spans="1:40" x14ac:dyDescent="0.3">
      <c r="A119" t="str">
        <f>"20200111150225081"</f>
        <v>20200111150225081</v>
      </c>
      <c r="B119" t="str">
        <f>"1578726145075870"</f>
        <v>1578726145075870</v>
      </c>
      <c r="C119" t="s">
        <v>40</v>
      </c>
      <c r="D119">
        <v>7.3390659999999999</v>
      </c>
      <c r="E119">
        <v>0.46679619999999999</v>
      </c>
      <c r="F119" t="s">
        <v>45</v>
      </c>
      <c r="G119">
        <v>-158.19499999999999</v>
      </c>
      <c r="H119">
        <v>62.73939</v>
      </c>
      <c r="I119">
        <v>378.41629999999998</v>
      </c>
      <c r="J119">
        <v>-444.33510000000001</v>
      </c>
      <c r="K119">
        <v>1.1024830000000001</v>
      </c>
      <c r="L119">
        <v>367.48779999999999</v>
      </c>
      <c r="M119">
        <v>0.99967070000000002</v>
      </c>
      <c r="N119">
        <v>0</v>
      </c>
      <c r="O119">
        <v>-2.5437769999999998E-2</v>
      </c>
      <c r="P119">
        <v>0.99328709999999998</v>
      </c>
      <c r="Q119">
        <v>9.6719650000000004E-2</v>
      </c>
      <c r="R119">
        <v>6.3454789999999997E-2</v>
      </c>
      <c r="S119">
        <v>2.9515989999999999</v>
      </c>
      <c r="T119">
        <v>0.63499450000000002</v>
      </c>
      <c r="U119">
        <v>0.1124878</v>
      </c>
      <c r="V119">
        <v>-8.8578009999999999E-2</v>
      </c>
      <c r="W119">
        <v>0.1001985</v>
      </c>
      <c r="X119">
        <v>0.99101669999999997</v>
      </c>
      <c r="Y119">
        <v>-6.1503540000000002E-2</v>
      </c>
      <c r="Z119">
        <v>-1.19477E-2</v>
      </c>
      <c r="AA119">
        <v>0.99803540000000002</v>
      </c>
      <c r="AB119">
        <v>35</v>
      </c>
      <c r="AC119">
        <v>286.14010000000002</v>
      </c>
      <c r="AD119">
        <v>61.636906999999901</v>
      </c>
      <c r="AE119">
        <v>10.9284999999999</v>
      </c>
      <c r="AF119">
        <v>-17.397682902521499</v>
      </c>
      <c r="AG119">
        <v>61.636906999999901</v>
      </c>
      <c r="AH119">
        <v>273.11523736781697</v>
      </c>
      <c r="AI119">
        <v>77.307376334698503</v>
      </c>
      <c r="AJ119">
        <v>93.644867254707407</v>
      </c>
      <c r="AK119">
        <v>280.52401066108803</v>
      </c>
      <c r="AL119">
        <v>84.249398619658706</v>
      </c>
      <c r="AM119">
        <v>95.107578419635999</v>
      </c>
      <c r="AN119">
        <v>0.99999995146834797</v>
      </c>
    </row>
    <row r="120" spans="1:40" x14ac:dyDescent="0.3">
      <c r="A120" t="str">
        <f>"20200111150225104"</f>
        <v>20200111150225104</v>
      </c>
      <c r="B120" t="str">
        <f>"1578726145095389"</f>
        <v>1578726145095389</v>
      </c>
      <c r="C120" t="s">
        <v>40</v>
      </c>
      <c r="D120">
        <v>5.7745220000000002</v>
      </c>
      <c r="E120">
        <v>0.51400610000000002</v>
      </c>
      <c r="F120" t="s">
        <v>47</v>
      </c>
      <c r="G120">
        <v>-299.04300000000001</v>
      </c>
      <c r="H120">
        <v>87.49418</v>
      </c>
      <c r="I120">
        <v>390.88350000000003</v>
      </c>
      <c r="J120">
        <v>-443.97739999999999</v>
      </c>
      <c r="K120">
        <v>1.102644</v>
      </c>
      <c r="L120">
        <v>367.47829999999999</v>
      </c>
      <c r="M120">
        <v>0.99966010000000005</v>
      </c>
      <c r="N120">
        <v>0</v>
      </c>
      <c r="O120">
        <v>-2.5803159999999999E-2</v>
      </c>
      <c r="P120">
        <v>0.99330059999999998</v>
      </c>
      <c r="Q120">
        <v>9.7066659999999999E-2</v>
      </c>
      <c r="R120">
        <v>6.2705230000000001E-2</v>
      </c>
      <c r="S120">
        <v>2.8274539999999999</v>
      </c>
      <c r="T120">
        <v>1.6812229999999999</v>
      </c>
      <c r="U120">
        <v>0.45529170000000002</v>
      </c>
      <c r="V120">
        <v>-8.8211600000000001E-2</v>
      </c>
      <c r="W120">
        <v>0.1008513</v>
      </c>
      <c r="X120">
        <v>0.99098319999999995</v>
      </c>
      <c r="Y120">
        <v>-0.1554449</v>
      </c>
      <c r="Z120">
        <v>-5.6622359999999997E-2</v>
      </c>
      <c r="AA120">
        <v>0.98622050000000006</v>
      </c>
      <c r="AB120">
        <v>35</v>
      </c>
      <c r="AC120">
        <v>144.93439999999899</v>
      </c>
      <c r="AD120">
        <v>86.391536000000002</v>
      </c>
      <c r="AE120">
        <v>23.405200000000001</v>
      </c>
      <c r="AF120">
        <v>-20.157274604407899</v>
      </c>
      <c r="AG120">
        <v>86.391536000000002</v>
      </c>
      <c r="AH120">
        <v>107.17156880676001</v>
      </c>
      <c r="AI120">
        <v>51.613234200398203</v>
      </c>
      <c r="AJ120">
        <v>100.65198509733899</v>
      </c>
      <c r="AK120">
        <v>139.12425515494701</v>
      </c>
      <c r="AL120">
        <v>84.211805711653696</v>
      </c>
      <c r="AM120">
        <v>95.0867326275213</v>
      </c>
      <c r="AN120">
        <v>0.99999998688424396</v>
      </c>
    </row>
    <row r="121" spans="1:40" x14ac:dyDescent="0.3">
      <c r="A121" t="str">
        <f>"20200111150225128"</f>
        <v>20200111150225128</v>
      </c>
      <c r="B121" t="str">
        <f>"1578726145125645"</f>
        <v>1578726145125645</v>
      </c>
      <c r="C121" t="s">
        <v>40</v>
      </c>
      <c r="D121">
        <v>5.7872649999999997</v>
      </c>
      <c r="E121">
        <v>0.4999246</v>
      </c>
      <c r="F121" t="s">
        <v>45</v>
      </c>
      <c r="G121">
        <v>-158.19499999999999</v>
      </c>
      <c r="H121">
        <v>59.644869999999997</v>
      </c>
      <c r="I121">
        <v>374.9572</v>
      </c>
      <c r="J121">
        <v>-443.59059999999999</v>
      </c>
      <c r="K121">
        <v>1.1027979999999999</v>
      </c>
      <c r="L121">
        <v>367.46809999999999</v>
      </c>
      <c r="M121">
        <v>0.99965150000000003</v>
      </c>
      <c r="N121">
        <v>0</v>
      </c>
      <c r="O121">
        <v>-2.6089419999999999E-2</v>
      </c>
      <c r="P121">
        <v>0.99332929999999997</v>
      </c>
      <c r="Q121">
        <v>9.699294E-2</v>
      </c>
      <c r="R121">
        <v>6.2365999999999998E-2</v>
      </c>
      <c r="S121">
        <v>2.9561459999999999</v>
      </c>
      <c r="T121">
        <v>0.60556409999999905</v>
      </c>
      <c r="U121">
        <v>7.7362059999999996E-2</v>
      </c>
      <c r="V121">
        <v>-8.8179149999999998E-2</v>
      </c>
      <c r="W121">
        <v>0.10109799999999999</v>
      </c>
      <c r="X121">
        <v>0.99096099999999998</v>
      </c>
      <c r="Y121">
        <v>-5.0640270000000001E-2</v>
      </c>
      <c r="Z121">
        <v>-1.042129E-2</v>
      </c>
      <c r="AA121">
        <v>0.99866259999999996</v>
      </c>
      <c r="AB121">
        <v>35</v>
      </c>
      <c r="AC121">
        <v>285.3956</v>
      </c>
      <c r="AD121">
        <v>58.542071999999997</v>
      </c>
      <c r="AE121">
        <v>7.4890999999999996</v>
      </c>
      <c r="AF121">
        <v>-14.329877821081</v>
      </c>
      <c r="AG121">
        <v>58.542071999999997</v>
      </c>
      <c r="AH121">
        <v>273.59885164686199</v>
      </c>
      <c r="AI121">
        <v>77.938560842609704</v>
      </c>
      <c r="AJ121">
        <v>92.998155839637207</v>
      </c>
      <c r="AK121">
        <v>280.15861795579599</v>
      </c>
      <c r="AL121">
        <v>84.1975985130195</v>
      </c>
      <c r="AM121">
        <v>95.084984522671903</v>
      </c>
      <c r="AN121">
        <v>1.00000003580986</v>
      </c>
    </row>
    <row r="122" spans="1:40" x14ac:dyDescent="0.3">
      <c r="A122" t="str">
        <f>"20200111150225151"</f>
        <v>20200111150225151</v>
      </c>
      <c r="B122" t="str">
        <f>"1578726145146142"</f>
        <v>1578726145146142</v>
      </c>
      <c r="C122" t="s">
        <v>40</v>
      </c>
      <c r="D122">
        <v>5.8415819999999998</v>
      </c>
      <c r="E122">
        <v>0.50923809999999903</v>
      </c>
      <c r="F122" t="s">
        <v>44</v>
      </c>
      <c r="G122">
        <v>0</v>
      </c>
      <c r="H122">
        <v>0</v>
      </c>
      <c r="I122">
        <v>0</v>
      </c>
      <c r="J122">
        <v>-443.24669999999998</v>
      </c>
      <c r="K122">
        <v>1.1029059999999999</v>
      </c>
      <c r="L122">
        <v>367.459</v>
      </c>
      <c r="M122">
        <v>0.99964609999999998</v>
      </c>
      <c r="N122">
        <v>0</v>
      </c>
      <c r="O122">
        <v>-2.6248230000000001E-2</v>
      </c>
      <c r="P122">
        <v>0.99333559999999999</v>
      </c>
      <c r="Q122">
        <v>9.7075030000000007E-2</v>
      </c>
      <c r="R122">
        <v>6.2137930000000001E-2</v>
      </c>
      <c r="S122">
        <v>2.8488769999999999</v>
      </c>
      <c r="T122">
        <v>1.629861</v>
      </c>
      <c r="U122">
        <v>0.19314580000000001</v>
      </c>
      <c r="V122">
        <v>-8.8125899999999993E-2</v>
      </c>
      <c r="W122">
        <v>0.1014476</v>
      </c>
      <c r="X122">
        <v>0.99092999999999998</v>
      </c>
      <c r="Y122">
        <v>-7.801131E-2</v>
      </c>
      <c r="Z122">
        <v>-3.466354E-2</v>
      </c>
      <c r="AA122">
        <v>0.9963497</v>
      </c>
      <c r="AB122">
        <v>36</v>
      </c>
      <c r="AC122">
        <v>2.8488769999999999</v>
      </c>
      <c r="AD122">
        <v>1.629861</v>
      </c>
      <c r="AE122">
        <v>0.19314580000000001</v>
      </c>
      <c r="AF122">
        <v>-0.20203368532309199</v>
      </c>
      <c r="AG122">
        <v>1.629861</v>
      </c>
      <c r="AH122">
        <v>2.14422078369609</v>
      </c>
      <c r="AI122">
        <v>52.882792549256202</v>
      </c>
      <c r="AJ122">
        <v>95.382656080953694</v>
      </c>
      <c r="AK122">
        <v>2.70091600361072</v>
      </c>
      <c r="AL122">
        <v>84.177464344001606</v>
      </c>
      <c r="AM122">
        <v>95.0820880144732</v>
      </c>
      <c r="AN122">
        <v>1.0000000273482801</v>
      </c>
    </row>
    <row r="123" spans="1:40" x14ac:dyDescent="0.3">
      <c r="A123" t="str">
        <f>"20200111150225172"</f>
        <v>20200111150225172</v>
      </c>
      <c r="B123" t="str">
        <f>"1578726145165662"</f>
        <v>1578726145165662</v>
      </c>
      <c r="C123" t="s">
        <v>40</v>
      </c>
      <c r="D123">
        <v>5.7170050000000003</v>
      </c>
      <c r="E123">
        <v>0.50844670000000003</v>
      </c>
      <c r="F123" t="s">
        <v>45</v>
      </c>
      <c r="G123">
        <v>-158.19499999999999</v>
      </c>
      <c r="H123">
        <v>57.231650000000002</v>
      </c>
      <c r="I123">
        <v>378.4443</v>
      </c>
      <c r="J123">
        <v>-442.89299999999997</v>
      </c>
      <c r="K123">
        <v>1.103005</v>
      </c>
      <c r="L123">
        <v>367.44959999999998</v>
      </c>
      <c r="M123">
        <v>0.99964240000000004</v>
      </c>
      <c r="N123">
        <v>0</v>
      </c>
      <c r="O123">
        <v>-2.634295E-2</v>
      </c>
      <c r="P123">
        <v>0.99333070000000001</v>
      </c>
      <c r="Q123">
        <v>9.7390350000000001E-2</v>
      </c>
      <c r="R123">
        <v>6.1721190000000002E-2</v>
      </c>
      <c r="S123">
        <v>2.9561160000000002</v>
      </c>
      <c r="T123">
        <v>0.58208130000000002</v>
      </c>
      <c r="U123">
        <v>0.1139221</v>
      </c>
      <c r="V123">
        <v>-8.7817400000000004E-2</v>
      </c>
      <c r="W123">
        <v>0.10201830000000001</v>
      </c>
      <c r="X123">
        <v>0.99089879999999997</v>
      </c>
      <c r="Y123">
        <v>-6.3104140000000003E-2</v>
      </c>
      <c r="Z123">
        <v>-1.1287729999999999E-2</v>
      </c>
      <c r="AA123">
        <v>0.99794309999999997</v>
      </c>
      <c r="AB123">
        <v>36</v>
      </c>
      <c r="AC123">
        <v>284.69799999999998</v>
      </c>
      <c r="AD123">
        <v>56.128644999999999</v>
      </c>
      <c r="AE123">
        <v>10.9947</v>
      </c>
      <c r="AF123">
        <v>-17.7999189246989</v>
      </c>
      <c r="AG123">
        <v>56.128644999999999</v>
      </c>
      <c r="AH123">
        <v>273.68751886580702</v>
      </c>
      <c r="AI123">
        <v>78.434087439657205</v>
      </c>
      <c r="AJ123">
        <v>93.721126623307001</v>
      </c>
      <c r="AK123">
        <v>279.95020965554397</v>
      </c>
      <c r="AL123">
        <v>84.144595127952897</v>
      </c>
      <c r="AM123">
        <v>95.064548595317007</v>
      </c>
      <c r="AN123">
        <v>1.00000003055954</v>
      </c>
    </row>
    <row r="124" spans="1:40" x14ac:dyDescent="0.3">
      <c r="A124" t="str">
        <f>"20200111150225194"</f>
        <v>20200111150225194</v>
      </c>
      <c r="B124" t="str">
        <f>"1578726145186158"</f>
        <v>1578726145186158</v>
      </c>
      <c r="C124" t="s">
        <v>40</v>
      </c>
      <c r="D124">
        <v>5.835782</v>
      </c>
      <c r="E124">
        <v>0.50811249999999997</v>
      </c>
      <c r="F124" t="s">
        <v>45</v>
      </c>
      <c r="G124">
        <v>-158.19499999999999</v>
      </c>
      <c r="H124">
        <v>56.605260000000001</v>
      </c>
      <c r="I124">
        <v>378.9</v>
      </c>
      <c r="J124">
        <v>-442.5213</v>
      </c>
      <c r="K124">
        <v>1.103081</v>
      </c>
      <c r="L124">
        <v>367.43979999999999</v>
      </c>
      <c r="M124">
        <v>0.99963970000000002</v>
      </c>
      <c r="N124">
        <v>0</v>
      </c>
      <c r="O124">
        <v>-2.639292E-2</v>
      </c>
      <c r="P124">
        <v>0.99325319999999995</v>
      </c>
      <c r="Q124">
        <v>9.8886740000000001E-2</v>
      </c>
      <c r="R124">
        <v>6.057543E-2</v>
      </c>
      <c r="S124">
        <v>2.956207</v>
      </c>
      <c r="T124">
        <v>0.57631719999999997</v>
      </c>
      <c r="U124">
        <v>0.1188965</v>
      </c>
      <c r="V124">
        <v>-8.6729529999999999E-2</v>
      </c>
      <c r="W124">
        <v>0.1037599</v>
      </c>
      <c r="X124">
        <v>0.99081370000000002</v>
      </c>
      <c r="Y124">
        <v>-6.4829719999999993E-2</v>
      </c>
      <c r="Z124">
        <v>-1.135358E-2</v>
      </c>
      <c r="AA124">
        <v>0.99783180000000005</v>
      </c>
      <c r="AB124">
        <v>36</v>
      </c>
      <c r="AC124">
        <v>284.3263</v>
      </c>
      <c r="AD124">
        <v>55.502178999999899</v>
      </c>
      <c r="AE124">
        <v>11.460199999999899</v>
      </c>
      <c r="AF124">
        <v>-18.265609998282201</v>
      </c>
      <c r="AG124">
        <v>55.502178999999899</v>
      </c>
      <c r="AH124">
        <v>273.51914119004903</v>
      </c>
      <c r="AI124">
        <v>78.554173036543702</v>
      </c>
      <c r="AJ124">
        <v>93.820539939790393</v>
      </c>
      <c r="AK124">
        <v>279.69062368928098</v>
      </c>
      <c r="AL124">
        <v>84.044275947263102</v>
      </c>
      <c r="AM124">
        <v>95.002557393134694</v>
      </c>
      <c r="AN124">
        <v>0.99999995816485898</v>
      </c>
    </row>
    <row r="125" spans="1:40" x14ac:dyDescent="0.3">
      <c r="A125" t="str">
        <f>"20200111150225232"</f>
        <v>20200111150225232</v>
      </c>
      <c r="B125" t="str">
        <f>"1578726145226176"</f>
        <v>1578726145226176</v>
      </c>
      <c r="C125" t="s">
        <v>40</v>
      </c>
      <c r="D125">
        <v>5.1192500000000001</v>
      </c>
      <c r="E125">
        <v>0.50849460000000002</v>
      </c>
      <c r="F125" t="s">
        <v>45</v>
      </c>
      <c r="G125">
        <v>-158.19499999999999</v>
      </c>
      <c r="H125">
        <v>56.546930000000003</v>
      </c>
      <c r="I125">
        <v>378.81509999999997</v>
      </c>
      <c r="J125">
        <v>-441.92959999999999</v>
      </c>
      <c r="K125">
        <v>1.103165</v>
      </c>
      <c r="L125">
        <v>367.42410000000001</v>
      </c>
      <c r="M125">
        <v>0.99963740000000001</v>
      </c>
      <c r="N125">
        <v>0</v>
      </c>
      <c r="O125">
        <v>-2.6414900000000002E-2</v>
      </c>
      <c r="P125">
        <v>0.99334889999999998</v>
      </c>
      <c r="Q125">
        <v>9.8507899999999995E-2</v>
      </c>
      <c r="R125">
        <v>5.9617120000000003E-2</v>
      </c>
      <c r="S125">
        <v>2.9558110000000002</v>
      </c>
      <c r="T125">
        <v>0.57638599999999995</v>
      </c>
      <c r="U125">
        <v>0.1182556</v>
      </c>
      <c r="V125">
        <v>-8.5807549999999996E-2</v>
      </c>
      <c r="W125">
        <v>0.1037276</v>
      </c>
      <c r="X125">
        <v>0.99089740000000004</v>
      </c>
      <c r="Y125">
        <v>-6.4643309999999995E-2</v>
      </c>
      <c r="Z125">
        <v>-1.1342700000000001E-2</v>
      </c>
      <c r="AA125">
        <v>0.99784399999999995</v>
      </c>
      <c r="AB125">
        <v>36</v>
      </c>
      <c r="AC125">
        <v>283.7346</v>
      </c>
      <c r="AD125">
        <v>55.443764999999999</v>
      </c>
      <c r="AE125">
        <v>11.390999999999901</v>
      </c>
      <c r="AF125">
        <v>-18.188555380212598</v>
      </c>
      <c r="AG125">
        <v>55.443764999999999</v>
      </c>
      <c r="AH125">
        <v>272.92992421880399</v>
      </c>
      <c r="AI125">
        <v>78.541767163995502</v>
      </c>
      <c r="AJ125">
        <v>93.812659298018801</v>
      </c>
      <c r="AK125">
        <v>279.097793180591</v>
      </c>
      <c r="AL125">
        <v>84.046136914993994</v>
      </c>
      <c r="AM125">
        <v>94.949227186584693</v>
      </c>
      <c r="AN125">
        <v>1.0000000039827599</v>
      </c>
    </row>
    <row r="126" spans="1:40" x14ac:dyDescent="0.3">
      <c r="A126" t="str">
        <f>"20200111150225244"</f>
        <v>20200111150225244</v>
      </c>
      <c r="B126" t="str">
        <f>"1578726145235933"</f>
        <v>1578726145235933</v>
      </c>
      <c r="C126" t="s">
        <v>40</v>
      </c>
      <c r="D126">
        <v>7.0179429999999901</v>
      </c>
      <c r="E126">
        <v>0.50849460000000002</v>
      </c>
      <c r="F126" t="s">
        <v>45</v>
      </c>
      <c r="G126">
        <v>-158.19499999999999</v>
      </c>
      <c r="H126">
        <v>58.102049999999998</v>
      </c>
      <c r="I126">
        <v>378.35019999999997</v>
      </c>
      <c r="J126">
        <v>-441.709</v>
      </c>
      <c r="K126">
        <v>1.1031979999999999</v>
      </c>
      <c r="L126">
        <v>367.41829999999999</v>
      </c>
      <c r="M126">
        <v>0.99963690000000005</v>
      </c>
      <c r="N126">
        <v>0</v>
      </c>
      <c r="O126">
        <v>-2.6413590000000001E-2</v>
      </c>
      <c r="P126">
        <v>0.99321839999999995</v>
      </c>
      <c r="Q126">
        <v>0.10008789999999999</v>
      </c>
      <c r="R126">
        <v>5.9162340000000001E-2</v>
      </c>
      <c r="S126">
        <v>2.954437</v>
      </c>
      <c r="T126">
        <v>0.59351169999999998</v>
      </c>
      <c r="U126">
        <v>0.1137695</v>
      </c>
      <c r="V126">
        <v>-8.5350949999999995E-2</v>
      </c>
      <c r="W126">
        <v>0.1054201</v>
      </c>
      <c r="X126">
        <v>0.99075820000000003</v>
      </c>
      <c r="Y126">
        <v>-6.3074889999999995E-2</v>
      </c>
      <c r="Z126">
        <v>-1.152267E-2</v>
      </c>
      <c r="AA126">
        <v>0.99794229999999995</v>
      </c>
      <c r="AB126">
        <v>36</v>
      </c>
      <c r="AC126">
        <v>283.51400000000001</v>
      </c>
      <c r="AD126">
        <v>56.998851999999999</v>
      </c>
      <c r="AE126">
        <v>10.931899999999899</v>
      </c>
      <c r="AF126">
        <v>-17.7023686855253</v>
      </c>
      <c r="AG126">
        <v>56.998851999999999</v>
      </c>
      <c r="AH126">
        <v>272.14296739626798</v>
      </c>
      <c r="AI126">
        <v>78.194953342310697</v>
      </c>
      <c r="AJ126">
        <v>93.721735304706996</v>
      </c>
      <c r="AK126">
        <v>278.61090734148002</v>
      </c>
      <c r="AL126">
        <v>83.948629128213497</v>
      </c>
      <c r="AM126">
        <v>94.923709358860293</v>
      </c>
      <c r="AN126">
        <v>0.99999999650857596</v>
      </c>
    </row>
    <row r="127" spans="1:40" x14ac:dyDescent="0.3">
      <c r="A127" t="str">
        <f>"20200111150225260"</f>
        <v>20200111150225260</v>
      </c>
      <c r="B127" t="str">
        <f>"1578726145255453"</f>
        <v>1578726145255453</v>
      </c>
      <c r="C127" t="s">
        <v>40</v>
      </c>
      <c r="D127">
        <v>7.7821990000000003</v>
      </c>
      <c r="E127">
        <v>0.50856990000000002</v>
      </c>
      <c r="F127" t="s">
        <v>45</v>
      </c>
      <c r="G127">
        <v>-158.19499999999999</v>
      </c>
      <c r="H127">
        <v>58.533200000000001</v>
      </c>
      <c r="I127">
        <v>378.21620000000001</v>
      </c>
      <c r="J127">
        <v>-441.46949999999998</v>
      </c>
      <c r="K127">
        <v>1.103283</v>
      </c>
      <c r="L127">
        <v>367.41199999999998</v>
      </c>
      <c r="M127">
        <v>0.99963619999999997</v>
      </c>
      <c r="N127">
        <v>0</v>
      </c>
      <c r="O127">
        <v>-2.6410389999999999E-2</v>
      </c>
      <c r="P127">
        <v>0.99196859999999998</v>
      </c>
      <c r="Q127">
        <v>0.1108666</v>
      </c>
      <c r="R127">
        <v>6.0885519999999999E-2</v>
      </c>
      <c r="S127">
        <v>2.953522</v>
      </c>
      <c r="T127">
        <v>0.5982807</v>
      </c>
      <c r="U127">
        <v>0.1124878</v>
      </c>
      <c r="V127">
        <v>-8.7037749999999997E-2</v>
      </c>
      <c r="W127">
        <v>0.11630600000000001</v>
      </c>
      <c r="X127">
        <v>0.98939239999999995</v>
      </c>
      <c r="Y127">
        <v>-6.2630569999999997E-2</v>
      </c>
      <c r="Z127">
        <v>-1.157186E-2</v>
      </c>
      <c r="AA127">
        <v>0.99796969999999996</v>
      </c>
      <c r="AB127">
        <v>36</v>
      </c>
      <c r="AC127">
        <v>283.27449999999999</v>
      </c>
      <c r="AD127">
        <v>57.429917000000003</v>
      </c>
      <c r="AE127">
        <v>10.8042</v>
      </c>
      <c r="AF127">
        <v>-17.561184530066299</v>
      </c>
      <c r="AG127">
        <v>57.429917000000003</v>
      </c>
      <c r="AH127">
        <v>271.73764196215097</v>
      </c>
      <c r="AI127">
        <v>78.090660796982107</v>
      </c>
      <c r="AJ127">
        <v>93.697627207605507</v>
      </c>
      <c r="AK127">
        <v>278.29469385505001</v>
      </c>
      <c r="AL127">
        <v>83.321041065439502</v>
      </c>
      <c r="AM127">
        <v>95.027419664288004</v>
      </c>
      <c r="AN127">
        <v>0.99999998836941095</v>
      </c>
    </row>
    <row r="128" spans="1:40" x14ac:dyDescent="0.3">
      <c r="A128" t="str">
        <f>"20200111150225282"</f>
        <v>20200111150225282</v>
      </c>
      <c r="B128" t="str">
        <f>"1578726145266189"</f>
        <v>1578726145266189</v>
      </c>
      <c r="C128" t="s">
        <v>40</v>
      </c>
      <c r="D128">
        <v>5.7193209999999999</v>
      </c>
      <c r="E128">
        <v>0.50845410000000002</v>
      </c>
      <c r="F128" t="s">
        <v>45</v>
      </c>
      <c r="G128">
        <v>-158.19499999999999</v>
      </c>
      <c r="H128">
        <v>61.868419999999901</v>
      </c>
      <c r="I128">
        <v>378.75209999999998</v>
      </c>
      <c r="J128">
        <v>-441.10379999999998</v>
      </c>
      <c r="K128">
        <v>1.103224</v>
      </c>
      <c r="L128">
        <v>367.40230000000003</v>
      </c>
      <c r="M128">
        <v>0.99963740000000001</v>
      </c>
      <c r="N128">
        <v>0</v>
      </c>
      <c r="O128">
        <v>-2.6404520000000001E-2</v>
      </c>
      <c r="P128">
        <v>0.99076710000000001</v>
      </c>
      <c r="Q128">
        <v>0.1195804</v>
      </c>
      <c r="R128">
        <v>6.3884079999999996E-2</v>
      </c>
      <c r="S128">
        <v>2.9464109999999999</v>
      </c>
      <c r="T128">
        <v>0.63203469999999995</v>
      </c>
      <c r="U128">
        <v>0.1179504</v>
      </c>
      <c r="V128">
        <v>-8.9999709999999997E-2</v>
      </c>
      <c r="W128">
        <v>0.1248208</v>
      </c>
      <c r="X128">
        <v>0.988089</v>
      </c>
      <c r="Y128">
        <v>-6.4308900000000002E-2</v>
      </c>
      <c r="Z128">
        <v>-1.241573E-2</v>
      </c>
      <c r="AA128">
        <v>0.99785279999999998</v>
      </c>
      <c r="AB128">
        <v>36</v>
      </c>
      <c r="AC128">
        <v>282.90879999999999</v>
      </c>
      <c r="AD128">
        <v>60.765196000000003</v>
      </c>
      <c r="AE128">
        <v>11.349799999999901</v>
      </c>
      <c r="AF128">
        <v>-17.9875229479306</v>
      </c>
      <c r="AG128">
        <v>60.765196000000003</v>
      </c>
      <c r="AH128">
        <v>270.07114747929899</v>
      </c>
      <c r="AI128">
        <v>77.346908199955394</v>
      </c>
      <c r="AJ128">
        <v>93.810437702918193</v>
      </c>
      <c r="AK128">
        <v>277.406533317992</v>
      </c>
      <c r="AL128">
        <v>82.829592857866004</v>
      </c>
      <c r="AM128">
        <v>95.204403328061801</v>
      </c>
      <c r="AN128">
        <v>1.00000002591686</v>
      </c>
    </row>
    <row r="129" spans="1:40" x14ac:dyDescent="0.3">
      <c r="A129" t="str">
        <f>"20200111150226120"</f>
        <v>20200111150226120</v>
      </c>
      <c r="B129" t="str">
        <f>"1578726146116286"</f>
        <v>1578726146116286</v>
      </c>
      <c r="C129" t="s">
        <v>40</v>
      </c>
      <c r="D129">
        <v>5.8532820000000001</v>
      </c>
      <c r="E129">
        <v>0.50856970000000001</v>
      </c>
      <c r="F129" t="s">
        <v>45</v>
      </c>
      <c r="G129">
        <v>-158.19499999999999</v>
      </c>
      <c r="H129">
        <v>64.685490000000001</v>
      </c>
      <c r="I129">
        <v>379.7099</v>
      </c>
      <c r="J129">
        <v>-426.80950000000001</v>
      </c>
      <c r="K129">
        <v>1.05419</v>
      </c>
      <c r="L129">
        <v>367.33109999999999</v>
      </c>
      <c r="M129">
        <v>0.99988969999999999</v>
      </c>
      <c r="N129">
        <v>0</v>
      </c>
      <c r="O129">
        <v>1.094733E-2</v>
      </c>
      <c r="P129">
        <v>0.99032940000000003</v>
      </c>
      <c r="Q129">
        <v>9.5534519999999998E-2</v>
      </c>
      <c r="R129">
        <v>0.10060180000000001</v>
      </c>
      <c r="S129">
        <v>2.939972</v>
      </c>
      <c r="T129">
        <v>0.660744</v>
      </c>
      <c r="U129">
        <v>0.12789919999999999</v>
      </c>
      <c r="V129">
        <v>-8.9788779999999999E-2</v>
      </c>
      <c r="W129">
        <v>0.1054462</v>
      </c>
      <c r="X129">
        <v>0.99036310000000005</v>
      </c>
      <c r="Y129">
        <v>-3.1998249999999999E-2</v>
      </c>
      <c r="Z129">
        <v>-1.120926E-3</v>
      </c>
      <c r="AA129">
        <v>0.99948729999999997</v>
      </c>
      <c r="AB129">
        <v>39</v>
      </c>
      <c r="AC129">
        <v>268.61450000000002</v>
      </c>
      <c r="AD129">
        <v>63.631300000000003</v>
      </c>
      <c r="AE129">
        <v>12.3788</v>
      </c>
      <c r="AF129">
        <v>-8.9368647529213803</v>
      </c>
      <c r="AG129">
        <v>63.631300000000003</v>
      </c>
      <c r="AH129">
        <v>254.483711355189</v>
      </c>
      <c r="AI129">
        <v>75.969865422507596</v>
      </c>
      <c r="AJ129">
        <v>92.011265446631199</v>
      </c>
      <c r="AK129">
        <v>262.47051117490003</v>
      </c>
      <c r="AL129">
        <v>83.947125335673405</v>
      </c>
      <c r="AM129">
        <v>95.180414951323797</v>
      </c>
      <c r="AN129">
        <v>0.99999999797496897</v>
      </c>
    </row>
    <row r="130" spans="1:40" x14ac:dyDescent="0.3">
      <c r="A130" t="str">
        <f>"20200111150226134"</f>
        <v>20200111150226134</v>
      </c>
      <c r="B130" t="str">
        <f>"1578726146126046"</f>
        <v>1578726146126046</v>
      </c>
      <c r="C130" t="s">
        <v>40</v>
      </c>
      <c r="D130">
        <v>5.8064169999999997</v>
      </c>
      <c r="E130">
        <v>0.50852900000000001</v>
      </c>
      <c r="F130" t="s">
        <v>44</v>
      </c>
      <c r="G130">
        <v>0</v>
      </c>
      <c r="H130">
        <v>0</v>
      </c>
      <c r="I130">
        <v>0</v>
      </c>
      <c r="J130">
        <v>-426.5582</v>
      </c>
      <c r="K130">
        <v>1.0540889999999901</v>
      </c>
      <c r="L130">
        <v>367.3338</v>
      </c>
      <c r="M130">
        <v>0.9998899</v>
      </c>
      <c r="N130">
        <v>0</v>
      </c>
      <c r="O130">
        <v>1.0922019999999999E-2</v>
      </c>
      <c r="P130">
        <v>0.99030660000000004</v>
      </c>
      <c r="Q130">
        <v>9.5782859999999997E-2</v>
      </c>
      <c r="R130">
        <v>0.10059220000000001</v>
      </c>
      <c r="S130">
        <v>2.9481199999999999</v>
      </c>
      <c r="T130">
        <v>0.59358759999999999</v>
      </c>
      <c r="U130">
        <v>0.23489380000000001</v>
      </c>
      <c r="V130">
        <v>-8.979703E-2</v>
      </c>
      <c r="W130">
        <v>0.1057184</v>
      </c>
      <c r="X130">
        <v>0.99033329999999997</v>
      </c>
      <c r="Y130">
        <v>-6.7405099999999996E-2</v>
      </c>
      <c r="Z130">
        <v>-4.534349E-3</v>
      </c>
      <c r="AA130">
        <v>0.99771540000000003</v>
      </c>
      <c r="AB130">
        <v>39</v>
      </c>
      <c r="AC130">
        <v>2.9481199999999999</v>
      </c>
      <c r="AD130">
        <v>0.59358759999999999</v>
      </c>
      <c r="AE130">
        <v>0.23489380000000001</v>
      </c>
      <c r="AF130">
        <v>-0.19483022494072899</v>
      </c>
      <c r="AG130">
        <v>0.59358759999999999</v>
      </c>
      <c r="AH130">
        <v>2.8362545107393</v>
      </c>
      <c r="AI130">
        <v>78.206433872638598</v>
      </c>
      <c r="AJ130">
        <v>93.929633576027996</v>
      </c>
      <c r="AK130">
        <v>2.9042459787547701</v>
      </c>
      <c r="AL130">
        <v>83.931441566713403</v>
      </c>
      <c r="AM130">
        <v>95.1810433986048</v>
      </c>
      <c r="AN130">
        <v>0.99999996589213402</v>
      </c>
    </row>
    <row r="131" spans="1:40" x14ac:dyDescent="0.3">
      <c r="A131" t="str">
        <f>"20200111150226155"</f>
        <v>20200111150226155</v>
      </c>
      <c r="B131" t="str">
        <f>"1578726146145565"</f>
        <v>1578726146145565</v>
      </c>
      <c r="C131" t="s">
        <v>40</v>
      </c>
      <c r="D131">
        <v>5.804602</v>
      </c>
      <c r="E131">
        <v>0.50861149999999999</v>
      </c>
      <c r="F131" t="s">
        <v>44</v>
      </c>
      <c r="G131">
        <v>0</v>
      </c>
      <c r="H131">
        <v>0</v>
      </c>
      <c r="I131">
        <v>0</v>
      </c>
      <c r="J131">
        <v>-426.19459999999998</v>
      </c>
      <c r="K131">
        <v>1.053968</v>
      </c>
      <c r="L131">
        <v>367.33789999999999</v>
      </c>
      <c r="M131">
        <v>0.99989019999999995</v>
      </c>
      <c r="N131">
        <v>0</v>
      </c>
      <c r="O131">
        <v>1.0882950000000001E-2</v>
      </c>
      <c r="P131">
        <v>0.99034469999999997</v>
      </c>
      <c r="Q131">
        <v>9.6179260000000003E-2</v>
      </c>
      <c r="R131">
        <v>9.9834770000000003E-2</v>
      </c>
      <c r="S131">
        <v>2.947632</v>
      </c>
      <c r="T131">
        <v>0.59792889999999999</v>
      </c>
      <c r="U131">
        <v>0.2355042</v>
      </c>
      <c r="V131">
        <v>-8.9068179999999997E-2</v>
      </c>
      <c r="W131">
        <v>0.1061352</v>
      </c>
      <c r="X131">
        <v>0.99035459999999997</v>
      </c>
      <c r="Y131">
        <v>-6.7640179999999994E-2</v>
      </c>
      <c r="Z131">
        <v>-4.5989569999999999E-3</v>
      </c>
      <c r="AA131">
        <v>0.99769920000000001</v>
      </c>
      <c r="AB131">
        <v>39</v>
      </c>
      <c r="AC131">
        <v>2.947632</v>
      </c>
      <c r="AD131">
        <v>0.59792889999999999</v>
      </c>
      <c r="AE131">
        <v>0.2355042</v>
      </c>
      <c r="AF131">
        <v>-0.19541950908744499</v>
      </c>
      <c r="AG131">
        <v>0.59792889999999999</v>
      </c>
      <c r="AH131">
        <v>2.8341400172520399</v>
      </c>
      <c r="AI131">
        <v>78.114216627372699</v>
      </c>
      <c r="AJ131">
        <v>93.944413132303595</v>
      </c>
      <c r="AK131">
        <v>2.9031116739417002</v>
      </c>
      <c r="AL131">
        <v>83.907425946232905</v>
      </c>
      <c r="AM131">
        <v>95.139106909403395</v>
      </c>
      <c r="AN131">
        <v>1.0000000275543499</v>
      </c>
    </row>
    <row r="132" spans="1:40" x14ac:dyDescent="0.3">
      <c r="A132" t="str">
        <f>"20200111150226169"</f>
        <v>20200111150226169</v>
      </c>
      <c r="B132" t="str">
        <f>"1578726146166062"</f>
        <v>1578726146166062</v>
      </c>
      <c r="C132" t="s">
        <v>40</v>
      </c>
      <c r="D132">
        <v>8.1635539999999995</v>
      </c>
      <c r="E132">
        <v>0.50842940000000003</v>
      </c>
      <c r="F132" t="s">
        <v>44</v>
      </c>
      <c r="G132">
        <v>0</v>
      </c>
      <c r="H132">
        <v>0</v>
      </c>
      <c r="I132">
        <v>0</v>
      </c>
      <c r="J132">
        <v>-425.94450000000001</v>
      </c>
      <c r="K132">
        <v>1.05389</v>
      </c>
      <c r="L132">
        <v>367.34059999999999</v>
      </c>
      <c r="M132">
        <v>0.99989039999999996</v>
      </c>
      <c r="N132">
        <v>0</v>
      </c>
      <c r="O132">
        <v>1.085537E-2</v>
      </c>
      <c r="P132">
        <v>0.99037580000000003</v>
      </c>
      <c r="Q132">
        <v>9.6302670000000007E-2</v>
      </c>
      <c r="R132">
        <v>9.9406439999999999E-2</v>
      </c>
      <c r="S132">
        <v>2.9472659999999999</v>
      </c>
      <c r="T132">
        <v>0.60271280000000005</v>
      </c>
      <c r="U132">
        <v>0.23251340000000001</v>
      </c>
      <c r="V132">
        <v>-8.8661249999999997E-2</v>
      </c>
      <c r="W132">
        <v>0.106267</v>
      </c>
      <c r="X132">
        <v>0.9903769</v>
      </c>
      <c r="Y132">
        <v>-6.6672110000000007E-2</v>
      </c>
      <c r="Z132">
        <v>-4.5435010000000001E-3</v>
      </c>
      <c r="AA132">
        <v>0.9977646</v>
      </c>
      <c r="AB132">
        <v>39</v>
      </c>
      <c r="AC132">
        <v>2.9472659999999999</v>
      </c>
      <c r="AD132">
        <v>0.60271280000000005</v>
      </c>
      <c r="AE132">
        <v>0.23251340000000001</v>
      </c>
      <c r="AF132">
        <v>-0.192503737437699</v>
      </c>
      <c r="AG132">
        <v>0.60271280000000005</v>
      </c>
      <c r="AH132">
        <v>2.8319186732513302</v>
      </c>
      <c r="AI132">
        <v>78.011959537826399</v>
      </c>
      <c r="AJ132">
        <v>93.888780478003795</v>
      </c>
      <c r="AK132">
        <v>2.90173806194165</v>
      </c>
      <c r="AL132">
        <v>83.899830927802796</v>
      </c>
      <c r="AM132">
        <v>95.115637921509006</v>
      </c>
      <c r="AN132">
        <v>0.99999994829708405</v>
      </c>
    </row>
    <row r="133" spans="1:40" x14ac:dyDescent="0.3">
      <c r="A133" t="str">
        <f>"20200111150226187"</f>
        <v>20200111150226187</v>
      </c>
      <c r="B133" t="str">
        <f>"1578726146175822"</f>
        <v>1578726146175822</v>
      </c>
      <c r="C133" t="s">
        <v>40</v>
      </c>
      <c r="D133">
        <v>4.6410580000000001</v>
      </c>
      <c r="E133">
        <v>0.48709770000000002</v>
      </c>
      <c r="F133" t="s">
        <v>44</v>
      </c>
      <c r="G133">
        <v>0</v>
      </c>
      <c r="H133">
        <v>0</v>
      </c>
      <c r="I133">
        <v>0</v>
      </c>
      <c r="J133">
        <v>-425.62130000000002</v>
      </c>
      <c r="K133">
        <v>1.0538050000000001</v>
      </c>
      <c r="L133">
        <v>367.34410000000003</v>
      </c>
      <c r="M133">
        <v>0.99989090000000003</v>
      </c>
      <c r="N133">
        <v>0</v>
      </c>
      <c r="O133">
        <v>1.081875E-2</v>
      </c>
      <c r="P133">
        <v>0.99043079999999994</v>
      </c>
      <c r="Q133">
        <v>9.6239480000000002E-2</v>
      </c>
      <c r="R133">
        <v>9.8918969999999995E-2</v>
      </c>
      <c r="S133">
        <v>2.9468079999999999</v>
      </c>
      <c r="T133">
        <v>0.60624290000000003</v>
      </c>
      <c r="U133">
        <v>0.23275760000000001</v>
      </c>
      <c r="V133">
        <v>-8.820327E-2</v>
      </c>
      <c r="W133">
        <v>0.1062058</v>
      </c>
      <c r="X133">
        <v>0.99042439999999998</v>
      </c>
      <c r="Y133">
        <v>-6.6786129999999999E-2</v>
      </c>
      <c r="Z133">
        <v>-4.5892839999999999E-3</v>
      </c>
      <c r="AA133">
        <v>0.9977568</v>
      </c>
      <c r="AB133">
        <v>39</v>
      </c>
      <c r="AC133">
        <v>2.9468079999999999</v>
      </c>
      <c r="AD133">
        <v>0.60624290000000003</v>
      </c>
      <c r="AE133">
        <v>0.23275760000000001</v>
      </c>
      <c r="AF133">
        <v>-0.19275399193078899</v>
      </c>
      <c r="AG133">
        <v>0.60624290000000003</v>
      </c>
      <c r="AH133">
        <v>2.8301139137465601</v>
      </c>
      <c r="AI133">
        <v>77.9364353884895</v>
      </c>
      <c r="AJ133">
        <v>93.896295781663099</v>
      </c>
      <c r="AK133">
        <v>2.9007291014480399</v>
      </c>
      <c r="AL133">
        <v>83.903357644259799</v>
      </c>
      <c r="AM133">
        <v>95.089109409705898</v>
      </c>
      <c r="AN133">
        <v>0.99999999045384602</v>
      </c>
    </row>
    <row r="134" spans="1:40" x14ac:dyDescent="0.3">
      <c r="A134" t="str">
        <f>"20200111150226201"</f>
        <v>20200111150226201</v>
      </c>
      <c r="B134" t="str">
        <f>"1578726146195341"</f>
        <v>1578726146195341</v>
      </c>
      <c r="C134" t="s">
        <v>40</v>
      </c>
      <c r="D134">
        <v>5.8015439999999998</v>
      </c>
      <c r="E134">
        <v>0.50794600000000001</v>
      </c>
      <c r="F134" t="s">
        <v>47</v>
      </c>
      <c r="G134">
        <v>-254.07400000000001</v>
      </c>
      <c r="H134">
        <v>91.418610000000001</v>
      </c>
      <c r="I134">
        <v>391.75</v>
      </c>
      <c r="J134">
        <v>-425.38600000000002</v>
      </c>
      <c r="K134">
        <v>1.0537570000000001</v>
      </c>
      <c r="L134">
        <v>367.34660000000002</v>
      </c>
      <c r="M134">
        <v>0.99989119999999998</v>
      </c>
      <c r="N134">
        <v>0</v>
      </c>
      <c r="O134">
        <v>1.079191E-2</v>
      </c>
      <c r="P134">
        <v>0.99046940000000006</v>
      </c>
      <c r="Q134">
        <v>9.6071589999999998E-2</v>
      </c>
      <c r="R134">
        <v>9.8694820000000003E-2</v>
      </c>
      <c r="S134">
        <v>2.843048</v>
      </c>
      <c r="T134">
        <v>1.497614</v>
      </c>
      <c r="U134">
        <v>0.40448000000000001</v>
      </c>
      <c r="V134">
        <v>-8.800181E-2</v>
      </c>
      <c r="W134">
        <v>0.10603559999999999</v>
      </c>
      <c r="X134">
        <v>0.99046060000000002</v>
      </c>
      <c r="Y134">
        <v>-0.116635199999999</v>
      </c>
      <c r="Z134">
        <v>-2.340681E-2</v>
      </c>
      <c r="AA134">
        <v>0.99289890000000003</v>
      </c>
      <c r="AB134">
        <v>39</v>
      </c>
      <c r="AC134">
        <v>171.31199999999899</v>
      </c>
      <c r="AD134">
        <v>90.364852999999997</v>
      </c>
      <c r="AE134">
        <v>24.403399999999898</v>
      </c>
      <c r="AF134">
        <v>-17.7205523108242</v>
      </c>
      <c r="AG134">
        <v>90.364852999999997</v>
      </c>
      <c r="AH134">
        <v>134.80334639537799</v>
      </c>
      <c r="AI134">
        <v>56.390880662849298</v>
      </c>
      <c r="AJ134">
        <v>97.488867705131497</v>
      </c>
      <c r="AK134">
        <v>163.25368856875599</v>
      </c>
      <c r="AL134">
        <v>83.913165027903304</v>
      </c>
      <c r="AM134">
        <v>95.077361892475196</v>
      </c>
      <c r="AN134">
        <v>1.00000003359149</v>
      </c>
    </row>
    <row r="135" spans="1:40" x14ac:dyDescent="0.3">
      <c r="A135" t="str">
        <f>"20200111150226219"</f>
        <v>20200111150226219</v>
      </c>
      <c r="B135" t="str">
        <f>"1578726146215838"</f>
        <v>1578726146215838</v>
      </c>
      <c r="C135" t="s">
        <v>40</v>
      </c>
      <c r="D135">
        <v>5.8718370000000002</v>
      </c>
      <c r="E135">
        <v>0.50691839999999999</v>
      </c>
      <c r="F135" t="s">
        <v>44</v>
      </c>
      <c r="G135">
        <v>0</v>
      </c>
      <c r="H135">
        <v>0</v>
      </c>
      <c r="I135">
        <v>0</v>
      </c>
      <c r="J135">
        <v>-425.05</v>
      </c>
      <c r="K135">
        <v>1.0537030000000001</v>
      </c>
      <c r="L135">
        <v>367.35019999999997</v>
      </c>
      <c r="M135">
        <v>0.9998918</v>
      </c>
      <c r="N135">
        <v>0</v>
      </c>
      <c r="O135">
        <v>1.075187E-2</v>
      </c>
      <c r="P135">
        <v>0.9906199</v>
      </c>
      <c r="Q135">
        <v>9.6100630000000006E-2</v>
      </c>
      <c r="R135">
        <v>9.7143969999999996E-2</v>
      </c>
      <c r="S135">
        <v>2.9413149999999999</v>
      </c>
      <c r="T135">
        <v>0.66166829999999999</v>
      </c>
      <c r="U135">
        <v>0.23483280000000001</v>
      </c>
      <c r="V135">
        <v>-8.6484950000000005E-2</v>
      </c>
      <c r="W135">
        <v>0.1060598</v>
      </c>
      <c r="X135">
        <v>0.99059160000000002</v>
      </c>
      <c r="Y135">
        <v>-6.7455360000000006E-2</v>
      </c>
      <c r="Z135">
        <v>-5.0971280000000002E-3</v>
      </c>
      <c r="AA135">
        <v>0.99770930000000002</v>
      </c>
      <c r="AB135">
        <v>39</v>
      </c>
      <c r="AC135">
        <v>2.9413149999999999</v>
      </c>
      <c r="AD135">
        <v>0.66166829999999999</v>
      </c>
      <c r="AE135">
        <v>0.23483280000000001</v>
      </c>
      <c r="AF135">
        <v>-0.193464634623874</v>
      </c>
      <c r="AG135">
        <v>0.66166829999999999</v>
      </c>
      <c r="AH135">
        <v>2.8027346122115602</v>
      </c>
      <c r="AI135">
        <v>76.747265633925096</v>
      </c>
      <c r="AJ135">
        <v>93.948697786504695</v>
      </c>
      <c r="AK135">
        <v>2.8862700515654698</v>
      </c>
      <c r="AL135">
        <v>83.9117705414954</v>
      </c>
      <c r="AM135">
        <v>94.989634137854793</v>
      </c>
      <c r="AN135">
        <v>1.00000002287155</v>
      </c>
    </row>
    <row r="136" spans="1:40" x14ac:dyDescent="0.3">
      <c r="A136" t="str">
        <f>"20200111150226233"</f>
        <v>20200111150226233</v>
      </c>
      <c r="B136" t="str">
        <f>"1578726146225598"</f>
        <v>1578726146225598</v>
      </c>
      <c r="C136" t="s">
        <v>40</v>
      </c>
      <c r="D136">
        <v>5.8649129999999996</v>
      </c>
      <c r="E136">
        <v>0.5070751</v>
      </c>
      <c r="F136" t="s">
        <v>44</v>
      </c>
      <c r="G136">
        <v>0</v>
      </c>
      <c r="H136">
        <v>0</v>
      </c>
      <c r="I136">
        <v>0</v>
      </c>
      <c r="J136">
        <v>-424.80489999999998</v>
      </c>
      <c r="K136">
        <v>1.0536760000000001</v>
      </c>
      <c r="L136">
        <v>367.3528</v>
      </c>
      <c r="M136">
        <v>0.99989209999999995</v>
      </c>
      <c r="N136">
        <v>0</v>
      </c>
      <c r="O136">
        <v>1.0720729999999999E-2</v>
      </c>
      <c r="P136">
        <v>0.99075100000000005</v>
      </c>
      <c r="Q136">
        <v>9.5691490000000004E-2</v>
      </c>
      <c r="R136">
        <v>9.6206180000000002E-2</v>
      </c>
      <c r="S136">
        <v>2.9417420000000001</v>
      </c>
      <c r="T136">
        <v>0.65302320000000003</v>
      </c>
      <c r="U136">
        <v>0.23776249999999999</v>
      </c>
      <c r="V136">
        <v>-8.5573780000000002E-2</v>
      </c>
      <c r="W136">
        <v>0.1056454</v>
      </c>
      <c r="X136">
        <v>0.99071500000000001</v>
      </c>
      <c r="Y136">
        <v>-6.8473419999999993E-2</v>
      </c>
      <c r="Z136">
        <v>-5.1494970000000003E-3</v>
      </c>
      <c r="AA136">
        <v>0.99763970000000002</v>
      </c>
      <c r="AB136">
        <v>40</v>
      </c>
      <c r="AC136">
        <v>2.9417420000000001</v>
      </c>
      <c r="AD136">
        <v>0.65302320000000003</v>
      </c>
      <c r="AE136">
        <v>0.23776249999999999</v>
      </c>
      <c r="AF136">
        <v>-0.19658527592595301</v>
      </c>
      <c r="AG136">
        <v>0.65302320000000003</v>
      </c>
      <c r="AH136">
        <v>2.8067121052156998</v>
      </c>
      <c r="AI136">
        <v>76.933217372771495</v>
      </c>
      <c r="AJ136">
        <v>94.006517784710297</v>
      </c>
      <c r="AK136">
        <v>2.8883763452869902</v>
      </c>
      <c r="AL136">
        <v>83.935648023084099</v>
      </c>
      <c r="AM136">
        <v>94.936714686634403</v>
      </c>
      <c r="AN136">
        <v>1.00000001679482</v>
      </c>
    </row>
    <row r="137" spans="1:40" x14ac:dyDescent="0.3">
      <c r="A137" t="str">
        <f>"20200111150226245"</f>
        <v>20200111150226245</v>
      </c>
      <c r="B137" t="str">
        <f>"1578726146235358"</f>
        <v>1578726146235358</v>
      </c>
      <c r="C137" t="s">
        <v>40</v>
      </c>
      <c r="D137">
        <v>5.5787110000000002</v>
      </c>
      <c r="E137">
        <v>0.50742659999999995</v>
      </c>
      <c r="F137" t="s">
        <v>44</v>
      </c>
      <c r="G137">
        <v>0</v>
      </c>
      <c r="H137">
        <v>0</v>
      </c>
      <c r="I137">
        <v>0</v>
      </c>
      <c r="J137">
        <v>-424.5847</v>
      </c>
      <c r="K137">
        <v>1.0536559999999999</v>
      </c>
      <c r="L137">
        <v>367.35520000000002</v>
      </c>
      <c r="M137">
        <v>0.99989249999999996</v>
      </c>
      <c r="N137">
        <v>0</v>
      </c>
      <c r="O137">
        <v>1.06905E-2</v>
      </c>
      <c r="P137">
        <v>0.99089070000000001</v>
      </c>
      <c r="Q137">
        <v>9.5424800000000004E-2</v>
      </c>
      <c r="R137">
        <v>9.5025460000000006E-2</v>
      </c>
      <c r="S137">
        <v>2.9426570000000001</v>
      </c>
      <c r="T137">
        <v>0.64929369999999997</v>
      </c>
      <c r="U137">
        <v>0.23349</v>
      </c>
      <c r="V137">
        <v>-8.4419229999999998E-2</v>
      </c>
      <c r="W137">
        <v>0.1053737</v>
      </c>
      <c r="X137">
        <v>0.99084289999999997</v>
      </c>
      <c r="Y137">
        <v>-6.7088099999999998E-2</v>
      </c>
      <c r="Z137">
        <v>-4.9752970000000001E-3</v>
      </c>
      <c r="AA137">
        <v>0.99773469999999997</v>
      </c>
      <c r="AB137">
        <v>40</v>
      </c>
      <c r="AC137">
        <v>2.9426570000000001</v>
      </c>
      <c r="AD137">
        <v>0.64929369999999997</v>
      </c>
      <c r="AE137">
        <v>0.23349</v>
      </c>
      <c r="AF137">
        <v>-0.19269382253130299</v>
      </c>
      <c r="AG137">
        <v>0.64929369999999997</v>
      </c>
      <c r="AH137">
        <v>2.8090782616316301</v>
      </c>
      <c r="AI137">
        <v>77.014628431403594</v>
      </c>
      <c r="AJ137">
        <v>93.924160630102804</v>
      </c>
      <c r="AK137">
        <v>2.8895733072674901</v>
      </c>
      <c r="AL137">
        <v>83.951302186020698</v>
      </c>
      <c r="AM137">
        <v>94.869806095650304</v>
      </c>
      <c r="AN137">
        <v>0.99999993776294405</v>
      </c>
    </row>
    <row r="138" spans="1:40" x14ac:dyDescent="0.3">
      <c r="A138" t="str">
        <f>"20200111150226265"</f>
        <v>20200111150226265</v>
      </c>
      <c r="B138" t="str">
        <f>"1578726146255852"</f>
        <v>1578726146255852</v>
      </c>
      <c r="C138" t="s">
        <v>40</v>
      </c>
      <c r="D138">
        <v>6.4342899999999998</v>
      </c>
      <c r="E138">
        <v>0.50508140000000001</v>
      </c>
      <c r="F138" t="s">
        <v>44</v>
      </c>
      <c r="G138">
        <v>0</v>
      </c>
      <c r="H138">
        <v>0</v>
      </c>
      <c r="I138">
        <v>0</v>
      </c>
      <c r="J138">
        <v>-424.2423</v>
      </c>
      <c r="K138">
        <v>1.0536490000000001</v>
      </c>
      <c r="L138">
        <v>367.35879999999997</v>
      </c>
      <c r="M138">
        <v>0.99989329999999998</v>
      </c>
      <c r="N138">
        <v>0</v>
      </c>
      <c r="O138">
        <v>1.063506E-2</v>
      </c>
      <c r="P138">
        <v>0.99120580000000003</v>
      </c>
      <c r="Q138">
        <v>9.417151E-2</v>
      </c>
      <c r="R138">
        <v>9.2967839999999996E-2</v>
      </c>
      <c r="S138">
        <v>2.9457399999999998</v>
      </c>
      <c r="T138">
        <v>0.62365719999999902</v>
      </c>
      <c r="U138">
        <v>0.22723389999999999</v>
      </c>
      <c r="V138">
        <v>-8.2409289999999996E-2</v>
      </c>
      <c r="W138">
        <v>0.1041142</v>
      </c>
      <c r="X138">
        <v>0.99114530000000001</v>
      </c>
      <c r="Y138">
        <v>-6.5102900000000005E-2</v>
      </c>
      <c r="Z138">
        <v>-4.5827250000000002E-3</v>
      </c>
      <c r="AA138">
        <v>0.99786810000000004</v>
      </c>
      <c r="AB138">
        <v>40</v>
      </c>
      <c r="AC138">
        <v>2.9457399999999998</v>
      </c>
      <c r="AD138">
        <v>0.62365719999999902</v>
      </c>
      <c r="AE138">
        <v>0.22723389999999999</v>
      </c>
      <c r="AF138">
        <v>-0.18753514981945901</v>
      </c>
      <c r="AG138">
        <v>0.62365719999999902</v>
      </c>
      <c r="AH138">
        <v>2.8222367214450701</v>
      </c>
      <c r="AI138">
        <v>77.565613849617904</v>
      </c>
      <c r="AJ138">
        <v>93.801665367781993</v>
      </c>
      <c r="AK138">
        <v>2.8964008437028701</v>
      </c>
      <c r="AL138">
        <v>84.0238659473181</v>
      </c>
      <c r="AM138">
        <v>94.752954748276196</v>
      </c>
      <c r="AN138">
        <v>1.00000003171601</v>
      </c>
    </row>
    <row r="139" spans="1:40" x14ac:dyDescent="0.3">
      <c r="A139" t="str">
        <f>"20200111150226278"</f>
        <v>20200111150226278</v>
      </c>
      <c r="B139" t="str">
        <f>"1578726146276122"</f>
        <v>1578726146276122</v>
      </c>
      <c r="C139" t="s">
        <v>40</v>
      </c>
      <c r="D139">
        <v>5.8151719999999996</v>
      </c>
      <c r="E139">
        <v>0.50482609999999895</v>
      </c>
      <c r="F139" t="s">
        <v>44</v>
      </c>
      <c r="G139">
        <v>0</v>
      </c>
      <c r="H139">
        <v>0</v>
      </c>
      <c r="I139">
        <v>0</v>
      </c>
      <c r="J139">
        <v>-424.0154</v>
      </c>
      <c r="K139">
        <v>1.053644</v>
      </c>
      <c r="L139">
        <v>367.3612</v>
      </c>
      <c r="M139">
        <v>0.99989399999999995</v>
      </c>
      <c r="N139">
        <v>0</v>
      </c>
      <c r="O139">
        <v>1.0587320000000001E-2</v>
      </c>
      <c r="P139">
        <v>0.9911759</v>
      </c>
      <c r="Q139">
        <v>9.544627E-2</v>
      </c>
      <c r="R139">
        <v>9.1982140000000004E-2</v>
      </c>
      <c r="S139">
        <v>2.9461979999999999</v>
      </c>
      <c r="T139">
        <v>0.6093596</v>
      </c>
      <c r="U139">
        <v>0.24017330000000001</v>
      </c>
      <c r="V139">
        <v>-8.1468189999999996E-2</v>
      </c>
      <c r="W139">
        <v>0.10538359999999999</v>
      </c>
      <c r="X139">
        <v>0.99108890000000005</v>
      </c>
      <c r="Y139">
        <v>-6.9455329999999996E-2</v>
      </c>
      <c r="Z139">
        <v>-4.9328669999999996E-3</v>
      </c>
      <c r="AA139">
        <v>0.99757280000000004</v>
      </c>
      <c r="AB139">
        <v>40</v>
      </c>
      <c r="AC139">
        <v>2.9461979999999999</v>
      </c>
      <c r="AD139">
        <v>0.6093596</v>
      </c>
      <c r="AE139">
        <v>0.24017330000000001</v>
      </c>
      <c r="AF139">
        <v>-0.200447733954321</v>
      </c>
      <c r="AG139">
        <v>0.6093596</v>
      </c>
      <c r="AH139">
        <v>2.8283812041887302</v>
      </c>
      <c r="AI139">
        <v>77.871287673245902</v>
      </c>
      <c r="AJ139">
        <v>94.053781405792193</v>
      </c>
      <c r="AK139">
        <v>2.9002135528901398</v>
      </c>
      <c r="AL139">
        <v>83.950732089417997</v>
      </c>
      <c r="AM139">
        <v>94.699187467785805</v>
      </c>
      <c r="AN139">
        <v>0.99999998841702298</v>
      </c>
    </row>
    <row r="140" spans="1:40" x14ac:dyDescent="0.3">
      <c r="A140" t="str">
        <f>"20200111150226292"</f>
        <v>20200111150226292</v>
      </c>
      <c r="B140" t="str">
        <f>"1578726146285879"</f>
        <v>1578726146285879</v>
      </c>
      <c r="C140" t="s">
        <v>40</v>
      </c>
      <c r="D140">
        <v>5.6094089999999897</v>
      </c>
      <c r="E140">
        <v>0.50485829999999998</v>
      </c>
      <c r="F140" t="s">
        <v>44</v>
      </c>
      <c r="G140">
        <v>0</v>
      </c>
      <c r="H140">
        <v>0</v>
      </c>
      <c r="I140">
        <v>0</v>
      </c>
      <c r="J140">
        <v>-423.76409999999998</v>
      </c>
      <c r="K140">
        <v>1.053642</v>
      </c>
      <c r="L140">
        <v>367.36380000000003</v>
      </c>
      <c r="M140">
        <v>0.99989459999999997</v>
      </c>
      <c r="N140">
        <v>0</v>
      </c>
      <c r="O140">
        <v>1.052577E-2</v>
      </c>
      <c r="P140">
        <v>0.99095860000000002</v>
      </c>
      <c r="Q140">
        <v>9.7850670000000001E-2</v>
      </c>
      <c r="R140">
        <v>9.1794039999999993E-2</v>
      </c>
      <c r="S140">
        <v>2.9450069999999999</v>
      </c>
      <c r="T140">
        <v>0.61809650000000005</v>
      </c>
      <c r="U140">
        <v>0.23937990000000001</v>
      </c>
      <c r="V140">
        <v>-8.1338949999999993E-2</v>
      </c>
      <c r="W140">
        <v>0.1077803</v>
      </c>
      <c r="X140">
        <v>0.99084170000000005</v>
      </c>
      <c r="Y140">
        <v>-6.9249089999999999E-2</v>
      </c>
      <c r="Z140">
        <v>-4.9955090000000004E-3</v>
      </c>
      <c r="AA140">
        <v>0.99758690000000005</v>
      </c>
      <c r="AB140">
        <v>40</v>
      </c>
      <c r="AC140">
        <v>2.9450069999999999</v>
      </c>
      <c r="AD140">
        <v>0.61809650000000005</v>
      </c>
      <c r="AE140">
        <v>0.23937990000000001</v>
      </c>
      <c r="AF140">
        <v>-0.19963072724281999</v>
      </c>
      <c r="AG140">
        <v>0.61809650000000005</v>
      </c>
      <c r="AH140">
        <v>2.82379365520893</v>
      </c>
      <c r="AI140">
        <v>77.683128588348296</v>
      </c>
      <c r="AJ140">
        <v>94.043850608398998</v>
      </c>
      <c r="AK140">
        <v>2.8975345239996599</v>
      </c>
      <c r="AL140">
        <v>83.812624324961803</v>
      </c>
      <c r="AM140">
        <v>94.692931345817001</v>
      </c>
      <c r="AN140">
        <v>0.99999994615703902</v>
      </c>
    </row>
    <row r="141" spans="1:40" x14ac:dyDescent="0.3">
      <c r="A141" t="str">
        <f>"20200111150226309"</f>
        <v>20200111150226309</v>
      </c>
      <c r="B141" t="str">
        <f>"1578726146305399"</f>
        <v>1578726146305399</v>
      </c>
      <c r="C141" t="s">
        <v>40</v>
      </c>
      <c r="D141">
        <v>5.8129099999999996</v>
      </c>
      <c r="E141">
        <v>0.50444719999999998</v>
      </c>
      <c r="F141" t="s">
        <v>44</v>
      </c>
      <c r="G141">
        <v>0</v>
      </c>
      <c r="H141">
        <v>0</v>
      </c>
      <c r="I141">
        <v>0</v>
      </c>
      <c r="J141">
        <v>-423.46719999999999</v>
      </c>
      <c r="K141">
        <v>1.053658</v>
      </c>
      <c r="L141">
        <v>367.36680000000001</v>
      </c>
      <c r="M141">
        <v>0.9998958</v>
      </c>
      <c r="N141">
        <v>0</v>
      </c>
      <c r="O141">
        <v>1.0433619999999999E-2</v>
      </c>
      <c r="P141">
        <v>0.9903073</v>
      </c>
      <c r="Q141">
        <v>0.10359690000000001</v>
      </c>
      <c r="R141">
        <v>9.2516780000000007E-2</v>
      </c>
      <c r="S141">
        <v>2.94516</v>
      </c>
      <c r="T141">
        <v>0.60874689999999998</v>
      </c>
      <c r="U141">
        <v>0.23895259999999999</v>
      </c>
      <c r="V141">
        <v>-8.2152149999999993E-2</v>
      </c>
      <c r="W141">
        <v>0.11351559999999999</v>
      </c>
      <c r="X141">
        <v>0.99013390000000001</v>
      </c>
      <c r="Y141">
        <v>-6.9229399999999996E-2</v>
      </c>
      <c r="Z141">
        <v>-4.9380939999999996E-3</v>
      </c>
      <c r="AA141">
        <v>0.99758860000000005</v>
      </c>
      <c r="AB141">
        <v>40</v>
      </c>
      <c r="AC141">
        <v>2.94516</v>
      </c>
      <c r="AD141">
        <v>0.60874689999999998</v>
      </c>
      <c r="AE141">
        <v>0.23895259999999999</v>
      </c>
      <c r="AF141">
        <v>-0.19973214725205601</v>
      </c>
      <c r="AG141">
        <v>0.60874689999999998</v>
      </c>
      <c r="AH141">
        <v>2.8274859015477198</v>
      </c>
      <c r="AI141">
        <v>77.879208044524106</v>
      </c>
      <c r="AJ141">
        <v>94.040632430018405</v>
      </c>
      <c r="AK141">
        <v>2.89916233459885</v>
      </c>
      <c r="AL141">
        <v>83.481985162412698</v>
      </c>
      <c r="AM141">
        <v>94.743009718945103</v>
      </c>
      <c r="AN141">
        <v>0.99999995356109495</v>
      </c>
    </row>
    <row r="142" spans="1:40" x14ac:dyDescent="0.3">
      <c r="A142" t="str">
        <f>"20200111150226322"</f>
        <v>20200111150226322</v>
      </c>
      <c r="B142" t="str">
        <f>"1578726146316135"</f>
        <v>1578726146316135</v>
      </c>
      <c r="C142" t="s">
        <v>40</v>
      </c>
      <c r="D142">
        <v>5.7010170000000002</v>
      </c>
      <c r="E142">
        <v>0.50427730000000004</v>
      </c>
      <c r="F142" t="s">
        <v>44</v>
      </c>
      <c r="G142">
        <v>0</v>
      </c>
      <c r="H142">
        <v>0</v>
      </c>
      <c r="I142">
        <v>0</v>
      </c>
      <c r="J142">
        <v>-423.21409999999997</v>
      </c>
      <c r="K142">
        <v>1.053653</v>
      </c>
      <c r="L142">
        <v>367.36939999999998</v>
      </c>
      <c r="M142">
        <v>0.99989680000000003</v>
      </c>
      <c r="N142">
        <v>0</v>
      </c>
      <c r="O142">
        <v>1.033276E-2</v>
      </c>
      <c r="P142">
        <v>0.98981640000000004</v>
      </c>
      <c r="Q142">
        <v>0.1074175</v>
      </c>
      <c r="R142">
        <v>9.3409370000000005E-2</v>
      </c>
      <c r="S142">
        <v>2.9405519999999998</v>
      </c>
      <c r="T142">
        <v>0.63041729999999996</v>
      </c>
      <c r="U142">
        <v>0.2445679</v>
      </c>
      <c r="V142">
        <v>-8.3142380000000002E-2</v>
      </c>
      <c r="W142">
        <v>0.1173289</v>
      </c>
      <c r="X142">
        <v>0.9896066</v>
      </c>
      <c r="Y142">
        <v>-7.1208850000000004E-2</v>
      </c>
      <c r="Z142">
        <v>-5.348289E-3</v>
      </c>
      <c r="AA142">
        <v>0.99744710000000003</v>
      </c>
      <c r="AB142">
        <v>40</v>
      </c>
      <c r="AC142">
        <v>2.9405519999999998</v>
      </c>
      <c r="AD142">
        <v>0.63041729999999996</v>
      </c>
      <c r="AE142">
        <v>0.2445679</v>
      </c>
      <c r="AF142">
        <v>-0.20482005264546799</v>
      </c>
      <c r="AG142">
        <v>0.63041729999999996</v>
      </c>
      <c r="AH142">
        <v>2.8144530873293401</v>
      </c>
      <c r="AI142">
        <v>77.406791690854604</v>
      </c>
      <c r="AJ142">
        <v>94.162326608680701</v>
      </c>
      <c r="AK142">
        <v>2.8914569695713301</v>
      </c>
      <c r="AL142">
        <v>83.262029084369004</v>
      </c>
      <c r="AM142">
        <v>94.802460195296405</v>
      </c>
      <c r="AN142">
        <v>0.999999974445416</v>
      </c>
    </row>
    <row r="143" spans="1:40" x14ac:dyDescent="0.3">
      <c r="A143" t="str">
        <f>"20200111150226335"</f>
        <v>20200111150226335</v>
      </c>
      <c r="B143" t="str">
        <f>"1578726146325895"</f>
        <v>1578726146325895</v>
      </c>
      <c r="C143" t="s">
        <v>40</v>
      </c>
      <c r="D143">
        <v>6.4356289999999996</v>
      </c>
      <c r="E143">
        <v>0.50427730000000004</v>
      </c>
      <c r="F143" t="s">
        <v>44</v>
      </c>
      <c r="G143">
        <v>0</v>
      </c>
      <c r="H143">
        <v>0</v>
      </c>
      <c r="I143">
        <v>0</v>
      </c>
      <c r="J143">
        <v>-422.99299999999999</v>
      </c>
      <c r="K143">
        <v>1.05365</v>
      </c>
      <c r="L143">
        <v>367.3716</v>
      </c>
      <c r="M143">
        <v>0.99989799999999995</v>
      </c>
      <c r="N143">
        <v>0</v>
      </c>
      <c r="O143">
        <v>1.023221E-2</v>
      </c>
      <c r="P143">
        <v>0.98940130000000004</v>
      </c>
      <c r="Q143">
        <v>0.110843</v>
      </c>
      <c r="R143">
        <v>9.3804369999999998E-2</v>
      </c>
      <c r="S143">
        <v>2.9375309999999999</v>
      </c>
      <c r="T143">
        <v>0.64421030000000001</v>
      </c>
      <c r="U143">
        <v>0.2482605</v>
      </c>
      <c r="V143">
        <v>-8.3633990000000005E-2</v>
      </c>
      <c r="W143">
        <v>0.1207486</v>
      </c>
      <c r="X143">
        <v>0.98915370000000002</v>
      </c>
      <c r="Y143">
        <v>-7.2542280000000001E-2</v>
      </c>
      <c r="Z143">
        <v>-5.6338300000000003E-3</v>
      </c>
      <c r="AA143">
        <v>0.99734940000000005</v>
      </c>
      <c r="AB143">
        <v>40</v>
      </c>
      <c r="AC143">
        <v>2.9375309999999999</v>
      </c>
      <c r="AD143">
        <v>0.64421030000000001</v>
      </c>
      <c r="AE143">
        <v>0.2482605</v>
      </c>
      <c r="AF143">
        <v>-0.20824431197436899</v>
      </c>
      <c r="AG143">
        <v>0.64421030000000001</v>
      </c>
      <c r="AH143">
        <v>2.8059265353090002</v>
      </c>
      <c r="AI143">
        <v>77.103871195880402</v>
      </c>
      <c r="AJ143">
        <v>94.244475358310595</v>
      </c>
      <c r="AK143">
        <v>2.8864504717120898</v>
      </c>
      <c r="AL143">
        <v>83.064691321032001</v>
      </c>
      <c r="AM143">
        <v>94.832923876184097</v>
      </c>
      <c r="AN143">
        <v>0.99999995545448395</v>
      </c>
    </row>
    <row r="144" spans="1:40" x14ac:dyDescent="0.3">
      <c r="A144" t="str">
        <f>"20200111150227092"</f>
        <v>20200111150227092</v>
      </c>
      <c r="B144" t="str">
        <f>"1578726147086188"</f>
        <v>1578726147086188</v>
      </c>
      <c r="C144" t="s">
        <v>40</v>
      </c>
      <c r="D144">
        <v>5.3806159999999998</v>
      </c>
      <c r="E144">
        <v>0.50419590000000003</v>
      </c>
      <c r="F144" t="s">
        <v>44</v>
      </c>
      <c r="G144">
        <v>0</v>
      </c>
      <c r="H144">
        <v>0</v>
      </c>
      <c r="I144">
        <v>0</v>
      </c>
      <c r="J144">
        <v>-409.36689999999999</v>
      </c>
      <c r="K144">
        <v>1.0534859999999999</v>
      </c>
      <c r="L144">
        <v>367.4092</v>
      </c>
      <c r="M144">
        <v>0.99992570000000003</v>
      </c>
      <c r="N144">
        <v>0</v>
      </c>
      <c r="O144">
        <v>-1.7957310000000001E-3</v>
      </c>
      <c r="P144">
        <v>0.99062030000000001</v>
      </c>
      <c r="Q144">
        <v>0.10324170000000001</v>
      </c>
      <c r="R144">
        <v>8.9513110000000007E-2</v>
      </c>
      <c r="S144">
        <v>2.9353030000000002</v>
      </c>
      <c r="T144">
        <v>0.65432570000000001</v>
      </c>
      <c r="U144">
        <v>0.24853520000000001</v>
      </c>
      <c r="V144">
        <v>-9.1242249999999997E-2</v>
      </c>
      <c r="W144">
        <v>0.1152171</v>
      </c>
      <c r="X144">
        <v>0.98914100000000005</v>
      </c>
      <c r="Y144">
        <v>-8.4065790000000001E-2</v>
      </c>
      <c r="Z144">
        <v>-9.6350659999999994E-3</v>
      </c>
      <c r="AA144">
        <v>0.99641360000000001</v>
      </c>
      <c r="AB144">
        <v>40</v>
      </c>
      <c r="AC144">
        <v>2.9353030000000002</v>
      </c>
      <c r="AD144">
        <v>0.65432570000000001</v>
      </c>
      <c r="AE144">
        <v>0.24853520000000001</v>
      </c>
      <c r="AF144">
        <v>-0.24187273209562901</v>
      </c>
      <c r="AG144">
        <v>0.65432570000000001</v>
      </c>
      <c r="AH144">
        <v>2.7968610045818498</v>
      </c>
      <c r="AI144">
        <v>76.879740248986906</v>
      </c>
      <c r="AJ144">
        <v>94.942645741959197</v>
      </c>
      <c r="AK144">
        <v>2.88254679392417</v>
      </c>
      <c r="AL144">
        <v>83.383852955277007</v>
      </c>
      <c r="AM144">
        <v>95.270273309163997</v>
      </c>
      <c r="AN144">
        <v>1.0000000230992301</v>
      </c>
    </row>
    <row r="145" spans="1:40" x14ac:dyDescent="0.3">
      <c r="A145" t="str">
        <f>"20200111150227118"</f>
        <v>20200111150227118</v>
      </c>
      <c r="B145" t="str">
        <f>"1578726147105709"</f>
        <v>1578726147105709</v>
      </c>
      <c r="C145" t="s">
        <v>40</v>
      </c>
      <c r="D145">
        <v>5.7480570000000002</v>
      </c>
      <c r="E145">
        <v>0.59195609999999999</v>
      </c>
      <c r="F145" t="s">
        <v>44</v>
      </c>
      <c r="G145">
        <v>0</v>
      </c>
      <c r="H145">
        <v>0</v>
      </c>
      <c r="I145">
        <v>0</v>
      </c>
      <c r="J145">
        <v>-408.91160000000002</v>
      </c>
      <c r="K145">
        <v>1.0534840000000001</v>
      </c>
      <c r="L145">
        <v>367.4083</v>
      </c>
      <c r="M145">
        <v>0.99992539999999996</v>
      </c>
      <c r="N145">
        <v>0</v>
      </c>
      <c r="O145">
        <v>-1.907717E-3</v>
      </c>
      <c r="P145">
        <v>0.99102760000000001</v>
      </c>
      <c r="Q145">
        <v>9.9451769999999995E-2</v>
      </c>
      <c r="R145">
        <v>8.9295700000000006E-2</v>
      </c>
      <c r="S145">
        <v>2.9404910000000002</v>
      </c>
      <c r="T145">
        <v>0.63607569999999902</v>
      </c>
      <c r="U145">
        <v>0.23913570000000001</v>
      </c>
      <c r="V145">
        <v>-9.1142630000000002E-2</v>
      </c>
      <c r="W145">
        <v>0.11144030000000001</v>
      </c>
      <c r="X145">
        <v>0.98958279999999998</v>
      </c>
      <c r="Y145">
        <v>-8.1052550000000001E-2</v>
      </c>
      <c r="Z145">
        <v>-9.0598069999999996E-3</v>
      </c>
      <c r="AA145">
        <v>0.99666860000000002</v>
      </c>
      <c r="AB145">
        <v>40</v>
      </c>
      <c r="AC145">
        <v>2.9404910000000002</v>
      </c>
      <c r="AD145">
        <v>0.63607569999999902</v>
      </c>
      <c r="AE145">
        <v>0.23913570000000001</v>
      </c>
      <c r="AF145">
        <v>-0.23387362718095001</v>
      </c>
      <c r="AG145">
        <v>0.63607569999999902</v>
      </c>
      <c r="AH145">
        <v>2.8094322911088598</v>
      </c>
      <c r="AI145">
        <v>77.285440358398404</v>
      </c>
      <c r="AJ145">
        <v>94.758664771379003</v>
      </c>
      <c r="AK145">
        <v>2.89001712243136</v>
      </c>
      <c r="AL145">
        <v>83.601650910330306</v>
      </c>
      <c r="AM145">
        <v>95.262214310394199</v>
      </c>
      <c r="AN145">
        <v>1.00000001876162</v>
      </c>
    </row>
    <row r="146" spans="1:40" x14ac:dyDescent="0.3">
      <c r="A146" t="str">
        <f>"20200111150227136"</f>
        <v>20200111150227136</v>
      </c>
      <c r="B146" t="str">
        <f>"1578726147126205"</f>
        <v>1578726147126205</v>
      </c>
      <c r="C146" t="s">
        <v>40</v>
      </c>
      <c r="D146">
        <v>5.7635110000000003</v>
      </c>
      <c r="E146">
        <v>0.58612369999999903</v>
      </c>
      <c r="F146" t="s">
        <v>48</v>
      </c>
      <c r="G146">
        <v>-168.423</v>
      </c>
      <c r="H146">
        <v>69.155369999999905</v>
      </c>
      <c r="I146">
        <v>330.57670000000002</v>
      </c>
      <c r="J146">
        <v>-408.56040000000002</v>
      </c>
      <c r="K146">
        <v>1.0535030000000001</v>
      </c>
      <c r="L146">
        <v>367.4076</v>
      </c>
      <c r="M146">
        <v>0.99992530000000002</v>
      </c>
      <c r="N146">
        <v>0</v>
      </c>
      <c r="O146">
        <v>-1.9801240000000002E-3</v>
      </c>
      <c r="P146">
        <v>0.99107840000000003</v>
      </c>
      <c r="Q146">
        <v>9.9373030000000001E-2</v>
      </c>
      <c r="R146">
        <v>8.8819380000000003E-2</v>
      </c>
      <c r="S146">
        <v>2.9835509999999998</v>
      </c>
      <c r="T146">
        <v>0.84488589999999997</v>
      </c>
      <c r="U146">
        <v>-0.4569397</v>
      </c>
      <c r="V146">
        <v>-9.0742749999999997E-2</v>
      </c>
      <c r="W146">
        <v>0.1113663</v>
      </c>
      <c r="X146">
        <v>0.98962779999999995</v>
      </c>
      <c r="Y146">
        <v>0.14397260000000001</v>
      </c>
      <c r="Z146">
        <v>1.9335740000000001E-2</v>
      </c>
      <c r="AA146">
        <v>0.98939279999999996</v>
      </c>
      <c r="AB146">
        <v>40</v>
      </c>
      <c r="AC146">
        <v>240.13740000000001</v>
      </c>
      <c r="AD146">
        <v>68.101866999999899</v>
      </c>
      <c r="AE146">
        <v>-36.8308999999999</v>
      </c>
      <c r="AF146">
        <v>33.706689738344203</v>
      </c>
      <c r="AG146">
        <v>68.101866999999899</v>
      </c>
      <c r="AH146">
        <v>222.709791640943</v>
      </c>
      <c r="AI146">
        <v>73.177607081307798</v>
      </c>
      <c r="AJ146">
        <v>81.393712137885899</v>
      </c>
      <c r="AK146">
        <v>235.31607789259701</v>
      </c>
      <c r="AL146">
        <v>83.605916856032195</v>
      </c>
      <c r="AM146">
        <v>95.239018677613998</v>
      </c>
      <c r="AN146">
        <v>0.99999994099304401</v>
      </c>
    </row>
    <row r="147" spans="1:40" x14ac:dyDescent="0.3">
      <c r="A147" t="str">
        <f>"20200111150227158"</f>
        <v>20200111150227158</v>
      </c>
      <c r="B147" t="str">
        <f>"1578726147155485"</f>
        <v>1578726147155485</v>
      </c>
      <c r="C147" t="s">
        <v>40</v>
      </c>
      <c r="D147">
        <v>5.0223259999999996</v>
      </c>
      <c r="E147">
        <v>0.58890969999999998</v>
      </c>
      <c r="F147" t="s">
        <v>48</v>
      </c>
      <c r="G147">
        <v>-169.00229999999999</v>
      </c>
      <c r="H147">
        <v>61.428629999999998</v>
      </c>
      <c r="I147">
        <v>334.26089999999999</v>
      </c>
      <c r="J147">
        <v>-408.16950000000003</v>
      </c>
      <c r="K147">
        <v>1.053545</v>
      </c>
      <c r="L147">
        <v>367.4067</v>
      </c>
      <c r="M147">
        <v>0.99992499999999995</v>
      </c>
      <c r="N147">
        <v>0</v>
      </c>
      <c r="O147">
        <v>-2.0404120000000001E-3</v>
      </c>
      <c r="P147">
        <v>0.99079620000000002</v>
      </c>
      <c r="Q147">
        <v>0.1025307</v>
      </c>
      <c r="R147">
        <v>8.837739E-2</v>
      </c>
      <c r="S147">
        <v>2.988556</v>
      </c>
      <c r="T147">
        <v>0.75319709999999995</v>
      </c>
      <c r="U147">
        <v>-0.41351320000000003</v>
      </c>
      <c r="V147">
        <v>-9.0364200000000006E-2</v>
      </c>
      <c r="W147">
        <v>0.11452270000000001</v>
      </c>
      <c r="X147">
        <v>0.98930220000000002</v>
      </c>
      <c r="Y147">
        <v>0.1310781</v>
      </c>
      <c r="Z147">
        <v>1.5685640000000001E-2</v>
      </c>
      <c r="AA147">
        <v>0.99124800000000002</v>
      </c>
      <c r="AB147">
        <v>40</v>
      </c>
      <c r="AC147">
        <v>239.16720000000001</v>
      </c>
      <c r="AD147">
        <v>60.375084999999999</v>
      </c>
      <c r="AE147">
        <v>-33.145800000000001</v>
      </c>
      <c r="AF147">
        <v>30.735947135883499</v>
      </c>
      <c r="AG147">
        <v>60.375084999999999</v>
      </c>
      <c r="AH147">
        <v>225.156545578134</v>
      </c>
      <c r="AI147">
        <v>75.121208552946399</v>
      </c>
      <c r="AJ147">
        <v>82.226644409287005</v>
      </c>
      <c r="AK147">
        <v>235.128304020965</v>
      </c>
      <c r="AL147">
        <v>83.423904044965496</v>
      </c>
      <c r="AM147">
        <v>95.218991651202302</v>
      </c>
      <c r="AN147">
        <v>0.99999999019088404</v>
      </c>
    </row>
    <row r="148" spans="1:40" x14ac:dyDescent="0.3">
      <c r="A148" t="str">
        <f>"20200111150227172"</f>
        <v>20200111150227172</v>
      </c>
      <c r="B148" t="str">
        <f>"1578726147165245"</f>
        <v>1578726147165245</v>
      </c>
      <c r="C148" t="s">
        <v>40</v>
      </c>
      <c r="D148">
        <v>4.9760229999999996</v>
      </c>
      <c r="E148">
        <v>0.58971770000000001</v>
      </c>
      <c r="F148" t="s">
        <v>48</v>
      </c>
      <c r="G148">
        <v>-168.42099999999999</v>
      </c>
      <c r="H148">
        <v>63.16778</v>
      </c>
      <c r="I148">
        <v>332.33240000000001</v>
      </c>
      <c r="J148">
        <v>-407.92290000000003</v>
      </c>
      <c r="K148">
        <v>1.05357099999999</v>
      </c>
      <c r="L148">
        <v>367.40620000000001</v>
      </c>
      <c r="M148">
        <v>0.99992479999999995</v>
      </c>
      <c r="N148">
        <v>0</v>
      </c>
      <c r="O148">
        <v>-2.0691970000000001E-3</v>
      </c>
      <c r="P148">
        <v>0.99066100000000001</v>
      </c>
      <c r="Q148">
        <v>0.1040645</v>
      </c>
      <c r="R148">
        <v>8.8100390000000001E-2</v>
      </c>
      <c r="S148">
        <v>2.986755</v>
      </c>
      <c r="T148">
        <v>0.77381119999999903</v>
      </c>
      <c r="U148">
        <v>-0.43695070000000003</v>
      </c>
      <c r="V148">
        <v>-9.0118809999999994E-2</v>
      </c>
      <c r="W148">
        <v>0.1160559</v>
      </c>
      <c r="X148">
        <v>0.98914590000000002</v>
      </c>
      <c r="Y148">
        <v>0.1383026</v>
      </c>
      <c r="Z148">
        <v>1.7011169999999999E-2</v>
      </c>
      <c r="AA148">
        <v>0.99024389999999995</v>
      </c>
      <c r="AB148">
        <v>40</v>
      </c>
      <c r="AC148">
        <v>239.50190000000001</v>
      </c>
      <c r="AD148">
        <v>62.114209000000002</v>
      </c>
      <c r="AE148">
        <v>-35.073799999999999</v>
      </c>
      <c r="AF148">
        <v>32.441851706540596</v>
      </c>
      <c r="AG148">
        <v>62.114209000000002</v>
      </c>
      <c r="AH148">
        <v>224.77291690497901</v>
      </c>
      <c r="AI148">
        <v>74.703257921859404</v>
      </c>
      <c r="AJ148">
        <v>81.787119983719194</v>
      </c>
      <c r="AK148">
        <v>235.443226438599</v>
      </c>
      <c r="AL148">
        <v>83.335468463427006</v>
      </c>
      <c r="AM148">
        <v>95.205715013752695</v>
      </c>
      <c r="AN148">
        <v>0.999999991663718</v>
      </c>
    </row>
    <row r="149" spans="1:40" x14ac:dyDescent="0.3">
      <c r="A149" t="str">
        <f>"20200111150227185"</f>
        <v>20200111150227185</v>
      </c>
      <c r="B149" t="str">
        <f>"1578726147175512"</f>
        <v>1578726147175512</v>
      </c>
      <c r="C149" t="s">
        <v>40</v>
      </c>
      <c r="D149">
        <v>5.7208500000000004</v>
      </c>
      <c r="E149">
        <v>0.58844439999999998</v>
      </c>
      <c r="F149" t="s">
        <v>48</v>
      </c>
      <c r="G149">
        <v>-169.7133</v>
      </c>
      <c r="H149">
        <v>65.401790000000005</v>
      </c>
      <c r="I149">
        <v>331.96789999999999</v>
      </c>
      <c r="J149">
        <v>-407.6782</v>
      </c>
      <c r="K149">
        <v>1.053601</v>
      </c>
      <c r="L149">
        <v>367.40570000000002</v>
      </c>
      <c r="M149">
        <v>0.99992479999999995</v>
      </c>
      <c r="N149">
        <v>0</v>
      </c>
      <c r="O149">
        <v>-2.0908319999999999E-3</v>
      </c>
      <c r="P149">
        <v>0.99051389999999995</v>
      </c>
      <c r="Q149">
        <v>0.1056695</v>
      </c>
      <c r="R149">
        <v>8.7843080000000004E-2</v>
      </c>
      <c r="S149">
        <v>2.983063</v>
      </c>
      <c r="T149">
        <v>0.80582310000000001</v>
      </c>
      <c r="U149">
        <v>-0.44378659999999998</v>
      </c>
      <c r="V149">
        <v>-8.9886179999999996E-2</v>
      </c>
      <c r="W149">
        <v>0.117659</v>
      </c>
      <c r="X149">
        <v>0.98897769999999996</v>
      </c>
      <c r="Y149">
        <v>0.1402351</v>
      </c>
      <c r="Z149">
        <v>1.7958930000000001E-2</v>
      </c>
      <c r="AA149">
        <v>0.98995540000000004</v>
      </c>
      <c r="AB149">
        <v>40</v>
      </c>
      <c r="AC149">
        <v>237.9649</v>
      </c>
      <c r="AD149">
        <v>64.348189000000005</v>
      </c>
      <c r="AE149">
        <v>-35.437800000000003</v>
      </c>
      <c r="AF149">
        <v>32.607549461854397</v>
      </c>
      <c r="AG149">
        <v>64.348189000000005</v>
      </c>
      <c r="AH149">
        <v>222.14711077279699</v>
      </c>
      <c r="AI149">
        <v>74.008024703584795</v>
      </c>
      <c r="AJ149">
        <v>81.649550629223597</v>
      </c>
      <c r="AK149">
        <v>233.56643708844001</v>
      </c>
      <c r="AL149">
        <v>83.242984197947706</v>
      </c>
      <c r="AM149">
        <v>95.193228942614894</v>
      </c>
      <c r="AN149">
        <v>1.0000000283666399</v>
      </c>
    </row>
    <row r="150" spans="1:40" x14ac:dyDescent="0.3">
      <c r="A150" t="str">
        <f>"20200111150227203"</f>
        <v>20200111150227203</v>
      </c>
      <c r="B150" t="str">
        <f>"1578726147196008"</f>
        <v>1578726147196008</v>
      </c>
      <c r="C150" t="s">
        <v>40</v>
      </c>
      <c r="D150">
        <v>4.0122070000000001</v>
      </c>
      <c r="E150">
        <v>0.5867696</v>
      </c>
      <c r="F150" t="s">
        <v>48</v>
      </c>
      <c r="G150">
        <v>-168.66470000000001</v>
      </c>
      <c r="H150">
        <v>64.81223</v>
      </c>
      <c r="I150">
        <v>332.5806</v>
      </c>
      <c r="J150">
        <v>-407.35989999999998</v>
      </c>
      <c r="K150">
        <v>1.053644</v>
      </c>
      <c r="L150">
        <v>367.40499999999997</v>
      </c>
      <c r="M150">
        <v>0.99992460000000005</v>
      </c>
      <c r="N150">
        <v>0</v>
      </c>
      <c r="O150">
        <v>-2.1108920000000001E-3</v>
      </c>
      <c r="P150">
        <v>0.99026400000000003</v>
      </c>
      <c r="Q150">
        <v>0.1080966</v>
      </c>
      <c r="R150">
        <v>8.7704809999999994E-2</v>
      </c>
      <c r="S150">
        <v>2.982361</v>
      </c>
      <c r="T150">
        <v>0.79556680000000002</v>
      </c>
      <c r="U150">
        <v>-0.43453979999999998</v>
      </c>
      <c r="V150">
        <v>-8.9771279999999995E-2</v>
      </c>
      <c r="W150">
        <v>0.120084</v>
      </c>
      <c r="X150">
        <v>0.98869660000000004</v>
      </c>
      <c r="Y150">
        <v>0.13745589999999999</v>
      </c>
      <c r="Z150">
        <v>1.7378060000000001E-2</v>
      </c>
      <c r="AA150">
        <v>0.9903554</v>
      </c>
      <c r="AB150">
        <v>40</v>
      </c>
      <c r="AC150">
        <v>238.6952</v>
      </c>
      <c r="AD150">
        <v>63.758586000000001</v>
      </c>
      <c r="AE150">
        <v>-34.824399999999898</v>
      </c>
      <c r="AF150">
        <v>32.079292487326903</v>
      </c>
      <c r="AG150">
        <v>63.758586000000001</v>
      </c>
      <c r="AH150">
        <v>223.17655585690301</v>
      </c>
      <c r="AI150">
        <v>74.210135741517504</v>
      </c>
      <c r="AJ150">
        <v>81.820358050852406</v>
      </c>
      <c r="AK150">
        <v>234.31178668465699</v>
      </c>
      <c r="AL150">
        <v>83.103049576689003</v>
      </c>
      <c r="AM150">
        <v>95.188093337336696</v>
      </c>
      <c r="AN150">
        <v>1.0000000083101901</v>
      </c>
    </row>
    <row r="151" spans="1:40" x14ac:dyDescent="0.3">
      <c r="A151" t="str">
        <f>"20200111150227216"</f>
        <v>20200111150227216</v>
      </c>
      <c r="B151" t="str">
        <f>"1578726147205768"</f>
        <v>1578726147205768</v>
      </c>
      <c r="C151" t="s">
        <v>40</v>
      </c>
      <c r="D151">
        <v>6.7115499999999999</v>
      </c>
      <c r="E151">
        <v>0.5867696</v>
      </c>
      <c r="F151" t="s">
        <v>48</v>
      </c>
      <c r="G151">
        <v>-169.7133</v>
      </c>
      <c r="H151">
        <v>65.064880000000002</v>
      </c>
      <c r="I151">
        <v>333.76580000000001</v>
      </c>
      <c r="J151">
        <v>-407.12970000000001</v>
      </c>
      <c r="K151">
        <v>1.053669</v>
      </c>
      <c r="L151">
        <v>367.40449999999998</v>
      </c>
      <c r="M151">
        <v>0.9999247</v>
      </c>
      <c r="N151">
        <v>0</v>
      </c>
      <c r="O151">
        <v>-2.119461E-3</v>
      </c>
      <c r="P151">
        <v>0.99015430000000004</v>
      </c>
      <c r="Q151">
        <v>0.1090719</v>
      </c>
      <c r="R151">
        <v>8.7738479999999994E-2</v>
      </c>
      <c r="S151">
        <v>2.979279</v>
      </c>
      <c r="T151">
        <v>0.80248260000000005</v>
      </c>
      <c r="U151">
        <v>-0.4217224</v>
      </c>
      <c r="V151">
        <v>-8.9816179999999995E-2</v>
      </c>
      <c r="W151">
        <v>0.1210582</v>
      </c>
      <c r="X151">
        <v>0.9885737</v>
      </c>
      <c r="Y151">
        <v>0.13346520000000001</v>
      </c>
      <c r="Z151">
        <v>1.701861E-2</v>
      </c>
      <c r="AA151">
        <v>0.99090739999999999</v>
      </c>
      <c r="AB151">
        <v>40</v>
      </c>
      <c r="AC151">
        <v>237.41640000000001</v>
      </c>
      <c r="AD151">
        <v>64.011211000000003</v>
      </c>
      <c r="AE151">
        <v>-33.638699999999901</v>
      </c>
      <c r="AF151">
        <v>30.931172995121901</v>
      </c>
      <c r="AG151">
        <v>64.011211000000003</v>
      </c>
      <c r="AH151">
        <v>221.68913764571701</v>
      </c>
      <c r="AI151">
        <v>74.040901755710493</v>
      </c>
      <c r="AJ151">
        <v>82.057084668022</v>
      </c>
      <c r="AK151">
        <v>232.80946361057201</v>
      </c>
      <c r="AL151">
        <v>83.046821749843701</v>
      </c>
      <c r="AM151">
        <v>95.191315824302606</v>
      </c>
      <c r="AN151">
        <v>0.99999999715436105</v>
      </c>
    </row>
    <row r="152" spans="1:40" x14ac:dyDescent="0.3">
      <c r="A152" t="str">
        <f>"20200111150227230"</f>
        <v>20200111150227230</v>
      </c>
      <c r="B152" t="str">
        <f>"1578726147225290"</f>
        <v>1578726147225290</v>
      </c>
      <c r="C152" t="s">
        <v>40</v>
      </c>
      <c r="D152">
        <v>7.1744649999999996</v>
      </c>
      <c r="E152">
        <v>0.5867696</v>
      </c>
      <c r="F152" t="s">
        <v>48</v>
      </c>
      <c r="G152">
        <v>-169.7133</v>
      </c>
      <c r="H152">
        <v>65.247969999999995</v>
      </c>
      <c r="I152">
        <v>333.80549999999999</v>
      </c>
      <c r="J152">
        <v>-406.89260000000002</v>
      </c>
      <c r="K152">
        <v>1.0536890000000001</v>
      </c>
      <c r="L152">
        <v>367.404</v>
      </c>
      <c r="M152">
        <v>0.9999247</v>
      </c>
      <c r="N152">
        <v>0</v>
      </c>
      <c r="O152">
        <v>-2.12422E-3</v>
      </c>
      <c r="P152">
        <v>0.99000350000000004</v>
      </c>
      <c r="Q152">
        <v>0.1101438</v>
      </c>
      <c r="R152">
        <v>8.8099739999999996E-2</v>
      </c>
      <c r="S152">
        <v>2.9784549999999999</v>
      </c>
      <c r="T152">
        <v>0.80533529999999998</v>
      </c>
      <c r="U152">
        <v>-0.42150880000000002</v>
      </c>
      <c r="V152">
        <v>-9.0184669999999995E-2</v>
      </c>
      <c r="W152">
        <v>0.1221288</v>
      </c>
      <c r="X152">
        <v>0.98840839999999996</v>
      </c>
      <c r="Y152">
        <v>0.13339670000000001</v>
      </c>
      <c r="Z152">
        <v>1.7071340000000001E-2</v>
      </c>
      <c r="AA152">
        <v>0.99091569999999995</v>
      </c>
      <c r="AB152">
        <v>40</v>
      </c>
      <c r="AC152">
        <v>237.17930000000001</v>
      </c>
      <c r="AD152">
        <v>64.194280999999904</v>
      </c>
      <c r="AE152">
        <v>-33.598500000000001</v>
      </c>
      <c r="AF152">
        <v>30.877148578693198</v>
      </c>
      <c r="AG152">
        <v>64.194280999999904</v>
      </c>
      <c r="AH152">
        <v>221.353794479437</v>
      </c>
      <c r="AI152">
        <v>73.974525777737298</v>
      </c>
      <c r="AJ152">
        <v>82.058921810824501</v>
      </c>
      <c r="AK152">
        <v>232.53345210507399</v>
      </c>
      <c r="AL152">
        <v>82.985021942255202</v>
      </c>
      <c r="AM152">
        <v>95.213364144212093</v>
      </c>
      <c r="AN152">
        <v>0.99999994184150198</v>
      </c>
    </row>
    <row r="153" spans="1:40" x14ac:dyDescent="0.3">
      <c r="A153" t="str">
        <f>"20200111150227259"</f>
        <v>20200111150227259</v>
      </c>
      <c r="B153" t="str">
        <f>"1578726147255544"</f>
        <v>1578726147255544</v>
      </c>
      <c r="C153" t="s">
        <v>40</v>
      </c>
      <c r="D153">
        <v>5.9762740000000001</v>
      </c>
      <c r="E153">
        <v>0.58194399999999902</v>
      </c>
      <c r="F153" t="s">
        <v>48</v>
      </c>
      <c r="G153">
        <v>-169.71340000000001</v>
      </c>
      <c r="H153">
        <v>65.452159999999907</v>
      </c>
      <c r="I153">
        <v>333.92009999999999</v>
      </c>
      <c r="J153">
        <v>-406.35539999999997</v>
      </c>
      <c r="K153">
        <v>1.053741</v>
      </c>
      <c r="L153">
        <v>367.40289999999999</v>
      </c>
      <c r="M153">
        <v>0.99992449999999999</v>
      </c>
      <c r="N153">
        <v>0</v>
      </c>
      <c r="O153">
        <v>-2.0973979999999999E-3</v>
      </c>
      <c r="P153">
        <v>0.98950070000000001</v>
      </c>
      <c r="Q153">
        <v>0.1140837</v>
      </c>
      <c r="R153">
        <v>8.8732599999999995E-2</v>
      </c>
      <c r="S153">
        <v>2.977722</v>
      </c>
      <c r="T153">
        <v>0.80850569999999999</v>
      </c>
      <c r="U153">
        <v>-0.42037960000000002</v>
      </c>
      <c r="V153">
        <v>-9.0797139999999998E-2</v>
      </c>
      <c r="W153">
        <v>0.12606019999999901</v>
      </c>
      <c r="X153">
        <v>0.98785869999999998</v>
      </c>
      <c r="Y153">
        <v>0.13306129999999999</v>
      </c>
      <c r="Z153">
        <v>1.710329E-2</v>
      </c>
      <c r="AA153">
        <v>0.99096019999999896</v>
      </c>
      <c r="AB153">
        <v>40</v>
      </c>
      <c r="AC153">
        <v>236.642</v>
      </c>
      <c r="AD153">
        <v>64.398418999999905</v>
      </c>
      <c r="AE153">
        <v>-33.482799999999997</v>
      </c>
      <c r="AF153">
        <v>30.753539817313701</v>
      </c>
      <c r="AG153">
        <v>64.398418999999905</v>
      </c>
      <c r="AH153">
        <v>220.68890265552</v>
      </c>
      <c r="AI153">
        <v>73.879985342437195</v>
      </c>
      <c r="AJ153">
        <v>82.0667813620895</v>
      </c>
      <c r="AK153">
        <v>231.940786271609</v>
      </c>
      <c r="AL153">
        <v>82.758015279809598</v>
      </c>
      <c r="AM153">
        <v>95.251476797402503</v>
      </c>
      <c r="AN153">
        <v>1.0000000529109501</v>
      </c>
    </row>
    <row r="154" spans="1:40" x14ac:dyDescent="0.3">
      <c r="A154" t="str">
        <f>"20200111150227280"</f>
        <v>20200111150227280</v>
      </c>
      <c r="B154" t="str">
        <f>"1578726147276039"</f>
        <v>1578726147276039</v>
      </c>
      <c r="C154" t="s">
        <v>40</v>
      </c>
      <c r="D154">
        <v>5.6814010000000001</v>
      </c>
      <c r="E154">
        <v>0.57771149999999905</v>
      </c>
      <c r="F154" t="s">
        <v>48</v>
      </c>
      <c r="G154">
        <v>-168.42140000000001</v>
      </c>
      <c r="H154">
        <v>64.424130000000005</v>
      </c>
      <c r="I154">
        <v>336.93639999999999</v>
      </c>
      <c r="J154">
        <v>-405.96109999999999</v>
      </c>
      <c r="K154">
        <v>1.053782</v>
      </c>
      <c r="L154">
        <v>367.40210000000002</v>
      </c>
      <c r="M154">
        <v>0.99992479999999995</v>
      </c>
      <c r="N154">
        <v>0</v>
      </c>
      <c r="O154">
        <v>-2.0434799999999999E-3</v>
      </c>
      <c r="P154">
        <v>0.98920940000000002</v>
      </c>
      <c r="Q154">
        <v>0.1161286</v>
      </c>
      <c r="R154">
        <v>8.9325520000000005E-2</v>
      </c>
      <c r="S154">
        <v>2.97464</v>
      </c>
      <c r="T154">
        <v>0.79225349999999894</v>
      </c>
      <c r="U154">
        <v>-0.3808899</v>
      </c>
      <c r="V154">
        <v>-9.1343569999999999E-2</v>
      </c>
      <c r="W154">
        <v>0.1280935</v>
      </c>
      <c r="X154">
        <v>0.9875467</v>
      </c>
      <c r="Y154">
        <v>0.120904</v>
      </c>
      <c r="Z154">
        <v>1.52307E-2</v>
      </c>
      <c r="AA154">
        <v>0.99254730000000002</v>
      </c>
      <c r="AB154">
        <v>40</v>
      </c>
      <c r="AC154">
        <v>237.53970000000001</v>
      </c>
      <c r="AD154">
        <v>63.370348</v>
      </c>
      <c r="AE154">
        <v>-30.465699999999998</v>
      </c>
      <c r="AF154">
        <v>28.018382659028202</v>
      </c>
      <c r="AG154">
        <v>63.370348</v>
      </c>
      <c r="AH154">
        <v>222.053563702015</v>
      </c>
      <c r="AI154">
        <v>74.191159291219805</v>
      </c>
      <c r="AJ154">
        <v>82.808509807013806</v>
      </c>
      <c r="AK154">
        <v>232.61258763281401</v>
      </c>
      <c r="AL154">
        <v>82.6405634544507</v>
      </c>
      <c r="AM154">
        <v>95.284562239371994</v>
      </c>
      <c r="AN154">
        <v>1.00000003860174</v>
      </c>
    </row>
    <row r="155" spans="1:40" x14ac:dyDescent="0.3">
      <c r="A155" t="str">
        <f>"20200111150227305"</f>
        <v>20200111150227305</v>
      </c>
      <c r="B155" t="str">
        <f>"1578726147295560"</f>
        <v>1578726147295560</v>
      </c>
      <c r="C155" t="s">
        <v>40</v>
      </c>
      <c r="D155">
        <v>5.7442359999999999</v>
      </c>
      <c r="E155">
        <v>0.57640630000000004</v>
      </c>
      <c r="F155" t="s">
        <v>48</v>
      </c>
      <c r="G155">
        <v>-168.42150000000001</v>
      </c>
      <c r="H155">
        <v>64.557850000000002</v>
      </c>
      <c r="I155">
        <v>339.803</v>
      </c>
      <c r="J155">
        <v>-405.51010000000002</v>
      </c>
      <c r="K155">
        <v>1.0538379999999901</v>
      </c>
      <c r="L155">
        <v>367.40120000000002</v>
      </c>
      <c r="M155">
        <v>0.99992490000000001</v>
      </c>
      <c r="N155">
        <v>0</v>
      </c>
      <c r="O155">
        <v>-1.936052E-3</v>
      </c>
      <c r="P155">
        <v>0.98892769999999997</v>
      </c>
      <c r="Q155">
        <v>0.1181644</v>
      </c>
      <c r="R155">
        <v>8.9773069999999996E-2</v>
      </c>
      <c r="S155">
        <v>2.9706730000000001</v>
      </c>
      <c r="T155">
        <v>0.79418239999999996</v>
      </c>
      <c r="U155">
        <v>-0.34515380000000001</v>
      </c>
      <c r="V155">
        <v>-9.1697409999999993E-2</v>
      </c>
      <c r="W155">
        <v>0.1301107</v>
      </c>
      <c r="X155">
        <v>0.98725010000000002</v>
      </c>
      <c r="Y155">
        <v>0.10975070000000001</v>
      </c>
      <c r="Z155">
        <v>1.3864309999999999E-2</v>
      </c>
      <c r="AA155">
        <v>0.99386249999999998</v>
      </c>
      <c r="AB155">
        <v>40</v>
      </c>
      <c r="AC155">
        <v>237.08860000000001</v>
      </c>
      <c r="AD155">
        <v>63.504012000000003</v>
      </c>
      <c r="AE155">
        <v>-27.598199999999899</v>
      </c>
      <c r="AF155">
        <v>25.345070469019401</v>
      </c>
      <c r="AG155">
        <v>63.504012000000003</v>
      </c>
      <c r="AH155">
        <v>221.46536189386799</v>
      </c>
      <c r="AI155">
        <v>74.098534196923694</v>
      </c>
      <c r="AJ155">
        <v>83.471325754656107</v>
      </c>
      <c r="AK155">
        <v>231.78015155737</v>
      </c>
      <c r="AL155">
        <v>82.524010593824897</v>
      </c>
      <c r="AM155">
        <v>95.306501280424499</v>
      </c>
      <c r="AN155">
        <v>0.99999998460260398</v>
      </c>
    </row>
    <row r="156" spans="1:40" x14ac:dyDescent="0.3">
      <c r="A156" t="str">
        <f>"20200111150227318"</f>
        <v>20200111150227318</v>
      </c>
      <c r="B156" t="str">
        <f>"1578726147305320"</f>
        <v>1578726147305320</v>
      </c>
      <c r="C156" t="s">
        <v>40</v>
      </c>
      <c r="D156">
        <v>5.0202119999999999</v>
      </c>
      <c r="E156">
        <v>0.57640630000000004</v>
      </c>
      <c r="F156" t="s">
        <v>48</v>
      </c>
      <c r="G156">
        <v>-169.00319999999999</v>
      </c>
      <c r="H156">
        <v>63.97766</v>
      </c>
      <c r="I156">
        <v>340.83010000000002</v>
      </c>
      <c r="J156">
        <v>-405.29239999999999</v>
      </c>
      <c r="K156">
        <v>1.053863</v>
      </c>
      <c r="L156">
        <v>367.40089999999998</v>
      </c>
      <c r="M156">
        <v>0.99992530000000002</v>
      </c>
      <c r="N156">
        <v>0</v>
      </c>
      <c r="O156">
        <v>-1.8605970000000001E-3</v>
      </c>
      <c r="P156">
        <v>0.98880590000000002</v>
      </c>
      <c r="Q156">
        <v>0.1191189</v>
      </c>
      <c r="R156">
        <v>8.9855870000000004E-2</v>
      </c>
      <c r="S156">
        <v>2.9695130000000001</v>
      </c>
      <c r="T156">
        <v>0.79005360000000002</v>
      </c>
      <c r="U156">
        <v>-0.33361819999999998</v>
      </c>
      <c r="V156">
        <v>-9.1712730000000006E-2</v>
      </c>
      <c r="W156">
        <v>0.13105519999999901</v>
      </c>
      <c r="X156">
        <v>0.98712370000000005</v>
      </c>
      <c r="Y156">
        <v>0.10621070000000001</v>
      </c>
      <c r="Z156">
        <v>1.336088E-2</v>
      </c>
      <c r="AA156">
        <v>0.99425390000000002</v>
      </c>
      <c r="AB156">
        <v>40</v>
      </c>
      <c r="AC156">
        <v>236.28919999999999</v>
      </c>
      <c r="AD156">
        <v>62.923797</v>
      </c>
      <c r="AE156">
        <v>-26.570799999999899</v>
      </c>
      <c r="AF156">
        <v>24.4208855099447</v>
      </c>
      <c r="AG156">
        <v>62.923797</v>
      </c>
      <c r="AH156">
        <v>220.87063595838501</v>
      </c>
      <c r="AI156">
        <v>74.1897742882269</v>
      </c>
      <c r="AJ156">
        <v>83.690635439494898</v>
      </c>
      <c r="AK156">
        <v>230.953722002154</v>
      </c>
      <c r="AL156">
        <v>82.469427049661107</v>
      </c>
      <c r="AM156">
        <v>95.308058504120396</v>
      </c>
      <c r="AN156">
        <v>0.99999994469638998</v>
      </c>
    </row>
    <row r="157" spans="1:40" x14ac:dyDescent="0.3">
      <c r="A157" t="str">
        <f>"20200111150227330"</f>
        <v>20200111150227330</v>
      </c>
      <c r="B157" t="str">
        <f>"1578726147325816"</f>
        <v>1578726147325816</v>
      </c>
      <c r="C157" t="s">
        <v>40</v>
      </c>
      <c r="D157">
        <v>5.6331319999999998</v>
      </c>
      <c r="E157">
        <v>0.54678090000000001</v>
      </c>
      <c r="F157" t="s">
        <v>48</v>
      </c>
      <c r="G157">
        <v>-169.0033</v>
      </c>
      <c r="H157">
        <v>64.151820000000001</v>
      </c>
      <c r="I157">
        <v>340.86660000000001</v>
      </c>
      <c r="J157">
        <v>-405.06229999999999</v>
      </c>
      <c r="K157">
        <v>1.0538970000000001</v>
      </c>
      <c r="L157">
        <v>367.40050000000002</v>
      </c>
      <c r="M157">
        <v>0.99992530000000002</v>
      </c>
      <c r="N157">
        <v>0</v>
      </c>
      <c r="O157">
        <v>-1.7706779999999999E-3</v>
      </c>
      <c r="P157">
        <v>0.98869110000000004</v>
      </c>
      <c r="Q157">
        <v>0.1200165</v>
      </c>
      <c r="R157">
        <v>8.9920310000000003E-2</v>
      </c>
      <c r="S157">
        <v>2.9687190000000001</v>
      </c>
      <c r="T157">
        <v>0.79275799999999996</v>
      </c>
      <c r="U157">
        <v>-0.333374</v>
      </c>
      <c r="V157">
        <v>-9.1695719999999994E-2</v>
      </c>
      <c r="W157">
        <v>0.13194249999999999</v>
      </c>
      <c r="X157">
        <v>0.98700710000000003</v>
      </c>
      <c r="Y157">
        <v>0.1062193</v>
      </c>
      <c r="Z157">
        <v>1.3433240000000001E-2</v>
      </c>
      <c r="AA157">
        <v>0.99425200000000002</v>
      </c>
      <c r="AB157">
        <v>40</v>
      </c>
      <c r="AC157">
        <v>236.059</v>
      </c>
      <c r="AD157">
        <v>63.097923000000002</v>
      </c>
      <c r="AE157">
        <v>-26.533899999999999</v>
      </c>
      <c r="AF157">
        <v>24.394645643568701</v>
      </c>
      <c r="AG157">
        <v>63.097923000000002</v>
      </c>
      <c r="AH157">
        <v>220.544776877245</v>
      </c>
      <c r="AI157">
        <v>74.126050518555999</v>
      </c>
      <c r="AJ157">
        <v>83.688123004569604</v>
      </c>
      <c r="AK157">
        <v>230.68689869783</v>
      </c>
      <c r="AL157">
        <v>82.418143374739898</v>
      </c>
      <c r="AM157">
        <v>95.307703008988</v>
      </c>
      <c r="AN157">
        <v>0.99999997191148804</v>
      </c>
    </row>
    <row r="158" spans="1:40" x14ac:dyDescent="0.3">
      <c r="A158" t="str">
        <f>"20200111150227347"</f>
        <v>20200111150227347</v>
      </c>
      <c r="B158" t="str">
        <f>"1578726147335575"</f>
        <v>1578726147335575</v>
      </c>
      <c r="C158" t="s">
        <v>40</v>
      </c>
      <c r="D158">
        <v>5.8456469999999996</v>
      </c>
      <c r="E158">
        <v>0.55714699999999995</v>
      </c>
      <c r="F158" t="s">
        <v>44</v>
      </c>
      <c r="G158">
        <v>0</v>
      </c>
      <c r="H158">
        <v>0</v>
      </c>
      <c r="I158">
        <v>0</v>
      </c>
      <c r="J158">
        <v>-404.75470000000001</v>
      </c>
      <c r="K158">
        <v>1.053958</v>
      </c>
      <c r="L158">
        <v>367.4</v>
      </c>
      <c r="M158">
        <v>0.99992570000000003</v>
      </c>
      <c r="N158">
        <v>0</v>
      </c>
      <c r="O158">
        <v>-1.617028E-3</v>
      </c>
      <c r="P158">
        <v>0.98855079999999995</v>
      </c>
      <c r="Q158">
        <v>0.1209263</v>
      </c>
      <c r="R158">
        <v>9.0246489999999999E-2</v>
      </c>
      <c r="S158">
        <v>2.8990779999999998</v>
      </c>
      <c r="T158">
        <v>1.184698</v>
      </c>
      <c r="U158">
        <v>-9.4451900000000005E-2</v>
      </c>
      <c r="V158">
        <v>-9.1882790000000006E-2</v>
      </c>
      <c r="W158">
        <v>0.13283719999999999</v>
      </c>
      <c r="X158">
        <v>0.98686969999999996</v>
      </c>
      <c r="Y158">
        <v>2.8769030000000001E-2</v>
      </c>
      <c r="Z158">
        <v>5.0148329999999998E-3</v>
      </c>
      <c r="AA158">
        <v>0.9995735</v>
      </c>
      <c r="AB158">
        <v>40</v>
      </c>
      <c r="AC158">
        <v>2.8990779999999998</v>
      </c>
      <c r="AD158">
        <v>1.184698</v>
      </c>
      <c r="AE158">
        <v>-9.4451900000000005E-2</v>
      </c>
      <c r="AF158">
        <v>7.6930407752268795E-2</v>
      </c>
      <c r="AG158">
        <v>1.184698</v>
      </c>
      <c r="AH158">
        <v>2.48473602587769</v>
      </c>
      <c r="AI158">
        <v>64.5193088812117</v>
      </c>
      <c r="AJ158">
        <v>88.226620447797202</v>
      </c>
      <c r="AK158">
        <v>2.7537866215695401</v>
      </c>
      <c r="AL158">
        <v>82.366425717655005</v>
      </c>
      <c r="AM158">
        <v>95.319205546182999</v>
      </c>
      <c r="AN158">
        <v>0.99999998679005597</v>
      </c>
    </row>
    <row r="159" spans="1:40" x14ac:dyDescent="0.3">
      <c r="A159" t="str">
        <f>"20200111150227360"</f>
        <v>20200111150227360</v>
      </c>
      <c r="B159" t="str">
        <f>"1578726147356071"</f>
        <v>1578726147356071</v>
      </c>
      <c r="C159" t="s">
        <v>40</v>
      </c>
      <c r="D159">
        <v>5.7504229999999996</v>
      </c>
      <c r="E159">
        <v>0.55793510000000002</v>
      </c>
      <c r="F159" t="s">
        <v>45</v>
      </c>
      <c r="G159">
        <v>-158.78319999999999</v>
      </c>
      <c r="H159">
        <v>55.880989999999997</v>
      </c>
      <c r="I159">
        <v>352.47430000000003</v>
      </c>
      <c r="J159">
        <v>-404.50630000000001</v>
      </c>
      <c r="K159">
        <v>1.054</v>
      </c>
      <c r="L159">
        <v>367.3997</v>
      </c>
      <c r="M159">
        <v>0.99992599999999998</v>
      </c>
      <c r="N159">
        <v>0</v>
      </c>
      <c r="O159">
        <v>-1.4653909999999999E-3</v>
      </c>
      <c r="P159">
        <v>0.9885081</v>
      </c>
      <c r="Q159">
        <v>0.1212777</v>
      </c>
      <c r="R159">
        <v>9.0242320000000001E-2</v>
      </c>
      <c r="S159">
        <v>2.9702449999999998</v>
      </c>
      <c r="T159">
        <v>0.66206809999999905</v>
      </c>
      <c r="U159">
        <v>-0.1802368</v>
      </c>
      <c r="V159">
        <v>-9.1739269999999998E-2</v>
      </c>
      <c r="W159">
        <v>0.13317799999999999</v>
      </c>
      <c r="X159">
        <v>0.98683710000000002</v>
      </c>
      <c r="Y159">
        <v>5.7730730000000001E-2</v>
      </c>
      <c r="Z159">
        <v>6.0280589999999997E-3</v>
      </c>
      <c r="AA159">
        <v>0.99831400000000003</v>
      </c>
      <c r="AB159">
        <v>40</v>
      </c>
      <c r="AC159">
        <v>245.72309999999999</v>
      </c>
      <c r="AD159">
        <v>54.826990000000002</v>
      </c>
      <c r="AE159">
        <v>-14.9253999999999</v>
      </c>
      <c r="AF159">
        <v>13.876955259442299</v>
      </c>
      <c r="AG159">
        <v>54.826990000000002</v>
      </c>
      <c r="AH159">
        <v>234.13137062006601</v>
      </c>
      <c r="AI159">
        <v>76.842704923360699</v>
      </c>
      <c r="AJ159">
        <v>86.608050036274193</v>
      </c>
      <c r="AK159">
        <v>240.86524744795301</v>
      </c>
      <c r="AL159">
        <v>82.346724121170695</v>
      </c>
      <c r="AM159">
        <v>95.311118990043695</v>
      </c>
      <c r="AN159">
        <v>0.99999996764026999</v>
      </c>
    </row>
    <row r="160" spans="1:40" x14ac:dyDescent="0.3">
      <c r="A160" t="str">
        <f>"20200111150227374"</f>
        <v>20200111150227374</v>
      </c>
      <c r="B160" t="str">
        <f>"1578726147365832"</f>
        <v>1578726147365832</v>
      </c>
      <c r="C160" t="s">
        <v>40</v>
      </c>
      <c r="D160">
        <v>5.9280390000000001</v>
      </c>
      <c r="E160">
        <v>0.55805209999999905</v>
      </c>
      <c r="F160" t="s">
        <v>45</v>
      </c>
      <c r="G160">
        <v>-158.78319999999999</v>
      </c>
      <c r="H160">
        <v>55.6633</v>
      </c>
      <c r="I160">
        <v>351.95479999999998</v>
      </c>
      <c r="J160">
        <v>-404.26089999999999</v>
      </c>
      <c r="K160">
        <v>1.054044</v>
      </c>
      <c r="L160">
        <v>367.39949999999999</v>
      </c>
      <c r="M160">
        <v>0.99992639999999999</v>
      </c>
      <c r="N160">
        <v>0</v>
      </c>
      <c r="O160">
        <v>-1.2988559999999999E-3</v>
      </c>
      <c r="P160">
        <v>0.98848860000000005</v>
      </c>
      <c r="Q160">
        <v>0.12154139999999999</v>
      </c>
      <c r="R160">
        <v>9.0101929999999997E-2</v>
      </c>
      <c r="S160">
        <v>2.970917</v>
      </c>
      <c r="T160">
        <v>0.66025469999999997</v>
      </c>
      <c r="U160">
        <v>-0.18673709999999999</v>
      </c>
      <c r="V160">
        <v>-9.1445310000000002E-2</v>
      </c>
      <c r="W160">
        <v>0.1334312</v>
      </c>
      <c r="X160">
        <v>0.98683019999999999</v>
      </c>
      <c r="Y160">
        <v>6.0008029999999997E-2</v>
      </c>
      <c r="Z160">
        <v>6.2965240000000004E-3</v>
      </c>
      <c r="AA160">
        <v>0.99817809999999996</v>
      </c>
      <c r="AB160">
        <v>40</v>
      </c>
      <c r="AC160">
        <v>245.4777</v>
      </c>
      <c r="AD160">
        <v>54.609256000000002</v>
      </c>
      <c r="AE160">
        <v>-15.444699999999999</v>
      </c>
      <c r="AF160">
        <v>14.415241004319</v>
      </c>
      <c r="AG160">
        <v>54.609256000000002</v>
      </c>
      <c r="AH160">
        <v>233.96454401711301</v>
      </c>
      <c r="AI160">
        <v>76.885912853316697</v>
      </c>
      <c r="AJ160">
        <v>86.474296027761994</v>
      </c>
      <c r="AK160">
        <v>240.68522570199801</v>
      </c>
      <c r="AL160">
        <v>82.332086334764</v>
      </c>
      <c r="AM160">
        <v>95.294234244137101</v>
      </c>
      <c r="AN160">
        <v>0.99999998674323798</v>
      </c>
    </row>
    <row r="161" spans="1:40" x14ac:dyDescent="0.3">
      <c r="A161" t="str">
        <f>"20200111150227394"</f>
        <v>20200111150227394</v>
      </c>
      <c r="B161" t="str">
        <f>"1578726147385357"</f>
        <v>1578726147385357</v>
      </c>
      <c r="C161" t="s">
        <v>40</v>
      </c>
      <c r="D161">
        <v>5.5615560000000004</v>
      </c>
      <c r="E161">
        <v>0.55805209999999905</v>
      </c>
      <c r="F161" t="s">
        <v>45</v>
      </c>
      <c r="G161">
        <v>-158.78319999999999</v>
      </c>
      <c r="H161">
        <v>55.145249999999997</v>
      </c>
      <c r="I161">
        <v>351.85250000000002</v>
      </c>
      <c r="J161">
        <v>-403.91120000000001</v>
      </c>
      <c r="K161">
        <v>1.0541100000000001</v>
      </c>
      <c r="L161">
        <v>367.39929999999998</v>
      </c>
      <c r="M161">
        <v>0.9999266</v>
      </c>
      <c r="N161">
        <v>0</v>
      </c>
      <c r="O161">
        <v>-1.024959E-3</v>
      </c>
      <c r="P161">
        <v>0.98856820000000001</v>
      </c>
      <c r="Q161">
        <v>0.1209392</v>
      </c>
      <c r="R161">
        <v>9.0034719999999999E-2</v>
      </c>
      <c r="S161">
        <v>2.9715880000000001</v>
      </c>
      <c r="T161">
        <v>0.6547925</v>
      </c>
      <c r="U161">
        <v>-0.18820190000000001</v>
      </c>
      <c r="V161">
        <v>-9.112162E-2</v>
      </c>
      <c r="W161">
        <v>0.1328155</v>
      </c>
      <c r="X161">
        <v>0.98694320000000002</v>
      </c>
      <c r="Y161">
        <v>6.0756860000000003E-2</v>
      </c>
      <c r="Z161">
        <v>6.3852170000000003E-3</v>
      </c>
      <c r="AA161">
        <v>0.99813220000000002</v>
      </c>
      <c r="AB161">
        <v>40</v>
      </c>
      <c r="AC161">
        <v>245.12799999999999</v>
      </c>
      <c r="AD161">
        <v>54.091140000000003</v>
      </c>
      <c r="AE161">
        <v>-15.5467999999999</v>
      </c>
      <c r="AF161">
        <v>14.5880380850755</v>
      </c>
      <c r="AG161">
        <v>54.091140000000003</v>
      </c>
      <c r="AH161">
        <v>233.804765865874</v>
      </c>
      <c r="AI161">
        <v>76.998121535772597</v>
      </c>
      <c r="AJ161">
        <v>86.4297096435035</v>
      </c>
      <c r="AK161">
        <v>240.42323270280599</v>
      </c>
      <c r="AL161">
        <v>82.367680201573606</v>
      </c>
      <c r="AM161">
        <v>95.274999488051506</v>
      </c>
      <c r="AN161">
        <v>0.99999999334895695</v>
      </c>
    </row>
    <row r="162" spans="1:40" x14ac:dyDescent="0.3">
      <c r="A162" t="str">
        <f>"20200111150227405"</f>
        <v>20200111150227405</v>
      </c>
      <c r="B162" t="str">
        <f>"1578726147396088"</f>
        <v>1578726147396088</v>
      </c>
      <c r="C162" t="s">
        <v>40</v>
      </c>
      <c r="D162">
        <v>5.6041749999999997</v>
      </c>
      <c r="E162">
        <v>0.55728109999999997</v>
      </c>
      <c r="F162" t="s">
        <v>45</v>
      </c>
      <c r="G162">
        <v>-158.78319999999999</v>
      </c>
      <c r="H162">
        <v>54.90014</v>
      </c>
      <c r="I162">
        <v>351.84390000000002</v>
      </c>
      <c r="J162">
        <v>-403.68740000000003</v>
      </c>
      <c r="K162">
        <v>1.05414599999999</v>
      </c>
      <c r="L162">
        <v>367.39929999999998</v>
      </c>
      <c r="M162">
        <v>0.99992689999999995</v>
      </c>
      <c r="N162">
        <v>0</v>
      </c>
      <c r="O162">
        <v>-8.3095439999999999E-4</v>
      </c>
      <c r="P162">
        <v>0.98857729999999999</v>
      </c>
      <c r="Q162">
        <v>0.12091300000000001</v>
      </c>
      <c r="R162">
        <v>8.9973070000000002E-2</v>
      </c>
      <c r="S162">
        <v>2.9720149999999999</v>
      </c>
      <c r="T162">
        <v>0.65284819999999999</v>
      </c>
      <c r="U162">
        <v>-0.18859860000000001</v>
      </c>
      <c r="V162">
        <v>-9.0877319999999998E-2</v>
      </c>
      <c r="W162">
        <v>0.13278139999999999</v>
      </c>
      <c r="X162">
        <v>0.98697029999999997</v>
      </c>
      <c r="Y162">
        <v>6.1070869999999999E-2</v>
      </c>
      <c r="Z162">
        <v>6.4419050000000004E-3</v>
      </c>
      <c r="AA162">
        <v>0.99811260000000002</v>
      </c>
      <c r="AB162">
        <v>40</v>
      </c>
      <c r="AC162">
        <v>244.9042</v>
      </c>
      <c r="AD162">
        <v>53.845993999999997</v>
      </c>
      <c r="AE162">
        <v>-15.555399999999899</v>
      </c>
      <c r="AF162">
        <v>14.6466871664568</v>
      </c>
      <c r="AG162">
        <v>53.845993999999997</v>
      </c>
      <c r="AH162">
        <v>233.66677743758299</v>
      </c>
      <c r="AI162">
        <v>77.047895774098194</v>
      </c>
      <c r="AJ162">
        <v>86.413281851072298</v>
      </c>
      <c r="AK162">
        <v>240.23754784143301</v>
      </c>
      <c r="AL162">
        <v>82.369651346542895</v>
      </c>
      <c r="AM162">
        <v>95.260792863437501</v>
      </c>
      <c r="AN162">
        <v>0.99999998027921599</v>
      </c>
    </row>
    <row r="163" spans="1:40" x14ac:dyDescent="0.3">
      <c r="A163" t="str">
        <f>"20200111150227417"</f>
        <v>20200111150227417</v>
      </c>
      <c r="B163" t="str">
        <f>"1578726147415608"</f>
        <v>1578726147415608</v>
      </c>
      <c r="C163" t="s">
        <v>40</v>
      </c>
      <c r="D163">
        <v>5.5950550000000003</v>
      </c>
      <c r="E163">
        <v>0.55758569999999996</v>
      </c>
      <c r="F163" t="s">
        <v>41</v>
      </c>
      <c r="G163">
        <v>-331.23719999999997</v>
      </c>
      <c r="H163" s="1">
        <v>-4.928403E-6</v>
      </c>
      <c r="I163">
        <v>362.9255</v>
      </c>
      <c r="J163">
        <v>-403.48059999999998</v>
      </c>
      <c r="K163">
        <v>1.0541739999999999</v>
      </c>
      <c r="L163">
        <v>367.39929999999998</v>
      </c>
      <c r="M163">
        <v>0.99992700000000001</v>
      </c>
      <c r="N163">
        <v>0</v>
      </c>
      <c r="O163">
        <v>-6.3617890000000003E-4</v>
      </c>
      <c r="P163">
        <v>0.98855179999999998</v>
      </c>
      <c r="Q163">
        <v>0.1208673</v>
      </c>
      <c r="R163">
        <v>9.0315270000000003E-2</v>
      </c>
      <c r="S163">
        <v>3.0572509999999999</v>
      </c>
      <c r="T163">
        <v>-4.448295E-2</v>
      </c>
      <c r="U163">
        <v>-0.1887817</v>
      </c>
      <c r="V163">
        <v>-9.1035169999999999E-2</v>
      </c>
      <c r="W163">
        <v>0.1327275</v>
      </c>
      <c r="X163">
        <v>0.98696300000000003</v>
      </c>
      <c r="Y163">
        <v>6.099007E-2</v>
      </c>
      <c r="Z163">
        <v>-4.3400900000000001E-4</v>
      </c>
      <c r="AA163">
        <v>0.99813819999999998</v>
      </c>
      <c r="AB163">
        <v>40</v>
      </c>
      <c r="AC163">
        <v>72.243399999999994</v>
      </c>
      <c r="AD163">
        <v>-1.0541789284030001</v>
      </c>
      <c r="AE163">
        <v>-4.4737999999999802</v>
      </c>
      <c r="AF163">
        <v>4.4268970135067898</v>
      </c>
      <c r="AG163">
        <v>-1.0541789284030001</v>
      </c>
      <c r="AH163">
        <v>72.230910511839198</v>
      </c>
      <c r="AI163">
        <v>90.834582029852399</v>
      </c>
      <c r="AJ163">
        <v>86.492836003044303</v>
      </c>
      <c r="AK163">
        <v>72.374119295163794</v>
      </c>
      <c r="AL163">
        <v>82.372767145300898</v>
      </c>
      <c r="AM163">
        <v>95.269917989407602</v>
      </c>
      <c r="AN163">
        <v>0.99999997740108904</v>
      </c>
    </row>
    <row r="164" spans="1:40" x14ac:dyDescent="0.3">
      <c r="A164" t="str">
        <f>"20200111150227437"</f>
        <v>20200111150227437</v>
      </c>
      <c r="B164" t="str">
        <f>"1578726147425367"</f>
        <v>1578726147425367</v>
      </c>
      <c r="C164" t="s">
        <v>40</v>
      </c>
      <c r="D164">
        <v>5.5355049999999997</v>
      </c>
      <c r="E164">
        <v>0.55758569999999996</v>
      </c>
      <c r="F164" t="s">
        <v>45</v>
      </c>
      <c r="G164">
        <v>-158.78319999999999</v>
      </c>
      <c r="H164">
        <v>53.397959999999998</v>
      </c>
      <c r="I164">
        <v>352.25459999999998</v>
      </c>
      <c r="J164">
        <v>-403.13080000000002</v>
      </c>
      <c r="K164">
        <v>1.0542290000000001</v>
      </c>
      <c r="L164">
        <v>367.39929999999998</v>
      </c>
      <c r="M164">
        <v>0.99992720000000002</v>
      </c>
      <c r="N164">
        <v>0</v>
      </c>
      <c r="O164">
        <v>-2.8803340000000001E-4</v>
      </c>
      <c r="P164">
        <v>0.98825989999999997</v>
      </c>
      <c r="Q164">
        <v>0.122567</v>
      </c>
      <c r="R164">
        <v>9.1213100000000005E-2</v>
      </c>
      <c r="S164">
        <v>2.9737849999999999</v>
      </c>
      <c r="T164">
        <v>0.63612999999999997</v>
      </c>
      <c r="U164">
        <v>-0.18405150000000001</v>
      </c>
      <c r="V164">
        <v>-9.160198E-2</v>
      </c>
      <c r="W164">
        <v>0.1344118</v>
      </c>
      <c r="X164">
        <v>0.98668259999999997</v>
      </c>
      <c r="Y164">
        <v>6.0136769999999999E-2</v>
      </c>
      <c r="Z164">
        <v>6.2933099999999999E-3</v>
      </c>
      <c r="AA164">
        <v>0.99817029999999995</v>
      </c>
      <c r="AB164">
        <v>40</v>
      </c>
      <c r="AC164">
        <v>244.3476</v>
      </c>
      <c r="AD164">
        <v>52.343730999999998</v>
      </c>
      <c r="AE164">
        <v>-15.1447</v>
      </c>
      <c r="AF164">
        <v>14.4153332440971</v>
      </c>
      <c r="AG164">
        <v>52.343730999999998</v>
      </c>
      <c r="AH164">
        <v>233.66999165966899</v>
      </c>
      <c r="AI164">
        <v>77.396969103798995</v>
      </c>
      <c r="AJ164">
        <v>86.469840407319197</v>
      </c>
      <c r="AK164">
        <v>239.89442054739101</v>
      </c>
      <c r="AL164">
        <v>82.275391512402607</v>
      </c>
      <c r="AM164">
        <v>95.3040417954292</v>
      </c>
      <c r="AN164">
        <v>1.00000000393096</v>
      </c>
    </row>
    <row r="165" spans="1:40" x14ac:dyDescent="0.3">
      <c r="A165" t="str">
        <f>"20200111150227451"</f>
        <v>20200111150227451</v>
      </c>
      <c r="B165" t="str">
        <f>"1578726147445863"</f>
        <v>1578726147445863</v>
      </c>
      <c r="C165" t="s">
        <v>40</v>
      </c>
      <c r="D165">
        <v>5.6874140000000004</v>
      </c>
      <c r="E165">
        <v>0.55336019999999997</v>
      </c>
      <c r="F165" t="s">
        <v>45</v>
      </c>
      <c r="G165">
        <v>-158.78319999999999</v>
      </c>
      <c r="H165">
        <v>53.738619999999997</v>
      </c>
      <c r="I165">
        <v>352.50009999999997</v>
      </c>
      <c r="J165">
        <v>-402.8725</v>
      </c>
      <c r="K165">
        <v>1.0542640000000001</v>
      </c>
      <c r="L165">
        <v>367.39940000000001</v>
      </c>
      <c r="M165">
        <v>0.99992729999999996</v>
      </c>
      <c r="N165">
        <v>0</v>
      </c>
      <c r="O165" s="1">
        <v>-1.761951E-5</v>
      </c>
      <c r="P165">
        <v>0.98810109999999995</v>
      </c>
      <c r="Q165">
        <v>0.123668899999999</v>
      </c>
      <c r="R165">
        <v>9.1445940000000003E-2</v>
      </c>
      <c r="S165">
        <v>2.9729000000000001</v>
      </c>
      <c r="T165">
        <v>0.64099510000000004</v>
      </c>
      <c r="U165">
        <v>-0.1812744</v>
      </c>
      <c r="V165">
        <v>-9.1576939999999996E-2</v>
      </c>
      <c r="W165">
        <v>0.13550409999999999</v>
      </c>
      <c r="X165">
        <v>0.98653550000000001</v>
      </c>
      <c r="Y165">
        <v>5.9483439999999999E-2</v>
      </c>
      <c r="Z165">
        <v>6.3304099999999999E-3</v>
      </c>
      <c r="AA165">
        <v>0.99820920000000002</v>
      </c>
      <c r="AB165">
        <v>41</v>
      </c>
      <c r="AC165">
        <v>244.08930000000001</v>
      </c>
      <c r="AD165">
        <v>52.684356000000001</v>
      </c>
      <c r="AE165">
        <v>-14.8993</v>
      </c>
      <c r="AF165">
        <v>14.2343243907782</v>
      </c>
      <c r="AG165">
        <v>52.684356000000001</v>
      </c>
      <c r="AH165">
        <v>233.26285717905901</v>
      </c>
      <c r="AI165">
        <v>77.295679856854804</v>
      </c>
      <c r="AJ165">
        <v>86.507988238776406</v>
      </c>
      <c r="AK165">
        <v>239.56172043407599</v>
      </c>
      <c r="AL165">
        <v>82.212229409853407</v>
      </c>
      <c r="AM165">
        <v>95.303386317195702</v>
      </c>
      <c r="AN165">
        <v>0.99999999490841096</v>
      </c>
    </row>
    <row r="166" spans="1:40" x14ac:dyDescent="0.3">
      <c r="A166" t="str">
        <f>"20200111150227465"</f>
        <v>20200111150227465</v>
      </c>
      <c r="B166" t="str">
        <f>"1578726147455624"</f>
        <v>1578726147455624</v>
      </c>
      <c r="C166" t="s">
        <v>40</v>
      </c>
      <c r="D166">
        <v>5.7380950000000004</v>
      </c>
      <c r="E166">
        <v>0.55368439999999997</v>
      </c>
      <c r="F166" t="s">
        <v>45</v>
      </c>
      <c r="G166">
        <v>-158.19499999999999</v>
      </c>
      <c r="H166">
        <v>50.759450000000001</v>
      </c>
      <c r="I166">
        <v>355.25580000000002</v>
      </c>
      <c r="J166">
        <v>-402.61869999999999</v>
      </c>
      <c r="K166">
        <v>1.054292</v>
      </c>
      <c r="L166">
        <v>367.3997</v>
      </c>
      <c r="M166">
        <v>0.99992729999999996</v>
      </c>
      <c r="N166">
        <v>0</v>
      </c>
      <c r="O166">
        <v>2.5959250000000001E-4</v>
      </c>
      <c r="P166">
        <v>0.98790040000000001</v>
      </c>
      <c r="Q166">
        <v>0.1247992</v>
      </c>
      <c r="R166">
        <v>9.2077679999999995E-2</v>
      </c>
      <c r="S166">
        <v>2.9742130000000002</v>
      </c>
      <c r="T166">
        <v>0.60419929999999999</v>
      </c>
      <c r="U166">
        <v>-0.14761350000000001</v>
      </c>
      <c r="V166">
        <v>-9.1942739999999995E-2</v>
      </c>
      <c r="W166">
        <v>0.1366251</v>
      </c>
      <c r="X166">
        <v>0.98634679999999997</v>
      </c>
      <c r="Y166">
        <v>4.882918E-2</v>
      </c>
      <c r="Z166">
        <v>4.95883E-3</v>
      </c>
      <c r="AA166">
        <v>0.99879490000000004</v>
      </c>
      <c r="AB166">
        <v>41</v>
      </c>
      <c r="AC166">
        <v>244.4237</v>
      </c>
      <c r="AD166">
        <v>49.705157999999997</v>
      </c>
      <c r="AE166">
        <v>-12.143899999999901</v>
      </c>
      <c r="AF166">
        <v>11.7237269600717</v>
      </c>
      <c r="AG166">
        <v>49.705157999999997</v>
      </c>
      <c r="AH166">
        <v>234.73714981994701</v>
      </c>
      <c r="AI166">
        <v>78.058779273284898</v>
      </c>
      <c r="AJ166">
        <v>87.140791753908502</v>
      </c>
      <c r="AK166">
        <v>240.228179053231</v>
      </c>
      <c r="AL166">
        <v>82.147397528297901</v>
      </c>
      <c r="AM166">
        <v>95.325461720930505</v>
      </c>
      <c r="AN166">
        <v>0.99999994762947697</v>
      </c>
    </row>
    <row r="167" spans="1:40" x14ac:dyDescent="0.3">
      <c r="A167" t="str">
        <f>"20200111150227481"</f>
        <v>20200111150227481</v>
      </c>
      <c r="B167" t="str">
        <f>"1578726147476120"</f>
        <v>1578726147476120</v>
      </c>
      <c r="C167" t="s">
        <v>40</v>
      </c>
      <c r="D167">
        <v>5.7607939999999997</v>
      </c>
      <c r="E167">
        <v>0.55431869999999905</v>
      </c>
      <c r="F167" t="s">
        <v>45</v>
      </c>
      <c r="G167">
        <v>-158.19499999999999</v>
      </c>
      <c r="H167">
        <v>52.13503</v>
      </c>
      <c r="I167">
        <v>355.17989999999998</v>
      </c>
      <c r="J167">
        <v>-402.32220000000001</v>
      </c>
      <c r="K167">
        <v>1.054327</v>
      </c>
      <c r="L167">
        <v>367.4</v>
      </c>
      <c r="M167">
        <v>0.99992709999999996</v>
      </c>
      <c r="N167">
        <v>0</v>
      </c>
      <c r="O167">
        <v>5.9276709999999896E-4</v>
      </c>
      <c r="P167">
        <v>0.98765720000000001</v>
      </c>
      <c r="Q167">
        <v>0.12573879999999901</v>
      </c>
      <c r="R167">
        <v>9.3397359999999999E-2</v>
      </c>
      <c r="S167">
        <v>2.972137</v>
      </c>
      <c r="T167">
        <v>0.62113109999999905</v>
      </c>
      <c r="U167">
        <v>-0.1485901</v>
      </c>
      <c r="V167">
        <v>-9.2941830000000003E-2</v>
      </c>
      <c r="W167">
        <v>0.13755419999999999</v>
      </c>
      <c r="X167">
        <v>0.986124</v>
      </c>
      <c r="Y167">
        <v>4.9445679999999999E-2</v>
      </c>
      <c r="Z167">
        <v>5.2308820000000001E-3</v>
      </c>
      <c r="AA167">
        <v>0.99876310000000001</v>
      </c>
      <c r="AB167">
        <v>41</v>
      </c>
      <c r="AC167">
        <v>244.12719999999999</v>
      </c>
      <c r="AD167">
        <v>51.080703</v>
      </c>
      <c r="AE167">
        <v>-12.2201</v>
      </c>
      <c r="AF167">
        <v>11.847428204891701</v>
      </c>
      <c r="AG167">
        <v>51.080703</v>
      </c>
      <c r="AH167">
        <v>233.905013347307</v>
      </c>
      <c r="AI167">
        <v>77.696313622302696</v>
      </c>
      <c r="AJ167">
        <v>87.100412570675303</v>
      </c>
      <c r="AK167">
        <v>239.710565146904</v>
      </c>
      <c r="AL167">
        <v>82.0936565871841</v>
      </c>
      <c r="AM167">
        <v>95.384201456600806</v>
      </c>
      <c r="AN167">
        <v>0.99999994253869195</v>
      </c>
    </row>
    <row r="168" spans="1:40" x14ac:dyDescent="0.3">
      <c r="A168" t="str">
        <f>"20200111150227493"</f>
        <v>20200111150227493</v>
      </c>
      <c r="B168" t="str">
        <f>"1578726147485880"</f>
        <v>1578726147485880</v>
      </c>
      <c r="C168" t="s">
        <v>40</v>
      </c>
      <c r="D168">
        <v>7.1876139999999999</v>
      </c>
      <c r="E168">
        <v>0.55431869999999905</v>
      </c>
      <c r="F168" t="s">
        <v>45</v>
      </c>
      <c r="G168">
        <v>-158.19499999999999</v>
      </c>
      <c r="H168">
        <v>54.712150000000001</v>
      </c>
      <c r="I168">
        <v>355.16770000000002</v>
      </c>
      <c r="J168">
        <v>-402.09930000000003</v>
      </c>
      <c r="K168">
        <v>1.054343</v>
      </c>
      <c r="L168">
        <v>367.40030000000002</v>
      </c>
      <c r="M168">
        <v>0.99992689999999995</v>
      </c>
      <c r="N168">
        <v>0</v>
      </c>
      <c r="O168">
        <v>8.4710530000000001E-4</v>
      </c>
      <c r="P168">
        <v>0.98758310000000005</v>
      </c>
      <c r="Q168">
        <v>0.12595599999999901</v>
      </c>
      <c r="R168">
        <v>9.3887020000000002E-2</v>
      </c>
      <c r="S168">
        <v>2.9685359999999998</v>
      </c>
      <c r="T168">
        <v>0.65246870000000001</v>
      </c>
      <c r="U168">
        <v>-0.14874270000000001</v>
      </c>
      <c r="V168">
        <v>-9.3184520000000007E-2</v>
      </c>
      <c r="W168">
        <v>0.13776579999999999</v>
      </c>
      <c r="X168">
        <v>0.98607160000000005</v>
      </c>
      <c r="Y168">
        <v>4.968645E-2</v>
      </c>
      <c r="Z168">
        <v>5.5766409999999898E-3</v>
      </c>
      <c r="AA168">
        <v>0.99874929999999995</v>
      </c>
      <c r="AB168">
        <v>41</v>
      </c>
      <c r="AC168">
        <v>243.90430000000001</v>
      </c>
      <c r="AD168">
        <v>53.657806999999998</v>
      </c>
      <c r="AE168">
        <v>-12.2325999999999</v>
      </c>
      <c r="AF168">
        <v>11.866356932469699</v>
      </c>
      <c r="AG168">
        <v>53.657806999999998</v>
      </c>
      <c r="AH168">
        <v>232.661751380971</v>
      </c>
      <c r="AI168">
        <v>77.029472640255193</v>
      </c>
      <c r="AJ168">
        <v>87.080295502312495</v>
      </c>
      <c r="AK168">
        <v>239.06371793845801</v>
      </c>
      <c r="AL168">
        <v>82.081416607403895</v>
      </c>
      <c r="AM168">
        <v>95.398462921157801</v>
      </c>
      <c r="AN168">
        <v>0.99999998537191503</v>
      </c>
    </row>
    <row r="169" spans="1:40" x14ac:dyDescent="0.3">
      <c r="A169" t="str">
        <f>"20200111150227505"</f>
        <v>20200111150227505</v>
      </c>
      <c r="B169" t="str">
        <f>"1578726147495639"</f>
        <v>1578726147495639</v>
      </c>
      <c r="C169" t="s">
        <v>40</v>
      </c>
      <c r="D169">
        <v>8.8923399999999901</v>
      </c>
      <c r="E169">
        <v>0.59249280000000004</v>
      </c>
      <c r="F169" t="s">
        <v>45</v>
      </c>
      <c r="G169">
        <v>-158.19499999999999</v>
      </c>
      <c r="H169">
        <v>54.712600000000002</v>
      </c>
      <c r="I169">
        <v>355.27910000000003</v>
      </c>
      <c r="J169">
        <v>-401.88670000000002</v>
      </c>
      <c r="K169">
        <v>1.0543549999999999</v>
      </c>
      <c r="L169">
        <v>367.40069999999997</v>
      </c>
      <c r="M169">
        <v>0.99992669999999995</v>
      </c>
      <c r="N169">
        <v>0</v>
      </c>
      <c r="O169">
        <v>1.092591E-3</v>
      </c>
      <c r="P169">
        <v>0.98751630000000001</v>
      </c>
      <c r="Q169">
        <v>0.12635759999999999</v>
      </c>
      <c r="R169">
        <v>9.4049129999999995E-2</v>
      </c>
      <c r="S169">
        <v>2.968445</v>
      </c>
      <c r="T169">
        <v>0.65305040000000003</v>
      </c>
      <c r="U169">
        <v>-0.14752199999999999</v>
      </c>
      <c r="V169">
        <v>-9.3108789999999997E-2</v>
      </c>
      <c r="W169">
        <v>0.13816300000000001</v>
      </c>
      <c r="X169">
        <v>0.98602319999999999</v>
      </c>
      <c r="Y169">
        <v>4.9519380000000002E-2</v>
      </c>
      <c r="Z169">
        <v>5.6169109999999996E-3</v>
      </c>
      <c r="AA169">
        <v>0.99875740000000002</v>
      </c>
      <c r="AB169">
        <v>41</v>
      </c>
      <c r="AC169">
        <v>243.6917</v>
      </c>
      <c r="AD169">
        <v>53.658244999999901</v>
      </c>
      <c r="AE169">
        <v>-12.1215999999999</v>
      </c>
      <c r="AF169">
        <v>11.816385061617</v>
      </c>
      <c r="AG169">
        <v>53.658244999999901</v>
      </c>
      <c r="AH169">
        <v>232.43683724702399</v>
      </c>
      <c r="AI169">
        <v>77.017139006275897</v>
      </c>
      <c r="AJ169">
        <v>87.089761388663902</v>
      </c>
      <c r="AK169">
        <v>238.842453349073</v>
      </c>
      <c r="AL169">
        <v>82.058439158687307</v>
      </c>
      <c r="AM169">
        <v>95.394364753237397</v>
      </c>
      <c r="AN169">
        <v>1.00000000614125</v>
      </c>
    </row>
    <row r="170" spans="1:40" x14ac:dyDescent="0.3">
      <c r="A170" t="str">
        <f>"20200111150227517"</f>
        <v>20200111150227517</v>
      </c>
      <c r="B170" t="str">
        <f>"1578726147506376"</f>
        <v>1578726147506376</v>
      </c>
      <c r="C170" t="s">
        <v>40</v>
      </c>
      <c r="D170">
        <v>5.7473140000000003</v>
      </c>
      <c r="E170">
        <v>0.59249280000000004</v>
      </c>
      <c r="F170" t="s">
        <v>44</v>
      </c>
      <c r="G170">
        <v>0</v>
      </c>
      <c r="H170">
        <v>0</v>
      </c>
      <c r="I170">
        <v>0</v>
      </c>
      <c r="J170">
        <v>-401.68180000000001</v>
      </c>
      <c r="K170">
        <v>1.054365</v>
      </c>
      <c r="L170">
        <v>367.40109999999999</v>
      </c>
      <c r="M170">
        <v>0.9999266</v>
      </c>
      <c r="N170">
        <v>0</v>
      </c>
      <c r="O170">
        <v>1.330122E-3</v>
      </c>
      <c r="P170">
        <v>0.98749290000000001</v>
      </c>
      <c r="Q170">
        <v>0.12647149999999999</v>
      </c>
      <c r="R170">
        <v>9.4142890000000007E-2</v>
      </c>
      <c r="S170">
        <v>2.8659059999999998</v>
      </c>
      <c r="T170">
        <v>1.673961</v>
      </c>
      <c r="U170">
        <v>-0.4425964</v>
      </c>
      <c r="V170">
        <v>-9.297097E-2</v>
      </c>
      <c r="W170">
        <v>0.13827400000000001</v>
      </c>
      <c r="X170">
        <v>0.98602060000000002</v>
      </c>
      <c r="Y170">
        <v>0.1331427</v>
      </c>
      <c r="Z170">
        <v>3.6581889999999999E-2</v>
      </c>
      <c r="AA170">
        <v>0.99042149999999995</v>
      </c>
      <c r="AB170">
        <v>41</v>
      </c>
      <c r="AC170">
        <v>2.8659059999999998</v>
      </c>
      <c r="AD170">
        <v>1.673961</v>
      </c>
      <c r="AE170">
        <v>-0.4425964</v>
      </c>
      <c r="AF170">
        <v>0.33483481067047599</v>
      </c>
      <c r="AG170">
        <v>1.673961</v>
      </c>
      <c r="AH170">
        <v>2.1491695663845198</v>
      </c>
      <c r="AI170">
        <v>52.418006247774301</v>
      </c>
      <c r="AJ170">
        <v>81.144662370766</v>
      </c>
      <c r="AK170">
        <v>2.7446656636157298</v>
      </c>
      <c r="AL170">
        <v>82.0520173391741</v>
      </c>
      <c r="AM170">
        <v>95.386441110720199</v>
      </c>
      <c r="AN170">
        <v>0.99999996198154895</v>
      </c>
    </row>
    <row r="171" spans="1:40" x14ac:dyDescent="0.3">
      <c r="A171" t="str">
        <f>"20200111150227530"</f>
        <v>20200111150227530</v>
      </c>
      <c r="B171" t="str">
        <f>"1578726147525896"</f>
        <v>1578726147525896</v>
      </c>
      <c r="C171" t="s">
        <v>40</v>
      </c>
      <c r="D171">
        <v>4.9737710000000002</v>
      </c>
      <c r="E171">
        <v>0.59529140000000003</v>
      </c>
      <c r="F171" t="s">
        <v>44</v>
      </c>
      <c r="G171">
        <v>0</v>
      </c>
      <c r="H171">
        <v>0</v>
      </c>
      <c r="I171">
        <v>0</v>
      </c>
      <c r="J171">
        <v>-401.44929999999999</v>
      </c>
      <c r="K171">
        <v>1.054376</v>
      </c>
      <c r="L171">
        <v>367.40159999999997</v>
      </c>
      <c r="M171">
        <v>0.99992599999999998</v>
      </c>
      <c r="N171">
        <v>0</v>
      </c>
      <c r="O171">
        <v>1.599961E-3</v>
      </c>
      <c r="P171">
        <v>0.98744699999999996</v>
      </c>
      <c r="Q171">
        <v>0.12684569999999901</v>
      </c>
      <c r="R171">
        <v>9.4120700000000002E-2</v>
      </c>
      <c r="S171">
        <v>2.8658450000000002</v>
      </c>
      <c r="T171">
        <v>1.6740710000000001</v>
      </c>
      <c r="U171">
        <v>-0.44311519999999999</v>
      </c>
      <c r="V171">
        <v>-9.2686379999999999E-2</v>
      </c>
      <c r="W171">
        <v>0.13864470000000001</v>
      </c>
      <c r="X171">
        <v>0.98599539999999997</v>
      </c>
      <c r="Y171">
        <v>0.13348929999999901</v>
      </c>
      <c r="Z171">
        <v>3.6823010000000003E-2</v>
      </c>
      <c r="AA171">
        <v>0.99036590000000002</v>
      </c>
      <c r="AB171">
        <v>41</v>
      </c>
      <c r="AC171">
        <v>2.8658450000000002</v>
      </c>
      <c r="AD171">
        <v>1.6740710000000001</v>
      </c>
      <c r="AE171">
        <v>-0.44311519999999999</v>
      </c>
      <c r="AF171">
        <v>0.33579389736083898</v>
      </c>
      <c r="AG171">
        <v>1.6740710000000001</v>
      </c>
      <c r="AH171">
        <v>2.1489691804732001</v>
      </c>
      <c r="AI171">
        <v>52.415548198312898</v>
      </c>
      <c r="AJ171">
        <v>81.1188863503683</v>
      </c>
      <c r="AK171">
        <v>2.7446930234854001</v>
      </c>
      <c r="AL171">
        <v>82.030571718554597</v>
      </c>
      <c r="AM171">
        <v>95.370185856306804</v>
      </c>
      <c r="AN171">
        <v>1.0000000233483699</v>
      </c>
    </row>
    <row r="172" spans="1:40" x14ac:dyDescent="0.3">
      <c r="A172" t="str">
        <f>"20200111150227549"</f>
        <v>20200111150227549</v>
      </c>
      <c r="B172" t="str">
        <f>"1578726147545416"</f>
        <v>1578726147545416</v>
      </c>
      <c r="C172" t="s">
        <v>40</v>
      </c>
      <c r="D172">
        <v>7.1735379999999997</v>
      </c>
      <c r="E172">
        <v>0.61781140000000001</v>
      </c>
      <c r="F172" t="s">
        <v>44</v>
      </c>
      <c r="G172">
        <v>0</v>
      </c>
      <c r="H172">
        <v>0</v>
      </c>
      <c r="I172">
        <v>0</v>
      </c>
      <c r="J172">
        <v>-401.10680000000002</v>
      </c>
      <c r="K172">
        <v>1.0543940000000001</v>
      </c>
      <c r="L172">
        <v>367.40249999999997</v>
      </c>
      <c r="M172">
        <v>0.99992530000000002</v>
      </c>
      <c r="N172">
        <v>0</v>
      </c>
      <c r="O172">
        <v>1.9941830000000001E-3</v>
      </c>
      <c r="P172">
        <v>0.98727030000000005</v>
      </c>
      <c r="Q172">
        <v>0.1282528</v>
      </c>
      <c r="R172">
        <v>9.4067440000000002E-2</v>
      </c>
      <c r="S172">
        <v>2.8872680000000002</v>
      </c>
      <c r="T172">
        <v>1.521272</v>
      </c>
      <c r="U172">
        <v>-0.46737669999999998</v>
      </c>
      <c r="V172">
        <v>-9.2248579999999997E-2</v>
      </c>
      <c r="W172">
        <v>0.14004900000000001</v>
      </c>
      <c r="X172">
        <v>0.98583790000000004</v>
      </c>
      <c r="Y172">
        <v>0.14328579999999999</v>
      </c>
      <c r="Z172">
        <v>3.6229209999999998E-2</v>
      </c>
      <c r="AA172">
        <v>0.98901799999999995</v>
      </c>
      <c r="AB172">
        <v>41</v>
      </c>
      <c r="AC172">
        <v>2.8872680000000002</v>
      </c>
      <c r="AD172">
        <v>1.521272</v>
      </c>
      <c r="AE172">
        <v>-0.46737669999999998</v>
      </c>
      <c r="AF172">
        <v>0.37239270889097598</v>
      </c>
      <c r="AG172">
        <v>1.521272</v>
      </c>
      <c r="AH172">
        <v>2.2717633154602499</v>
      </c>
      <c r="AI172">
        <v>56.542306507834901</v>
      </c>
      <c r="AJ172">
        <v>80.690735413800297</v>
      </c>
      <c r="AK172">
        <v>2.7593211826625201</v>
      </c>
      <c r="AL172">
        <v>81.949317871097406</v>
      </c>
      <c r="AM172">
        <v>95.345816254677601</v>
      </c>
      <c r="AN172">
        <v>0.99999994399471104</v>
      </c>
    </row>
    <row r="173" spans="1:40" x14ac:dyDescent="0.3">
      <c r="A173" t="str">
        <f>"20200111150227561"</f>
        <v>20200111150227561</v>
      </c>
      <c r="B173" t="str">
        <f>"1578726147556152"</f>
        <v>1578726147556152</v>
      </c>
      <c r="C173" t="s">
        <v>40</v>
      </c>
      <c r="D173">
        <v>5.7648970000000004</v>
      </c>
      <c r="E173">
        <v>0.61781140000000001</v>
      </c>
      <c r="F173" t="s">
        <v>44</v>
      </c>
      <c r="G173">
        <v>0</v>
      </c>
      <c r="H173">
        <v>0</v>
      </c>
      <c r="I173">
        <v>0</v>
      </c>
      <c r="J173">
        <v>-400.88630000000001</v>
      </c>
      <c r="K173">
        <v>1.0545549999999999</v>
      </c>
      <c r="L173">
        <v>367.40309999999999</v>
      </c>
      <c r="M173">
        <v>0.99991730000000001</v>
      </c>
      <c r="N173">
        <v>0</v>
      </c>
      <c r="O173">
        <v>2.2043779999999999E-3</v>
      </c>
      <c r="P173">
        <v>0.98731539999999995</v>
      </c>
      <c r="Q173">
        <v>0.12792539999999999</v>
      </c>
      <c r="R173">
        <v>9.4039540000000005E-2</v>
      </c>
      <c r="S173">
        <v>2.8970950000000002</v>
      </c>
      <c r="T173">
        <v>1.5641039999999999</v>
      </c>
      <c r="U173">
        <v>-0.64663700000000002</v>
      </c>
      <c r="V173">
        <v>-9.2009720000000003E-2</v>
      </c>
      <c r="W173">
        <v>0.1403374</v>
      </c>
      <c r="X173">
        <v>0.98581929999999995</v>
      </c>
      <c r="Y173">
        <v>0.19436970000000001</v>
      </c>
      <c r="Z173">
        <v>4.9727090000000002E-2</v>
      </c>
      <c r="AA173">
        <v>0.97966710000000001</v>
      </c>
      <c r="AB173">
        <v>41</v>
      </c>
      <c r="AC173">
        <v>2.8970950000000002</v>
      </c>
      <c r="AD173">
        <v>1.5641039999999999</v>
      </c>
      <c r="AE173">
        <v>-0.64663700000000002</v>
      </c>
      <c r="AF173">
        <v>0.51111361529882804</v>
      </c>
      <c r="AG173">
        <v>1.5641039999999999</v>
      </c>
      <c r="AH173">
        <v>2.26640443167754</v>
      </c>
      <c r="AI173">
        <v>56.050822311776201</v>
      </c>
      <c r="AJ173">
        <v>77.291403723329097</v>
      </c>
      <c r="AK173">
        <v>2.80075837916936</v>
      </c>
      <c r="AL173">
        <v>81.932629675814994</v>
      </c>
      <c r="AM173">
        <v>95.332154195391894</v>
      </c>
      <c r="AN173">
        <v>1.00000003333286</v>
      </c>
    </row>
    <row r="174" spans="1:40" x14ac:dyDescent="0.3">
      <c r="A174" t="str">
        <f>"20200111150227582"</f>
        <v>20200111150227582</v>
      </c>
      <c r="B174" t="str">
        <f>"1578726147575671"</f>
        <v>1578726147575671</v>
      </c>
      <c r="C174" t="s">
        <v>40</v>
      </c>
      <c r="D174">
        <v>5.9236380000000004</v>
      </c>
      <c r="E174">
        <v>0.5557377</v>
      </c>
      <c r="F174" t="s">
        <v>44</v>
      </c>
      <c r="G174">
        <v>0</v>
      </c>
      <c r="H174">
        <v>0</v>
      </c>
      <c r="I174">
        <v>0</v>
      </c>
      <c r="J174">
        <v>-400.50979999999998</v>
      </c>
      <c r="K174">
        <v>1.05507</v>
      </c>
      <c r="L174">
        <v>367.40429999999998</v>
      </c>
      <c r="M174">
        <v>0.99989969999999995</v>
      </c>
      <c r="N174">
        <v>0</v>
      </c>
      <c r="O174">
        <v>2.5543940000000002E-3</v>
      </c>
      <c r="P174">
        <v>0.98747030000000002</v>
      </c>
      <c r="Q174">
        <v>0.12761889999999901</v>
      </c>
      <c r="R174">
        <v>9.2823269999999999E-2</v>
      </c>
      <c r="S174">
        <v>2.897675</v>
      </c>
      <c r="T174">
        <v>1.562894</v>
      </c>
      <c r="U174">
        <v>-0.64721680000000004</v>
      </c>
      <c r="V174">
        <v>-9.0439980000000003E-2</v>
      </c>
      <c r="W174">
        <v>0.14128299999999999</v>
      </c>
      <c r="X174">
        <v>0.98582950000000003</v>
      </c>
      <c r="Y174">
        <v>0.1948019</v>
      </c>
      <c r="Z174">
        <v>4.9966690000000001E-2</v>
      </c>
      <c r="AA174">
        <v>0.97956909999999997</v>
      </c>
      <c r="AB174">
        <v>41</v>
      </c>
      <c r="AC174">
        <v>2.897675</v>
      </c>
      <c r="AD174">
        <v>1.562894</v>
      </c>
      <c r="AE174">
        <v>-0.64721680000000004</v>
      </c>
      <c r="AF174">
        <v>0.51258613171077305</v>
      </c>
      <c r="AG174">
        <v>1.562894</v>
      </c>
      <c r="AH174">
        <v>2.2676697712735399</v>
      </c>
      <c r="AI174">
        <v>56.0891534044558</v>
      </c>
      <c r="AJ174">
        <v>77.262863373148406</v>
      </c>
      <c r="AK174">
        <v>2.8013761598910598</v>
      </c>
      <c r="AL174">
        <v>81.877905599506903</v>
      </c>
      <c r="AM174">
        <v>95.241641661414107</v>
      </c>
      <c r="AN174">
        <v>1.00000003957082</v>
      </c>
    </row>
    <row r="175" spans="1:40" x14ac:dyDescent="0.3">
      <c r="A175" t="str">
        <f>"20200111150227595"</f>
        <v>20200111150227595</v>
      </c>
      <c r="B175" t="str">
        <f>"1578726147586407"</f>
        <v>1578726147586407</v>
      </c>
      <c r="C175" t="s">
        <v>40</v>
      </c>
      <c r="D175">
        <v>6.7177160000000002</v>
      </c>
      <c r="E175">
        <v>0.5557377</v>
      </c>
      <c r="F175" t="s">
        <v>45</v>
      </c>
      <c r="G175">
        <v>-158.19499999999999</v>
      </c>
      <c r="H175">
        <v>66.651569999999893</v>
      </c>
      <c r="I175">
        <v>354.01909999999998</v>
      </c>
      <c r="J175">
        <v>-400.28530000000001</v>
      </c>
      <c r="K175">
        <v>1.0554840000000001</v>
      </c>
      <c r="L175">
        <v>367.40499999999997</v>
      </c>
      <c r="M175">
        <v>0.99989249999999996</v>
      </c>
      <c r="N175">
        <v>0</v>
      </c>
      <c r="O175">
        <v>2.7584010000000002E-3</v>
      </c>
      <c r="P175">
        <v>0.98757680000000003</v>
      </c>
      <c r="Q175">
        <v>0.12732260000000001</v>
      </c>
      <c r="R175">
        <v>9.2093530000000007E-2</v>
      </c>
      <c r="S175">
        <v>2.9501650000000001</v>
      </c>
      <c r="T175">
        <v>0.79863319999999904</v>
      </c>
      <c r="U175">
        <v>-0.16296389999999999</v>
      </c>
      <c r="V175">
        <v>-8.9506920000000004E-2</v>
      </c>
      <c r="W175">
        <v>0.14145720000000001</v>
      </c>
      <c r="X175">
        <v>0.98588960000000003</v>
      </c>
      <c r="Y175">
        <v>5.5807309999999999E-2</v>
      </c>
      <c r="Z175">
        <v>8.1479229999999996E-3</v>
      </c>
      <c r="AA175">
        <v>0.99840830000000003</v>
      </c>
      <c r="AB175">
        <v>40</v>
      </c>
      <c r="AC175">
        <v>242.09030000000001</v>
      </c>
      <c r="AD175">
        <v>65.5960859999999</v>
      </c>
      <c r="AE175">
        <v>-13.3858999999999</v>
      </c>
      <c r="AF175">
        <v>13.0952099868028</v>
      </c>
      <c r="AG175">
        <v>65.5960859999999</v>
      </c>
      <c r="AH175">
        <v>225.543990381925</v>
      </c>
      <c r="AI175">
        <v>73.809554779050899</v>
      </c>
      <c r="AJ175">
        <v>86.677105563889199</v>
      </c>
      <c r="AK175">
        <v>235.25395346416499</v>
      </c>
      <c r="AL175">
        <v>81.867822813694204</v>
      </c>
      <c r="AM175">
        <v>95.187546262152097</v>
      </c>
      <c r="AN175">
        <v>0.99999996577394201</v>
      </c>
    </row>
    <row r="176" spans="1:40" x14ac:dyDescent="0.3">
      <c r="A176" t="str">
        <f>"20200111150227605"</f>
        <v>20200111150227605</v>
      </c>
      <c r="B176" t="str">
        <f>"1578726147596168"</f>
        <v>1578726147596168</v>
      </c>
      <c r="C176" t="s">
        <v>40</v>
      </c>
      <c r="D176">
        <v>6.0450939999999997</v>
      </c>
      <c r="E176">
        <v>0.55448369999999902</v>
      </c>
      <c r="F176" t="s">
        <v>45</v>
      </c>
      <c r="G176">
        <v>-158.19499999999999</v>
      </c>
      <c r="H176">
        <v>66.502849999999995</v>
      </c>
      <c r="I176">
        <v>353.84750000000003</v>
      </c>
      <c r="J176">
        <v>-400.0763</v>
      </c>
      <c r="K176">
        <v>1.055895</v>
      </c>
      <c r="L176">
        <v>367.4058</v>
      </c>
      <c r="M176">
        <v>0.99989039999999996</v>
      </c>
      <c r="N176">
        <v>0</v>
      </c>
      <c r="O176">
        <v>2.9467E-3</v>
      </c>
      <c r="P176">
        <v>0.98760150000000002</v>
      </c>
      <c r="Q176">
        <v>0.1274962</v>
      </c>
      <c r="R176">
        <v>9.1586420000000002E-2</v>
      </c>
      <c r="S176">
        <v>2.9502869999999999</v>
      </c>
      <c r="T176">
        <v>0.79758949999999995</v>
      </c>
      <c r="U176">
        <v>-0.16522220000000001</v>
      </c>
      <c r="V176">
        <v>-8.8815640000000001E-2</v>
      </c>
      <c r="W176">
        <v>0.14172870000000001</v>
      </c>
      <c r="X176">
        <v>0.98591320000000005</v>
      </c>
      <c r="Y176">
        <v>5.672112E-2</v>
      </c>
      <c r="Z176">
        <v>8.3083859999999992E-3</v>
      </c>
      <c r="AA176">
        <v>0.99835549999999995</v>
      </c>
      <c r="AB176">
        <v>40</v>
      </c>
      <c r="AC176">
        <v>241.88130000000001</v>
      </c>
      <c r="AD176">
        <v>65.446954999999903</v>
      </c>
      <c r="AE176">
        <v>-13.5582999999999</v>
      </c>
      <c r="AF176">
        <v>13.300387549838799</v>
      </c>
      <c r="AG176">
        <v>65.446954999999903</v>
      </c>
      <c r="AH176">
        <v>225.390957002574</v>
      </c>
      <c r="AI176">
        <v>73.834893631575895</v>
      </c>
      <c r="AJ176">
        <v>86.622875299087596</v>
      </c>
      <c r="AK176">
        <v>235.077195249314</v>
      </c>
      <c r="AL176">
        <v>81.852109298509603</v>
      </c>
      <c r="AM176">
        <v>95.147575319120804</v>
      </c>
      <c r="AN176">
        <v>1.00000004012326</v>
      </c>
    </row>
    <row r="177" spans="1:40" x14ac:dyDescent="0.3">
      <c r="A177" t="str">
        <f>"20200111150227619"</f>
        <v>20200111150227619</v>
      </c>
      <c r="B177" t="str">
        <f>"1578726147615688"</f>
        <v>1578726147615688</v>
      </c>
      <c r="C177" t="s">
        <v>40</v>
      </c>
      <c r="D177">
        <v>5.8427059999999997</v>
      </c>
      <c r="E177">
        <v>0.555562</v>
      </c>
      <c r="F177" t="s">
        <v>45</v>
      </c>
      <c r="G177">
        <v>-158.19499999999999</v>
      </c>
      <c r="H177">
        <v>68.58475</v>
      </c>
      <c r="I177">
        <v>354.51710000000003</v>
      </c>
      <c r="J177">
        <v>-399.85860000000002</v>
      </c>
      <c r="K177">
        <v>1.05629</v>
      </c>
      <c r="L177">
        <v>367.40660000000003</v>
      </c>
      <c r="M177">
        <v>0.99989989999999995</v>
      </c>
      <c r="N177">
        <v>0</v>
      </c>
      <c r="O177">
        <v>3.1286959999999998E-3</v>
      </c>
      <c r="P177">
        <v>0.98760499999999996</v>
      </c>
      <c r="Q177">
        <v>0.12776219999999999</v>
      </c>
      <c r="R177">
        <v>9.1178129999999996E-2</v>
      </c>
      <c r="S177">
        <v>2.946075</v>
      </c>
      <c r="T177">
        <v>0.82249119999999998</v>
      </c>
      <c r="U177">
        <v>-0.15698239999999999</v>
      </c>
      <c r="V177">
        <v>-8.8228730000000005E-2</v>
      </c>
      <c r="W177">
        <v>0.14130000000000001</v>
      </c>
      <c r="X177">
        <v>0.9860274</v>
      </c>
      <c r="Y177">
        <v>5.4149740000000002E-2</v>
      </c>
      <c r="Z177">
        <v>8.2686440000000003E-3</v>
      </c>
      <c r="AA177">
        <v>0.99849860000000001</v>
      </c>
      <c r="AB177">
        <v>40</v>
      </c>
      <c r="AC177">
        <v>241.6636</v>
      </c>
      <c r="AD177">
        <v>67.528459999999995</v>
      </c>
      <c r="AE177">
        <v>-12.8894999999999</v>
      </c>
      <c r="AF177">
        <v>12.659894438397</v>
      </c>
      <c r="AG177">
        <v>67.528459999999995</v>
      </c>
      <c r="AH177">
        <v>224.16822375399801</v>
      </c>
      <c r="AI177">
        <v>73.260769412182398</v>
      </c>
      <c r="AJ177">
        <v>86.767655904317905</v>
      </c>
      <c r="AK177">
        <v>234.46056891977699</v>
      </c>
      <c r="AL177">
        <v>81.876921509521296</v>
      </c>
      <c r="AM177">
        <v>95.113151026677599</v>
      </c>
      <c r="AN177">
        <v>1.0000000161740801</v>
      </c>
    </row>
    <row r="178" spans="1:40" x14ac:dyDescent="0.3">
      <c r="A178" t="str">
        <f>"20200111150227638"</f>
        <v>20200111150227638</v>
      </c>
      <c r="B178" t="str">
        <f>"1578726147636183"</f>
        <v>1578726147636183</v>
      </c>
      <c r="C178" t="s">
        <v>40</v>
      </c>
      <c r="D178">
        <v>6.685683</v>
      </c>
      <c r="E178">
        <v>0.558446</v>
      </c>
      <c r="F178" t="s">
        <v>45</v>
      </c>
      <c r="G178">
        <v>-158.78319999999999</v>
      </c>
      <c r="H178">
        <v>65.685329999999993</v>
      </c>
      <c r="I178">
        <v>353.82060000000001</v>
      </c>
      <c r="J178">
        <v>-399.51889999999997</v>
      </c>
      <c r="K178">
        <v>1.05698</v>
      </c>
      <c r="L178">
        <v>367.40809999999999</v>
      </c>
      <c r="M178">
        <v>0.99992009999999998</v>
      </c>
      <c r="N178">
        <v>0</v>
      </c>
      <c r="O178">
        <v>3.383194E-3</v>
      </c>
      <c r="P178">
        <v>0.98754850000000005</v>
      </c>
      <c r="Q178">
        <v>0.1285811</v>
      </c>
      <c r="R178">
        <v>9.0636839999999996E-2</v>
      </c>
      <c r="S178">
        <v>2.9507140000000001</v>
      </c>
      <c r="T178">
        <v>0.7910471</v>
      </c>
      <c r="U178">
        <v>-0.166290299999999</v>
      </c>
      <c r="V178">
        <v>-8.7436849999999997E-2</v>
      </c>
      <c r="W178">
        <v>0.1405216</v>
      </c>
      <c r="X178">
        <v>0.98620920000000001</v>
      </c>
      <c r="Y178">
        <v>5.7501080000000003E-2</v>
      </c>
      <c r="Z178">
        <v>8.4588809999999997E-3</v>
      </c>
      <c r="AA178">
        <v>0.99830960000000002</v>
      </c>
      <c r="AB178">
        <v>40</v>
      </c>
      <c r="AC178">
        <v>240.73570000000001</v>
      </c>
      <c r="AD178">
        <v>64.628349999999998</v>
      </c>
      <c r="AE178">
        <v>-13.587499999999901</v>
      </c>
      <c r="AF178">
        <v>13.4366130350297</v>
      </c>
      <c r="AG178">
        <v>64.628349999999998</v>
      </c>
      <c r="AH178">
        <v>224.55562332834401</v>
      </c>
      <c r="AI178">
        <v>73.971081966052395</v>
      </c>
      <c r="AJ178">
        <v>86.575706405779698</v>
      </c>
      <c r="AK178">
        <v>234.05681823428401</v>
      </c>
      <c r="AL178">
        <v>81.921970337078506</v>
      </c>
      <c r="AM178">
        <v>95.066569655669895</v>
      </c>
      <c r="AN178">
        <v>1.00000005448455</v>
      </c>
    </row>
    <row r="179" spans="1:40" x14ac:dyDescent="0.3">
      <c r="A179" t="str">
        <f>"20200111150227651"</f>
        <v>20200111150227651</v>
      </c>
      <c r="B179" t="str">
        <f>"1578726147645944"</f>
        <v>1578726147645944</v>
      </c>
      <c r="C179" t="s">
        <v>40</v>
      </c>
      <c r="D179">
        <v>4.948963</v>
      </c>
      <c r="E179">
        <v>0.61461129999999997</v>
      </c>
      <c r="F179" t="s">
        <v>45</v>
      </c>
      <c r="G179">
        <v>-158.78319999999999</v>
      </c>
      <c r="H179">
        <v>67.881680000000003</v>
      </c>
      <c r="I179">
        <v>351.82920000000001</v>
      </c>
      <c r="J179">
        <v>-399.2749</v>
      </c>
      <c r="K179">
        <v>1.0575680000000001</v>
      </c>
      <c r="L179">
        <v>367.40910000000002</v>
      </c>
      <c r="M179">
        <v>0.99993520000000002</v>
      </c>
      <c r="N179">
        <v>0</v>
      </c>
      <c r="O179">
        <v>3.5437400000000001E-3</v>
      </c>
      <c r="P179">
        <v>0.98733740000000003</v>
      </c>
      <c r="Q179">
        <v>0.13019210000000001</v>
      </c>
      <c r="R179">
        <v>9.063512E-2</v>
      </c>
      <c r="S179">
        <v>2.9487920000000001</v>
      </c>
      <c r="T179">
        <v>0.81854199999999999</v>
      </c>
      <c r="U179">
        <v>-0.19082640000000001</v>
      </c>
      <c r="V179">
        <v>-8.7273619999999996E-2</v>
      </c>
      <c r="W179">
        <v>0.140787299999999</v>
      </c>
      <c r="X179">
        <v>0.98618570000000005</v>
      </c>
      <c r="Y179">
        <v>6.551382E-2</v>
      </c>
      <c r="Z179">
        <v>9.8798740000000003E-3</v>
      </c>
      <c r="AA179">
        <v>0.99780270000000004</v>
      </c>
      <c r="AB179">
        <v>40</v>
      </c>
      <c r="AC179">
        <v>240.49170000000001</v>
      </c>
      <c r="AD179">
        <v>66.824112</v>
      </c>
      <c r="AE179">
        <v>-15.5799</v>
      </c>
      <c r="AF179">
        <v>15.2588964170968</v>
      </c>
      <c r="AG179">
        <v>66.824112</v>
      </c>
      <c r="AH179">
        <v>223.26873314296299</v>
      </c>
      <c r="AI179">
        <v>73.374244912311596</v>
      </c>
      <c r="AJ179">
        <v>86.090303481465995</v>
      </c>
      <c r="AK179">
        <v>233.55346938917401</v>
      </c>
      <c r="AL179">
        <v>81.906593477871397</v>
      </c>
      <c r="AM179">
        <v>95.0572801924435</v>
      </c>
      <c r="AN179">
        <v>0.99999999173684195</v>
      </c>
    </row>
    <row r="180" spans="1:40" x14ac:dyDescent="0.3">
      <c r="A180" t="str">
        <f>"20200111150227664"</f>
        <v>20200111150227664</v>
      </c>
      <c r="B180" t="str">
        <f>"1578726147655704"</f>
        <v>1578726147655704</v>
      </c>
      <c r="C180" t="s">
        <v>40</v>
      </c>
      <c r="D180">
        <v>5.8407519999999904</v>
      </c>
      <c r="E180">
        <v>0.61461129999999997</v>
      </c>
      <c r="F180" t="s">
        <v>48</v>
      </c>
      <c r="G180">
        <v>-168.50720000000001</v>
      </c>
      <c r="H180">
        <v>109.7647</v>
      </c>
      <c r="I180">
        <v>317.19709999999998</v>
      </c>
      <c r="J180">
        <v>-399.03829999999999</v>
      </c>
      <c r="K180">
        <v>1.0582670000000001</v>
      </c>
      <c r="L180">
        <v>367.41019999999997</v>
      </c>
      <c r="M180">
        <v>0.9999479</v>
      </c>
      <c r="N180">
        <v>0</v>
      </c>
      <c r="O180">
        <v>3.6904189999999999E-3</v>
      </c>
      <c r="P180">
        <v>0.98719939999999995</v>
      </c>
      <c r="Q180">
        <v>0.13129569999999999</v>
      </c>
      <c r="R180">
        <v>9.0546650000000006E-2</v>
      </c>
      <c r="S180">
        <v>2.915619</v>
      </c>
      <c r="T180">
        <v>1.3734519999999999</v>
      </c>
      <c r="U180">
        <v>-0.63439939999999995</v>
      </c>
      <c r="V180">
        <v>-8.7029800000000004E-2</v>
      </c>
      <c r="W180">
        <v>0.1406184</v>
      </c>
      <c r="X180">
        <v>0.98623139999999998</v>
      </c>
      <c r="Y180">
        <v>0.19606660000000001</v>
      </c>
      <c r="Z180">
        <v>4.5066050000000003E-2</v>
      </c>
      <c r="AA180">
        <v>0.97955449999999999</v>
      </c>
      <c r="AB180">
        <v>40</v>
      </c>
      <c r="AC180">
        <v>230.53110000000001</v>
      </c>
      <c r="AD180">
        <v>108.706433</v>
      </c>
      <c r="AE180">
        <v>-50.213099999999997</v>
      </c>
      <c r="AF180">
        <v>42.1217121429519</v>
      </c>
      <c r="AG180">
        <v>108.706433</v>
      </c>
      <c r="AH180">
        <v>190.00817866621199</v>
      </c>
      <c r="AI180">
        <v>60.8142661222697</v>
      </c>
      <c r="AJ180">
        <v>77.5005998206192</v>
      </c>
      <c r="AK180">
        <v>222.922486908541</v>
      </c>
      <c r="AL180">
        <v>81.916368426244503</v>
      </c>
      <c r="AM180">
        <v>95.042991931980396</v>
      </c>
      <c r="AN180">
        <v>1.00000004742627</v>
      </c>
    </row>
    <row r="181" spans="1:40" x14ac:dyDescent="0.3">
      <c r="A181" t="str">
        <f>"20200111150227678"</f>
        <v>20200111150227678</v>
      </c>
      <c r="B181" t="str">
        <f>"1578726147676200"</f>
        <v>1578726147676200</v>
      </c>
      <c r="C181" t="s">
        <v>40</v>
      </c>
      <c r="D181">
        <v>8.8076679999999996</v>
      </c>
      <c r="E181">
        <v>0.60784419999999995</v>
      </c>
      <c r="F181" t="s">
        <v>48</v>
      </c>
      <c r="G181">
        <v>-168.43639999999999</v>
      </c>
      <c r="H181">
        <v>110.0577</v>
      </c>
      <c r="I181">
        <v>317.2097</v>
      </c>
      <c r="J181">
        <v>-398.80380000000002</v>
      </c>
      <c r="K181">
        <v>1.059042</v>
      </c>
      <c r="L181">
        <v>367.41129999999998</v>
      </c>
      <c r="M181">
        <v>0.99995820000000002</v>
      </c>
      <c r="N181">
        <v>0</v>
      </c>
      <c r="O181">
        <v>3.8265970000000002E-3</v>
      </c>
      <c r="P181">
        <v>0.98704250000000004</v>
      </c>
      <c r="Q181">
        <v>0.13230039999999901</v>
      </c>
      <c r="R181">
        <v>9.0796249999999995E-2</v>
      </c>
      <c r="S181">
        <v>2.91391</v>
      </c>
      <c r="T181">
        <v>1.3773280000000001</v>
      </c>
      <c r="U181">
        <v>-0.63433839999999997</v>
      </c>
      <c r="V181">
        <v>-8.7132100000000004E-2</v>
      </c>
      <c r="W181">
        <v>0.1404474</v>
      </c>
      <c r="X181">
        <v>0.98624670000000003</v>
      </c>
      <c r="Y181">
        <v>0.1961464</v>
      </c>
      <c r="Z181">
        <v>4.5283240000000002E-2</v>
      </c>
      <c r="AA181">
        <v>0.97952850000000002</v>
      </c>
      <c r="AB181">
        <v>40</v>
      </c>
      <c r="AC181">
        <v>230.3674</v>
      </c>
      <c r="AD181">
        <v>108.99865800000001</v>
      </c>
      <c r="AE181">
        <v>-50.2015999999999</v>
      </c>
      <c r="AF181">
        <v>42.087688751920297</v>
      </c>
      <c r="AG181">
        <v>108.99865800000001</v>
      </c>
      <c r="AH181">
        <v>189.642652936335</v>
      </c>
      <c r="AI181">
        <v>60.702956775883202</v>
      </c>
      <c r="AJ181">
        <v>77.487063585818305</v>
      </c>
      <c r="AK181">
        <v>222.747428274741</v>
      </c>
      <c r="AL181">
        <v>81.926263939198805</v>
      </c>
      <c r="AM181">
        <v>95.048811222747304</v>
      </c>
      <c r="AN181">
        <v>1.0000000141390299</v>
      </c>
    </row>
    <row r="182" spans="1:40" x14ac:dyDescent="0.3">
      <c r="A182" t="str">
        <f>"20200111150227695"</f>
        <v>20200111150227695</v>
      </c>
      <c r="B182" t="str">
        <f>"1578726147685959"</f>
        <v>1578726147685959</v>
      </c>
      <c r="C182" t="s">
        <v>40</v>
      </c>
      <c r="D182">
        <v>6.064978</v>
      </c>
      <c r="E182">
        <v>0.60784419999999995</v>
      </c>
      <c r="F182" t="s">
        <v>48</v>
      </c>
      <c r="G182">
        <v>-169.02010000000001</v>
      </c>
      <c r="H182">
        <v>115.28189999999999</v>
      </c>
      <c r="I182">
        <v>321.51499999999999</v>
      </c>
      <c r="J182">
        <v>-398.48759999999999</v>
      </c>
      <c r="K182">
        <v>1.060225</v>
      </c>
      <c r="L182">
        <v>367.41269999999997</v>
      </c>
      <c r="M182">
        <v>0.99996759999999996</v>
      </c>
      <c r="N182">
        <v>0</v>
      </c>
      <c r="O182">
        <v>3.9948470000000002E-3</v>
      </c>
      <c r="P182">
        <v>0.98689459999999996</v>
      </c>
      <c r="Q182">
        <v>0.13302910000000001</v>
      </c>
      <c r="R182">
        <v>9.1337349999999998E-2</v>
      </c>
      <c r="S182">
        <v>2.8994749999999998</v>
      </c>
      <c r="T182">
        <v>1.4412959999999999</v>
      </c>
      <c r="U182">
        <v>-0.57913210000000004</v>
      </c>
      <c r="V182">
        <v>-8.7484740000000005E-2</v>
      </c>
      <c r="W182">
        <v>0.1398894</v>
      </c>
      <c r="X182">
        <v>0.98629469999999997</v>
      </c>
      <c r="Y182">
        <v>0.17917620000000001</v>
      </c>
      <c r="Z182">
        <v>4.3588839999999997E-2</v>
      </c>
      <c r="AA182">
        <v>0.98285089999999997</v>
      </c>
      <c r="AB182">
        <v>40</v>
      </c>
      <c r="AC182">
        <v>229.4675</v>
      </c>
      <c r="AD182">
        <v>114.221675</v>
      </c>
      <c r="AE182">
        <v>-45.897699999999901</v>
      </c>
      <c r="AF182">
        <v>37.806862113882403</v>
      </c>
      <c r="AG182">
        <v>114.221675</v>
      </c>
      <c r="AH182">
        <v>185.16761214504999</v>
      </c>
      <c r="AI182">
        <v>58.8518063629407</v>
      </c>
      <c r="AJ182">
        <v>78.460165093964505</v>
      </c>
      <c r="AK182">
        <v>220.82344633259299</v>
      </c>
      <c r="AL182">
        <v>81.958553075383307</v>
      </c>
      <c r="AM182">
        <v>95.0688930479063</v>
      </c>
      <c r="AN182">
        <v>0.99999992960665596</v>
      </c>
    </row>
    <row r="183" spans="1:40" x14ac:dyDescent="0.3">
      <c r="A183" t="str">
        <f>"20200111150227707"</f>
        <v>20200111150227707</v>
      </c>
      <c r="B183" t="str">
        <f>"1578726147695720"</f>
        <v>1578726147695720</v>
      </c>
      <c r="C183" t="s">
        <v>40</v>
      </c>
      <c r="D183">
        <v>7.1294719999999998</v>
      </c>
      <c r="E183">
        <v>0.70288669999999998</v>
      </c>
      <c r="F183" t="s">
        <v>48</v>
      </c>
      <c r="G183">
        <v>-169.02019999999999</v>
      </c>
      <c r="H183">
        <v>115.4144</v>
      </c>
      <c r="I183">
        <v>321.78829999999999</v>
      </c>
      <c r="J183">
        <v>-398.25540000000001</v>
      </c>
      <c r="K183">
        <v>1.061213</v>
      </c>
      <c r="L183">
        <v>367.41370000000001</v>
      </c>
      <c r="M183">
        <v>0.99997130000000001</v>
      </c>
      <c r="N183">
        <v>0</v>
      </c>
      <c r="O183">
        <v>4.106307E-3</v>
      </c>
      <c r="P183">
        <v>0.9868711</v>
      </c>
      <c r="Q183">
        <v>0.132907</v>
      </c>
      <c r="R183">
        <v>9.1767600000000005E-2</v>
      </c>
      <c r="S183">
        <v>2.8984679999999998</v>
      </c>
      <c r="T183">
        <v>1.444439</v>
      </c>
      <c r="U183">
        <v>-0.57629390000000003</v>
      </c>
      <c r="V183">
        <v>-8.7787130000000005E-2</v>
      </c>
      <c r="W183">
        <v>0.13913719999999999</v>
      </c>
      <c r="X183">
        <v>0.98637430000000004</v>
      </c>
      <c r="Y183">
        <v>0.17839730000000001</v>
      </c>
      <c r="Z183">
        <v>4.3561290000000003E-2</v>
      </c>
      <c r="AA183">
        <v>0.98299380000000003</v>
      </c>
      <c r="AB183">
        <v>40</v>
      </c>
      <c r="AC183">
        <v>229.23519999999999</v>
      </c>
      <c r="AD183">
        <v>114.35318700000001</v>
      </c>
      <c r="AE183">
        <v>-45.625399999999999</v>
      </c>
      <c r="AF183">
        <v>37.5727263446297</v>
      </c>
      <c r="AG183">
        <v>114.35318700000001</v>
      </c>
      <c r="AH183">
        <v>184.80899556661501</v>
      </c>
      <c r="AI183">
        <v>58.769067070274403</v>
      </c>
      <c r="AJ183">
        <v>78.508064667373304</v>
      </c>
      <c r="AK183">
        <v>220.55096006221899</v>
      </c>
      <c r="AL183">
        <v>82.002077184536901</v>
      </c>
      <c r="AM183">
        <v>95.085913560179506</v>
      </c>
      <c r="AN183">
        <v>1.0000000001589799</v>
      </c>
    </row>
    <row r="184" spans="1:40" x14ac:dyDescent="0.3">
      <c r="A184" t="str">
        <f>"20200111150227727"</f>
        <v>20200111150227727</v>
      </c>
      <c r="B184" t="str">
        <f>"1578726147705480"</f>
        <v>1578726147705480</v>
      </c>
      <c r="C184" t="s">
        <v>40</v>
      </c>
      <c r="D184">
        <v>5.9472820000000004</v>
      </c>
      <c r="E184">
        <v>0.70288669999999998</v>
      </c>
      <c r="F184" t="s">
        <v>44</v>
      </c>
      <c r="G184">
        <v>0</v>
      </c>
      <c r="H184">
        <v>0</v>
      </c>
      <c r="I184">
        <v>0</v>
      </c>
      <c r="J184">
        <v>-397.9144</v>
      </c>
      <c r="K184">
        <v>1.063167</v>
      </c>
      <c r="L184">
        <v>367.4151</v>
      </c>
      <c r="M184">
        <v>0.99997199999999997</v>
      </c>
      <c r="N184">
        <v>0</v>
      </c>
      <c r="O184">
        <v>4.2328309999999899E-3</v>
      </c>
      <c r="P184">
        <v>0.9869502</v>
      </c>
      <c r="Q184">
        <v>0.1317391</v>
      </c>
      <c r="R184">
        <v>9.2597399999999996E-2</v>
      </c>
      <c r="S184">
        <v>2.9400940000000002</v>
      </c>
      <c r="T184">
        <v>1.657786</v>
      </c>
      <c r="U184">
        <v>-1.32785</v>
      </c>
      <c r="V184">
        <v>-8.8467669999999998E-2</v>
      </c>
      <c r="W184">
        <v>0.1378211</v>
      </c>
      <c r="X184">
        <v>0.98649819999999999</v>
      </c>
      <c r="Y184">
        <v>0.36903419999999998</v>
      </c>
      <c r="Z184">
        <v>9.5294970000000007E-2</v>
      </c>
      <c r="AA184">
        <v>0.92451749999999999</v>
      </c>
      <c r="AB184">
        <v>40</v>
      </c>
      <c r="AC184">
        <v>2.9400940000000002</v>
      </c>
      <c r="AD184">
        <v>1.657786</v>
      </c>
      <c r="AE184">
        <v>-1.32785</v>
      </c>
      <c r="AF184">
        <v>1.060292883434</v>
      </c>
      <c r="AG184">
        <v>1.657786</v>
      </c>
      <c r="AH184">
        <v>2.3214296163569199</v>
      </c>
      <c r="AI184">
        <v>56.993249424286603</v>
      </c>
      <c r="AJ184">
        <v>65.451860009368005</v>
      </c>
      <c r="AK184">
        <v>3.04327305448522</v>
      </c>
      <c r="AL184">
        <v>82.078217285315404</v>
      </c>
      <c r="AM184">
        <v>95.124490940166396</v>
      </c>
      <c r="AN184">
        <v>0.99999994142183701</v>
      </c>
    </row>
    <row r="185" spans="1:40" x14ac:dyDescent="0.3">
      <c r="A185" t="str">
        <f>"20200111150227740"</f>
        <v>20200111150227740</v>
      </c>
      <c r="B185" t="str">
        <f>"1578726147705480"</f>
        <v>1578726147705480</v>
      </c>
      <c r="C185" t="s">
        <v>40</v>
      </c>
      <c r="D185">
        <v>5.9472820000000004</v>
      </c>
      <c r="E185">
        <v>0.70288669999999998</v>
      </c>
      <c r="F185" t="s">
        <v>44</v>
      </c>
      <c r="G185">
        <v>0</v>
      </c>
      <c r="H185">
        <v>0</v>
      </c>
      <c r="I185">
        <v>0</v>
      </c>
      <c r="J185">
        <v>-397.68939999999998</v>
      </c>
      <c r="K185">
        <v>1.064675</v>
      </c>
      <c r="L185">
        <v>367.41609999999997</v>
      </c>
      <c r="M185">
        <v>0.99997130000000001</v>
      </c>
      <c r="N185">
        <v>0</v>
      </c>
      <c r="O185">
        <v>4.2740950000000003E-3</v>
      </c>
      <c r="P185">
        <v>0.98701729999999999</v>
      </c>
      <c r="Q185">
        <v>0.13101599999999999</v>
      </c>
      <c r="R185">
        <v>9.290677E-2</v>
      </c>
      <c r="S185">
        <v>2.943146</v>
      </c>
      <c r="T185">
        <v>1.6547419999999999</v>
      </c>
      <c r="U185">
        <v>-1.3253170000000001</v>
      </c>
      <c r="V185">
        <v>-8.8720980000000005E-2</v>
      </c>
      <c r="W185">
        <v>0.137157</v>
      </c>
      <c r="X185">
        <v>0.986568</v>
      </c>
      <c r="Y185">
        <v>0.36835400000000001</v>
      </c>
      <c r="Z185">
        <v>9.4923030000000005E-2</v>
      </c>
      <c r="AA185">
        <v>0.92482699999999995</v>
      </c>
      <c r="AB185">
        <v>40</v>
      </c>
      <c r="AC185">
        <v>2.943146</v>
      </c>
      <c r="AD185">
        <v>1.6547419999999999</v>
      </c>
      <c r="AE185">
        <v>-1.3253170000000001</v>
      </c>
      <c r="AF185">
        <v>1.0594449972836399</v>
      </c>
      <c r="AG185">
        <v>1.6547419999999999</v>
      </c>
      <c r="AH185">
        <v>2.3261138166195798</v>
      </c>
      <c r="AI185">
        <v>57.081362570505704</v>
      </c>
      <c r="AJ185">
        <v>65.5127718746282</v>
      </c>
      <c r="AK185">
        <v>3.0448974164496598</v>
      </c>
      <c r="AL185">
        <v>82.116632194434899</v>
      </c>
      <c r="AM185">
        <v>95.138723821573393</v>
      </c>
      <c r="AN185">
        <v>0.99999993678257804</v>
      </c>
    </row>
    <row r="186" spans="1:40" x14ac:dyDescent="0.3">
      <c r="A186" t="str">
        <f>"20200111150227752"</f>
        <v>20200111150227752</v>
      </c>
      <c r="B186" t="str">
        <f>"1578726147705480"</f>
        <v>1578726147705480</v>
      </c>
      <c r="C186" t="s">
        <v>40</v>
      </c>
      <c r="D186">
        <v>5.9472820000000004</v>
      </c>
      <c r="E186">
        <v>0.70288669999999998</v>
      </c>
      <c r="F186" t="s">
        <v>44</v>
      </c>
      <c r="G186">
        <v>0</v>
      </c>
      <c r="H186">
        <v>0</v>
      </c>
      <c r="I186">
        <v>0</v>
      </c>
      <c r="J186">
        <v>-397.46969999999999</v>
      </c>
      <c r="K186">
        <v>1.066206</v>
      </c>
      <c r="L186">
        <v>367.41699999999997</v>
      </c>
      <c r="M186">
        <v>0.99997119999999995</v>
      </c>
      <c r="N186">
        <v>0</v>
      </c>
      <c r="O186">
        <v>4.2892319999999996E-3</v>
      </c>
      <c r="P186">
        <v>0.98708079999999998</v>
      </c>
      <c r="Q186">
        <v>0.1301582</v>
      </c>
      <c r="R186">
        <v>9.3436580000000005E-2</v>
      </c>
      <c r="S186">
        <v>2.9446720000000002</v>
      </c>
      <c r="T186">
        <v>1.6527459999999901</v>
      </c>
      <c r="U186">
        <v>-1.3240970000000001</v>
      </c>
      <c r="V186">
        <v>-8.9221949999999994E-2</v>
      </c>
      <c r="W186">
        <v>0.13632749999999999</v>
      </c>
      <c r="X186">
        <v>0.98663780000000001</v>
      </c>
      <c r="Y186">
        <v>0.36804300000000001</v>
      </c>
      <c r="Z186">
        <v>9.4717599999999999E-2</v>
      </c>
      <c r="AA186">
        <v>0.92497180000000001</v>
      </c>
      <c r="AB186">
        <v>40</v>
      </c>
      <c r="AC186">
        <v>2.9446720000000002</v>
      </c>
      <c r="AD186">
        <v>1.6527459999999901</v>
      </c>
      <c r="AE186">
        <v>-1.3240970000000001</v>
      </c>
      <c r="AF186">
        <v>1.0591721245157399</v>
      </c>
      <c r="AG186">
        <v>1.6527459999999901</v>
      </c>
      <c r="AH186">
        <v>2.32874563825145</v>
      </c>
      <c r="AI186">
        <v>57.136215340398202</v>
      </c>
      <c r="AJ186">
        <v>65.542764498718</v>
      </c>
      <c r="AK186">
        <v>3.0457299909122502</v>
      </c>
      <c r="AL186">
        <v>82.164609789903295</v>
      </c>
      <c r="AM186">
        <v>95.167219765665905</v>
      </c>
      <c r="AN186">
        <v>0.999999946003444</v>
      </c>
    </row>
    <row r="187" spans="1:40" x14ac:dyDescent="0.3">
      <c r="A187" t="str">
        <f>"20200111150228176"</f>
        <v>20200111150228176</v>
      </c>
      <c r="B187" t="str">
        <f>"1578726148166151"</f>
        <v>1578726148166151</v>
      </c>
      <c r="C187" t="s">
        <v>40</v>
      </c>
      <c r="D187">
        <v>6.1467359999999998</v>
      </c>
      <c r="E187">
        <v>0.70288669999999998</v>
      </c>
      <c r="F187" t="s">
        <v>44</v>
      </c>
      <c r="G187">
        <v>0</v>
      </c>
      <c r="H187">
        <v>0</v>
      </c>
      <c r="I187">
        <v>0</v>
      </c>
      <c r="J187">
        <v>-389.78550000000001</v>
      </c>
      <c r="K187">
        <v>1.1009739999999999</v>
      </c>
      <c r="L187">
        <v>367.39960000000002</v>
      </c>
      <c r="M187">
        <v>0.99991160000000001</v>
      </c>
      <c r="N187">
        <v>0</v>
      </c>
      <c r="O187">
        <v>-8.0860180000000004E-3</v>
      </c>
      <c r="P187">
        <v>0.99108220000000002</v>
      </c>
      <c r="Q187">
        <v>0.10802680000000001</v>
      </c>
      <c r="R187">
        <v>7.8017509999999998E-2</v>
      </c>
      <c r="S187">
        <v>2.9467469999999998</v>
      </c>
      <c r="T187">
        <v>1.650714</v>
      </c>
      <c r="U187">
        <v>-1.3221130000000001</v>
      </c>
      <c r="V187">
        <v>-8.5811769999999996E-2</v>
      </c>
      <c r="W187">
        <v>0.1186358</v>
      </c>
      <c r="X187">
        <v>0.98922290000000002</v>
      </c>
      <c r="Y187">
        <v>0.35884660000000002</v>
      </c>
      <c r="Z187">
        <v>8.6047600000000002E-2</v>
      </c>
      <c r="AA187">
        <v>0.92942179999999996</v>
      </c>
      <c r="AB187">
        <v>41</v>
      </c>
      <c r="AC187">
        <v>2.9467469999999998</v>
      </c>
      <c r="AD187">
        <v>1.650714</v>
      </c>
      <c r="AE187">
        <v>-1.3221130000000001</v>
      </c>
      <c r="AF187">
        <v>1.02935391955093</v>
      </c>
      <c r="AG187">
        <v>1.650714</v>
      </c>
      <c r="AH187">
        <v>2.3448277048330999</v>
      </c>
      <c r="AI187">
        <v>57.193997717201597</v>
      </c>
      <c r="AJ187">
        <v>66.299046937475595</v>
      </c>
      <c r="AK187">
        <v>3.04674304247072</v>
      </c>
      <c r="AL187">
        <v>83.186622936369403</v>
      </c>
      <c r="AM187">
        <v>94.957805835391</v>
      </c>
      <c r="AN187">
        <v>1.00000002939829</v>
      </c>
    </row>
    <row r="188" spans="1:40" x14ac:dyDescent="0.3">
      <c r="A188" t="str">
        <f>"20200111150228409"</f>
        <v>20200111150228409</v>
      </c>
      <c r="B188" t="str">
        <f>"1578726148405932"</f>
        <v>1578726148405932</v>
      </c>
      <c r="C188" t="s">
        <v>40</v>
      </c>
      <c r="D188">
        <v>5.5896429999999997</v>
      </c>
      <c r="E188">
        <v>0.70288669999999998</v>
      </c>
      <c r="F188" t="s">
        <v>44</v>
      </c>
      <c r="G188">
        <v>0</v>
      </c>
      <c r="H188">
        <v>0</v>
      </c>
      <c r="I188">
        <v>0</v>
      </c>
      <c r="J188">
        <v>-385.55360000000002</v>
      </c>
      <c r="K188">
        <v>1.103062</v>
      </c>
      <c r="L188">
        <v>367.3494</v>
      </c>
      <c r="M188">
        <v>0.99984280000000003</v>
      </c>
      <c r="N188">
        <v>0</v>
      </c>
      <c r="O188">
        <v>-1.336326E-2</v>
      </c>
      <c r="P188">
        <v>0.99170959999999997</v>
      </c>
      <c r="Q188">
        <v>0.10653020000000001</v>
      </c>
      <c r="R188">
        <v>7.185888E-2</v>
      </c>
      <c r="S188">
        <v>2.9630130000000001</v>
      </c>
      <c r="T188">
        <v>1.578738</v>
      </c>
      <c r="U188">
        <v>-1.372528</v>
      </c>
      <c r="V188">
        <v>-8.4965399999999996E-2</v>
      </c>
      <c r="W188">
        <v>0.118184999999999</v>
      </c>
      <c r="X188">
        <v>0.9893499</v>
      </c>
      <c r="Y188">
        <v>0.36885000000000001</v>
      </c>
      <c r="Z188">
        <v>8.1964079999999995E-2</v>
      </c>
      <c r="AA188">
        <v>0.92586800000000002</v>
      </c>
      <c r="AB188">
        <v>41</v>
      </c>
      <c r="AC188">
        <v>2.9630130000000001</v>
      </c>
      <c r="AD188">
        <v>1.578738</v>
      </c>
      <c r="AE188">
        <v>-1.372528</v>
      </c>
      <c r="AF188">
        <v>1.0803000409829799</v>
      </c>
      <c r="AG188">
        <v>1.578738</v>
      </c>
      <c r="AH188">
        <v>2.4163080443624798</v>
      </c>
      <c r="AI188">
        <v>59.1852485922943</v>
      </c>
      <c r="AJ188">
        <v>65.911199725947895</v>
      </c>
      <c r="AK188">
        <v>3.0818835825583402</v>
      </c>
      <c r="AL188">
        <v>83.212634803217895</v>
      </c>
      <c r="AM188">
        <v>94.908519560007093</v>
      </c>
      <c r="AN188">
        <v>1.00000001902608</v>
      </c>
    </row>
    <row r="189" spans="1:40" x14ac:dyDescent="0.3">
      <c r="A189" t="str">
        <f>"20200111150228420"</f>
        <v>20200111150228420</v>
      </c>
      <c r="B189" t="str">
        <f>"1578726148415692"</f>
        <v>1578726148415692</v>
      </c>
      <c r="C189" t="s">
        <v>40</v>
      </c>
      <c r="D189">
        <v>5.8478700000000003</v>
      </c>
      <c r="E189">
        <v>0.70288669999999998</v>
      </c>
      <c r="F189" t="s">
        <v>46</v>
      </c>
      <c r="G189">
        <v>-266.47949999999997</v>
      </c>
      <c r="H189">
        <v>64.626400000000004</v>
      </c>
      <c r="I189">
        <v>311.40280000000001</v>
      </c>
      <c r="J189">
        <v>-385.33120000000002</v>
      </c>
      <c r="K189">
        <v>1.1031089999999999</v>
      </c>
      <c r="L189">
        <v>367.34629999999999</v>
      </c>
      <c r="M189">
        <v>0.99983999999999995</v>
      </c>
      <c r="N189">
        <v>0</v>
      </c>
      <c r="O189">
        <v>-1.354552E-2</v>
      </c>
      <c r="P189">
        <v>0.99174879999999999</v>
      </c>
      <c r="Q189">
        <v>0.10641639999999999</v>
      </c>
      <c r="R189">
        <v>7.1485119999999999E-2</v>
      </c>
      <c r="S189">
        <v>2.956299</v>
      </c>
      <c r="T189">
        <v>1.577118</v>
      </c>
      <c r="U189">
        <v>-1.389008</v>
      </c>
      <c r="V189">
        <v>-8.4778080000000006E-2</v>
      </c>
      <c r="W189">
        <v>0.11809459999999999</v>
      </c>
      <c r="X189">
        <v>0.9893767</v>
      </c>
      <c r="Y189">
        <v>0.37327630000000001</v>
      </c>
      <c r="Z189">
        <v>8.2935560000000005E-2</v>
      </c>
      <c r="AA189">
        <v>0.92400570000000004</v>
      </c>
      <c r="AB189">
        <v>41</v>
      </c>
      <c r="AC189">
        <v>118.85169999999999</v>
      </c>
      <c r="AD189">
        <v>63.523291</v>
      </c>
      <c r="AE189">
        <v>-55.943499999999901</v>
      </c>
      <c r="AF189">
        <v>44.031499078125201</v>
      </c>
      <c r="AG189">
        <v>63.523291</v>
      </c>
      <c r="AH189">
        <v>96.931106538678506</v>
      </c>
      <c r="AI189">
        <v>59.176781580285201</v>
      </c>
      <c r="AJ189">
        <v>65.569809876234899</v>
      </c>
      <c r="AK189">
        <v>123.97427485309299</v>
      </c>
      <c r="AL189">
        <v>83.217850440046305</v>
      </c>
      <c r="AM189">
        <v>94.897618606577097</v>
      </c>
      <c r="AN189">
        <v>0.99999995595026703</v>
      </c>
    </row>
    <row r="190" spans="1:40" x14ac:dyDescent="0.3">
      <c r="A190" t="str">
        <f>"20200111150228433"</f>
        <v>20200111150228433</v>
      </c>
      <c r="B190" t="str">
        <f>"1578726148425453"</f>
        <v>1578726148425453</v>
      </c>
      <c r="C190" t="s">
        <v>40</v>
      </c>
      <c r="D190">
        <v>5.9565440000000001</v>
      </c>
      <c r="E190">
        <v>0.51774290000000001</v>
      </c>
      <c r="F190" t="s">
        <v>46</v>
      </c>
      <c r="G190">
        <v>-266.47949999999997</v>
      </c>
      <c r="H190">
        <v>64.47842</v>
      </c>
      <c r="I190">
        <v>311.43639999999999</v>
      </c>
      <c r="J190">
        <v>-385.1146</v>
      </c>
      <c r="K190">
        <v>1.103151</v>
      </c>
      <c r="L190">
        <v>367.34320000000002</v>
      </c>
      <c r="M190">
        <v>0.99983730000000004</v>
      </c>
      <c r="N190">
        <v>0</v>
      </c>
      <c r="O190">
        <v>-1.371729E-2</v>
      </c>
      <c r="P190">
        <v>0.99176940000000002</v>
      </c>
      <c r="Q190">
        <v>0.10639659999999999</v>
      </c>
      <c r="R190">
        <v>7.1228769999999997E-2</v>
      </c>
      <c r="S190">
        <v>2.9560240000000002</v>
      </c>
      <c r="T190">
        <v>1.5762419999999999</v>
      </c>
      <c r="U190">
        <v>-1.3905639999999999</v>
      </c>
      <c r="V190">
        <v>-8.4697399999999895E-2</v>
      </c>
      <c r="W190">
        <v>0.11809600000000001</v>
      </c>
      <c r="X190">
        <v>0.98938349999999997</v>
      </c>
      <c r="Y190">
        <v>0.37358259999999899</v>
      </c>
      <c r="Z190">
        <v>8.2884289999999999E-2</v>
      </c>
      <c r="AA190">
        <v>0.92388650000000005</v>
      </c>
      <c r="AB190">
        <v>41</v>
      </c>
      <c r="AC190">
        <v>118.63509999999999</v>
      </c>
      <c r="AD190">
        <v>63.375268999999903</v>
      </c>
      <c r="AE190">
        <v>-55.906799999999997</v>
      </c>
      <c r="AF190">
        <v>43.999526014267701</v>
      </c>
      <c r="AG190">
        <v>63.375268999999903</v>
      </c>
      <c r="AH190">
        <v>96.789158294608598</v>
      </c>
      <c r="AI190">
        <v>59.201833564791698</v>
      </c>
      <c r="AJ190">
        <v>65.553860090085294</v>
      </c>
      <c r="AK190">
        <v>123.776105019027</v>
      </c>
      <c r="AL190">
        <v>83.2177700455196</v>
      </c>
      <c r="AM190">
        <v>94.892946906080795</v>
      </c>
      <c r="AN190">
        <v>1.0000000124274999</v>
      </c>
    </row>
    <row r="191" spans="1:40" x14ac:dyDescent="0.3">
      <c r="A191" t="str">
        <f>"20200111150228445"</f>
        <v>20200111150228445</v>
      </c>
      <c r="B191" t="str">
        <f>"1578726148436188"</f>
        <v>1578726148436188</v>
      </c>
      <c r="C191" t="s">
        <v>40</v>
      </c>
      <c r="D191">
        <v>5.9078220000000004</v>
      </c>
      <c r="E191">
        <v>0.51637679999999997</v>
      </c>
      <c r="F191" t="s">
        <v>45</v>
      </c>
      <c r="G191">
        <v>-158.19499999999999</v>
      </c>
      <c r="H191">
        <v>40.581949999999999</v>
      </c>
      <c r="I191">
        <v>372.99669999999998</v>
      </c>
      <c r="J191">
        <v>-384.87909999999999</v>
      </c>
      <c r="K191">
        <v>1.1031949999999999</v>
      </c>
      <c r="L191">
        <v>367.33980000000003</v>
      </c>
      <c r="M191">
        <v>0.99983449999999996</v>
      </c>
      <c r="N191">
        <v>0</v>
      </c>
      <c r="O191">
        <v>-1.389368E-2</v>
      </c>
      <c r="P191">
        <v>0.99183200000000005</v>
      </c>
      <c r="Q191">
        <v>0.10615869999999999</v>
      </c>
      <c r="R191">
        <v>7.0712250000000004E-2</v>
      </c>
      <c r="S191">
        <v>2.9642940000000002</v>
      </c>
      <c r="T191">
        <v>0.51572019999999996</v>
      </c>
      <c r="U191">
        <v>7.3852539999999994E-2</v>
      </c>
      <c r="V191">
        <v>-8.4362740000000006E-2</v>
      </c>
      <c r="W191">
        <v>0.1178797</v>
      </c>
      <c r="X191">
        <v>0.98943789999999998</v>
      </c>
      <c r="Y191">
        <v>-3.8014909999999999E-2</v>
      </c>
      <c r="Z191">
        <v>-5.6807319999999904E-3</v>
      </c>
      <c r="AA191">
        <v>0.99926099999999995</v>
      </c>
      <c r="AB191">
        <v>41</v>
      </c>
      <c r="AC191">
        <v>226.6841</v>
      </c>
      <c r="AD191">
        <v>39.478755</v>
      </c>
      <c r="AE191">
        <v>5.6568999999999496</v>
      </c>
      <c r="AF191">
        <v>-8.5469717984362799</v>
      </c>
      <c r="AG191">
        <v>39.478755</v>
      </c>
      <c r="AH191">
        <v>219.917480637202</v>
      </c>
      <c r="AI191">
        <v>79.830394165493303</v>
      </c>
      <c r="AJ191">
        <v>92.225648801038503</v>
      </c>
      <c r="AK191">
        <v>223.59633519601201</v>
      </c>
      <c r="AL191">
        <v>83.230250394078595</v>
      </c>
      <c r="AM191">
        <v>94.873440321601905</v>
      </c>
      <c r="AN191">
        <v>1.0000000267644</v>
      </c>
    </row>
    <row r="192" spans="1:40" x14ac:dyDescent="0.3">
      <c r="A192" t="str">
        <f>"20200111150228459"</f>
        <v>20200111150228459</v>
      </c>
      <c r="B192" t="str">
        <f>"1578726148455708"</f>
        <v>1578726148455708</v>
      </c>
      <c r="C192" t="s">
        <v>40</v>
      </c>
      <c r="D192">
        <v>5.5146709999999999</v>
      </c>
      <c r="E192">
        <v>0.51637679999999997</v>
      </c>
      <c r="F192" t="s">
        <v>45</v>
      </c>
      <c r="G192">
        <v>-158.19499999999999</v>
      </c>
      <c r="H192">
        <v>40.719630000000002</v>
      </c>
      <c r="I192">
        <v>373.7106</v>
      </c>
      <c r="J192">
        <v>-384.63839999999999</v>
      </c>
      <c r="K192">
        <v>1.103227</v>
      </c>
      <c r="L192">
        <v>367.33629999999999</v>
      </c>
      <c r="M192">
        <v>0.99983200000000005</v>
      </c>
      <c r="N192">
        <v>0</v>
      </c>
      <c r="O192">
        <v>-1.405764E-2</v>
      </c>
      <c r="P192">
        <v>0.99189530000000004</v>
      </c>
      <c r="Q192">
        <v>0.1058703</v>
      </c>
      <c r="R192">
        <v>7.0251859999999999E-2</v>
      </c>
      <c r="S192">
        <v>2.9633479999999999</v>
      </c>
      <c r="T192">
        <v>0.51789019999999997</v>
      </c>
      <c r="U192">
        <v>8.3282469999999997E-2</v>
      </c>
      <c r="V192">
        <v>-8.4072439999999998E-2</v>
      </c>
      <c r="W192">
        <v>0.1176116</v>
      </c>
      <c r="X192">
        <v>0.98949450000000005</v>
      </c>
      <c r="Y192">
        <v>-4.1304840000000002E-2</v>
      </c>
      <c r="Z192">
        <v>-6.0195519999999897E-3</v>
      </c>
      <c r="AA192">
        <v>0.99912849999999997</v>
      </c>
      <c r="AB192">
        <v>41</v>
      </c>
      <c r="AC192">
        <v>226.4434</v>
      </c>
      <c r="AD192">
        <v>39.616402999999998</v>
      </c>
      <c r="AE192">
        <v>6.3742999999999999</v>
      </c>
      <c r="AF192">
        <v>-9.2735332565519695</v>
      </c>
      <c r="AG192">
        <v>39.616402999999998</v>
      </c>
      <c r="AH192">
        <v>219.61482420515301</v>
      </c>
      <c r="AI192">
        <v>79.783274689346499</v>
      </c>
      <c r="AJ192">
        <v>92.417955413183194</v>
      </c>
      <c r="AK192">
        <v>223.352028905894</v>
      </c>
      <c r="AL192">
        <v>83.245718912382799</v>
      </c>
      <c r="AM192">
        <v>94.856474234108205</v>
      </c>
      <c r="AN192">
        <v>1.00000001457618</v>
      </c>
    </row>
    <row r="193" spans="1:40" x14ac:dyDescent="0.3">
      <c r="A193" t="str">
        <f>"20200111150228477"</f>
        <v>20200111150228477</v>
      </c>
      <c r="B193" t="str">
        <f>"1578726148465467"</f>
        <v>1578726148465467</v>
      </c>
      <c r="C193" t="s">
        <v>40</v>
      </c>
      <c r="D193">
        <v>5.5569319999999998</v>
      </c>
      <c r="E193">
        <v>0.51417049999999997</v>
      </c>
      <c r="F193" t="s">
        <v>45</v>
      </c>
      <c r="G193">
        <v>-158.19499999999999</v>
      </c>
      <c r="H193">
        <v>40.619900000000001</v>
      </c>
      <c r="I193">
        <v>373.59980000000002</v>
      </c>
      <c r="J193">
        <v>-384.32619999999997</v>
      </c>
      <c r="K193">
        <v>1.1032789999999999</v>
      </c>
      <c r="L193">
        <v>367.33179999999999</v>
      </c>
      <c r="M193">
        <v>0.99982879999999996</v>
      </c>
      <c r="N193">
        <v>0</v>
      </c>
      <c r="O193">
        <v>-1.4250580000000001E-2</v>
      </c>
      <c r="P193">
        <v>0.99192709999999995</v>
      </c>
      <c r="Q193">
        <v>0.10552640000000001</v>
      </c>
      <c r="R193">
        <v>7.0320919999999995E-2</v>
      </c>
      <c r="S193">
        <v>2.96347</v>
      </c>
      <c r="T193">
        <v>0.51715659999999997</v>
      </c>
      <c r="U193">
        <v>8.1970210000000002E-2</v>
      </c>
      <c r="V193">
        <v>-8.4341760000000002E-2</v>
      </c>
      <c r="W193">
        <v>0.11729059999999999</v>
      </c>
      <c r="X193">
        <v>0.98950970000000005</v>
      </c>
      <c r="Y193">
        <v>-4.1057639999999999E-2</v>
      </c>
      <c r="Z193">
        <v>-6.0229519999999998E-3</v>
      </c>
      <c r="AA193">
        <v>0.99913870000000005</v>
      </c>
      <c r="AB193">
        <v>41</v>
      </c>
      <c r="AC193">
        <v>226.13120000000001</v>
      </c>
      <c r="AD193">
        <v>39.516621000000001</v>
      </c>
      <c r="AE193">
        <v>6.2680000000000202</v>
      </c>
      <c r="AF193">
        <v>-9.2090789626265508</v>
      </c>
      <c r="AG193">
        <v>39.516621000000001</v>
      </c>
      <c r="AH193">
        <v>219.326291504295</v>
      </c>
      <c r="AI193">
        <v>79.795241682431694</v>
      </c>
      <c r="AJ193">
        <v>92.4043246499389</v>
      </c>
      <c r="AK193">
        <v>223.04796034849701</v>
      </c>
      <c r="AL193">
        <v>83.264239158362599</v>
      </c>
      <c r="AM193">
        <v>94.871882357042097</v>
      </c>
      <c r="AN193">
        <v>1.0000000318611699</v>
      </c>
    </row>
    <row r="194" spans="1:40" x14ac:dyDescent="0.3">
      <c r="A194" t="str">
        <f>"20200111150228492"</f>
        <v>20200111150228492</v>
      </c>
      <c r="B194" t="str">
        <f>"1578726148485496"</f>
        <v>1578726148485496</v>
      </c>
      <c r="C194" t="s">
        <v>40</v>
      </c>
      <c r="D194">
        <v>5.7498420000000001</v>
      </c>
      <c r="E194">
        <v>0.51803429999999995</v>
      </c>
      <c r="F194" t="s">
        <v>41</v>
      </c>
      <c r="G194">
        <v>-333.15989999999999</v>
      </c>
      <c r="H194" s="1">
        <v>-3.0373769999999999E-6</v>
      </c>
      <c r="I194">
        <v>368.93619999999999</v>
      </c>
      <c r="J194">
        <v>-384.03460000000001</v>
      </c>
      <c r="K194">
        <v>1.1033299999999999</v>
      </c>
      <c r="L194">
        <v>367.32749999999999</v>
      </c>
      <c r="M194">
        <v>0.99982629999999995</v>
      </c>
      <c r="N194">
        <v>0</v>
      </c>
      <c r="O194">
        <v>-1.440784E-2</v>
      </c>
      <c r="P194">
        <v>0.99196139999999999</v>
      </c>
      <c r="Q194">
        <v>0.10533239999999899</v>
      </c>
      <c r="R194">
        <v>7.0128919999999997E-2</v>
      </c>
      <c r="S194">
        <v>3.024597</v>
      </c>
      <c r="T194">
        <v>-6.5218209999999999E-2</v>
      </c>
      <c r="U194">
        <v>9.4848630000000003E-2</v>
      </c>
      <c r="V194">
        <v>-8.4315210000000002E-2</v>
      </c>
      <c r="W194">
        <v>0.11711439999999999</v>
      </c>
      <c r="X194">
        <v>0.98953279999999999</v>
      </c>
      <c r="Y194">
        <v>-4.5728240000000003E-2</v>
      </c>
      <c r="Z194">
        <v>8.0342110000000005E-4</v>
      </c>
      <c r="AA194">
        <v>0.9989536</v>
      </c>
      <c r="AB194">
        <v>41</v>
      </c>
      <c r="AC194">
        <v>50.874699999999997</v>
      </c>
      <c r="AD194">
        <v>-1.1033330373769901</v>
      </c>
      <c r="AE194">
        <v>1.60869999999999</v>
      </c>
      <c r="AF194">
        <v>-2.3404790544962899</v>
      </c>
      <c r="AG194">
        <v>-1.1033330373769901</v>
      </c>
      <c r="AH194">
        <v>50.822359261348097</v>
      </c>
      <c r="AI194">
        <v>91.242356751122799</v>
      </c>
      <c r="AJ194">
        <v>92.636731052335904</v>
      </c>
      <c r="AK194">
        <v>50.888185140417797</v>
      </c>
      <c r="AL194">
        <v>83.274404518550995</v>
      </c>
      <c r="AM194">
        <v>94.870242963541301</v>
      </c>
      <c r="AN194">
        <v>0.99999999980027199</v>
      </c>
    </row>
    <row r="195" spans="1:40" x14ac:dyDescent="0.3">
      <c r="A195" t="str">
        <f>"20200111150228505"</f>
        <v>20200111150228505</v>
      </c>
      <c r="B195" t="str">
        <f>"1578726148496233"</f>
        <v>1578726148496233</v>
      </c>
      <c r="C195" t="s">
        <v>40</v>
      </c>
      <c r="D195">
        <v>5.789409</v>
      </c>
      <c r="E195">
        <v>0.51706030000000003</v>
      </c>
      <c r="F195" t="s">
        <v>41</v>
      </c>
      <c r="G195">
        <v>-344.28680000000003</v>
      </c>
      <c r="H195" s="1">
        <v>-2.9397590000000001E-6</v>
      </c>
      <c r="I195">
        <v>368.1585</v>
      </c>
      <c r="J195">
        <v>-383.80349999999999</v>
      </c>
      <c r="K195">
        <v>1.1033710000000001</v>
      </c>
      <c r="L195">
        <v>367.32400000000001</v>
      </c>
      <c r="M195">
        <v>0.99982459999999995</v>
      </c>
      <c r="N195">
        <v>0</v>
      </c>
      <c r="O195">
        <v>-1.451472E-2</v>
      </c>
      <c r="P195">
        <v>0.99201490000000003</v>
      </c>
      <c r="Q195">
        <v>0.1048293</v>
      </c>
      <c r="R195">
        <v>7.0124510000000001E-2</v>
      </c>
      <c r="S195">
        <v>3.0287480000000002</v>
      </c>
      <c r="T195">
        <v>-8.407307E-2</v>
      </c>
      <c r="U195">
        <v>6.3323969999999993E-2</v>
      </c>
      <c r="V195">
        <v>-8.4424849999999996E-2</v>
      </c>
      <c r="W195">
        <v>0.1166242</v>
      </c>
      <c r="X195">
        <v>0.9895813</v>
      </c>
      <c r="Y195">
        <v>-3.5394229999999999E-2</v>
      </c>
      <c r="Z195">
        <v>8.9391069999999995E-4</v>
      </c>
      <c r="AA195">
        <v>0.99937299999999996</v>
      </c>
      <c r="AB195">
        <v>41</v>
      </c>
      <c r="AC195">
        <v>39.516699999999901</v>
      </c>
      <c r="AD195">
        <v>-1.1033739397590001</v>
      </c>
      <c r="AE195">
        <v>0.83449999999999103</v>
      </c>
      <c r="AF195">
        <v>-1.4069297102079901</v>
      </c>
      <c r="AG195">
        <v>-1.1033739397590001</v>
      </c>
      <c r="AH195">
        <v>39.469665478950603</v>
      </c>
      <c r="AI195">
        <v>91.600269846327194</v>
      </c>
      <c r="AJ195">
        <v>92.041492302496806</v>
      </c>
      <c r="AK195">
        <v>39.510142726655303</v>
      </c>
      <c r="AL195">
        <v>83.302684399490602</v>
      </c>
      <c r="AM195">
        <v>94.876307654724599</v>
      </c>
      <c r="AN195">
        <v>0.99999995431642497</v>
      </c>
    </row>
    <row r="196" spans="1:40" x14ac:dyDescent="0.3">
      <c r="A196" t="str">
        <f>"20200111150228521"</f>
        <v>20200111150228521</v>
      </c>
      <c r="B196" t="str">
        <f>"1578726148515753"</f>
        <v>1578726148515753</v>
      </c>
      <c r="C196" t="s">
        <v>40</v>
      </c>
      <c r="D196">
        <v>5.773047</v>
      </c>
      <c r="E196">
        <v>0.51644299999999999</v>
      </c>
      <c r="F196" t="s">
        <v>45</v>
      </c>
      <c r="G196">
        <v>-158.19499999999999</v>
      </c>
      <c r="H196">
        <v>38.603679999999997</v>
      </c>
      <c r="I196">
        <v>373.12830000000002</v>
      </c>
      <c r="J196">
        <v>-383.5127</v>
      </c>
      <c r="K196">
        <v>1.103416</v>
      </c>
      <c r="L196">
        <v>367.31970000000001</v>
      </c>
      <c r="M196">
        <v>0.99982280000000001</v>
      </c>
      <c r="N196">
        <v>0</v>
      </c>
      <c r="O196">
        <v>-1.4627589999999999E-2</v>
      </c>
      <c r="P196">
        <v>0.99209939999999996</v>
      </c>
      <c r="Q196">
        <v>0.1040165</v>
      </c>
      <c r="R196">
        <v>7.0138889999999995E-2</v>
      </c>
      <c r="S196">
        <v>2.966675</v>
      </c>
      <c r="T196">
        <v>0.49311709999999898</v>
      </c>
      <c r="U196">
        <v>7.6324459999999997E-2</v>
      </c>
      <c r="V196">
        <v>-8.4562570000000004E-2</v>
      </c>
      <c r="W196">
        <v>0.1158262</v>
      </c>
      <c r="X196">
        <v>0.98966330000000002</v>
      </c>
      <c r="Y196">
        <v>-3.9596239999999998E-2</v>
      </c>
      <c r="Z196">
        <v>-5.6825089999999997E-3</v>
      </c>
      <c r="AA196">
        <v>0.99919959999999997</v>
      </c>
      <c r="AB196">
        <v>41</v>
      </c>
      <c r="AC196">
        <v>225.3177</v>
      </c>
      <c r="AD196">
        <v>37.500264000000001</v>
      </c>
      <c r="AE196">
        <v>5.80860000000001</v>
      </c>
      <c r="AF196">
        <v>-8.8588389074138796</v>
      </c>
      <c r="AG196">
        <v>37.500264000000001</v>
      </c>
      <c r="AH196">
        <v>219.14242885514699</v>
      </c>
      <c r="AI196">
        <v>80.297216083877899</v>
      </c>
      <c r="AJ196">
        <v>92.314923059787603</v>
      </c>
      <c r="AK196">
        <v>222.504276254166</v>
      </c>
      <c r="AL196">
        <v>83.348718665162906</v>
      </c>
      <c r="AM196">
        <v>94.883821063492505</v>
      </c>
      <c r="AN196">
        <v>0.99999999210916701</v>
      </c>
    </row>
    <row r="197" spans="1:40" x14ac:dyDescent="0.3">
      <c r="A197" t="str">
        <f>"20200111150228544"</f>
        <v>20200111150228544</v>
      </c>
      <c r="B197" t="str">
        <f>"1578726148535274"</f>
        <v>1578726148535274</v>
      </c>
      <c r="C197" t="s">
        <v>40</v>
      </c>
      <c r="D197">
        <v>5.564514</v>
      </c>
      <c r="E197">
        <v>0.52385349999999997</v>
      </c>
      <c r="F197" t="s">
        <v>45</v>
      </c>
      <c r="G197">
        <v>-158.19499999999999</v>
      </c>
      <c r="H197">
        <v>42.048020000000001</v>
      </c>
      <c r="I197">
        <v>373.50009999999997</v>
      </c>
      <c r="J197">
        <v>-383.1053</v>
      </c>
      <c r="K197">
        <v>1.1034820000000001</v>
      </c>
      <c r="L197">
        <v>367.31360000000001</v>
      </c>
      <c r="M197">
        <v>0.9998205</v>
      </c>
      <c r="N197">
        <v>0</v>
      </c>
      <c r="O197">
        <v>-1.474922E-2</v>
      </c>
      <c r="P197">
        <v>0.9921913</v>
      </c>
      <c r="Q197">
        <v>0.1032851</v>
      </c>
      <c r="R197">
        <v>6.9918839999999996E-2</v>
      </c>
      <c r="S197">
        <v>2.9617</v>
      </c>
      <c r="T197">
        <v>0.53819939999999999</v>
      </c>
      <c r="U197">
        <v>8.1237790000000004E-2</v>
      </c>
      <c r="V197">
        <v>-8.4478090000000006E-2</v>
      </c>
      <c r="W197">
        <v>0.11511200000000001</v>
      </c>
      <c r="X197">
        <v>0.98975380000000002</v>
      </c>
      <c r="Y197">
        <v>-4.1244450000000002E-2</v>
      </c>
      <c r="Z197">
        <v>-6.3745629999999998E-3</v>
      </c>
      <c r="AA197">
        <v>0.99912880000000004</v>
      </c>
      <c r="AB197">
        <v>41</v>
      </c>
      <c r="AC197">
        <v>224.91030000000001</v>
      </c>
      <c r="AD197">
        <v>40.944538000000001</v>
      </c>
      <c r="AE197">
        <v>6.1864999999999597</v>
      </c>
      <c r="AF197">
        <v>-9.1986845687173808</v>
      </c>
      <c r="AG197">
        <v>40.944538000000001</v>
      </c>
      <c r="AH197">
        <v>217.58879395745001</v>
      </c>
      <c r="AI197">
        <v>79.352340329018901</v>
      </c>
      <c r="AJ197">
        <v>92.420768767532806</v>
      </c>
      <c r="AK197">
        <v>221.59863322160999</v>
      </c>
      <c r="AL197">
        <v>83.389914607072001</v>
      </c>
      <c r="AM197">
        <v>94.878521610464801</v>
      </c>
      <c r="AN197">
        <v>0.999999952424243</v>
      </c>
    </row>
    <row r="198" spans="1:40" x14ac:dyDescent="0.3">
      <c r="A198" t="str">
        <f>"20200111150228555"</f>
        <v>20200111150228555</v>
      </c>
      <c r="B198" t="str">
        <f>"1578726148546008"</f>
        <v>1578726148546008</v>
      </c>
      <c r="C198" t="s">
        <v>40</v>
      </c>
      <c r="D198">
        <v>5.6219659999999996</v>
      </c>
      <c r="E198">
        <v>0.52402539999999997</v>
      </c>
      <c r="F198" t="s">
        <v>41</v>
      </c>
      <c r="G198">
        <v>-363.3759</v>
      </c>
      <c r="H198" s="1">
        <v>-3.2143369999999998E-6</v>
      </c>
      <c r="I198">
        <v>367.41590000000002</v>
      </c>
      <c r="J198">
        <v>-382.8843</v>
      </c>
      <c r="K198">
        <v>1.103512</v>
      </c>
      <c r="L198">
        <v>367.31029999999998</v>
      </c>
      <c r="M198">
        <v>0.99981960000000003</v>
      </c>
      <c r="N198">
        <v>0</v>
      </c>
      <c r="O198">
        <v>-1.479685E-2</v>
      </c>
      <c r="P198">
        <v>0.99219820000000003</v>
      </c>
      <c r="Q198">
        <v>0.10335370000000001</v>
      </c>
      <c r="R198">
        <v>6.9720870000000004E-2</v>
      </c>
      <c r="S198">
        <v>3.0401919999999998</v>
      </c>
      <c r="T198">
        <v>-0.17004029999999901</v>
      </c>
      <c r="U198">
        <v>1.5777590000000001E-2</v>
      </c>
      <c r="V198">
        <v>-8.4334339999999994E-2</v>
      </c>
      <c r="W198">
        <v>0.1151882</v>
      </c>
      <c r="X198">
        <v>0.9897572</v>
      </c>
      <c r="Y198">
        <v>-1.9932450000000001E-2</v>
      </c>
      <c r="Z198">
        <v>1.3839709999999999E-3</v>
      </c>
      <c r="AA198">
        <v>0.99980040000000003</v>
      </c>
      <c r="AB198">
        <v>41</v>
      </c>
      <c r="AC198">
        <v>19.508399999999899</v>
      </c>
      <c r="AD198">
        <v>-1.103515214337</v>
      </c>
      <c r="AE198">
        <v>0.105600000000038</v>
      </c>
      <c r="AF198">
        <v>-0.39301427448037801</v>
      </c>
      <c r="AG198">
        <v>-1.103515214337</v>
      </c>
      <c r="AH198">
        <v>19.4424923661063</v>
      </c>
      <c r="AI198">
        <v>93.247841261352093</v>
      </c>
      <c r="AJ198">
        <v>91.158030178561404</v>
      </c>
      <c r="AK198">
        <v>19.4777492399487</v>
      </c>
      <c r="AL198">
        <v>83.385519473491399</v>
      </c>
      <c r="AM198">
        <v>94.870243511191603</v>
      </c>
      <c r="AN198">
        <v>0.99999995863715696</v>
      </c>
    </row>
    <row r="199" spans="1:40" x14ac:dyDescent="0.3">
      <c r="A199" t="str">
        <f>"20200111150228567"</f>
        <v>20200111150228567</v>
      </c>
      <c r="B199" t="str">
        <f>"1578726148565528"</f>
        <v>1578726148565528</v>
      </c>
      <c r="C199" t="s">
        <v>40</v>
      </c>
      <c r="D199">
        <v>5.7823359999999999</v>
      </c>
      <c r="E199">
        <v>0.51545569999999996</v>
      </c>
      <c r="F199" t="s">
        <v>41</v>
      </c>
      <c r="G199">
        <v>-363.68049999999999</v>
      </c>
      <c r="H199" s="1">
        <v>-3.0871430000000002E-6</v>
      </c>
      <c r="I199">
        <v>367.3963</v>
      </c>
      <c r="J199">
        <v>-382.65600000000001</v>
      </c>
      <c r="K199">
        <v>1.1035440000000001</v>
      </c>
      <c r="L199">
        <v>367.30689999999998</v>
      </c>
      <c r="M199">
        <v>0.99981889999999995</v>
      </c>
      <c r="N199">
        <v>0</v>
      </c>
      <c r="O199">
        <v>-1.483744E-2</v>
      </c>
      <c r="P199">
        <v>0.99221700000000002</v>
      </c>
      <c r="Q199">
        <v>0.1032878</v>
      </c>
      <c r="R199">
        <v>6.954776E-2</v>
      </c>
      <c r="S199">
        <v>3.0408629999999999</v>
      </c>
      <c r="T199">
        <v>-0.1747369</v>
      </c>
      <c r="U199">
        <v>1.364136E-2</v>
      </c>
      <c r="V199">
        <v>-8.4208909999999998E-2</v>
      </c>
      <c r="W199">
        <v>0.1151295</v>
      </c>
      <c r="X199">
        <v>0.98977479999999995</v>
      </c>
      <c r="Y199">
        <v>-1.926756E-2</v>
      </c>
      <c r="Z199">
        <v>1.405066E-3</v>
      </c>
      <c r="AA199">
        <v>0.99981339999999996</v>
      </c>
      <c r="AB199">
        <v>41</v>
      </c>
      <c r="AC199">
        <v>18.9755</v>
      </c>
      <c r="AD199">
        <v>-1.103547087143</v>
      </c>
      <c r="AE199">
        <v>8.9400000000011901E-2</v>
      </c>
      <c r="AF199">
        <v>-0.36970760880203102</v>
      </c>
      <c r="AG199">
        <v>-1.103547087143</v>
      </c>
      <c r="AH199">
        <v>18.908135216532202</v>
      </c>
      <c r="AI199">
        <v>93.339562683400501</v>
      </c>
      <c r="AJ199">
        <v>91.120152068977802</v>
      </c>
      <c r="AK199">
        <v>18.943919268625798</v>
      </c>
      <c r="AL199">
        <v>83.388905858005998</v>
      </c>
      <c r="AM199">
        <v>94.862948729172999</v>
      </c>
      <c r="AN199">
        <v>1.0000000485043301</v>
      </c>
    </row>
    <row r="200" spans="1:40" x14ac:dyDescent="0.3">
      <c r="A200" t="str">
        <f>"20200111150228581"</f>
        <v>20200111150228581</v>
      </c>
      <c r="B200" t="str">
        <f>"1578726148576264"</f>
        <v>1578726148576264</v>
      </c>
      <c r="C200" t="s">
        <v>40</v>
      </c>
      <c r="D200">
        <v>5.7796709999999996</v>
      </c>
      <c r="E200">
        <v>0.51672169999999995</v>
      </c>
      <c r="F200" t="s">
        <v>45</v>
      </c>
      <c r="G200">
        <v>-158.19499999999999</v>
      </c>
      <c r="H200">
        <v>49.521160000000002</v>
      </c>
      <c r="I200">
        <v>374.0385</v>
      </c>
      <c r="J200">
        <v>-382.4357</v>
      </c>
      <c r="K200">
        <v>1.1035729999999999</v>
      </c>
      <c r="L200">
        <v>367.30360000000002</v>
      </c>
      <c r="M200">
        <v>0.9998184</v>
      </c>
      <c r="N200">
        <v>0</v>
      </c>
      <c r="O200">
        <v>-1.486293E-2</v>
      </c>
      <c r="P200">
        <v>0.99223510000000004</v>
      </c>
      <c r="Q200">
        <v>0.1033361</v>
      </c>
      <c r="R200">
        <v>6.9219379999999997E-2</v>
      </c>
      <c r="S200">
        <v>2.9510190000000001</v>
      </c>
      <c r="T200">
        <v>0.63655390000000001</v>
      </c>
      <c r="U200">
        <v>8.8500980000000007E-2</v>
      </c>
      <c r="V200">
        <v>-8.3911970000000002E-2</v>
      </c>
      <c r="W200">
        <v>0.11518399999999999</v>
      </c>
      <c r="X200">
        <v>0.9897937</v>
      </c>
      <c r="Y200">
        <v>-4.3489409999999999E-2</v>
      </c>
      <c r="Z200">
        <v>-7.8053419999999998E-3</v>
      </c>
      <c r="AA200">
        <v>0.99902340000000001</v>
      </c>
      <c r="AB200">
        <v>41</v>
      </c>
      <c r="AC200">
        <v>224.2407</v>
      </c>
      <c r="AD200">
        <v>48.417586999999997</v>
      </c>
      <c r="AE200">
        <v>6.7348999999999801</v>
      </c>
      <c r="AF200">
        <v>-9.6192178117574105</v>
      </c>
      <c r="AG200">
        <v>48.417586999999997</v>
      </c>
      <c r="AH200">
        <v>214.141425701781</v>
      </c>
      <c r="AI200">
        <v>77.272004686622395</v>
      </c>
      <c r="AJ200">
        <v>92.571993401100897</v>
      </c>
      <c r="AK200">
        <v>219.757462407546</v>
      </c>
      <c r="AL200">
        <v>83.385762471847002</v>
      </c>
      <c r="AM200">
        <v>94.845790562917301</v>
      </c>
      <c r="AN200">
        <v>1.0000000705624801</v>
      </c>
    </row>
    <row r="201" spans="1:40" x14ac:dyDescent="0.3">
      <c r="A201" t="str">
        <f>"20200111150228598"</f>
        <v>20200111150228598</v>
      </c>
      <c r="B201" t="str">
        <f>"1578726148595785"</f>
        <v>1578726148595785</v>
      </c>
      <c r="C201" t="s">
        <v>40</v>
      </c>
      <c r="D201">
        <v>7.3238079999999997</v>
      </c>
      <c r="E201">
        <v>0.51697029999999999</v>
      </c>
      <c r="F201" t="s">
        <v>45</v>
      </c>
      <c r="G201">
        <v>-158.19499999999999</v>
      </c>
      <c r="H201">
        <v>49.411180000000002</v>
      </c>
      <c r="I201">
        <v>373.19900000000001</v>
      </c>
      <c r="J201">
        <v>-382.1087</v>
      </c>
      <c r="K201">
        <v>1.1036109999999999</v>
      </c>
      <c r="L201">
        <v>367.29860000000002</v>
      </c>
      <c r="M201">
        <v>0.99981779999999998</v>
      </c>
      <c r="N201">
        <v>0</v>
      </c>
      <c r="O201">
        <v>-1.489157E-2</v>
      </c>
      <c r="P201">
        <v>0.99225229999999998</v>
      </c>
      <c r="Q201">
        <v>0.10343769999999999</v>
      </c>
      <c r="R201">
        <v>6.881777E-2</v>
      </c>
      <c r="S201">
        <v>2.9518740000000001</v>
      </c>
      <c r="T201">
        <v>0.63591560000000003</v>
      </c>
      <c r="U201">
        <v>7.76062E-2</v>
      </c>
      <c r="V201">
        <v>-8.3546529999999994E-2</v>
      </c>
      <c r="W201">
        <v>0.1152948</v>
      </c>
      <c r="X201">
        <v>0.98981169999999996</v>
      </c>
      <c r="Y201">
        <v>-3.9909500000000001E-2</v>
      </c>
      <c r="Z201">
        <v>-7.4207839999999997E-3</v>
      </c>
      <c r="AA201">
        <v>0.9991757</v>
      </c>
      <c r="AB201">
        <v>41</v>
      </c>
      <c r="AC201">
        <v>223.91370000000001</v>
      </c>
      <c r="AD201">
        <v>48.307569000000001</v>
      </c>
      <c r="AE201">
        <v>5.9003999999999897</v>
      </c>
      <c r="AF201">
        <v>-8.8239862934205497</v>
      </c>
      <c r="AG201">
        <v>48.307569000000001</v>
      </c>
      <c r="AH201">
        <v>213.85415232778399</v>
      </c>
      <c r="AI201">
        <v>77.281545473318403</v>
      </c>
      <c r="AJ201">
        <v>92.362781084955301</v>
      </c>
      <c r="AK201">
        <v>219.419877004412</v>
      </c>
      <c r="AL201">
        <v>83.379371435065593</v>
      </c>
      <c r="AM201">
        <v>94.824699463915707</v>
      </c>
      <c r="AN201">
        <v>1.0000000575194801</v>
      </c>
    </row>
    <row r="202" spans="1:40" x14ac:dyDescent="0.3">
      <c r="A202" t="str">
        <f>"20200111150228611"</f>
        <v>20200111150228611</v>
      </c>
      <c r="B202" t="str">
        <f>"1578726148605544"</f>
        <v>1578726148605544</v>
      </c>
      <c r="C202" t="s">
        <v>40</v>
      </c>
      <c r="D202">
        <v>6.7731179999999904</v>
      </c>
      <c r="E202">
        <v>0.50544849999999997</v>
      </c>
      <c r="F202" t="s">
        <v>45</v>
      </c>
      <c r="G202">
        <v>-158.19499999999999</v>
      </c>
      <c r="H202">
        <v>48.863529999999997</v>
      </c>
      <c r="I202">
        <v>372.95710000000003</v>
      </c>
      <c r="J202">
        <v>-381.87569999999999</v>
      </c>
      <c r="K202">
        <v>1.1036360000000001</v>
      </c>
      <c r="L202">
        <v>367.29509999999999</v>
      </c>
      <c r="M202">
        <v>0.99981750000000003</v>
      </c>
      <c r="N202">
        <v>0</v>
      </c>
      <c r="O202">
        <v>-1.4905669999999999E-2</v>
      </c>
      <c r="P202">
        <v>0.9922704</v>
      </c>
      <c r="Q202">
        <v>0.1033676</v>
      </c>
      <c r="R202">
        <v>6.8664630000000004E-2</v>
      </c>
      <c r="S202">
        <v>2.9526370000000002</v>
      </c>
      <c r="T202">
        <v>0.62978699999999999</v>
      </c>
      <c r="U202">
        <v>7.4615479999999998E-2</v>
      </c>
      <c r="V202">
        <v>-8.3413109999999999E-2</v>
      </c>
      <c r="W202">
        <v>0.115230399999999</v>
      </c>
      <c r="X202">
        <v>0.9898304</v>
      </c>
      <c r="Y202">
        <v>-3.8951050000000001E-2</v>
      </c>
      <c r="Z202">
        <v>-7.25098699999999E-3</v>
      </c>
      <c r="AA202">
        <v>0.99921479999999996</v>
      </c>
      <c r="AB202">
        <v>41</v>
      </c>
      <c r="AC202">
        <v>223.6807</v>
      </c>
      <c r="AD202">
        <v>47.759894000000003</v>
      </c>
      <c r="AE202">
        <v>5.6620000000000301</v>
      </c>
      <c r="AF202">
        <v>-8.6037268253411199</v>
      </c>
      <c r="AG202">
        <v>47.759894000000003</v>
      </c>
      <c r="AH202">
        <v>213.82921106463499</v>
      </c>
      <c r="AI202">
        <v>77.419195448019806</v>
      </c>
      <c r="AJ202">
        <v>92.304135449791005</v>
      </c>
      <c r="AK202">
        <v>219.26687641935499</v>
      </c>
      <c r="AL202">
        <v>83.383085700820402</v>
      </c>
      <c r="AM202">
        <v>94.816940347108698</v>
      </c>
      <c r="AN202">
        <v>1.0000000063840899</v>
      </c>
    </row>
    <row r="203" spans="1:40" x14ac:dyDescent="0.3">
      <c r="A203" t="str">
        <f>"20200111150228624"</f>
        <v>20200111150228624</v>
      </c>
      <c r="B203" t="str">
        <f>"1578726148615304"</f>
        <v>1578726148615304</v>
      </c>
      <c r="C203" t="s">
        <v>40</v>
      </c>
      <c r="D203">
        <v>5.7765259999999996</v>
      </c>
      <c r="E203">
        <v>0.50544849999999997</v>
      </c>
      <c r="F203" t="s">
        <v>44</v>
      </c>
      <c r="G203">
        <v>0</v>
      </c>
      <c r="H203">
        <v>0</v>
      </c>
      <c r="I203">
        <v>0</v>
      </c>
      <c r="J203">
        <v>-381.64120000000003</v>
      </c>
      <c r="K203">
        <v>1.1036520000000001</v>
      </c>
      <c r="L203">
        <v>367.29169999999999</v>
      </c>
      <c r="M203">
        <v>0.99981730000000002</v>
      </c>
      <c r="N203">
        <v>0</v>
      </c>
      <c r="O203">
        <v>-1.4913829999999999E-2</v>
      </c>
      <c r="P203">
        <v>0.99230300000000005</v>
      </c>
      <c r="Q203">
        <v>0.1031784</v>
      </c>
      <c r="R203">
        <v>6.8476690000000007E-2</v>
      </c>
      <c r="S203">
        <v>2.8414920000000001</v>
      </c>
      <c r="T203">
        <v>1.6294280000000001</v>
      </c>
      <c r="U203">
        <v>0.17517089999999999</v>
      </c>
      <c r="V203">
        <v>-8.3237450000000004E-2</v>
      </c>
      <c r="W203">
        <v>0.1150457</v>
      </c>
      <c r="X203">
        <v>0.98986669999999999</v>
      </c>
      <c r="Y203">
        <v>-6.4343670000000006E-2</v>
      </c>
      <c r="Z203">
        <v>-2.5066970000000001E-2</v>
      </c>
      <c r="AA203">
        <v>0.99761290000000002</v>
      </c>
      <c r="AB203">
        <v>41</v>
      </c>
      <c r="AC203">
        <v>2.8414920000000001</v>
      </c>
      <c r="AD203">
        <v>1.6294280000000001</v>
      </c>
      <c r="AE203">
        <v>0.17517089999999999</v>
      </c>
      <c r="AF203">
        <v>-0.16385483376355001</v>
      </c>
      <c r="AG203">
        <v>1.6294280000000001</v>
      </c>
      <c r="AH203">
        <v>2.1381331093434501</v>
      </c>
      <c r="AI203">
        <v>52.7705490167058</v>
      </c>
      <c r="AJ203">
        <v>94.382269931198394</v>
      </c>
      <c r="AK203">
        <v>2.69323174030799</v>
      </c>
      <c r="AL203">
        <v>83.393739271237706</v>
      </c>
      <c r="AM203">
        <v>94.806668465849896</v>
      </c>
      <c r="AN203">
        <v>1.0000000349699401</v>
      </c>
    </row>
    <row r="204" spans="1:40" x14ac:dyDescent="0.3">
      <c r="A204" t="str">
        <f>"20200111150228644"</f>
        <v>20200111150228644</v>
      </c>
      <c r="B204" t="str">
        <f>"1578726148635799"</f>
        <v>1578726148635799</v>
      </c>
      <c r="C204" t="s">
        <v>40</v>
      </c>
      <c r="D204">
        <v>5.165197</v>
      </c>
      <c r="E204">
        <v>0.51465179999999999</v>
      </c>
      <c r="F204" t="s">
        <v>44</v>
      </c>
      <c r="G204">
        <v>0</v>
      </c>
      <c r="H204">
        <v>0</v>
      </c>
      <c r="I204">
        <v>0</v>
      </c>
      <c r="J204">
        <v>-381.2681</v>
      </c>
      <c r="K204">
        <v>1.103677</v>
      </c>
      <c r="L204">
        <v>367.286</v>
      </c>
      <c r="M204">
        <v>0.99981730000000002</v>
      </c>
      <c r="N204">
        <v>0</v>
      </c>
      <c r="O204">
        <v>-1.4921220000000001E-2</v>
      </c>
      <c r="P204">
        <v>0.99224049999999997</v>
      </c>
      <c r="Q204">
        <v>0.10344929999999999</v>
      </c>
      <c r="R204">
        <v>6.8975610000000007E-2</v>
      </c>
      <c r="S204">
        <v>2.8417970000000001</v>
      </c>
      <c r="T204">
        <v>1.628951</v>
      </c>
      <c r="U204">
        <v>0.1751404</v>
      </c>
      <c r="V204">
        <v>-8.3748290000000003E-2</v>
      </c>
      <c r="W204">
        <v>0.115319</v>
      </c>
      <c r="X204">
        <v>0.9897918</v>
      </c>
      <c r="Y204">
        <v>-6.4341899999999994E-2</v>
      </c>
      <c r="Z204">
        <v>-2.5061750000000001E-2</v>
      </c>
      <c r="AA204">
        <v>0.99761319999999998</v>
      </c>
      <c r="AB204">
        <v>41</v>
      </c>
      <c r="AC204">
        <v>2.8417970000000001</v>
      </c>
      <c r="AD204">
        <v>1.628951</v>
      </c>
      <c r="AE204">
        <v>0.1751404</v>
      </c>
      <c r="AF204">
        <v>-0.16388335234735299</v>
      </c>
      <c r="AG204">
        <v>1.628951</v>
      </c>
      <c r="AH204">
        <v>2.1387829897391399</v>
      </c>
      <c r="AI204">
        <v>52.786995570861301</v>
      </c>
      <c r="AJ204">
        <v>94.381703064909004</v>
      </c>
      <c r="AK204">
        <v>2.6934609317335698</v>
      </c>
      <c r="AL204">
        <v>83.377975367660397</v>
      </c>
      <c r="AM204">
        <v>94.8363924069929</v>
      </c>
      <c r="AN204">
        <v>1.00000002759308</v>
      </c>
    </row>
    <row r="205" spans="1:40" x14ac:dyDescent="0.3">
      <c r="A205" t="str">
        <f>"20200111150228657"</f>
        <v>20200111150228657</v>
      </c>
      <c r="B205" t="str">
        <f>"1578726148645560"</f>
        <v>1578726148645560</v>
      </c>
      <c r="C205" t="s">
        <v>40</v>
      </c>
      <c r="D205">
        <v>5.4667680000000001</v>
      </c>
      <c r="E205">
        <v>0.52516969999999996</v>
      </c>
      <c r="F205" t="s">
        <v>45</v>
      </c>
      <c r="G205">
        <v>-158.19499999999999</v>
      </c>
      <c r="H205">
        <v>49.128279999999997</v>
      </c>
      <c r="I205">
        <v>374.3596</v>
      </c>
      <c r="J205">
        <v>-381.05119999999999</v>
      </c>
      <c r="K205">
        <v>1.1036859999999999</v>
      </c>
      <c r="L205">
        <v>367.28280000000001</v>
      </c>
      <c r="M205">
        <v>0.99981710000000001</v>
      </c>
      <c r="N205">
        <v>0</v>
      </c>
      <c r="O205">
        <v>-1.492277E-2</v>
      </c>
      <c r="P205">
        <v>0.9922453</v>
      </c>
      <c r="Q205">
        <v>0.1031797</v>
      </c>
      <c r="R205">
        <v>6.9306530000000005E-2</v>
      </c>
      <c r="S205">
        <v>2.950745</v>
      </c>
      <c r="T205">
        <v>0.63525589999999998</v>
      </c>
      <c r="U205">
        <v>9.356689E-2</v>
      </c>
      <c r="V205">
        <v>-8.4083669999999999E-2</v>
      </c>
      <c r="W205">
        <v>0.1150499</v>
      </c>
      <c r="X205">
        <v>0.98979470000000003</v>
      </c>
      <c r="Y205">
        <v>-4.5229470000000001E-2</v>
      </c>
      <c r="Z205">
        <v>-7.9881750000000001E-3</v>
      </c>
      <c r="AA205">
        <v>0.99894470000000002</v>
      </c>
      <c r="AB205">
        <v>41</v>
      </c>
      <c r="AC205">
        <v>222.8562</v>
      </c>
      <c r="AD205">
        <v>48.024593999999901</v>
      </c>
      <c r="AE205">
        <v>7.0767999999999898</v>
      </c>
      <c r="AF205">
        <v>-9.9407150056820601</v>
      </c>
      <c r="AG205">
        <v>48.024593999999901</v>
      </c>
      <c r="AH205">
        <v>212.85123831690001</v>
      </c>
      <c r="AI205">
        <v>77.298922241669501</v>
      </c>
      <c r="AJ205">
        <v>92.673921297978097</v>
      </c>
      <c r="AK205">
        <v>218.428086785392</v>
      </c>
      <c r="AL205">
        <v>83.393497090952593</v>
      </c>
      <c r="AM205">
        <v>94.855653738980905</v>
      </c>
      <c r="AN205">
        <v>1.00000004559938</v>
      </c>
    </row>
    <row r="206" spans="1:40" x14ac:dyDescent="0.3">
      <c r="A206" t="str">
        <f>"20200111150229023"</f>
        <v>20200111150229023</v>
      </c>
      <c r="B206" t="str">
        <f>"1578726149016098"</f>
        <v>1578726149016098</v>
      </c>
      <c r="C206" t="s">
        <v>40</v>
      </c>
      <c r="D206">
        <v>5.6619809999999999</v>
      </c>
      <c r="E206">
        <v>0.52516969999999996</v>
      </c>
      <c r="F206" t="s">
        <v>45</v>
      </c>
      <c r="G206">
        <v>-158.78319999999999</v>
      </c>
      <c r="H206">
        <v>16.567620000000002</v>
      </c>
      <c r="I206">
        <v>367.76650000000001</v>
      </c>
      <c r="J206">
        <v>-374.33859999999999</v>
      </c>
      <c r="K206">
        <v>1.1041179999999999</v>
      </c>
      <c r="L206">
        <v>367.18700000000001</v>
      </c>
      <c r="M206">
        <v>0.99984969999999995</v>
      </c>
      <c r="N206">
        <v>0</v>
      </c>
      <c r="O206">
        <v>-1.2682290000000001E-2</v>
      </c>
      <c r="P206">
        <v>0.99279229999999996</v>
      </c>
      <c r="Q206">
        <v>0.10138709999999999</v>
      </c>
      <c r="R206">
        <v>6.391049E-2</v>
      </c>
      <c r="S206">
        <v>3.0012509999999999</v>
      </c>
      <c r="T206">
        <v>0.2088082</v>
      </c>
      <c r="U206">
        <v>6.5307619999999999E-3</v>
      </c>
      <c r="V206">
        <v>-7.6594220000000005E-2</v>
      </c>
      <c r="W206">
        <v>0.11304889999999999</v>
      </c>
      <c r="X206">
        <v>0.99063279999999998</v>
      </c>
      <c r="Y206">
        <v>-1.479257E-2</v>
      </c>
      <c r="Z206">
        <v>-1.3952999999999999E-3</v>
      </c>
      <c r="AA206">
        <v>0.99988960000000005</v>
      </c>
      <c r="AB206">
        <v>41</v>
      </c>
      <c r="AC206">
        <v>215.55539999999999</v>
      </c>
      <c r="AD206">
        <v>15.463502</v>
      </c>
      <c r="AE206">
        <v>0.57950000000005197</v>
      </c>
      <c r="AF206">
        <v>-3.2964161707661499</v>
      </c>
      <c r="AG206">
        <v>15.463502</v>
      </c>
      <c r="AH206">
        <v>214.42720610280301</v>
      </c>
      <c r="AI206">
        <v>85.8757186203174</v>
      </c>
      <c r="AJ206">
        <v>90.880745782459798</v>
      </c>
      <c r="AK206">
        <v>215.00933228752899</v>
      </c>
      <c r="AL206">
        <v>83.508898888421498</v>
      </c>
      <c r="AM206">
        <v>94.421226201911097</v>
      </c>
      <c r="AN206">
        <v>1.0000000363822199</v>
      </c>
    </row>
    <row r="207" spans="1:40" x14ac:dyDescent="0.3">
      <c r="A207" t="str">
        <f>"20200111150229049"</f>
        <v>20200111150229049</v>
      </c>
      <c r="B207" t="str">
        <f>"1578726149045377"</f>
        <v>1578726149045377</v>
      </c>
      <c r="C207" t="s">
        <v>40</v>
      </c>
      <c r="D207">
        <v>5.4616170000000004</v>
      </c>
      <c r="E207">
        <v>0.56199180000000004</v>
      </c>
      <c r="F207" t="s">
        <v>45</v>
      </c>
      <c r="G207">
        <v>-158.19499999999999</v>
      </c>
      <c r="H207">
        <v>15.687010000000001</v>
      </c>
      <c r="I207">
        <v>366.53879999999998</v>
      </c>
      <c r="J207">
        <v>-373.89069999999998</v>
      </c>
      <c r="K207">
        <v>1.1041639999999999</v>
      </c>
      <c r="L207">
        <v>367.18180000000001</v>
      </c>
      <c r="M207">
        <v>0.99985599999999997</v>
      </c>
      <c r="N207">
        <v>0</v>
      </c>
      <c r="O207">
        <v>-1.2179260000000001E-2</v>
      </c>
      <c r="P207">
        <v>0.9926973</v>
      </c>
      <c r="Q207">
        <v>0.101579</v>
      </c>
      <c r="R207">
        <v>6.5066609999999997E-2</v>
      </c>
      <c r="S207">
        <v>3.001709</v>
      </c>
      <c r="T207">
        <v>0.20252200000000001</v>
      </c>
      <c r="U207">
        <v>-9.0026859999999993E-3</v>
      </c>
      <c r="V207">
        <v>-7.7261979999999994E-2</v>
      </c>
      <c r="W207">
        <v>0.1132256</v>
      </c>
      <c r="X207">
        <v>0.99056069999999996</v>
      </c>
      <c r="Y207">
        <v>-9.1326500000000008E-3</v>
      </c>
      <c r="Z207">
        <v>-1.1285589999999999E-3</v>
      </c>
      <c r="AA207">
        <v>0.99995769999999995</v>
      </c>
      <c r="AB207">
        <v>41</v>
      </c>
      <c r="AC207">
        <v>215.69569999999999</v>
      </c>
      <c r="AD207">
        <v>14.582846</v>
      </c>
      <c r="AE207">
        <v>-0.64300000000002899</v>
      </c>
      <c r="AF207">
        <v>-1.9752167174113699</v>
      </c>
      <c r="AG207">
        <v>14.582846</v>
      </c>
      <c r="AH207">
        <v>214.70614012680801</v>
      </c>
      <c r="AI207">
        <v>86.114600777195704</v>
      </c>
      <c r="AJ207">
        <v>90.527085014601695</v>
      </c>
      <c r="AK207">
        <v>215.209868469578</v>
      </c>
      <c r="AL207">
        <v>83.498708901590007</v>
      </c>
      <c r="AM207">
        <v>94.459939592466796</v>
      </c>
      <c r="AN207">
        <v>0.99999997521668404</v>
      </c>
    </row>
    <row r="208" spans="1:40" x14ac:dyDescent="0.3">
      <c r="A208" t="str">
        <f>"20200111150229060"</f>
        <v>20200111150229060</v>
      </c>
      <c r="B208" t="str">
        <f>"1578726149056113"</f>
        <v>1578726149056113</v>
      </c>
      <c r="C208" t="s">
        <v>40</v>
      </c>
      <c r="D208">
        <v>5.4627569999999999</v>
      </c>
      <c r="E208">
        <v>0.562542599999999</v>
      </c>
      <c r="F208" t="s">
        <v>44</v>
      </c>
      <c r="G208">
        <v>0</v>
      </c>
      <c r="H208">
        <v>0</v>
      </c>
      <c r="I208">
        <v>0</v>
      </c>
      <c r="J208">
        <v>-373.66559999999998</v>
      </c>
      <c r="K208">
        <v>1.104182</v>
      </c>
      <c r="L208">
        <v>367.17919999999998</v>
      </c>
      <c r="M208">
        <v>0.99985930000000001</v>
      </c>
      <c r="N208">
        <v>0</v>
      </c>
      <c r="O208">
        <v>-1.1913780000000001E-2</v>
      </c>
      <c r="P208">
        <v>0.99266849999999995</v>
      </c>
      <c r="Q208">
        <v>0.1014765</v>
      </c>
      <c r="R208">
        <v>6.5666760000000005E-2</v>
      </c>
      <c r="S208">
        <v>2.9838870000000002</v>
      </c>
      <c r="T208">
        <v>0.56322159999999999</v>
      </c>
      <c r="U208">
        <v>-0.2963867</v>
      </c>
      <c r="V208">
        <v>-7.7602569999999996E-2</v>
      </c>
      <c r="W208">
        <v>0.1131171</v>
      </c>
      <c r="X208">
        <v>0.9905465</v>
      </c>
      <c r="Y208">
        <v>8.5689650000000006E-2</v>
      </c>
      <c r="Z208">
        <v>5.7736430000000002E-3</v>
      </c>
      <c r="AA208">
        <v>0.9963052</v>
      </c>
      <c r="AB208">
        <v>41</v>
      </c>
      <c r="AC208">
        <v>2.9838870000000002</v>
      </c>
      <c r="AD208">
        <v>0.56322159999999999</v>
      </c>
      <c r="AE208">
        <v>-0.2963867</v>
      </c>
      <c r="AF208">
        <v>0.251925837382726</v>
      </c>
      <c r="AG208">
        <v>0.56322159999999999</v>
      </c>
      <c r="AH208">
        <v>2.8854089702872301</v>
      </c>
      <c r="AI208">
        <v>78.995783553164401</v>
      </c>
      <c r="AJ208">
        <v>85.010143689467995</v>
      </c>
      <c r="AK208">
        <v>2.9506389348853799</v>
      </c>
      <c r="AL208">
        <v>83.504965871384002</v>
      </c>
      <c r="AM208">
        <v>94.479584224872099</v>
      </c>
      <c r="AN208">
        <v>1.0000000029226299</v>
      </c>
    </row>
    <row r="209" spans="1:40" x14ac:dyDescent="0.3">
      <c r="A209" t="str">
        <f>"20200111150229078"</f>
        <v>20200111150229078</v>
      </c>
      <c r="B209" t="str">
        <f>"1578726149075634"</f>
        <v>1578726149075634</v>
      </c>
      <c r="C209" t="s">
        <v>40</v>
      </c>
      <c r="D209">
        <v>5.5436589999999999</v>
      </c>
      <c r="E209">
        <v>0.55806049999999996</v>
      </c>
      <c r="F209" t="s">
        <v>49</v>
      </c>
      <c r="G209">
        <v>-44.420380000000002</v>
      </c>
      <c r="H209">
        <v>-0.1</v>
      </c>
      <c r="I209">
        <v>334.38839999999999</v>
      </c>
      <c r="J209">
        <v>-373.3544</v>
      </c>
      <c r="K209">
        <v>1.1042050000000001</v>
      </c>
      <c r="L209">
        <v>367.17579999999998</v>
      </c>
      <c r="M209">
        <v>0.99986359999999996</v>
      </c>
      <c r="N209">
        <v>0</v>
      </c>
      <c r="O209">
        <v>-1.154108E-2</v>
      </c>
      <c r="P209">
        <v>0.99250910000000003</v>
      </c>
      <c r="Q209">
        <v>0.10218099999999999</v>
      </c>
      <c r="R209">
        <v>6.6968139999999995E-2</v>
      </c>
      <c r="S209">
        <v>3.0433650000000001</v>
      </c>
      <c r="T209">
        <v>-1.113081E-2</v>
      </c>
      <c r="U209">
        <v>-0.3031006</v>
      </c>
      <c r="V209">
        <v>-7.8539010000000006E-2</v>
      </c>
      <c r="W209">
        <v>0.1138117</v>
      </c>
      <c r="X209">
        <v>0.99039310000000003</v>
      </c>
      <c r="Y209">
        <v>8.7611419999999995E-2</v>
      </c>
      <c r="Z209">
        <v>-1.177169E-4</v>
      </c>
      <c r="AA209">
        <v>0.99615469999999895</v>
      </c>
      <c r="AB209">
        <v>41</v>
      </c>
      <c r="AC209">
        <v>328.93401999999998</v>
      </c>
      <c r="AD209">
        <v>-1.204205</v>
      </c>
      <c r="AE209">
        <v>-32.787399999999899</v>
      </c>
      <c r="AF209">
        <v>28.988312530016699</v>
      </c>
      <c r="AG209">
        <v>-1.204205</v>
      </c>
      <c r="AH209">
        <v>329.28616838116398</v>
      </c>
      <c r="AI209">
        <v>90.208723455538006</v>
      </c>
      <c r="AJ209">
        <v>84.969004735934007</v>
      </c>
      <c r="AK209">
        <v>330.56187478317702</v>
      </c>
      <c r="AL209">
        <v>83.464909428795394</v>
      </c>
      <c r="AM209">
        <v>94.534115184704703</v>
      </c>
      <c r="AN209">
        <v>0.99999998583813998</v>
      </c>
    </row>
    <row r="210" spans="1:40" x14ac:dyDescent="0.3">
      <c r="A210" t="str">
        <f>"20200111150229101"</f>
        <v>20200111150229101</v>
      </c>
      <c r="B210" t="str">
        <f>"1578726149096287"</f>
        <v>1578726149096287</v>
      </c>
      <c r="C210" t="s">
        <v>40</v>
      </c>
      <c r="D210">
        <v>5.5307449999999996</v>
      </c>
      <c r="E210">
        <v>0.55731980000000003</v>
      </c>
      <c r="F210" t="s">
        <v>50</v>
      </c>
      <c r="G210">
        <v>-325.762</v>
      </c>
      <c r="H210">
        <v>9.1130440000000004</v>
      </c>
      <c r="I210">
        <v>363.03590000000003</v>
      </c>
      <c r="J210">
        <v>-372.93329999999997</v>
      </c>
      <c r="K210">
        <v>1.1042320000000001</v>
      </c>
      <c r="L210">
        <v>367.17140000000001</v>
      </c>
      <c r="M210">
        <v>0.99986929999999996</v>
      </c>
      <c r="N210">
        <v>0</v>
      </c>
      <c r="O210">
        <v>-1.102626E-2</v>
      </c>
      <c r="P210">
        <v>0.99243340000000002</v>
      </c>
      <c r="Q210">
        <v>0.10226</v>
      </c>
      <c r="R210">
        <v>6.7965600000000001E-2</v>
      </c>
      <c r="S210">
        <v>2.9884029999999999</v>
      </c>
      <c r="T210">
        <v>0.5028939</v>
      </c>
      <c r="U210">
        <v>-0.25994869999999998</v>
      </c>
      <c r="V210">
        <v>-7.9032350000000001E-2</v>
      </c>
      <c r="W210">
        <v>0.11388180000000001</v>
      </c>
      <c r="X210">
        <v>0.99034580000000005</v>
      </c>
      <c r="Y210">
        <v>7.4778300000000006E-2</v>
      </c>
      <c r="Z210">
        <v>4.3974119999999998E-3</v>
      </c>
      <c r="AA210">
        <v>0.99719049999999998</v>
      </c>
      <c r="AB210">
        <v>41</v>
      </c>
      <c r="AC210">
        <v>47.171299999999903</v>
      </c>
      <c r="AD210">
        <v>8.0088119999999901</v>
      </c>
      <c r="AE210">
        <v>-4.1354999999999702</v>
      </c>
      <c r="AF210">
        <v>3.5145523281711402</v>
      </c>
      <c r="AG210">
        <v>8.0088119999999901</v>
      </c>
      <c r="AH210">
        <v>45.900995997487499</v>
      </c>
      <c r="AI210">
        <v>80.130974734265493</v>
      </c>
      <c r="AJ210">
        <v>85.621513890084103</v>
      </c>
      <c r="AK210">
        <v>46.726807950898497</v>
      </c>
      <c r="AL210">
        <v>83.460866738445304</v>
      </c>
      <c r="AM210">
        <v>94.562693184573803</v>
      </c>
      <c r="AN210">
        <v>0.99999999014770102</v>
      </c>
    </row>
    <row r="211" spans="1:40" x14ac:dyDescent="0.3">
      <c r="A211" t="str">
        <f>"20200111150229114"</f>
        <v>20200111150229114</v>
      </c>
      <c r="B211" t="str">
        <f>"1578726149106048"</f>
        <v>1578726149106048</v>
      </c>
      <c r="C211" t="s">
        <v>40</v>
      </c>
      <c r="D211">
        <v>5.5331960000000002</v>
      </c>
      <c r="E211">
        <v>0.5648512</v>
      </c>
      <c r="F211" t="s">
        <v>50</v>
      </c>
      <c r="G211">
        <v>-325.67180000000002</v>
      </c>
      <c r="H211">
        <v>9.1438939999999995</v>
      </c>
      <c r="I211">
        <v>363.20229999999998</v>
      </c>
      <c r="J211">
        <v>-372.68619999999999</v>
      </c>
      <c r="K211">
        <v>1.104241</v>
      </c>
      <c r="L211">
        <v>367.16890000000001</v>
      </c>
      <c r="M211">
        <v>0.99987280000000001</v>
      </c>
      <c r="N211">
        <v>0</v>
      </c>
      <c r="O211">
        <v>-1.0720449999999999E-2</v>
      </c>
      <c r="P211">
        <v>0.99239310000000003</v>
      </c>
      <c r="Q211">
        <v>0.10234989999999999</v>
      </c>
      <c r="R211">
        <v>6.8414030000000001E-2</v>
      </c>
      <c r="S211">
        <v>2.9877009999999999</v>
      </c>
      <c r="T211">
        <v>0.50824399999999903</v>
      </c>
      <c r="U211">
        <v>-0.25091550000000001</v>
      </c>
      <c r="V211">
        <v>-7.9180340000000002E-2</v>
      </c>
      <c r="W211">
        <v>0.113967</v>
      </c>
      <c r="X211">
        <v>0.99032419999999999</v>
      </c>
      <c r="Y211">
        <v>7.2123999999999994E-2</v>
      </c>
      <c r="Z211">
        <v>4.2728990000000001E-3</v>
      </c>
      <c r="AA211">
        <v>0.99738649999999995</v>
      </c>
      <c r="AB211">
        <v>41</v>
      </c>
      <c r="AC211">
        <v>47.014399999999902</v>
      </c>
      <c r="AD211">
        <v>8.0396529999999995</v>
      </c>
      <c r="AE211">
        <v>-3.9666000000000201</v>
      </c>
      <c r="AF211">
        <v>3.3646270436603398</v>
      </c>
      <c r="AG211">
        <v>8.0396529999999995</v>
      </c>
      <c r="AH211">
        <v>45.726522906128203</v>
      </c>
      <c r="AI211">
        <v>80.054503600688406</v>
      </c>
      <c r="AJ211">
        <v>85.791673502668004</v>
      </c>
      <c r="AK211">
        <v>46.549668447670001</v>
      </c>
      <c r="AL211">
        <v>83.455953292727301</v>
      </c>
      <c r="AM211">
        <v>94.5713000430774</v>
      </c>
      <c r="AN211">
        <v>1.0000000122185699</v>
      </c>
    </row>
    <row r="212" spans="1:40" x14ac:dyDescent="0.3">
      <c r="A212" t="str">
        <f>"20200111150229129"</f>
        <v>20200111150229129</v>
      </c>
      <c r="B212" t="str">
        <f>"1578726149125567"</f>
        <v>1578726149125567</v>
      </c>
      <c r="C212" t="s">
        <v>40</v>
      </c>
      <c r="D212">
        <v>5.6360130000000002</v>
      </c>
      <c r="E212">
        <v>0.5648512</v>
      </c>
      <c r="F212" t="s">
        <v>41</v>
      </c>
      <c r="G212">
        <v>-339.17070000000001</v>
      </c>
      <c r="H212" s="1">
        <v>-1.833075E-6</v>
      </c>
      <c r="I212">
        <v>363.73540000000003</v>
      </c>
      <c r="J212">
        <v>-372.4212</v>
      </c>
      <c r="K212">
        <v>1.1042529999999999</v>
      </c>
      <c r="L212">
        <v>367.16640000000001</v>
      </c>
      <c r="M212">
        <v>0.9998764</v>
      </c>
      <c r="N212">
        <v>0</v>
      </c>
      <c r="O212">
        <v>-1.039034E-2</v>
      </c>
      <c r="P212">
        <v>0.99238959999999998</v>
      </c>
      <c r="Q212">
        <v>0.102286</v>
      </c>
      <c r="R212">
        <v>6.8561079999999996E-2</v>
      </c>
      <c r="S212">
        <v>3.054932</v>
      </c>
      <c r="T212">
        <v>-0.10065109999999999</v>
      </c>
      <c r="U212">
        <v>-0.31295780000000001</v>
      </c>
      <c r="V212">
        <v>-7.9002920000000004E-2</v>
      </c>
      <c r="W212">
        <v>0.1138998</v>
      </c>
      <c r="X212">
        <v>0.99034610000000001</v>
      </c>
      <c r="Y212">
        <v>9.1524090000000002E-2</v>
      </c>
      <c r="Z212">
        <v>-1.1620669999999999E-3</v>
      </c>
      <c r="AA212">
        <v>0.99580219999999997</v>
      </c>
      <c r="AB212">
        <v>41</v>
      </c>
      <c r="AC212">
        <v>33.250499999999903</v>
      </c>
      <c r="AD212">
        <v>-1.1042548330749999</v>
      </c>
      <c r="AE212">
        <v>-3.4309999999999801</v>
      </c>
      <c r="AF212">
        <v>3.0819433998629302</v>
      </c>
      <c r="AG212">
        <v>-1.1042548330749999</v>
      </c>
      <c r="AH212">
        <v>33.2480731015497</v>
      </c>
      <c r="AI212">
        <v>91.894128136927193</v>
      </c>
      <c r="AJ212">
        <v>84.704078551568202</v>
      </c>
      <c r="AK212">
        <v>33.408862878318999</v>
      </c>
      <c r="AL212">
        <v>83.459828802118906</v>
      </c>
      <c r="AM212">
        <v>94.560999926936006</v>
      </c>
      <c r="AN212">
        <v>1.0000000117968799</v>
      </c>
    </row>
    <row r="213" spans="1:40" x14ac:dyDescent="0.3">
      <c r="A213" t="str">
        <f>"20200111150229147"</f>
        <v>20200111150229147</v>
      </c>
      <c r="B213" t="str">
        <f>"1578726149125567"</f>
        <v>1578726149125567</v>
      </c>
      <c r="C213" t="s">
        <v>40</v>
      </c>
      <c r="D213">
        <v>5.6360130000000002</v>
      </c>
      <c r="E213">
        <v>0.5648512</v>
      </c>
      <c r="F213" t="s">
        <v>41</v>
      </c>
      <c r="G213">
        <v>-339.0127</v>
      </c>
      <c r="H213" s="1">
        <v>-1.8837719999999999E-6</v>
      </c>
      <c r="I213">
        <v>363.74689999999998</v>
      </c>
      <c r="J213">
        <v>-372.09109999999998</v>
      </c>
      <c r="K213">
        <v>1.1042620000000001</v>
      </c>
      <c r="L213">
        <v>367.16320000000002</v>
      </c>
      <c r="M213">
        <v>0.99988049999999995</v>
      </c>
      <c r="N213">
        <v>0</v>
      </c>
      <c r="O213">
        <v>-9.9771319999999997E-3</v>
      </c>
      <c r="P213">
        <v>0.9924058</v>
      </c>
      <c r="Q213">
        <v>0.10211580000000001</v>
      </c>
      <c r="R213">
        <v>6.857916E-2</v>
      </c>
      <c r="S213">
        <v>3.0550229999999998</v>
      </c>
      <c r="T213">
        <v>-0.1009779</v>
      </c>
      <c r="U213">
        <v>-0.31268309999999999</v>
      </c>
      <c r="V213">
        <v>-7.8614390000000006E-2</v>
      </c>
      <c r="W213">
        <v>0.11372690000000001</v>
      </c>
      <c r="X213">
        <v>0.99039690000000002</v>
      </c>
      <c r="Y213">
        <v>9.1843300000000003E-2</v>
      </c>
      <c r="Z213">
        <v>-1.184683E-3</v>
      </c>
      <c r="AA213">
        <v>0.99577280000000001</v>
      </c>
      <c r="AB213">
        <v>41</v>
      </c>
      <c r="AC213">
        <v>33.078399999999903</v>
      </c>
      <c r="AD213">
        <v>-1.104263883772</v>
      </c>
      <c r="AE213">
        <v>-3.4163000000000299</v>
      </c>
      <c r="AF213">
        <v>3.0826801570930198</v>
      </c>
      <c r="AG213">
        <v>-1.104263883772</v>
      </c>
      <c r="AH213">
        <v>33.074370224396397</v>
      </c>
      <c r="AI213">
        <v>91.903994912957302</v>
      </c>
      <c r="AJ213">
        <v>84.675159035030205</v>
      </c>
      <c r="AK213">
        <v>33.236068982603499</v>
      </c>
      <c r="AL213">
        <v>83.469800119238201</v>
      </c>
      <c r="AM213">
        <v>94.538431415866796</v>
      </c>
      <c r="AN213">
        <v>1.0000000248141401</v>
      </c>
    </row>
    <row r="214" spans="1:40" x14ac:dyDescent="0.3">
      <c r="A214" t="str">
        <f>"20200111150229181"</f>
        <v>20200111150229181</v>
      </c>
      <c r="B214" t="str">
        <f>"1578726149175344"</f>
        <v>1578726149175344</v>
      </c>
      <c r="C214" t="s">
        <v>40</v>
      </c>
      <c r="D214">
        <v>5.3760079999999997</v>
      </c>
      <c r="E214">
        <v>0.57576649999999996</v>
      </c>
      <c r="F214" t="s">
        <v>41</v>
      </c>
      <c r="G214">
        <v>-338.90519999999998</v>
      </c>
      <c r="H214" s="1">
        <v>-1.913714E-6</v>
      </c>
      <c r="I214">
        <v>363.77179999999998</v>
      </c>
      <c r="J214">
        <v>-371.4785</v>
      </c>
      <c r="K214">
        <v>1.1042780000000001</v>
      </c>
      <c r="L214">
        <v>367.15789999999998</v>
      </c>
      <c r="M214">
        <v>0.99988790000000005</v>
      </c>
      <c r="N214">
        <v>0</v>
      </c>
      <c r="O214">
        <v>-9.2094510000000004E-3</v>
      </c>
      <c r="P214">
        <v>0.99244639999999995</v>
      </c>
      <c r="Q214">
        <v>0.1019586</v>
      </c>
      <c r="R214">
        <v>6.8223980000000004E-2</v>
      </c>
      <c r="S214">
        <v>3.0549930000000001</v>
      </c>
      <c r="T214">
        <v>-0.10165490000000001</v>
      </c>
      <c r="U214">
        <v>-0.31219479999999999</v>
      </c>
      <c r="V214">
        <v>-7.7502660000000001E-2</v>
      </c>
      <c r="W214">
        <v>0.11356670000000001</v>
      </c>
      <c r="X214">
        <v>0.99050289999999996</v>
      </c>
      <c r="Y214">
        <v>9.2449959999999998E-2</v>
      </c>
      <c r="Z214">
        <v>-1.2281739999999901E-3</v>
      </c>
      <c r="AA214">
        <v>0.99571659999999995</v>
      </c>
      <c r="AB214">
        <v>41</v>
      </c>
      <c r="AC214">
        <v>32.573300000000003</v>
      </c>
      <c r="AD214">
        <v>-1.104279913714</v>
      </c>
      <c r="AE214">
        <v>-3.3860999999999901</v>
      </c>
      <c r="AF214">
        <v>3.0824484695735199</v>
      </c>
      <c r="AG214">
        <v>-1.104279913714</v>
      </c>
      <c r="AH214">
        <v>32.566076560297397</v>
      </c>
      <c r="AI214">
        <v>91.933457844733994</v>
      </c>
      <c r="AJ214">
        <v>84.5929414320088</v>
      </c>
      <c r="AK214">
        <v>32.730265278890798</v>
      </c>
      <c r="AL214">
        <v>83.479038767664093</v>
      </c>
      <c r="AM214">
        <v>94.474036509801607</v>
      </c>
      <c r="AN214">
        <v>1.00000002628218</v>
      </c>
    </row>
    <row r="215" spans="1:40" x14ac:dyDescent="0.3">
      <c r="A215" t="str">
        <f>"20200111150229291"</f>
        <v>20200111150229291</v>
      </c>
      <c r="B215" t="str">
        <f>"1578726149286140"</f>
        <v>1578726149286140</v>
      </c>
      <c r="C215" t="s">
        <v>40</v>
      </c>
      <c r="D215">
        <v>5.3441260000000002</v>
      </c>
      <c r="E215">
        <v>0.58024480000000001</v>
      </c>
      <c r="F215" t="s">
        <v>42</v>
      </c>
      <c r="G215">
        <v>-368.77229999999997</v>
      </c>
      <c r="H215">
        <v>1.0404500000000001</v>
      </c>
      <c r="I215">
        <v>367.00670000000002</v>
      </c>
      <c r="J215">
        <v>-369.44839999999999</v>
      </c>
      <c r="K215">
        <v>1.104322</v>
      </c>
      <c r="L215">
        <v>367.14339999999999</v>
      </c>
      <c r="M215">
        <v>0.99990809999999997</v>
      </c>
      <c r="N215">
        <v>0</v>
      </c>
      <c r="O215">
        <v>-6.6672270000000004E-3</v>
      </c>
      <c r="P215">
        <v>0.99210569999999998</v>
      </c>
      <c r="Q215">
        <v>0.1032608</v>
      </c>
      <c r="R215">
        <v>7.1157789999999999E-2</v>
      </c>
      <c r="S215">
        <v>3.0704039999999999</v>
      </c>
      <c r="T215">
        <v>-0.1828062</v>
      </c>
      <c r="U215">
        <v>-0.39678960000000002</v>
      </c>
      <c r="V215">
        <v>-7.792317E-2</v>
      </c>
      <c r="W215">
        <v>0.11485860000000001</v>
      </c>
      <c r="X215">
        <v>0.99032089999999995</v>
      </c>
      <c r="Y215">
        <v>0.1213494</v>
      </c>
      <c r="Z215">
        <v>-3.1994100000000002E-3</v>
      </c>
      <c r="AA215">
        <v>0.99260470000000001</v>
      </c>
      <c r="AB215">
        <v>41</v>
      </c>
      <c r="AC215">
        <v>0.67610000000001902</v>
      </c>
      <c r="AD215">
        <v>-6.3871999999999901E-2</v>
      </c>
      <c r="AE215">
        <v>-0.13669999999996199</v>
      </c>
      <c r="AF215">
        <v>0.13106514403019201</v>
      </c>
      <c r="AG215">
        <v>-6.3871999999999901E-2</v>
      </c>
      <c r="AH215">
        <v>0.671241026873173</v>
      </c>
      <c r="AI215">
        <v>95.335459211580002</v>
      </c>
      <c r="AJ215">
        <v>78.951553875209697</v>
      </c>
      <c r="AK215">
        <v>0.68689316528948396</v>
      </c>
      <c r="AL215">
        <v>83.4045306278353</v>
      </c>
      <c r="AM215">
        <v>94.499035434869</v>
      </c>
      <c r="AN215">
        <v>1.0000000016968</v>
      </c>
    </row>
    <row r="216" spans="1:40" x14ac:dyDescent="0.3">
      <c r="A216" t="str">
        <f>"20200111150229305"</f>
        <v>20200111150229305</v>
      </c>
      <c r="B216" t="str">
        <f>"1578726149295900"</f>
        <v>1578726149295900</v>
      </c>
      <c r="C216" t="s">
        <v>40</v>
      </c>
      <c r="D216">
        <v>6.7480219999999997</v>
      </c>
      <c r="E216">
        <v>0.58316330000000005</v>
      </c>
      <c r="F216" t="s">
        <v>42</v>
      </c>
      <c r="G216">
        <v>-368.41590000000002</v>
      </c>
      <c r="H216">
        <v>1.02336</v>
      </c>
      <c r="I216">
        <v>366.99919999999997</v>
      </c>
      <c r="J216">
        <v>-369.18549999999999</v>
      </c>
      <c r="K216">
        <v>1.104325</v>
      </c>
      <c r="L216">
        <v>367.14190000000002</v>
      </c>
      <c r="M216">
        <v>0.99991039999999998</v>
      </c>
      <c r="N216">
        <v>0</v>
      </c>
      <c r="O216">
        <v>-6.337484E-3</v>
      </c>
      <c r="P216">
        <v>0.99203330000000001</v>
      </c>
      <c r="Q216">
        <v>0.1034339</v>
      </c>
      <c r="R216">
        <v>7.1914539999999999E-2</v>
      </c>
      <c r="S216">
        <v>3.0798030000000001</v>
      </c>
      <c r="T216">
        <v>-0.2416441</v>
      </c>
      <c r="U216">
        <v>-0.42913820000000003</v>
      </c>
      <c r="V216">
        <v>-7.8352740000000004E-2</v>
      </c>
      <c r="W216">
        <v>0.11503049999999999</v>
      </c>
      <c r="X216">
        <v>0.99026700000000001</v>
      </c>
      <c r="Y216">
        <v>0.1313493</v>
      </c>
      <c r="Z216">
        <v>-4.6262819999999998E-3</v>
      </c>
      <c r="AA216">
        <v>0.99132540000000002</v>
      </c>
      <c r="AB216">
        <v>41</v>
      </c>
      <c r="AC216">
        <v>0.76959999999996798</v>
      </c>
      <c r="AD216">
        <v>-8.0964999999999898E-2</v>
      </c>
      <c r="AE216">
        <v>-0.14270000000004701</v>
      </c>
      <c r="AF216">
        <v>0.13636040995977899</v>
      </c>
      <c r="AG216">
        <v>-8.0964999999999898E-2</v>
      </c>
      <c r="AH216">
        <v>0.76233200769187703</v>
      </c>
      <c r="AI216">
        <v>95.968456600369706</v>
      </c>
      <c r="AJ216">
        <v>79.858599205928101</v>
      </c>
      <c r="AK216">
        <v>0.77865241448346401</v>
      </c>
      <c r="AL216">
        <v>83.3946154207093</v>
      </c>
      <c r="AM216">
        <v>94.523979976905594</v>
      </c>
      <c r="AN216">
        <v>0.99999994954237703</v>
      </c>
    </row>
    <row r="217" spans="1:40" x14ac:dyDescent="0.3">
      <c r="A217" t="str">
        <f>"20200111150229319"</f>
        <v>20200111150229319</v>
      </c>
      <c r="B217" t="str">
        <f>"1578726149315420"</f>
        <v>1578726149315420</v>
      </c>
      <c r="C217" t="s">
        <v>40</v>
      </c>
      <c r="D217">
        <v>6.8582830000000001</v>
      </c>
      <c r="E217">
        <v>0.5825013</v>
      </c>
      <c r="F217" t="s">
        <v>42</v>
      </c>
      <c r="G217">
        <v>-368.40449999999998</v>
      </c>
      <c r="H217">
        <v>1.044343</v>
      </c>
      <c r="I217">
        <v>367.02749999999997</v>
      </c>
      <c r="J217">
        <v>-368.93979999999999</v>
      </c>
      <c r="K217">
        <v>1.104325</v>
      </c>
      <c r="L217">
        <v>367.14069999999998</v>
      </c>
      <c r="M217">
        <v>0.99991209999999997</v>
      </c>
      <c r="N217">
        <v>0</v>
      </c>
      <c r="O217">
        <v>-6.028963E-3</v>
      </c>
      <c r="P217">
        <v>0.99199870000000001</v>
      </c>
      <c r="Q217">
        <v>0.1034759</v>
      </c>
      <c r="R217">
        <v>7.2329069999999995E-2</v>
      </c>
      <c r="S217">
        <v>3.0813899999999999</v>
      </c>
      <c r="T217">
        <v>-0.23691699999999999</v>
      </c>
      <c r="U217">
        <v>-0.45001219999999997</v>
      </c>
      <c r="V217">
        <v>-7.8461909999999996E-2</v>
      </c>
      <c r="W217">
        <v>0.1150717</v>
      </c>
      <c r="X217">
        <v>0.99025359999999996</v>
      </c>
      <c r="Y217">
        <v>0.13815849999999999</v>
      </c>
      <c r="Z217">
        <v>-4.8151610000000001E-3</v>
      </c>
      <c r="AA217">
        <v>0.99039840000000001</v>
      </c>
      <c r="AB217">
        <v>41</v>
      </c>
      <c r="AC217">
        <v>0.53530000000000599</v>
      </c>
      <c r="AD217">
        <v>-5.9981999999999903E-2</v>
      </c>
      <c r="AE217">
        <v>-0.113200000000006</v>
      </c>
      <c r="AF217">
        <v>0.10866443781199001</v>
      </c>
      <c r="AG217">
        <v>-5.9981999999999903E-2</v>
      </c>
      <c r="AH217">
        <v>0.529607744006655</v>
      </c>
      <c r="AI217">
        <v>96.330855297087894</v>
      </c>
      <c r="AJ217">
        <v>78.405026557721897</v>
      </c>
      <c r="AK217">
        <v>0.54395786866338702</v>
      </c>
      <c r="AL217">
        <v>83.392239255795104</v>
      </c>
      <c r="AM217">
        <v>94.530318130859598</v>
      </c>
      <c r="AN217">
        <v>0.99999997988734801</v>
      </c>
    </row>
    <row r="218" spans="1:40" x14ac:dyDescent="0.3">
      <c r="A218" t="str">
        <f>"20200111150229335"</f>
        <v>20200111150229335</v>
      </c>
      <c r="B218" t="str">
        <f>"1578726149326159"</f>
        <v>1578726149326159</v>
      </c>
      <c r="C218" t="s">
        <v>40</v>
      </c>
      <c r="D218">
        <v>5.4827589999999997</v>
      </c>
      <c r="E218">
        <v>0.58403039999999995</v>
      </c>
      <c r="F218" t="s">
        <v>41</v>
      </c>
      <c r="G218">
        <v>-345.57709999999997</v>
      </c>
      <c r="H218" s="1">
        <v>-3.236775E-6</v>
      </c>
      <c r="I218">
        <v>363.77550000000002</v>
      </c>
      <c r="J218">
        <v>-368.62920000000003</v>
      </c>
      <c r="K218">
        <v>1.1043289999999999</v>
      </c>
      <c r="L218">
        <v>367.13909999999998</v>
      </c>
      <c r="M218">
        <v>0.99991430000000003</v>
      </c>
      <c r="N218">
        <v>0</v>
      </c>
      <c r="O218">
        <v>-5.6390249999999998E-3</v>
      </c>
      <c r="P218">
        <v>0.99187760000000003</v>
      </c>
      <c r="Q218">
        <v>0.1044327</v>
      </c>
      <c r="R218">
        <v>7.2615499999999999E-2</v>
      </c>
      <c r="S218">
        <v>3.071625</v>
      </c>
      <c r="T218">
        <v>-0.14519279999999901</v>
      </c>
      <c r="U218">
        <v>-0.4424438</v>
      </c>
      <c r="V218">
        <v>-7.8362959999999995E-2</v>
      </c>
      <c r="W218">
        <v>0.11602750000000001</v>
      </c>
      <c r="X218">
        <v>0.99014990000000003</v>
      </c>
      <c r="Y218">
        <v>0.1368432</v>
      </c>
      <c r="Z218">
        <v>-2.9508249999999998E-3</v>
      </c>
      <c r="AA218">
        <v>0.99058829999999998</v>
      </c>
      <c r="AB218">
        <v>41</v>
      </c>
      <c r="AC218">
        <v>23.052099999999999</v>
      </c>
      <c r="AD218">
        <v>-1.1043322367749999</v>
      </c>
      <c r="AE218">
        <v>-3.36359999999996</v>
      </c>
      <c r="AF218">
        <v>3.22629614780063</v>
      </c>
      <c r="AG218">
        <v>-1.1043322367749999</v>
      </c>
      <c r="AH218">
        <v>23.0189754349095</v>
      </c>
      <c r="AI218">
        <v>92.720104538909098</v>
      </c>
      <c r="AJ218">
        <v>82.021504768387601</v>
      </c>
      <c r="AK218">
        <v>23.270190514808</v>
      </c>
      <c r="AL218">
        <v>83.337106648825596</v>
      </c>
      <c r="AM218">
        <v>94.525100491143903</v>
      </c>
      <c r="AN218">
        <v>0.99999997936311003</v>
      </c>
    </row>
    <row r="219" spans="1:40" x14ac:dyDescent="0.3">
      <c r="A219" t="str">
        <f>"20200111150229350"</f>
        <v>20200111150229350</v>
      </c>
      <c r="B219" t="str">
        <f>"1578726149345677"</f>
        <v>1578726149345677</v>
      </c>
      <c r="C219" t="s">
        <v>40</v>
      </c>
      <c r="D219">
        <v>5.5902849999999997</v>
      </c>
      <c r="E219">
        <v>0.58197030000000005</v>
      </c>
      <c r="F219" t="s">
        <v>41</v>
      </c>
      <c r="G219">
        <v>-331.63150000000002</v>
      </c>
      <c r="H219" s="1">
        <v>-4.9810869999999999E-6</v>
      </c>
      <c r="I219">
        <v>361.67469999999997</v>
      </c>
      <c r="J219">
        <v>-368.37759999999997</v>
      </c>
      <c r="K219">
        <v>1.1043289999999999</v>
      </c>
      <c r="L219">
        <v>367.1379</v>
      </c>
      <c r="M219">
        <v>0.99991609999999997</v>
      </c>
      <c r="N219">
        <v>0</v>
      </c>
      <c r="O219">
        <v>-5.3231179999999999E-3</v>
      </c>
      <c r="P219">
        <v>0.99183350000000003</v>
      </c>
      <c r="Q219">
        <v>0.104740899999999</v>
      </c>
      <c r="R219">
        <v>7.2771619999999995E-2</v>
      </c>
      <c r="S219">
        <v>3.067383</v>
      </c>
      <c r="T219">
        <v>-9.1557260000000001E-2</v>
      </c>
      <c r="U219">
        <v>-0.45303339999999998</v>
      </c>
      <c r="V219">
        <v>-7.8205720000000006E-2</v>
      </c>
      <c r="W219">
        <v>0.1163358</v>
      </c>
      <c r="X219">
        <v>0.99012619999999896</v>
      </c>
      <c r="Y219">
        <v>0.140781399999999</v>
      </c>
      <c r="Z219">
        <v>-1.9312839999999999E-3</v>
      </c>
      <c r="AA219">
        <v>0.9900388</v>
      </c>
      <c r="AB219">
        <v>41</v>
      </c>
      <c r="AC219">
        <v>36.746099999999899</v>
      </c>
      <c r="AD219">
        <v>-1.1043339810870001</v>
      </c>
      <c r="AE219">
        <v>-5.46320000000002</v>
      </c>
      <c r="AF219">
        <v>5.2628545668668796</v>
      </c>
      <c r="AG219">
        <v>-1.1043339810870001</v>
      </c>
      <c r="AH219">
        <v>36.742195135390801</v>
      </c>
      <c r="AI219">
        <v>91.704196860920703</v>
      </c>
      <c r="AJ219">
        <v>81.848550352800004</v>
      </c>
      <c r="AK219">
        <v>37.133624858083898</v>
      </c>
      <c r="AL219">
        <v>83.319322210319498</v>
      </c>
      <c r="AM219">
        <v>94.516165852463601</v>
      </c>
      <c r="AN219">
        <v>1.0000000224643899</v>
      </c>
    </row>
    <row r="220" spans="1:40" x14ac:dyDescent="0.3">
      <c r="A220" t="str">
        <f>"20200111150229380"</f>
        <v>20200111150229380</v>
      </c>
      <c r="B220" t="str">
        <f>"1578726149375932"</f>
        <v>1578726149375932</v>
      </c>
      <c r="C220" t="s">
        <v>40</v>
      </c>
      <c r="D220">
        <v>5.5104769999999998</v>
      </c>
      <c r="E220">
        <v>0.58126230000000001</v>
      </c>
      <c r="F220" t="s">
        <v>43</v>
      </c>
      <c r="G220">
        <v>-287.22410000000002</v>
      </c>
      <c r="H220">
        <v>-0.05</v>
      </c>
      <c r="I220">
        <v>355.57960000000003</v>
      </c>
      <c r="J220">
        <v>-367.82600000000002</v>
      </c>
      <c r="K220">
        <v>1.104339</v>
      </c>
      <c r="L220">
        <v>367.13569999999999</v>
      </c>
      <c r="M220">
        <v>0.99991960000000002</v>
      </c>
      <c r="N220">
        <v>0</v>
      </c>
      <c r="O220">
        <v>-4.6303969999999996E-3</v>
      </c>
      <c r="P220">
        <v>0.99176280000000006</v>
      </c>
      <c r="Q220">
        <v>0.1050611</v>
      </c>
      <c r="R220">
        <v>7.3271680000000006E-2</v>
      </c>
      <c r="S220">
        <v>3.0612789999999999</v>
      </c>
      <c r="T220">
        <v>-4.3543699999999998E-2</v>
      </c>
      <c r="U220">
        <v>-0.43600460000000002</v>
      </c>
      <c r="V220">
        <v>-7.8019569999999996E-2</v>
      </c>
      <c r="W220">
        <v>0.11665689999999999</v>
      </c>
      <c r="X220">
        <v>0.99010310000000001</v>
      </c>
      <c r="Y220">
        <v>0.13640369999999999</v>
      </c>
      <c r="Z220">
        <v>-8.9965779999999897E-4</v>
      </c>
      <c r="AA220">
        <v>0.99065289999999995</v>
      </c>
      <c r="AB220">
        <v>41</v>
      </c>
      <c r="AC220">
        <v>80.601899999999901</v>
      </c>
      <c r="AD220">
        <v>-1.154339</v>
      </c>
      <c r="AE220">
        <v>-11.556099999999899</v>
      </c>
      <c r="AF220">
        <v>11.1804843095462</v>
      </c>
      <c r="AG220">
        <v>-1.154339</v>
      </c>
      <c r="AH220">
        <v>80.638342663690906</v>
      </c>
      <c r="AI220">
        <v>90.812363754127603</v>
      </c>
      <c r="AJ220">
        <v>82.106281293223304</v>
      </c>
      <c r="AK220">
        <v>81.417922077818702</v>
      </c>
      <c r="AL220">
        <v>83.300798373579795</v>
      </c>
      <c r="AM220">
        <v>94.505565195339301</v>
      </c>
      <c r="AN220">
        <v>1.0000000171251</v>
      </c>
    </row>
    <row r="221" spans="1:40" x14ac:dyDescent="0.3">
      <c r="A221" t="str">
        <f>"20200111150229496"</f>
        <v>20200111150229496</v>
      </c>
      <c r="B221" t="str">
        <f>"1578726149485286"</f>
        <v>1578726149485286</v>
      </c>
      <c r="C221" t="s">
        <v>40</v>
      </c>
      <c r="D221">
        <v>5.509417</v>
      </c>
      <c r="E221">
        <v>0.58074179999999997</v>
      </c>
      <c r="F221" t="s">
        <v>43</v>
      </c>
      <c r="G221">
        <v>-306.23809999999997</v>
      </c>
      <c r="H221">
        <v>-0.05</v>
      </c>
      <c r="I221">
        <v>358.50049999999999</v>
      </c>
      <c r="J221">
        <v>-365.6771</v>
      </c>
      <c r="K221">
        <v>1.1043240000000001</v>
      </c>
      <c r="L221">
        <v>367.13049999999998</v>
      </c>
      <c r="M221">
        <v>0.99992840000000005</v>
      </c>
      <c r="N221">
        <v>0</v>
      </c>
      <c r="O221">
        <v>-1.932518E-3</v>
      </c>
      <c r="P221">
        <v>0.99187040000000004</v>
      </c>
      <c r="Q221">
        <v>0.10227070000000001</v>
      </c>
      <c r="R221">
        <v>7.5722079999999997E-2</v>
      </c>
      <c r="S221">
        <v>3.0626829999999998</v>
      </c>
      <c r="T221">
        <v>-5.7403679999999999E-2</v>
      </c>
      <c r="U221">
        <v>-0.42941279999999998</v>
      </c>
      <c r="V221">
        <v>-7.7792730000000004E-2</v>
      </c>
      <c r="W221">
        <v>0.11387460000000001</v>
      </c>
      <c r="X221">
        <v>0.99044480000000001</v>
      </c>
      <c r="Y221">
        <v>0.13691249999999999</v>
      </c>
      <c r="Z221">
        <v>-1.2406730000000001E-3</v>
      </c>
      <c r="AA221">
        <v>0.99058230000000003</v>
      </c>
      <c r="AB221">
        <v>41</v>
      </c>
      <c r="AC221">
        <v>59.439</v>
      </c>
      <c r="AD221">
        <v>-1.1543239999999999</v>
      </c>
      <c r="AE221">
        <v>-8.6299999999999901</v>
      </c>
      <c r="AF221">
        <v>8.5119649362335803</v>
      </c>
      <c r="AG221">
        <v>-1.1543239999999999</v>
      </c>
      <c r="AH221">
        <v>59.433615251717796</v>
      </c>
      <c r="AI221">
        <v>91.101427148236198</v>
      </c>
      <c r="AJ221">
        <v>81.849635242682496</v>
      </c>
      <c r="AK221">
        <v>60.0511501377107</v>
      </c>
      <c r="AL221">
        <v>83.461282149584306</v>
      </c>
      <c r="AM221">
        <v>94.490975515895599</v>
      </c>
      <c r="AN221">
        <v>1.00000001760652</v>
      </c>
    </row>
    <row r="222" spans="1:40" x14ac:dyDescent="0.3">
      <c r="A222" t="str">
        <f>"20200111150229516"</f>
        <v>20200111150229516</v>
      </c>
      <c r="B222" t="str">
        <f>"1578726149505780"</f>
        <v>1578726149505780</v>
      </c>
      <c r="C222" t="s">
        <v>40</v>
      </c>
      <c r="D222">
        <v>5.4074239999999998</v>
      </c>
      <c r="E222">
        <v>0.57960319999999899</v>
      </c>
      <c r="F222" t="s">
        <v>43</v>
      </c>
      <c r="G222">
        <v>-308.23989999999998</v>
      </c>
      <c r="H222">
        <v>-0.05</v>
      </c>
      <c r="I222">
        <v>359.29520000000002</v>
      </c>
      <c r="J222">
        <v>-365.33569999999997</v>
      </c>
      <c r="K222">
        <v>1.1043240000000001</v>
      </c>
      <c r="L222">
        <v>367.1302</v>
      </c>
      <c r="M222">
        <v>0.99992899999999996</v>
      </c>
      <c r="N222">
        <v>0</v>
      </c>
      <c r="O222">
        <v>-1.5039729999999901E-3</v>
      </c>
      <c r="P222">
        <v>0.99187650000000005</v>
      </c>
      <c r="Q222">
        <v>0.102062899999999</v>
      </c>
      <c r="R222">
        <v>7.5922589999999998E-2</v>
      </c>
      <c r="S222">
        <v>3.0628359999999999</v>
      </c>
      <c r="T222">
        <v>-6.1554310000000001E-2</v>
      </c>
      <c r="U222">
        <v>-0.41781620000000003</v>
      </c>
      <c r="V222">
        <v>-7.7568349999999994E-2</v>
      </c>
      <c r="W222">
        <v>0.1136691</v>
      </c>
      <c r="X222">
        <v>0.99048599999999998</v>
      </c>
      <c r="Y222">
        <v>0.1336464</v>
      </c>
      <c r="Z222">
        <v>-1.3065489999999999E-3</v>
      </c>
      <c r="AA222">
        <v>0.99102820000000003</v>
      </c>
      <c r="AB222">
        <v>41</v>
      </c>
      <c r="AC222">
        <v>57.095799999999997</v>
      </c>
      <c r="AD222">
        <v>-1.1543239999999999</v>
      </c>
      <c r="AE222">
        <v>-7.8349999999999698</v>
      </c>
      <c r="AF222">
        <v>7.7460070115339601</v>
      </c>
      <c r="AG222">
        <v>-1.1543239999999999</v>
      </c>
      <c r="AH222">
        <v>57.084618357844903</v>
      </c>
      <c r="AI222">
        <v>91.147918982824805</v>
      </c>
      <c r="AJ222">
        <v>82.272536985067504</v>
      </c>
      <c r="AK222">
        <v>57.619326111822197</v>
      </c>
      <c r="AL222">
        <v>83.473133364285204</v>
      </c>
      <c r="AM222">
        <v>94.477889306186597</v>
      </c>
      <c r="AN222">
        <v>1.00000001470626</v>
      </c>
    </row>
    <row r="223" spans="1:40" x14ac:dyDescent="0.3">
      <c r="A223" t="str">
        <f>"20200111150229533"</f>
        <v>20200111150229533</v>
      </c>
      <c r="B223" t="str">
        <f>"1578726149526276"</f>
        <v>1578726149526276</v>
      </c>
      <c r="C223" t="s">
        <v>40</v>
      </c>
      <c r="D223">
        <v>5.3913099999999998</v>
      </c>
      <c r="E223">
        <v>0.5814937</v>
      </c>
      <c r="F223" t="s">
        <v>43</v>
      </c>
      <c r="G223">
        <v>-307.3449</v>
      </c>
      <c r="H223">
        <v>-0.05</v>
      </c>
      <c r="I223">
        <v>359.39850000000001</v>
      </c>
      <c r="J223">
        <v>-365.01620000000003</v>
      </c>
      <c r="K223">
        <v>1.1043259999999999</v>
      </c>
      <c r="L223">
        <v>367.13</v>
      </c>
      <c r="M223">
        <v>0.99992959999999997</v>
      </c>
      <c r="N223">
        <v>0</v>
      </c>
      <c r="O223">
        <v>-1.10249E-3</v>
      </c>
      <c r="P223">
        <v>0.99185319999999999</v>
      </c>
      <c r="Q223">
        <v>0.10190150000000001</v>
      </c>
      <c r="R223">
        <v>7.6442769999999993E-2</v>
      </c>
      <c r="S223">
        <v>3.0621339999999999</v>
      </c>
      <c r="T223">
        <v>-6.0952659999999999E-2</v>
      </c>
      <c r="U223">
        <v>-0.40826420000000002</v>
      </c>
      <c r="V223">
        <v>-7.7689759999999997E-2</v>
      </c>
      <c r="W223">
        <v>0.113508</v>
      </c>
      <c r="X223">
        <v>0.99049500000000001</v>
      </c>
      <c r="Y223">
        <v>0.13103899999999999</v>
      </c>
      <c r="Z223">
        <v>-1.2764650000000001E-3</v>
      </c>
      <c r="AA223">
        <v>0.99137640000000005</v>
      </c>
      <c r="AB223">
        <v>41</v>
      </c>
      <c r="AC223">
        <v>57.671300000000002</v>
      </c>
      <c r="AD223">
        <v>-1.154326</v>
      </c>
      <c r="AE223">
        <v>-7.7314999999999801</v>
      </c>
      <c r="AF223">
        <v>7.6648923022935502</v>
      </c>
      <c r="AG223">
        <v>-1.154326</v>
      </c>
      <c r="AH223">
        <v>57.657098411774399</v>
      </c>
      <c r="AI223">
        <v>91.136939162150199</v>
      </c>
      <c r="AJ223">
        <v>82.427541827506701</v>
      </c>
      <c r="AK223">
        <v>58.175802871856199</v>
      </c>
      <c r="AL223">
        <v>83.482424106787803</v>
      </c>
      <c r="AM223">
        <v>94.484828942934101</v>
      </c>
      <c r="AN223">
        <v>1.0000000549489201</v>
      </c>
    </row>
    <row r="224" spans="1:40" x14ac:dyDescent="0.3">
      <c r="A224" t="str">
        <f>"20200111150229547"</f>
        <v>20200111150229547</v>
      </c>
      <c r="B224" t="str">
        <f>"1578726149536035"</f>
        <v>1578726149536035</v>
      </c>
      <c r="C224" t="s">
        <v>40</v>
      </c>
      <c r="D224">
        <v>5.3464669999999996</v>
      </c>
      <c r="E224">
        <v>0.58247720000000003</v>
      </c>
      <c r="F224" t="s">
        <v>43</v>
      </c>
      <c r="G224">
        <v>-295.75760000000002</v>
      </c>
      <c r="H224">
        <v>-0.05</v>
      </c>
      <c r="I224">
        <v>357.58629999999999</v>
      </c>
      <c r="J224">
        <v>-364.74689999999998</v>
      </c>
      <c r="K224">
        <v>1.1043240000000001</v>
      </c>
      <c r="L224">
        <v>367.13</v>
      </c>
      <c r="M224">
        <v>0.99992990000000004</v>
      </c>
      <c r="N224">
        <v>0</v>
      </c>
      <c r="O224">
        <v>-7.6489799999999997E-4</v>
      </c>
      <c r="P224">
        <v>0.99176880000000001</v>
      </c>
      <c r="Q224">
        <v>0.1022261</v>
      </c>
      <c r="R224">
        <v>7.709908E-2</v>
      </c>
      <c r="S224">
        <v>3.0624389999999999</v>
      </c>
      <c r="T224">
        <v>-5.1041360000000001E-2</v>
      </c>
      <c r="U224">
        <v>-0.42199710000000001</v>
      </c>
      <c r="V224">
        <v>-7.8011789999999998E-2</v>
      </c>
      <c r="W224">
        <v>0.1138325</v>
      </c>
      <c r="X224">
        <v>0.99043239999999999</v>
      </c>
      <c r="Y224">
        <v>0.1357315</v>
      </c>
      <c r="Z224">
        <v>-1.1130280000000001E-3</v>
      </c>
      <c r="AA224">
        <v>0.99074499999999999</v>
      </c>
      <c r="AB224">
        <v>41</v>
      </c>
      <c r="AC224">
        <v>68.989299999999901</v>
      </c>
      <c r="AD224">
        <v>-1.1543239999999999</v>
      </c>
      <c r="AE224">
        <v>-9.5436999999999994</v>
      </c>
      <c r="AF224">
        <v>9.4883173005149501</v>
      </c>
      <c r="AG224">
        <v>-1.1543239999999999</v>
      </c>
      <c r="AH224">
        <v>68.977632090948802</v>
      </c>
      <c r="AI224">
        <v>90.949799355888004</v>
      </c>
      <c r="AJ224">
        <v>82.167749915229706</v>
      </c>
      <c r="AK224">
        <v>69.636731384855494</v>
      </c>
      <c r="AL224">
        <v>83.463710027696493</v>
      </c>
      <c r="AM224">
        <v>94.503626053246506</v>
      </c>
      <c r="AN224">
        <v>1.0000000082025</v>
      </c>
    </row>
    <row r="225" spans="1:40" x14ac:dyDescent="0.3">
      <c r="A225" t="str">
        <f>"20200111150229560"</f>
        <v>20200111150229560</v>
      </c>
      <c r="B225" t="str">
        <f>"1578726149555557"</f>
        <v>1578726149555557</v>
      </c>
      <c r="C225" t="s">
        <v>40</v>
      </c>
      <c r="D225">
        <v>5.4547179999999997</v>
      </c>
      <c r="E225">
        <v>0.58425609999999994</v>
      </c>
      <c r="F225" t="s">
        <v>43</v>
      </c>
      <c r="G225">
        <v>-293.3091</v>
      </c>
      <c r="H225">
        <v>-0.05</v>
      </c>
      <c r="I225">
        <v>357.1506</v>
      </c>
      <c r="J225">
        <v>-364.51190000000003</v>
      </c>
      <c r="K225">
        <v>1.1043270000000001</v>
      </c>
      <c r="L225">
        <v>367.13010000000003</v>
      </c>
      <c r="M225">
        <v>0.99993010000000004</v>
      </c>
      <c r="N225">
        <v>0</v>
      </c>
      <c r="O225">
        <v>-4.6986549999999998E-4</v>
      </c>
      <c r="P225">
        <v>0.99172780000000005</v>
      </c>
      <c r="Q225">
        <v>0.102394</v>
      </c>
      <c r="R225">
        <v>7.7405379999999996E-2</v>
      </c>
      <c r="S225">
        <v>3.0632630000000001</v>
      </c>
      <c r="T225">
        <v>-4.9497600000000003E-2</v>
      </c>
      <c r="U225">
        <v>-0.42791750000000001</v>
      </c>
      <c r="V225">
        <v>-7.8025860000000002E-2</v>
      </c>
      <c r="W225">
        <v>0.1140007</v>
      </c>
      <c r="X225">
        <v>0.99041190000000001</v>
      </c>
      <c r="Y225">
        <v>0.13786699999999999</v>
      </c>
      <c r="Z225">
        <v>-1.1008509999999999E-3</v>
      </c>
      <c r="AA225">
        <v>0.9904501</v>
      </c>
      <c r="AB225">
        <v>41</v>
      </c>
      <c r="AC225">
        <v>71.202799999999996</v>
      </c>
      <c r="AD225">
        <v>-1.1543270000000001</v>
      </c>
      <c r="AE225">
        <v>-9.97950000000003</v>
      </c>
      <c r="AF225">
        <v>9.9434777955295601</v>
      </c>
      <c r="AG225">
        <v>-1.1543270000000001</v>
      </c>
      <c r="AH225">
        <v>71.189131795464604</v>
      </c>
      <c r="AI225">
        <v>90.920035939112097</v>
      </c>
      <c r="AJ225">
        <v>82.048546375227801</v>
      </c>
      <c r="AK225">
        <v>71.889482591580403</v>
      </c>
      <c r="AL225">
        <v>83.454009434900001</v>
      </c>
      <c r="AM225">
        <v>94.504527824032195</v>
      </c>
      <c r="AN225">
        <v>0.99999996304541905</v>
      </c>
    </row>
    <row r="226" spans="1:40" x14ac:dyDescent="0.3">
      <c r="A226" t="str">
        <f>"20200111150229574"</f>
        <v>20200111150229574</v>
      </c>
      <c r="B226" t="str">
        <f>"1578726149565317"</f>
        <v>1578726149565317</v>
      </c>
      <c r="C226" t="s">
        <v>40</v>
      </c>
      <c r="D226">
        <v>5.4543059999999999</v>
      </c>
      <c r="E226">
        <v>0.5854106</v>
      </c>
      <c r="F226" t="s">
        <v>43</v>
      </c>
      <c r="G226">
        <v>-240.6163</v>
      </c>
      <c r="H226">
        <v>-0.05</v>
      </c>
      <c r="I226">
        <v>349.30759999999998</v>
      </c>
      <c r="J226">
        <v>-364.26010000000002</v>
      </c>
      <c r="K226">
        <v>1.1043270000000001</v>
      </c>
      <c r="L226">
        <v>367.1302</v>
      </c>
      <c r="M226">
        <v>0.99993019999999999</v>
      </c>
      <c r="N226">
        <v>0</v>
      </c>
      <c r="O226">
        <v>-1.5397269999999999E-4</v>
      </c>
      <c r="P226">
        <v>0.99165979999999998</v>
      </c>
      <c r="Q226">
        <v>0.1028632</v>
      </c>
      <c r="R226">
        <v>7.7654639999999997E-2</v>
      </c>
      <c r="S226">
        <v>3.0623469999999999</v>
      </c>
      <c r="T226">
        <v>-2.8531669999999999E-2</v>
      </c>
      <c r="U226">
        <v>-0.4405212</v>
      </c>
      <c r="V226">
        <v>-7.7962580000000004E-2</v>
      </c>
      <c r="W226">
        <v>0.11447060000000001</v>
      </c>
      <c r="X226">
        <v>0.99036270000000004</v>
      </c>
      <c r="Y226">
        <v>0.14222670000000001</v>
      </c>
      <c r="Z226">
        <v>-6.5772420000000001E-4</v>
      </c>
      <c r="AA226">
        <v>0.98983390000000004</v>
      </c>
      <c r="AB226">
        <v>41</v>
      </c>
      <c r="AC226">
        <v>123.6438</v>
      </c>
      <c r="AD226">
        <v>-1.1543270000000001</v>
      </c>
      <c r="AE226">
        <v>-17.822600000000001</v>
      </c>
      <c r="AF226">
        <v>17.802040662110301</v>
      </c>
      <c r="AG226">
        <v>-1.1543270000000001</v>
      </c>
      <c r="AH226">
        <v>123.63598625440299</v>
      </c>
      <c r="AI226">
        <v>90.529466240640701</v>
      </c>
      <c r="AJ226">
        <v>81.806436456985793</v>
      </c>
      <c r="AK226">
        <v>124.916380910021</v>
      </c>
      <c r="AL226">
        <v>83.426908847955701</v>
      </c>
      <c r="AM226">
        <v>94.501112289258401</v>
      </c>
      <c r="AN226">
        <v>0.99999997984795297</v>
      </c>
    </row>
    <row r="227" spans="1:40" x14ac:dyDescent="0.3">
      <c r="A227" t="str">
        <f>"20200111150229585"</f>
        <v>20200111150229585</v>
      </c>
      <c r="B227" t="str">
        <f>"1578726149576053"</f>
        <v>1578726149576053</v>
      </c>
      <c r="C227" t="s">
        <v>40</v>
      </c>
      <c r="D227">
        <v>5.4570679999999996</v>
      </c>
      <c r="E227">
        <v>0.58638699999999999</v>
      </c>
      <c r="F227" t="s">
        <v>43</v>
      </c>
      <c r="G227">
        <v>-257.56330000000003</v>
      </c>
      <c r="H227">
        <v>-0.05</v>
      </c>
      <c r="I227">
        <v>351.49169999999998</v>
      </c>
      <c r="J227">
        <v>-364.03370000000001</v>
      </c>
      <c r="K227">
        <v>1.104328</v>
      </c>
      <c r="L227">
        <v>367.13040000000001</v>
      </c>
      <c r="M227">
        <v>0.99993019999999999</v>
      </c>
      <c r="N227">
        <v>0</v>
      </c>
      <c r="O227">
        <v>1.3027089999999999E-4</v>
      </c>
      <c r="P227">
        <v>0.99162620000000001</v>
      </c>
      <c r="Q227">
        <v>0.10301539999999999</v>
      </c>
      <c r="R227">
        <v>7.7880959999999999E-2</v>
      </c>
      <c r="S227">
        <v>3.0638429999999999</v>
      </c>
      <c r="T227">
        <v>-3.3146979999999999E-2</v>
      </c>
      <c r="U227">
        <v>-0.44906620000000003</v>
      </c>
      <c r="V227">
        <v>-7.7907370000000004E-2</v>
      </c>
      <c r="W227">
        <v>0.11462360000000001</v>
      </c>
      <c r="X227">
        <v>0.99034940000000005</v>
      </c>
      <c r="Y227">
        <v>0.14514070000000001</v>
      </c>
      <c r="Z227">
        <v>-7.8232899999999903E-4</v>
      </c>
      <c r="AA227">
        <v>0.98941069999999998</v>
      </c>
      <c r="AB227">
        <v>41</v>
      </c>
      <c r="AC227">
        <v>106.470399999999</v>
      </c>
      <c r="AD227">
        <v>-1.154328</v>
      </c>
      <c r="AE227">
        <v>-15.6387</v>
      </c>
      <c r="AF227">
        <v>15.6507700268125</v>
      </c>
      <c r="AG227">
        <v>-1.154328</v>
      </c>
      <c r="AH227">
        <v>106.45611267106101</v>
      </c>
      <c r="AI227">
        <v>90.614640585066098</v>
      </c>
      <c r="AJ227">
        <v>81.636505988605194</v>
      </c>
      <c r="AK227">
        <v>107.60661225313901</v>
      </c>
      <c r="AL227">
        <v>83.418084848465696</v>
      </c>
      <c r="AM227">
        <v>94.497998022671894</v>
      </c>
      <c r="AN227">
        <v>1.00000003102881</v>
      </c>
    </row>
    <row r="228" spans="1:40" x14ac:dyDescent="0.3">
      <c r="A228" t="str">
        <f>"20200111150229605"</f>
        <v>20200111150229605</v>
      </c>
      <c r="B228" t="str">
        <f>"1578726149595572"</f>
        <v>1578726149595572</v>
      </c>
      <c r="C228" t="s">
        <v>40</v>
      </c>
      <c r="D228">
        <v>5.3392039999999996</v>
      </c>
      <c r="E228">
        <v>0.58864669999999997</v>
      </c>
      <c r="F228" t="s">
        <v>43</v>
      </c>
      <c r="G228">
        <v>-263.77499999999998</v>
      </c>
      <c r="H228">
        <v>-0.05</v>
      </c>
      <c r="I228">
        <v>352.21050000000002</v>
      </c>
      <c r="J228">
        <v>-363.68619999999999</v>
      </c>
      <c r="K228">
        <v>1.1043289999999999</v>
      </c>
      <c r="L228">
        <v>367.1309</v>
      </c>
      <c r="M228">
        <v>0.99992999999999999</v>
      </c>
      <c r="N228">
        <v>0</v>
      </c>
      <c r="O228">
        <v>5.6661889999999897E-4</v>
      </c>
      <c r="P228">
        <v>0.99157059999999997</v>
      </c>
      <c r="Q228">
        <v>0.1032362</v>
      </c>
      <c r="R228">
        <v>7.8293550000000003E-2</v>
      </c>
      <c r="S228">
        <v>3.0647890000000002</v>
      </c>
      <c r="T228">
        <v>-3.5286430000000001E-2</v>
      </c>
      <c r="U228">
        <v>-0.45608520000000002</v>
      </c>
      <c r="V228">
        <v>-7.7887419999999999E-2</v>
      </c>
      <c r="W228">
        <v>0.1148448</v>
      </c>
      <c r="X228">
        <v>0.99032529999999996</v>
      </c>
      <c r="Y228">
        <v>0.1477445</v>
      </c>
      <c r="Z228">
        <v>-8.5233100000000001E-4</v>
      </c>
      <c r="AA228">
        <v>0.98902520000000005</v>
      </c>
      <c r="AB228">
        <v>41</v>
      </c>
      <c r="AC228">
        <v>99.911199999999994</v>
      </c>
      <c r="AD228">
        <v>-1.1543289999999999</v>
      </c>
      <c r="AE228">
        <v>-14.9203999999999</v>
      </c>
      <c r="AF228">
        <v>14.975057801220199</v>
      </c>
      <c r="AG228">
        <v>-1.1543289999999999</v>
      </c>
      <c r="AH228">
        <v>99.889686336642995</v>
      </c>
      <c r="AI228">
        <v>90.654766389464697</v>
      </c>
      <c r="AJ228">
        <v>81.473943864476297</v>
      </c>
      <c r="AK228">
        <v>101.01254510219501</v>
      </c>
      <c r="AL228">
        <v>83.405326492896904</v>
      </c>
      <c r="AM228">
        <v>94.496959914109297</v>
      </c>
      <c r="AN228">
        <v>0.99999998905069298</v>
      </c>
    </row>
    <row r="229" spans="1:40" x14ac:dyDescent="0.3">
      <c r="A229" t="str">
        <f>"20200111150229618"</f>
        <v>20200111150229618</v>
      </c>
      <c r="B229" t="str">
        <f>"1578726149616070"</f>
        <v>1578726149616070</v>
      </c>
      <c r="C229" t="s">
        <v>40</v>
      </c>
      <c r="D229">
        <v>5.4263089999999998</v>
      </c>
      <c r="E229">
        <v>0.59056260000000005</v>
      </c>
      <c r="F229" t="s">
        <v>43</v>
      </c>
      <c r="G229">
        <v>-262.36340000000001</v>
      </c>
      <c r="H229">
        <v>-0.05</v>
      </c>
      <c r="I229">
        <v>351.50049999999999</v>
      </c>
      <c r="J229">
        <v>-363.44420000000002</v>
      </c>
      <c r="K229">
        <v>1.104331</v>
      </c>
      <c r="L229">
        <v>367.13119999999998</v>
      </c>
      <c r="M229">
        <v>0.99992979999999998</v>
      </c>
      <c r="N229">
        <v>0</v>
      </c>
      <c r="O229">
        <v>8.7017279999999995E-4</v>
      </c>
      <c r="P229">
        <v>0.99153860000000005</v>
      </c>
      <c r="Q229">
        <v>0.1032295</v>
      </c>
      <c r="R229">
        <v>7.8709119999999994E-2</v>
      </c>
      <c r="S229">
        <v>3.0665279999999999</v>
      </c>
      <c r="T229">
        <v>-3.4935710000000002E-2</v>
      </c>
      <c r="U229">
        <v>-0.473053</v>
      </c>
      <c r="V229">
        <v>-7.8002230000000006E-2</v>
      </c>
      <c r="W229">
        <v>0.1148387</v>
      </c>
      <c r="X229">
        <v>0.990317</v>
      </c>
      <c r="Y229">
        <v>0.15331020000000001</v>
      </c>
      <c r="Z229">
        <v>-8.7799410000000003E-4</v>
      </c>
      <c r="AA229">
        <v>0.98817770000000005</v>
      </c>
      <c r="AB229">
        <v>41</v>
      </c>
      <c r="AC229">
        <v>101.0808</v>
      </c>
      <c r="AD229">
        <v>-1.154331</v>
      </c>
      <c r="AE229">
        <v>-15.6306999999999</v>
      </c>
      <c r="AF229">
        <v>15.716656185318699</v>
      </c>
      <c r="AG229">
        <v>-1.154331</v>
      </c>
      <c r="AH229">
        <v>101.054288273319</v>
      </c>
      <c r="AI229">
        <v>90.646680599019504</v>
      </c>
      <c r="AJ229">
        <v>81.159790714475207</v>
      </c>
      <c r="AK229">
        <v>102.275681078799</v>
      </c>
      <c r="AL229">
        <v>83.405678514681</v>
      </c>
      <c r="AM229">
        <v>94.503599001303698</v>
      </c>
      <c r="AN229">
        <v>1.0000000176958299</v>
      </c>
    </row>
    <row r="230" spans="1:40" x14ac:dyDescent="0.3">
      <c r="A230" t="str">
        <f>"20200111150229630"</f>
        <v>20200111150229630</v>
      </c>
      <c r="B230" t="str">
        <f>"1578726149625828"</f>
        <v>1578726149625828</v>
      </c>
      <c r="C230" t="s">
        <v>40</v>
      </c>
      <c r="D230">
        <v>5.4286269999999996</v>
      </c>
      <c r="E230">
        <v>0.59161509999999995</v>
      </c>
      <c r="F230" t="s">
        <v>43</v>
      </c>
      <c r="G230">
        <v>-264.61559999999997</v>
      </c>
      <c r="H230">
        <v>-0.05</v>
      </c>
      <c r="I230">
        <v>351.4289</v>
      </c>
      <c r="J230">
        <v>-363.21570000000003</v>
      </c>
      <c r="K230">
        <v>1.1043320000000001</v>
      </c>
      <c r="L230">
        <v>367.13159999999999</v>
      </c>
      <c r="M230">
        <v>0.99992950000000003</v>
      </c>
      <c r="N230">
        <v>0</v>
      </c>
      <c r="O230">
        <v>1.1569180000000001E-3</v>
      </c>
      <c r="P230">
        <v>0.99148270000000005</v>
      </c>
      <c r="Q230">
        <v>0.10325860000000001</v>
      </c>
      <c r="R230">
        <v>7.9371949999999997E-2</v>
      </c>
      <c r="S230">
        <v>3.067993</v>
      </c>
      <c r="T230">
        <v>-3.583455E-2</v>
      </c>
      <c r="U230">
        <v>-0.48745729999999998</v>
      </c>
      <c r="V230">
        <v>-7.838067E-2</v>
      </c>
      <c r="W230">
        <v>0.114868</v>
      </c>
      <c r="X230">
        <v>0.99028369999999999</v>
      </c>
      <c r="Y230">
        <v>0.15804840000000001</v>
      </c>
      <c r="Z230">
        <v>-9.3065889999999999E-4</v>
      </c>
      <c r="AA230">
        <v>0.9874309</v>
      </c>
      <c r="AB230">
        <v>41</v>
      </c>
      <c r="AC230">
        <v>98.600099999999998</v>
      </c>
      <c r="AD230">
        <v>-1.1543319999999999</v>
      </c>
      <c r="AE230">
        <v>-15.702699999999901</v>
      </c>
      <c r="AF230">
        <v>15.8146557642847</v>
      </c>
      <c r="AG230">
        <v>-1.1543319999999999</v>
      </c>
      <c r="AH230">
        <v>98.568690464378804</v>
      </c>
      <c r="AI230">
        <v>90.662484873872003</v>
      </c>
      <c r="AJ230">
        <v>80.884976684099101</v>
      </c>
      <c r="AK230">
        <v>99.835978280235096</v>
      </c>
      <c r="AL230">
        <v>83.403988425754093</v>
      </c>
      <c r="AM230">
        <v>94.525509917290805</v>
      </c>
      <c r="AN230">
        <v>0.99999999666966899</v>
      </c>
    </row>
    <row r="231" spans="1:40" x14ac:dyDescent="0.3">
      <c r="A231" t="str">
        <f>"20200111150229648"</f>
        <v>20200111150229648</v>
      </c>
      <c r="B231" t="str">
        <f>"1578726149635588"</f>
        <v>1578726149635588</v>
      </c>
      <c r="C231" t="s">
        <v>40</v>
      </c>
      <c r="D231">
        <v>5.468324</v>
      </c>
      <c r="E231">
        <v>0.59263869999999996</v>
      </c>
      <c r="F231" t="s">
        <v>43</v>
      </c>
      <c r="G231">
        <v>-269.6345</v>
      </c>
      <c r="H231">
        <v>-0.05</v>
      </c>
      <c r="I231">
        <v>352.08339999999998</v>
      </c>
      <c r="J231">
        <v>-362.8947</v>
      </c>
      <c r="K231">
        <v>1.1043320000000001</v>
      </c>
      <c r="L231">
        <v>367.13229999999999</v>
      </c>
      <c r="M231">
        <v>0.99992899999999996</v>
      </c>
      <c r="N231">
        <v>0</v>
      </c>
      <c r="O231">
        <v>1.557856E-3</v>
      </c>
      <c r="P231">
        <v>0.99137739999999996</v>
      </c>
      <c r="Q231">
        <v>0.1036246</v>
      </c>
      <c r="R231">
        <v>8.0206230000000003E-2</v>
      </c>
      <c r="S231">
        <v>3.069153</v>
      </c>
      <c r="T231">
        <v>-3.7858250000000003E-2</v>
      </c>
      <c r="U231">
        <v>-0.49353029999999998</v>
      </c>
      <c r="V231">
        <v>-7.8817869999999998E-2</v>
      </c>
      <c r="W231">
        <v>0.11523369999999999</v>
      </c>
      <c r="X231">
        <v>0.99020649999999999</v>
      </c>
      <c r="Y231">
        <v>0.16028990000000001</v>
      </c>
      <c r="Z231">
        <v>-1.001343E-3</v>
      </c>
      <c r="AA231">
        <v>0.98706950000000004</v>
      </c>
      <c r="AB231">
        <v>41</v>
      </c>
      <c r="AC231">
        <v>93.260199999999998</v>
      </c>
      <c r="AD231">
        <v>-1.1543319999999999</v>
      </c>
      <c r="AE231">
        <v>-15.0489</v>
      </c>
      <c r="AF231">
        <v>15.191909449397899</v>
      </c>
      <c r="AG231">
        <v>-1.1543319999999999</v>
      </c>
      <c r="AH231">
        <v>93.222721557360302</v>
      </c>
      <c r="AI231">
        <v>90.700194035512297</v>
      </c>
      <c r="AJ231">
        <v>80.744237213484794</v>
      </c>
      <c r="AK231">
        <v>94.459527892352199</v>
      </c>
      <c r="AL231">
        <v>83.382895230906996</v>
      </c>
      <c r="AM231">
        <v>94.551000348865102</v>
      </c>
      <c r="AN231">
        <v>0.99999998744463803</v>
      </c>
    </row>
    <row r="232" spans="1:40" x14ac:dyDescent="0.3">
      <c r="A232" t="str">
        <f>"20200111150229659"</f>
        <v>20200111150229659</v>
      </c>
      <c r="B232" t="str">
        <f>"1578726149656084"</f>
        <v>1578726149656084</v>
      </c>
      <c r="C232" t="s">
        <v>40</v>
      </c>
      <c r="D232">
        <v>5.4241580000000003</v>
      </c>
      <c r="E232">
        <v>0.59443829999999998</v>
      </c>
      <c r="F232" t="s">
        <v>43</v>
      </c>
      <c r="G232">
        <v>-263.99810000000002</v>
      </c>
      <c r="H232">
        <v>-0.05</v>
      </c>
      <c r="I232">
        <v>351.04719999999998</v>
      </c>
      <c r="J232">
        <v>-362.68209999999999</v>
      </c>
      <c r="K232">
        <v>1.10433</v>
      </c>
      <c r="L232">
        <v>367.13290000000001</v>
      </c>
      <c r="M232">
        <v>0.9999285</v>
      </c>
      <c r="N232">
        <v>0</v>
      </c>
      <c r="O232">
        <v>1.8219359999999999E-3</v>
      </c>
      <c r="P232">
        <v>0.9913672</v>
      </c>
      <c r="Q232">
        <v>0.1034407</v>
      </c>
      <c r="R232">
        <v>8.0568189999999998E-2</v>
      </c>
      <c r="S232">
        <v>3.0702210000000001</v>
      </c>
      <c r="T232">
        <v>-3.5835980000000003E-2</v>
      </c>
      <c r="U232">
        <v>-0.4993591</v>
      </c>
      <c r="V232">
        <v>-7.8917760000000003E-2</v>
      </c>
      <c r="W232">
        <v>0.1150504</v>
      </c>
      <c r="X232">
        <v>0.99021990000000004</v>
      </c>
      <c r="Y232">
        <v>0.16232369999999999</v>
      </c>
      <c r="Z232">
        <v>-9.6224449999999997E-4</v>
      </c>
      <c r="AA232">
        <v>0.98673710000000003</v>
      </c>
      <c r="AB232">
        <v>41</v>
      </c>
      <c r="AC232">
        <v>98.683999999999898</v>
      </c>
      <c r="AD232">
        <v>-1.1543299999999901</v>
      </c>
      <c r="AE232">
        <v>-16.085699999999999</v>
      </c>
      <c r="AF232">
        <v>16.263314148807002</v>
      </c>
      <c r="AG232">
        <v>-1.1543299999999901</v>
      </c>
      <c r="AH232">
        <v>98.641379707446603</v>
      </c>
      <c r="AI232">
        <v>90.661531051444499</v>
      </c>
      <c r="AJ232">
        <v>80.637690868260293</v>
      </c>
      <c r="AK232">
        <v>99.979746226124902</v>
      </c>
      <c r="AL232">
        <v>83.393468140544599</v>
      </c>
      <c r="AM232">
        <v>94.556682390626705</v>
      </c>
      <c r="AN232">
        <v>1.0000000288697899</v>
      </c>
    </row>
    <row r="233" spans="1:40" x14ac:dyDescent="0.3">
      <c r="A233" t="str">
        <f>"20200111150229671"</f>
        <v>20200111150229671</v>
      </c>
      <c r="B233" t="str">
        <f>"1578726149665844"</f>
        <v>1578726149665844</v>
      </c>
      <c r="C233" t="s">
        <v>40</v>
      </c>
      <c r="D233">
        <v>5.4743130000000004</v>
      </c>
      <c r="E233">
        <v>0.59534319999999996</v>
      </c>
      <c r="F233" t="s">
        <v>43</v>
      </c>
      <c r="G233">
        <v>-254.56739999999999</v>
      </c>
      <c r="H233">
        <v>-0.05</v>
      </c>
      <c r="I233">
        <v>349.10160000000002</v>
      </c>
      <c r="J233">
        <v>-362.46629999999999</v>
      </c>
      <c r="K233">
        <v>1.1043259999999999</v>
      </c>
      <c r="L233">
        <v>367.13350000000003</v>
      </c>
      <c r="M233">
        <v>0.99992809999999999</v>
      </c>
      <c r="N233">
        <v>0</v>
      </c>
      <c r="O233">
        <v>2.088693E-3</v>
      </c>
      <c r="P233">
        <v>0.99134730000000004</v>
      </c>
      <c r="Q233">
        <v>0.1031145</v>
      </c>
      <c r="R233">
        <v>8.1229430000000005E-2</v>
      </c>
      <c r="S233">
        <v>3.071167</v>
      </c>
      <c r="T233">
        <v>-3.279054E-2</v>
      </c>
      <c r="U233">
        <v>-0.51220699999999997</v>
      </c>
      <c r="V233">
        <v>-7.9313610000000007E-2</v>
      </c>
      <c r="W233">
        <v>0.11472499999999999</v>
      </c>
      <c r="X233">
        <v>0.99022600000000005</v>
      </c>
      <c r="Y233">
        <v>0.1665577</v>
      </c>
      <c r="Z233">
        <v>-9.0518670000000001E-4</v>
      </c>
      <c r="AA233">
        <v>0.98603130000000005</v>
      </c>
      <c r="AB233">
        <v>41</v>
      </c>
      <c r="AC233">
        <v>107.8989</v>
      </c>
      <c r="AD233">
        <v>-1.154326</v>
      </c>
      <c r="AE233">
        <v>-18.0319</v>
      </c>
      <c r="AF233">
        <v>18.255211475430698</v>
      </c>
      <c r="AG233">
        <v>-1.154326</v>
      </c>
      <c r="AH233">
        <v>107.848990726815</v>
      </c>
      <c r="AI233">
        <v>90.604623262817299</v>
      </c>
      <c r="AJ233">
        <v>80.392810649164701</v>
      </c>
      <c r="AK233">
        <v>109.38916772386401</v>
      </c>
      <c r="AL233">
        <v>83.412236288381905</v>
      </c>
      <c r="AM233">
        <v>94.579413558304395</v>
      </c>
      <c r="AN233">
        <v>1.00000000271611</v>
      </c>
    </row>
    <row r="234" spans="1:40" x14ac:dyDescent="0.3">
      <c r="A234" t="str">
        <f>"20200111150229684"</f>
        <v>20200111150229684</v>
      </c>
      <c r="B234" t="str">
        <f>"1578726149675604"</f>
        <v>1578726149675604</v>
      </c>
      <c r="C234" t="s">
        <v>40</v>
      </c>
      <c r="D234">
        <v>6.2886430000000004</v>
      </c>
      <c r="E234">
        <v>0.59534319999999996</v>
      </c>
      <c r="F234" t="s">
        <v>43</v>
      </c>
      <c r="G234">
        <v>-255.37620000000001</v>
      </c>
      <c r="H234">
        <v>-0.05</v>
      </c>
      <c r="I234">
        <v>349.09399999999999</v>
      </c>
      <c r="J234">
        <v>-362.21839999999997</v>
      </c>
      <c r="K234">
        <v>1.1043179999999999</v>
      </c>
      <c r="L234">
        <v>367.13420000000002</v>
      </c>
      <c r="M234">
        <v>0.99992729999999996</v>
      </c>
      <c r="N234">
        <v>0</v>
      </c>
      <c r="O234">
        <v>2.3910770000000001E-3</v>
      </c>
      <c r="P234">
        <v>0.9913594</v>
      </c>
      <c r="Q234">
        <v>0.1027796</v>
      </c>
      <c r="R234">
        <v>8.1505590000000003E-2</v>
      </c>
      <c r="S234">
        <v>3.0720209999999999</v>
      </c>
      <c r="T234">
        <v>-3.3113360000000001E-2</v>
      </c>
      <c r="U234">
        <v>-0.51748660000000002</v>
      </c>
      <c r="V234">
        <v>-7.9288339999999999E-2</v>
      </c>
      <c r="W234">
        <v>0.11439199999999999</v>
      </c>
      <c r="X234">
        <v>0.9902666</v>
      </c>
      <c r="Y234">
        <v>0.1684591</v>
      </c>
      <c r="Z234">
        <v>-9.2713020000000004E-4</v>
      </c>
      <c r="AA234">
        <v>0.98570820000000003</v>
      </c>
      <c r="AB234">
        <v>41</v>
      </c>
      <c r="AC234">
        <v>106.842199999999</v>
      </c>
      <c r="AD234">
        <v>-1.154318</v>
      </c>
      <c r="AE234">
        <v>-18.040199999999999</v>
      </c>
      <c r="AF234">
        <v>18.2935580610446</v>
      </c>
      <c r="AG234">
        <v>-1.154318</v>
      </c>
      <c r="AH234">
        <v>106.786636822435</v>
      </c>
      <c r="AI234">
        <v>90.610427195976499</v>
      </c>
      <c r="AJ234">
        <v>80.279052907250801</v>
      </c>
      <c r="AK234">
        <v>108.348384946083</v>
      </c>
      <c r="AL234">
        <v>83.431442568832907</v>
      </c>
      <c r="AM234">
        <v>94.577773826153503</v>
      </c>
      <c r="AN234">
        <v>1.0000000547997501</v>
      </c>
    </row>
    <row r="235" spans="1:40" x14ac:dyDescent="0.3">
      <c r="A235" t="str">
        <f>"20200111150229698"</f>
        <v>20200111150229698</v>
      </c>
      <c r="B235" t="str">
        <f>"1578726149685364"</f>
        <v>1578726149685364</v>
      </c>
      <c r="C235" t="s">
        <v>40</v>
      </c>
      <c r="D235">
        <v>5.4291130000000001</v>
      </c>
      <c r="E235">
        <v>0.59610099999999999</v>
      </c>
      <c r="F235" t="s">
        <v>43</v>
      </c>
      <c r="G235">
        <v>-258.77080000000001</v>
      </c>
      <c r="H235">
        <v>-0.05</v>
      </c>
      <c r="I235">
        <v>349.74430000000001</v>
      </c>
      <c r="J235">
        <v>-361.98489999999998</v>
      </c>
      <c r="K235">
        <v>1.104312</v>
      </c>
      <c r="L235">
        <v>367.13499999999999</v>
      </c>
      <c r="M235">
        <v>0.99992650000000005</v>
      </c>
      <c r="N235">
        <v>0</v>
      </c>
      <c r="O235">
        <v>2.673188E-3</v>
      </c>
      <c r="P235">
        <v>0.99136740000000001</v>
      </c>
      <c r="Q235">
        <v>0.10242179999999999</v>
      </c>
      <c r="R235">
        <v>8.1857899999999997E-2</v>
      </c>
      <c r="S235">
        <v>3.0722049999999999</v>
      </c>
      <c r="T235">
        <v>-3.428113E-2</v>
      </c>
      <c r="U235">
        <v>-0.51644899999999905</v>
      </c>
      <c r="V235">
        <v>-7.9359609999999997E-2</v>
      </c>
      <c r="W235">
        <v>0.1140357</v>
      </c>
      <c r="X235">
        <v>0.99030189999999996</v>
      </c>
      <c r="Y235">
        <v>0.1684031</v>
      </c>
      <c r="Z235">
        <v>-9.626112E-4</v>
      </c>
      <c r="AA235">
        <v>0.98571770000000003</v>
      </c>
      <c r="AB235">
        <v>41</v>
      </c>
      <c r="AC235">
        <v>103.21409999999899</v>
      </c>
      <c r="AD235">
        <v>-1.154312</v>
      </c>
      <c r="AE235">
        <v>-17.390699999999899</v>
      </c>
      <c r="AF235">
        <v>17.664419467984601</v>
      </c>
      <c r="AG235">
        <v>-1.154312</v>
      </c>
      <c r="AH235">
        <v>103.15469346497299</v>
      </c>
      <c r="AI235">
        <v>90.631921636762797</v>
      </c>
      <c r="AJ235">
        <v>80.282804485730694</v>
      </c>
      <c r="AK235">
        <v>104.662576574375</v>
      </c>
      <c r="AL235">
        <v>83.451990970501896</v>
      </c>
      <c r="AM235">
        <v>94.581708513646305</v>
      </c>
      <c r="AN235">
        <v>0.99999997085872505</v>
      </c>
    </row>
    <row r="236" spans="1:40" x14ac:dyDescent="0.3">
      <c r="A236" t="str">
        <f>"20200111150229710"</f>
        <v>20200111150229710</v>
      </c>
      <c r="B236" t="str">
        <f>"1578726149705860"</f>
        <v>1578726149705860</v>
      </c>
      <c r="C236" t="s">
        <v>40</v>
      </c>
      <c r="D236">
        <v>5.3926470000000002</v>
      </c>
      <c r="E236">
        <v>0.59737929999999995</v>
      </c>
      <c r="F236" t="s">
        <v>43</v>
      </c>
      <c r="G236">
        <v>-256.09269999999998</v>
      </c>
      <c r="H236">
        <v>-0.05</v>
      </c>
      <c r="I236">
        <v>349.16730000000001</v>
      </c>
      <c r="J236">
        <v>-361.74599999999998</v>
      </c>
      <c r="K236">
        <v>1.104306</v>
      </c>
      <c r="L236">
        <v>367.13589999999999</v>
      </c>
      <c r="M236">
        <v>0.99992579999999998</v>
      </c>
      <c r="N236">
        <v>0</v>
      </c>
      <c r="O236">
        <v>2.9597009999999999E-3</v>
      </c>
      <c r="P236">
        <v>0.99138879999999996</v>
      </c>
      <c r="Q236">
        <v>0.102156</v>
      </c>
      <c r="R236">
        <v>8.193164E-2</v>
      </c>
      <c r="S236">
        <v>3.072632</v>
      </c>
      <c r="T236">
        <v>-3.349423E-2</v>
      </c>
      <c r="U236">
        <v>-0.52136229999999995</v>
      </c>
      <c r="V236">
        <v>-7.9147620000000002E-2</v>
      </c>
      <c r="W236">
        <v>0.11377279999999999</v>
      </c>
      <c r="X236">
        <v>0.99034909999999998</v>
      </c>
      <c r="Y236">
        <v>0.17019570000000001</v>
      </c>
      <c r="Z236">
        <v>-9.5306549999999996E-4</v>
      </c>
      <c r="AA236">
        <v>0.9854098</v>
      </c>
      <c r="AB236">
        <v>41</v>
      </c>
      <c r="AC236">
        <v>105.6533</v>
      </c>
      <c r="AD236">
        <v>-1.1543060000000001</v>
      </c>
      <c r="AE236">
        <v>-17.968599999999899</v>
      </c>
      <c r="AF236">
        <v>18.279124753572098</v>
      </c>
      <c r="AG236">
        <v>-1.1543060000000001</v>
      </c>
      <c r="AH236">
        <v>105.587402676919</v>
      </c>
      <c r="AI236">
        <v>90.617166573780807</v>
      </c>
      <c r="AJ236">
        <v>80.178390703095502</v>
      </c>
      <c r="AK236">
        <v>107.16416578388601</v>
      </c>
      <c r="AL236">
        <v>83.467152688145205</v>
      </c>
      <c r="AM236">
        <v>94.569304627429105</v>
      </c>
      <c r="AN236">
        <v>0.99999996782115597</v>
      </c>
    </row>
    <row r="237" spans="1:40" x14ac:dyDescent="0.3">
      <c r="A237" t="str">
        <f>"20200111150229725"</f>
        <v>20200111150229725</v>
      </c>
      <c r="B237" t="str">
        <f>"1578726149715620"</f>
        <v>1578726149715620</v>
      </c>
      <c r="C237" t="s">
        <v>40</v>
      </c>
      <c r="D237">
        <v>5.3972660000000001</v>
      </c>
      <c r="E237">
        <v>0.59798419999999997</v>
      </c>
      <c r="F237" t="s">
        <v>43</v>
      </c>
      <c r="G237">
        <v>-252.33019999999999</v>
      </c>
      <c r="H237">
        <v>-0.05</v>
      </c>
      <c r="I237">
        <v>348.21809999999999</v>
      </c>
      <c r="J237">
        <v>-361.4597</v>
      </c>
      <c r="K237">
        <v>1.104301</v>
      </c>
      <c r="L237">
        <v>367.137</v>
      </c>
      <c r="M237">
        <v>0.9999247</v>
      </c>
      <c r="N237">
        <v>0</v>
      </c>
      <c r="O237">
        <v>3.2981080000000001E-3</v>
      </c>
      <c r="P237">
        <v>0.99145649999999996</v>
      </c>
      <c r="Q237">
        <v>0.1017015</v>
      </c>
      <c r="R237">
        <v>8.1674510000000006E-2</v>
      </c>
      <c r="S237">
        <v>3.073334</v>
      </c>
      <c r="T237">
        <v>-3.2422779999999998E-2</v>
      </c>
      <c r="U237">
        <v>-0.53137209999999901</v>
      </c>
      <c r="V237">
        <v>-7.8552399999999994E-2</v>
      </c>
      <c r="W237">
        <v>0.1133218</v>
      </c>
      <c r="X237">
        <v>0.9904482</v>
      </c>
      <c r="Y237">
        <v>0.1736095</v>
      </c>
      <c r="Z237">
        <v>-9.4353860000000005E-4</v>
      </c>
      <c r="AA237">
        <v>0.98481410000000003</v>
      </c>
      <c r="AB237">
        <v>41</v>
      </c>
      <c r="AC237">
        <v>109.12949999999999</v>
      </c>
      <c r="AD237">
        <v>-1.154301</v>
      </c>
      <c r="AE237">
        <v>-18.918899999999901</v>
      </c>
      <c r="AF237">
        <v>19.276649361244399</v>
      </c>
      <c r="AG237">
        <v>-1.154301</v>
      </c>
      <c r="AH237">
        <v>109.054660374359</v>
      </c>
      <c r="AI237">
        <v>90.597174025617804</v>
      </c>
      <c r="AJ237">
        <v>79.975864529506396</v>
      </c>
      <c r="AK237">
        <v>110.75125539135701</v>
      </c>
      <c r="AL237">
        <v>83.493161330459699</v>
      </c>
      <c r="AM237">
        <v>94.534633745559006</v>
      </c>
      <c r="AN237">
        <v>0.99999997339211899</v>
      </c>
    </row>
    <row r="238" spans="1:40" x14ac:dyDescent="0.3">
      <c r="A238" t="str">
        <f>"20200111150229739"</f>
        <v>20200111150229739</v>
      </c>
      <c r="B238" t="str">
        <f>"1578726149736115"</f>
        <v>1578726149736115</v>
      </c>
      <c r="C238" t="s">
        <v>40</v>
      </c>
      <c r="D238">
        <v>5.4169229999999997</v>
      </c>
      <c r="E238">
        <v>0.59908300000000003</v>
      </c>
      <c r="F238" t="s">
        <v>43</v>
      </c>
      <c r="G238">
        <v>-247.73759999999999</v>
      </c>
      <c r="H238">
        <v>-0.05</v>
      </c>
      <c r="I238">
        <v>347.2568</v>
      </c>
      <c r="J238">
        <v>-361.226</v>
      </c>
      <c r="K238">
        <v>1.104295</v>
      </c>
      <c r="L238">
        <v>367.13799999999998</v>
      </c>
      <c r="M238">
        <v>0.99992380000000003</v>
      </c>
      <c r="N238">
        <v>0</v>
      </c>
      <c r="O238">
        <v>3.5715019999999998E-3</v>
      </c>
      <c r="P238">
        <v>0.99153069999999999</v>
      </c>
      <c r="Q238">
        <v>0.1013833</v>
      </c>
      <c r="R238">
        <v>8.1171060000000003E-2</v>
      </c>
      <c r="S238">
        <v>3.073334</v>
      </c>
      <c r="T238">
        <v>-3.1194929999999999E-2</v>
      </c>
      <c r="U238">
        <v>-0.53726200000000002</v>
      </c>
      <c r="V238">
        <v>-7.7775929999999993E-2</v>
      </c>
      <c r="W238">
        <v>0.1130077</v>
      </c>
      <c r="X238">
        <v>0.99054540000000002</v>
      </c>
      <c r="Y238">
        <v>0.1757109</v>
      </c>
      <c r="Z238">
        <v>-9.2099969999999995E-4</v>
      </c>
      <c r="AA238">
        <v>0.98444140000000002</v>
      </c>
      <c r="AB238">
        <v>41</v>
      </c>
      <c r="AC238">
        <v>113.4884</v>
      </c>
      <c r="AD238">
        <v>-1.1542950000000001</v>
      </c>
      <c r="AE238">
        <v>-19.8812</v>
      </c>
      <c r="AF238">
        <v>20.284389593167202</v>
      </c>
      <c r="AG238">
        <v>-1.1542950000000001</v>
      </c>
      <c r="AH238">
        <v>113.405282919633</v>
      </c>
      <c r="AI238">
        <v>90.574054619388406</v>
      </c>
      <c r="AJ238">
        <v>79.858953330483303</v>
      </c>
      <c r="AK238">
        <v>115.210880789084</v>
      </c>
      <c r="AL238">
        <v>83.511274543589195</v>
      </c>
      <c r="AM238">
        <v>94.489555475936697</v>
      </c>
      <c r="AN238">
        <v>1.0000000125038999</v>
      </c>
    </row>
    <row r="239" spans="1:40" x14ac:dyDescent="0.3">
      <c r="A239" t="str">
        <f>"20200111150229752"</f>
        <v>20200111150229752</v>
      </c>
      <c r="B239" t="str">
        <f>"1578726149745876"</f>
        <v>1578726149745876</v>
      </c>
      <c r="C239" t="s">
        <v>40</v>
      </c>
      <c r="D239">
        <v>5.4263879999999904</v>
      </c>
      <c r="E239">
        <v>0.5996766</v>
      </c>
      <c r="F239" t="s">
        <v>43</v>
      </c>
      <c r="G239">
        <v>-242.00890000000001</v>
      </c>
      <c r="H239">
        <v>-0.05</v>
      </c>
      <c r="I239">
        <v>345.91090000000003</v>
      </c>
      <c r="J239">
        <v>-360.98</v>
      </c>
      <c r="K239">
        <v>1.104287</v>
      </c>
      <c r="L239">
        <v>367.13909999999998</v>
      </c>
      <c r="M239">
        <v>0.99992270000000005</v>
      </c>
      <c r="N239">
        <v>0</v>
      </c>
      <c r="O239">
        <v>3.85747E-3</v>
      </c>
      <c r="P239">
        <v>0.9915659</v>
      </c>
      <c r="Q239">
        <v>0.1011306</v>
      </c>
      <c r="R239">
        <v>8.1055290000000002E-2</v>
      </c>
      <c r="S239">
        <v>3.0734560000000002</v>
      </c>
      <c r="T239">
        <v>-2.9758099999999999E-2</v>
      </c>
      <c r="U239">
        <v>-0.54724119999999998</v>
      </c>
      <c r="V239">
        <v>-7.7374780000000004E-2</v>
      </c>
      <c r="W239">
        <v>0.1127575</v>
      </c>
      <c r="X239">
        <v>0.99060530000000002</v>
      </c>
      <c r="Y239">
        <v>0.179085299999999</v>
      </c>
      <c r="Z239">
        <v>-8.9725630000000002E-4</v>
      </c>
      <c r="AA239">
        <v>0.98383310000000002</v>
      </c>
      <c r="AB239">
        <v>41</v>
      </c>
      <c r="AC239">
        <v>118.97110000000001</v>
      </c>
      <c r="AD239">
        <v>-1.1542870000000001</v>
      </c>
      <c r="AE239">
        <v>-21.228199999999902</v>
      </c>
      <c r="AF239">
        <v>21.685023246164899</v>
      </c>
      <c r="AG239">
        <v>-1.1542870000000001</v>
      </c>
      <c r="AH239">
        <v>118.877476777214</v>
      </c>
      <c r="AI239">
        <v>90.547287649523398</v>
      </c>
      <c r="AJ239">
        <v>79.662061541960895</v>
      </c>
      <c r="AK239">
        <v>120.84464033039301</v>
      </c>
      <c r="AL239">
        <v>83.5257019877197</v>
      </c>
      <c r="AM239">
        <v>94.466224354652994</v>
      </c>
      <c r="AN239">
        <v>0.99999998538719403</v>
      </c>
    </row>
    <row r="240" spans="1:40" x14ac:dyDescent="0.3">
      <c r="A240" t="str">
        <f>"20200111150229764"</f>
        <v>20200111150229764</v>
      </c>
      <c r="B240" t="str">
        <f>"1578726149755636"</f>
        <v>1578726149755636</v>
      </c>
      <c r="C240" t="s">
        <v>40</v>
      </c>
      <c r="D240">
        <v>5.3889069999999997</v>
      </c>
      <c r="E240">
        <v>0.60014469999999998</v>
      </c>
      <c r="F240" t="s">
        <v>51</v>
      </c>
      <c r="G240">
        <v>-245.3451</v>
      </c>
      <c r="H240">
        <v>1.4512789999999999E-2</v>
      </c>
      <c r="I240">
        <v>346.36259999999999</v>
      </c>
      <c r="J240">
        <v>-360.73790000000002</v>
      </c>
      <c r="K240">
        <v>1.1042799999999999</v>
      </c>
      <c r="L240">
        <v>367.14030000000002</v>
      </c>
      <c r="M240">
        <v>0.99992139999999996</v>
      </c>
      <c r="N240">
        <v>0</v>
      </c>
      <c r="O240">
        <v>4.1363509999999999E-3</v>
      </c>
      <c r="P240">
        <v>0.99161540000000004</v>
      </c>
      <c r="Q240">
        <v>0.1009669</v>
      </c>
      <c r="R240">
        <v>8.0652870000000002E-2</v>
      </c>
      <c r="S240">
        <v>3.0736080000000001</v>
      </c>
      <c r="T240">
        <v>-2.8964400000000001E-2</v>
      </c>
      <c r="U240">
        <v>-0.55224609999999996</v>
      </c>
      <c r="V240">
        <v>-7.6694529999999997E-2</v>
      </c>
      <c r="W240">
        <v>0.1125974</v>
      </c>
      <c r="X240">
        <v>0.99067640000000001</v>
      </c>
      <c r="Y240">
        <v>0.1809037</v>
      </c>
      <c r="Z240">
        <v>-8.8426689999999996E-4</v>
      </c>
      <c r="AA240">
        <v>0.98350040000000005</v>
      </c>
      <c r="AB240">
        <v>41</v>
      </c>
      <c r="AC240">
        <v>115.39279999999999</v>
      </c>
      <c r="AD240">
        <v>-1.08976721</v>
      </c>
      <c r="AE240">
        <v>-20.777699999999999</v>
      </c>
      <c r="AF240">
        <v>21.2530247820585</v>
      </c>
      <c r="AG240">
        <v>-1.08976721</v>
      </c>
      <c r="AH240">
        <v>115.295902656359</v>
      </c>
      <c r="AI240">
        <v>90.532566784115403</v>
      </c>
      <c r="AJ240">
        <v>79.555648886390301</v>
      </c>
      <c r="AK240">
        <v>117.243438299562</v>
      </c>
      <c r="AL240">
        <v>83.534933782672496</v>
      </c>
      <c r="AM240">
        <v>94.426799305977099</v>
      </c>
      <c r="AN240">
        <v>0.99999997746781999</v>
      </c>
    </row>
    <row r="241" spans="1:40" x14ac:dyDescent="0.3">
      <c r="A241" t="str">
        <f>"20200111150229782"</f>
        <v>20200111150229782</v>
      </c>
      <c r="B241" t="str">
        <f>"1578726149776132"</f>
        <v>1578726149776132</v>
      </c>
      <c r="C241" t="s">
        <v>40</v>
      </c>
      <c r="D241">
        <v>5.3535180000000002</v>
      </c>
      <c r="E241">
        <v>0.60052589999999995</v>
      </c>
      <c r="F241" t="s">
        <v>51</v>
      </c>
      <c r="G241">
        <v>-245.3451</v>
      </c>
      <c r="H241">
        <v>3.7856819999999999E-2</v>
      </c>
      <c r="I241">
        <v>346.2124</v>
      </c>
      <c r="J241">
        <v>-360.40949999999998</v>
      </c>
      <c r="K241">
        <v>1.1042719999999999</v>
      </c>
      <c r="L241">
        <v>367.142</v>
      </c>
      <c r="M241">
        <v>0.99992000000000003</v>
      </c>
      <c r="N241">
        <v>0</v>
      </c>
      <c r="O241">
        <v>4.511602E-3</v>
      </c>
      <c r="P241">
        <v>0.99178010000000005</v>
      </c>
      <c r="Q241">
        <v>0.1001948</v>
      </c>
      <c r="R241">
        <v>7.9584639999999998E-2</v>
      </c>
      <c r="S241">
        <v>3.0736080000000001</v>
      </c>
      <c r="T241">
        <v>-2.840316E-2</v>
      </c>
      <c r="U241">
        <v>-0.55743409999999904</v>
      </c>
      <c r="V241">
        <v>-7.5250769999999995E-2</v>
      </c>
      <c r="W241">
        <v>0.11183170000000001</v>
      </c>
      <c r="X241">
        <v>0.99087389999999997</v>
      </c>
      <c r="Y241">
        <v>0.1828804</v>
      </c>
      <c r="Z241">
        <v>-8.7950379999999996E-4</v>
      </c>
      <c r="AA241">
        <v>0.98313479999999998</v>
      </c>
      <c r="AB241">
        <v>41</v>
      </c>
      <c r="AC241">
        <v>115.064399999999</v>
      </c>
      <c r="AD241">
        <v>-1.0664151799999999</v>
      </c>
      <c r="AE241">
        <v>-20.929599999999901</v>
      </c>
      <c r="AF241">
        <v>21.446764804951599</v>
      </c>
      <c r="AG241">
        <v>-1.0664151799999999</v>
      </c>
      <c r="AH241">
        <v>114.959237923204</v>
      </c>
      <c r="AI241">
        <v>90.522473027713204</v>
      </c>
      <c r="AJ241">
        <v>79.432397210416099</v>
      </c>
      <c r="AK241">
        <v>116.94754099945401</v>
      </c>
      <c r="AL241">
        <v>83.5790844617798</v>
      </c>
      <c r="AM241">
        <v>94.342925150921005</v>
      </c>
      <c r="AN241">
        <v>1.0000000466058401</v>
      </c>
    </row>
    <row r="242" spans="1:40" x14ac:dyDescent="0.3">
      <c r="A242" t="str">
        <f>"20200111150229794"</f>
        <v>20200111150229794</v>
      </c>
      <c r="B242" t="str">
        <f>"1578726149785893"</f>
        <v>1578726149785893</v>
      </c>
      <c r="C242" t="s">
        <v>40</v>
      </c>
      <c r="D242">
        <v>5.5189570000000003</v>
      </c>
      <c r="E242">
        <v>0.59159729999999999</v>
      </c>
      <c r="F242" t="s">
        <v>43</v>
      </c>
      <c r="G242">
        <v>-245.7876</v>
      </c>
      <c r="H242">
        <v>-0.05</v>
      </c>
      <c r="I242">
        <v>346.1157</v>
      </c>
      <c r="J242">
        <v>-360.18549999999999</v>
      </c>
      <c r="K242">
        <v>1.1042670000000001</v>
      </c>
      <c r="L242">
        <v>367.14319999999998</v>
      </c>
      <c r="M242">
        <v>0.99991870000000005</v>
      </c>
      <c r="N242">
        <v>0</v>
      </c>
      <c r="O242">
        <v>4.7658300000000004E-3</v>
      </c>
      <c r="P242">
        <v>0.99181220000000003</v>
      </c>
      <c r="Q242">
        <v>9.9996360000000006E-2</v>
      </c>
      <c r="R242">
        <v>7.9431689999999999E-2</v>
      </c>
      <c r="S242">
        <v>3.0732119999999998</v>
      </c>
      <c r="T242">
        <v>-3.094804E-2</v>
      </c>
      <c r="U242">
        <v>-0.56375120000000001</v>
      </c>
      <c r="V242">
        <v>-7.4844659999999993E-2</v>
      </c>
      <c r="W242">
        <v>0.1116355</v>
      </c>
      <c r="X242">
        <v>0.99092670000000005</v>
      </c>
      <c r="Y242">
        <v>0.1851064</v>
      </c>
      <c r="Z242">
        <v>-9.719037E-4</v>
      </c>
      <c r="AA242">
        <v>0.98271799999999998</v>
      </c>
      <c r="AB242">
        <v>41</v>
      </c>
      <c r="AC242">
        <v>114.39790000000001</v>
      </c>
      <c r="AD242">
        <v>-1.1542669999999999</v>
      </c>
      <c r="AE242">
        <v>-21.0274999999999</v>
      </c>
      <c r="AF242">
        <v>21.570376004858101</v>
      </c>
      <c r="AG242">
        <v>-1.1542669999999999</v>
      </c>
      <c r="AH242">
        <v>114.28512540407399</v>
      </c>
      <c r="AI242">
        <v>90.568622454549299</v>
      </c>
      <c r="AJ242">
        <v>79.311628796733103</v>
      </c>
      <c r="AK242">
        <v>116.308655490136</v>
      </c>
      <c r="AL242">
        <v>83.590396212042606</v>
      </c>
      <c r="AM242">
        <v>94.319347103328496</v>
      </c>
      <c r="AN242">
        <v>0.99999996638182698</v>
      </c>
    </row>
    <row r="243" spans="1:40" x14ac:dyDescent="0.3">
      <c r="A243" t="str">
        <f>"20200111150229807"</f>
        <v>20200111150229807</v>
      </c>
      <c r="B243" t="str">
        <f>"1578726149795652"</f>
        <v>1578726149795652</v>
      </c>
      <c r="C243" t="s">
        <v>40</v>
      </c>
      <c r="D243">
        <v>5.5223209999999998</v>
      </c>
      <c r="E243">
        <v>0.59159729999999999</v>
      </c>
      <c r="F243" t="s">
        <v>48</v>
      </c>
      <c r="G243">
        <v>-168.9907</v>
      </c>
      <c r="H243">
        <v>26.255479999999999</v>
      </c>
      <c r="I243">
        <v>336.22089999999997</v>
      </c>
      <c r="J243">
        <v>-359.9581</v>
      </c>
      <c r="K243">
        <v>1.1042609999999999</v>
      </c>
      <c r="L243">
        <v>367.14449999999999</v>
      </c>
      <c r="M243">
        <v>0.99991750000000001</v>
      </c>
      <c r="N243">
        <v>0</v>
      </c>
      <c r="O243">
        <v>5.0227450000000003E-3</v>
      </c>
      <c r="P243">
        <v>0.9918382</v>
      </c>
      <c r="Q243">
        <v>9.9582870000000004E-2</v>
      </c>
      <c r="R243">
        <v>7.9627130000000004E-2</v>
      </c>
      <c r="S243">
        <v>3.0238040000000002</v>
      </c>
      <c r="T243">
        <v>0.39777400000000002</v>
      </c>
      <c r="U243">
        <v>-0.48904419999999998</v>
      </c>
      <c r="V243">
        <v>-7.4783409999999995E-2</v>
      </c>
      <c r="W243">
        <v>0.11122369999999999</v>
      </c>
      <c r="X243">
        <v>0.99097760000000001</v>
      </c>
      <c r="Y243">
        <v>0.1632007</v>
      </c>
      <c r="Z243">
        <v>1.1273969999999999E-2</v>
      </c>
      <c r="AA243">
        <v>0.98652850000000003</v>
      </c>
      <c r="AB243">
        <v>41</v>
      </c>
      <c r="AC243">
        <v>190.9674</v>
      </c>
      <c r="AD243">
        <v>25.151219000000001</v>
      </c>
      <c r="AE243">
        <v>-30.9236</v>
      </c>
      <c r="AF243">
        <v>31.352512531582899</v>
      </c>
      <c r="AG243">
        <v>25.151219000000001</v>
      </c>
      <c r="AH243">
        <v>187.638052005026</v>
      </c>
      <c r="AI243">
        <v>82.468701134111797</v>
      </c>
      <c r="AJ243">
        <v>80.514058826751494</v>
      </c>
      <c r="AK243">
        <v>191.894769130036</v>
      </c>
      <c r="AL243">
        <v>83.614138284155601</v>
      </c>
      <c r="AM243">
        <v>94.315604838185195</v>
      </c>
      <c r="AN243">
        <v>0.99999993677733701</v>
      </c>
    </row>
    <row r="244" spans="1:40" x14ac:dyDescent="0.3">
      <c r="A244" t="str">
        <f>"20200111150229821"</f>
        <v>20200111150229821</v>
      </c>
      <c r="B244" t="str">
        <f>"1578726149816148"</f>
        <v>1578726149816148</v>
      </c>
      <c r="C244" t="s">
        <v>40</v>
      </c>
      <c r="D244">
        <v>5.4924210000000002</v>
      </c>
      <c r="E244">
        <v>0.58618669999999995</v>
      </c>
      <c r="F244" t="s">
        <v>48</v>
      </c>
      <c r="G244">
        <v>-168.9906</v>
      </c>
      <c r="H244">
        <v>26.158280000000001</v>
      </c>
      <c r="I244">
        <v>336.29259999999999</v>
      </c>
      <c r="J244">
        <v>-359.71949999999998</v>
      </c>
      <c r="K244">
        <v>1.104258</v>
      </c>
      <c r="L244">
        <v>367.14589999999998</v>
      </c>
      <c r="M244">
        <v>0.99991609999999997</v>
      </c>
      <c r="N244">
        <v>0</v>
      </c>
      <c r="O244">
        <v>5.2909300000000001E-3</v>
      </c>
      <c r="P244">
        <v>0.99182250000000005</v>
      </c>
      <c r="Q244">
        <v>9.9449839999999998E-2</v>
      </c>
      <c r="R244">
        <v>7.9987840000000004E-2</v>
      </c>
      <c r="S244">
        <v>3.0240779999999998</v>
      </c>
      <c r="T244">
        <v>0.3967446</v>
      </c>
      <c r="U244">
        <v>-0.48855589999999999</v>
      </c>
      <c r="V244">
        <v>-7.4877600000000002E-2</v>
      </c>
      <c r="W244">
        <v>0.111092</v>
      </c>
      <c r="X244">
        <v>0.99098529999999996</v>
      </c>
      <c r="Y244">
        <v>0.16330029999999901</v>
      </c>
      <c r="Z244">
        <v>1.1285470000000001E-2</v>
      </c>
      <c r="AA244">
        <v>0.9865119</v>
      </c>
      <c r="AB244">
        <v>41</v>
      </c>
      <c r="AC244">
        <v>190.72890000000001</v>
      </c>
      <c r="AD244">
        <v>25.054022</v>
      </c>
      <c r="AE244">
        <v>-30.853299999999901</v>
      </c>
      <c r="AF244">
        <v>31.335163149734299</v>
      </c>
      <c r="AG244">
        <v>25.054022</v>
      </c>
      <c r="AH244">
        <v>187.41160216124501</v>
      </c>
      <c r="AI244">
        <v>82.488643822409003</v>
      </c>
      <c r="AJ244">
        <v>80.507965374264401</v>
      </c>
      <c r="AK244">
        <v>191.65778119513399</v>
      </c>
      <c r="AL244">
        <v>83.621731445914605</v>
      </c>
      <c r="AM244">
        <v>94.320986338490499</v>
      </c>
      <c r="AN244">
        <v>0.99999997613092395</v>
      </c>
    </row>
    <row r="245" spans="1:40" x14ac:dyDescent="0.3">
      <c r="A245" t="str">
        <f>"20200111150229833"</f>
        <v>20200111150229833</v>
      </c>
      <c r="B245" t="str">
        <f>"1578726149825908"</f>
        <v>1578726149825908</v>
      </c>
      <c r="C245" t="s">
        <v>40</v>
      </c>
      <c r="D245">
        <v>5.5103080000000002</v>
      </c>
      <c r="E245">
        <v>0.58582219999999996</v>
      </c>
      <c r="F245" t="s">
        <v>43</v>
      </c>
      <c r="G245">
        <v>-290.65710000000001</v>
      </c>
      <c r="H245">
        <v>-0.05</v>
      </c>
      <c r="I245">
        <v>357.03219999999999</v>
      </c>
      <c r="J245">
        <v>-359.4776</v>
      </c>
      <c r="K245">
        <v>1.104255</v>
      </c>
      <c r="L245">
        <v>367.1474</v>
      </c>
      <c r="M245">
        <v>0.99991459999999999</v>
      </c>
      <c r="N245">
        <v>0</v>
      </c>
      <c r="O245">
        <v>5.562455E-3</v>
      </c>
      <c r="P245">
        <v>0.9918266</v>
      </c>
      <c r="Q245">
        <v>9.9191440000000006E-2</v>
      </c>
      <c r="R245">
        <v>8.0256659999999994E-2</v>
      </c>
      <c r="S245">
        <v>3.066071</v>
      </c>
      <c r="T245">
        <v>-5.1244020000000001E-2</v>
      </c>
      <c r="U245">
        <v>-0.44900509999999899</v>
      </c>
      <c r="V245">
        <v>-7.4876460000000006E-2</v>
      </c>
      <c r="W245">
        <v>0.11083460000000001</v>
      </c>
      <c r="X245">
        <v>0.99101419999999996</v>
      </c>
      <c r="Y245">
        <v>0.15037829999999999</v>
      </c>
      <c r="Z245">
        <v>-1.3423860000000001E-3</v>
      </c>
      <c r="AA245">
        <v>0.98862760000000005</v>
      </c>
      <c r="AB245">
        <v>41</v>
      </c>
      <c r="AC245">
        <v>68.820499999999896</v>
      </c>
      <c r="AD245">
        <v>-1.154255</v>
      </c>
      <c r="AE245">
        <v>-10.1152</v>
      </c>
      <c r="AF245">
        <v>10.4949913954551</v>
      </c>
      <c r="AG245">
        <v>-1.154255</v>
      </c>
      <c r="AH245">
        <v>68.744237124556406</v>
      </c>
      <c r="AI245">
        <v>90.950922645886294</v>
      </c>
      <c r="AJ245">
        <v>81.319835678043603</v>
      </c>
      <c r="AK245">
        <v>69.550321975048703</v>
      </c>
      <c r="AL245">
        <v>83.636570974276907</v>
      </c>
      <c r="AM245">
        <v>94.320795271597802</v>
      </c>
      <c r="AN245">
        <v>0.99999996871046504</v>
      </c>
    </row>
    <row r="246" spans="1:40" x14ac:dyDescent="0.3">
      <c r="A246" t="str">
        <f>"20200111150229848"</f>
        <v>20200111150229848</v>
      </c>
      <c r="B246" t="str">
        <f>"1578726149845428"</f>
        <v>1578726149845428</v>
      </c>
      <c r="C246" t="s">
        <v>40</v>
      </c>
      <c r="D246">
        <v>5.4828830000000002</v>
      </c>
      <c r="E246">
        <v>0.58547439999999995</v>
      </c>
      <c r="F246" t="s">
        <v>43</v>
      </c>
      <c r="G246">
        <v>-293.47649999999999</v>
      </c>
      <c r="H246">
        <v>-0.05</v>
      </c>
      <c r="I246">
        <v>357.55450000000002</v>
      </c>
      <c r="J246">
        <v>-359.19600000000003</v>
      </c>
      <c r="K246">
        <v>1.1042510000000001</v>
      </c>
      <c r="L246">
        <v>367.14920000000001</v>
      </c>
      <c r="M246">
        <v>0.99991269999999999</v>
      </c>
      <c r="N246">
        <v>0</v>
      </c>
      <c r="O246">
        <v>5.8779069999999999E-3</v>
      </c>
      <c r="P246">
        <v>0.99180029999999997</v>
      </c>
      <c r="Q246">
        <v>9.8768190000000006E-2</v>
      </c>
      <c r="R246">
        <v>8.1100350000000002E-2</v>
      </c>
      <c r="S246">
        <v>3.0661619999999998</v>
      </c>
      <c r="T246">
        <v>-5.3622360000000001E-2</v>
      </c>
      <c r="U246">
        <v>-0.44564819999999999</v>
      </c>
      <c r="V246">
        <v>-7.5406440000000005E-2</v>
      </c>
      <c r="W246">
        <v>0.11041239999999999</v>
      </c>
      <c r="X246">
        <v>0.99102120000000005</v>
      </c>
      <c r="Y246">
        <v>0.14962410000000001</v>
      </c>
      <c r="Z246">
        <v>-1.40367799999999E-3</v>
      </c>
      <c r="AA246">
        <v>0.98874189999999995</v>
      </c>
      <c r="AB246">
        <v>41</v>
      </c>
      <c r="AC246">
        <v>65.719499999999897</v>
      </c>
      <c r="AD246">
        <v>-1.1542509999999999</v>
      </c>
      <c r="AE246">
        <v>-9.59469999999998</v>
      </c>
      <c r="AF246">
        <v>9.9778407643041103</v>
      </c>
      <c r="AG246">
        <v>-1.1542509999999999</v>
      </c>
      <c r="AH246">
        <v>65.642137823051996</v>
      </c>
      <c r="AI246">
        <v>90.995947183741194</v>
      </c>
      <c r="AJ246">
        <v>81.356996236802303</v>
      </c>
      <c r="AK246">
        <v>66.406173355113296</v>
      </c>
      <c r="AL246">
        <v>83.660910993127104</v>
      </c>
      <c r="AM246">
        <v>94.351230454082497</v>
      </c>
      <c r="AN246">
        <v>1.00000002405833</v>
      </c>
    </row>
    <row r="247" spans="1:40" x14ac:dyDescent="0.3">
      <c r="A247" t="str">
        <f>"20200111150229862"</f>
        <v>20200111150229862</v>
      </c>
      <c r="B247" t="str">
        <f>"1578726149856163"</f>
        <v>1578726149856163</v>
      </c>
      <c r="C247" t="s">
        <v>40</v>
      </c>
      <c r="D247">
        <v>5.4778699999999896</v>
      </c>
      <c r="E247">
        <v>0.58493200000000001</v>
      </c>
      <c r="F247" t="s">
        <v>43</v>
      </c>
      <c r="G247">
        <v>-304.2516</v>
      </c>
      <c r="H247">
        <v>-0.05</v>
      </c>
      <c r="I247">
        <v>359.2638</v>
      </c>
      <c r="J247">
        <v>-358.94349999999997</v>
      </c>
      <c r="K247">
        <v>1.1042479999999999</v>
      </c>
      <c r="L247">
        <v>367.15089999999998</v>
      </c>
      <c r="M247">
        <v>0.99991110000000005</v>
      </c>
      <c r="N247">
        <v>0</v>
      </c>
      <c r="O247">
        <v>6.1599259999999996E-3</v>
      </c>
      <c r="P247">
        <v>0.99176940000000002</v>
      </c>
      <c r="Q247">
        <v>9.8808770000000004E-2</v>
      </c>
      <c r="R247">
        <v>8.142808E-2</v>
      </c>
      <c r="S247">
        <v>3.0671390000000001</v>
      </c>
      <c r="T247">
        <v>-6.4433340000000006E-2</v>
      </c>
      <c r="U247">
        <v>-0.44018550000000001</v>
      </c>
      <c r="V247">
        <v>-7.5454289999999993E-2</v>
      </c>
      <c r="W247">
        <v>0.1104536</v>
      </c>
      <c r="X247">
        <v>0.99101289999999997</v>
      </c>
      <c r="Y247">
        <v>0.148123</v>
      </c>
      <c r="Z247">
        <v>-1.6765129999999999E-3</v>
      </c>
      <c r="AA247">
        <v>0.9889675</v>
      </c>
      <c r="AB247">
        <v>41</v>
      </c>
      <c r="AC247">
        <v>54.691899999999897</v>
      </c>
      <c r="AD247">
        <v>-1.1542479999999999</v>
      </c>
      <c r="AE247">
        <v>-7.88709999999997</v>
      </c>
      <c r="AF247">
        <v>8.2202852165676497</v>
      </c>
      <c r="AG247">
        <v>-1.1542479999999999</v>
      </c>
      <c r="AH247">
        <v>54.618443304597797</v>
      </c>
      <c r="AI247">
        <v>91.197168903159493</v>
      </c>
      <c r="AJ247">
        <v>81.441004050149004</v>
      </c>
      <c r="AK247">
        <v>55.245630836336602</v>
      </c>
      <c r="AL247">
        <v>83.658535457953604</v>
      </c>
      <c r="AM247">
        <v>94.354017287467201</v>
      </c>
      <c r="AN247">
        <v>0.999999957799386</v>
      </c>
    </row>
    <row r="248" spans="1:40" x14ac:dyDescent="0.3">
      <c r="A248" t="str">
        <f>"20200111150229883"</f>
        <v>20200111150229883</v>
      </c>
      <c r="B248" t="str">
        <f>"1578726149875684"</f>
        <v>1578726149875684</v>
      </c>
      <c r="C248" t="s">
        <v>40</v>
      </c>
      <c r="D248">
        <v>5.474615</v>
      </c>
      <c r="E248">
        <v>0.58404369999999906</v>
      </c>
      <c r="F248" t="s">
        <v>43</v>
      </c>
      <c r="G248">
        <v>-305.29320000000001</v>
      </c>
      <c r="H248">
        <v>-0.05</v>
      </c>
      <c r="I248">
        <v>359.55</v>
      </c>
      <c r="J248">
        <v>-358.5514</v>
      </c>
      <c r="K248">
        <v>1.1042449999999999</v>
      </c>
      <c r="L248">
        <v>367.15370000000001</v>
      </c>
      <c r="M248">
        <v>0.99990820000000002</v>
      </c>
      <c r="N248">
        <v>0</v>
      </c>
      <c r="O248">
        <v>6.5991640000000002E-3</v>
      </c>
      <c r="P248">
        <v>0.9917144</v>
      </c>
      <c r="Q248">
        <v>9.8716180000000001E-2</v>
      </c>
      <c r="R248">
        <v>8.2206520000000005E-2</v>
      </c>
      <c r="S248">
        <v>3.0671689999999998</v>
      </c>
      <c r="T248">
        <v>-6.5987939999999995E-2</v>
      </c>
      <c r="U248">
        <v>-0.43453979999999998</v>
      </c>
      <c r="V248">
        <v>-7.5796249999999996E-2</v>
      </c>
      <c r="W248">
        <v>0.11036219999999999</v>
      </c>
      <c r="X248">
        <v>0.99099700000000002</v>
      </c>
      <c r="Y248">
        <v>0.14677029999999999</v>
      </c>
      <c r="Z248">
        <v>-1.712086E-3</v>
      </c>
      <c r="AA248">
        <v>0.98916910000000002</v>
      </c>
      <c r="AB248">
        <v>41</v>
      </c>
      <c r="AC248">
        <v>53.258199999999903</v>
      </c>
      <c r="AD248">
        <v>-1.154245</v>
      </c>
      <c r="AE248">
        <v>-7.6036999999999999</v>
      </c>
      <c r="AF248">
        <v>7.95135844913358</v>
      </c>
      <c r="AG248">
        <v>-1.154245</v>
      </c>
      <c r="AH248">
        <v>53.182377677210098</v>
      </c>
      <c r="AI248">
        <v>91.2296616718059</v>
      </c>
      <c r="AJ248">
        <v>81.496629055441005</v>
      </c>
      <c r="AK248">
        <v>53.7858873507544</v>
      </c>
      <c r="AL248">
        <v>83.6638045853759</v>
      </c>
      <c r="AM248">
        <v>94.373743267931204</v>
      </c>
      <c r="AN248">
        <v>0.99999997035595001</v>
      </c>
    </row>
    <row r="249" spans="1:40" x14ac:dyDescent="0.3">
      <c r="A249" t="str">
        <f>"20200111150229897"</f>
        <v>20200111150229897</v>
      </c>
      <c r="B249" t="str">
        <f>"1578726149885445"</f>
        <v>1578726149885445</v>
      </c>
      <c r="C249" t="s">
        <v>40</v>
      </c>
      <c r="D249">
        <v>5.5099780000000003</v>
      </c>
      <c r="E249">
        <v>0.58398309999999998</v>
      </c>
      <c r="F249" t="s">
        <v>43</v>
      </c>
      <c r="G249">
        <v>-304.38749999999999</v>
      </c>
      <c r="H249">
        <v>-0.05</v>
      </c>
      <c r="I249">
        <v>359.64139999999998</v>
      </c>
      <c r="J249">
        <v>-358.303</v>
      </c>
      <c r="K249">
        <v>1.1042430000000001</v>
      </c>
      <c r="L249">
        <v>367.15559999999999</v>
      </c>
      <c r="M249">
        <v>0.99990639999999997</v>
      </c>
      <c r="N249">
        <v>0</v>
      </c>
      <c r="O249">
        <v>6.87719E-3</v>
      </c>
      <c r="P249">
        <v>0.99172459999999996</v>
      </c>
      <c r="Q249">
        <v>9.8351549999999996E-2</v>
      </c>
      <c r="R249">
        <v>8.2522040000000005E-2</v>
      </c>
      <c r="S249">
        <v>3.0668030000000002</v>
      </c>
      <c r="T249">
        <v>-6.5354229999999999E-2</v>
      </c>
      <c r="U249">
        <v>-0.42535400000000001</v>
      </c>
      <c r="V249">
        <v>-7.5835239999999998E-2</v>
      </c>
      <c r="W249">
        <v>0.1099986</v>
      </c>
      <c r="X249">
        <v>0.99103439999999998</v>
      </c>
      <c r="Y249">
        <v>0.1441567</v>
      </c>
      <c r="Z249">
        <v>-1.6743839999999999E-3</v>
      </c>
      <c r="AA249">
        <v>0.98955349999999997</v>
      </c>
      <c r="AB249">
        <v>41</v>
      </c>
      <c r="AC249">
        <v>53.915500000000002</v>
      </c>
      <c r="AD249">
        <v>-1.1542429999999999</v>
      </c>
      <c r="AE249">
        <v>-7.5142000000000104</v>
      </c>
      <c r="AF249">
        <v>7.8812920387934398</v>
      </c>
      <c r="AG249">
        <v>-1.1542429999999999</v>
      </c>
      <c r="AH249">
        <v>53.838339682089703</v>
      </c>
      <c r="AI249">
        <v>91.215231170711505</v>
      </c>
      <c r="AJ249">
        <v>81.671733855910702</v>
      </c>
      <c r="AK249">
        <v>54.424386637130603</v>
      </c>
      <c r="AL249">
        <v>83.684764683032697</v>
      </c>
      <c r="AM249">
        <v>94.375819907195506</v>
      </c>
      <c r="AN249">
        <v>0.99999992880558597</v>
      </c>
    </row>
    <row r="250" spans="1:40" x14ac:dyDescent="0.3">
      <c r="A250" t="str">
        <f>"20200111150229910"</f>
        <v>20200111150229910</v>
      </c>
      <c r="B250" t="str">
        <f>"1578726149905939"</f>
        <v>1578726149905939</v>
      </c>
      <c r="C250" t="s">
        <v>40</v>
      </c>
      <c r="D250">
        <v>5.3791010000000004</v>
      </c>
      <c r="E250">
        <v>0.58387049999999996</v>
      </c>
      <c r="F250" t="s">
        <v>43</v>
      </c>
      <c r="G250">
        <v>-304.01670000000001</v>
      </c>
      <c r="H250">
        <v>-0.05</v>
      </c>
      <c r="I250">
        <v>359.65260000000001</v>
      </c>
      <c r="J250">
        <v>-358.05619999999999</v>
      </c>
      <c r="K250">
        <v>1.1042400000000001</v>
      </c>
      <c r="L250">
        <v>367.15750000000003</v>
      </c>
      <c r="M250">
        <v>0.99990440000000003</v>
      </c>
      <c r="N250">
        <v>0</v>
      </c>
      <c r="O250">
        <v>7.1538469999999996E-3</v>
      </c>
      <c r="P250">
        <v>0.99169689999999999</v>
      </c>
      <c r="Q250">
        <v>9.8372219999999996E-2</v>
      </c>
      <c r="R250">
        <v>8.2828040000000006E-2</v>
      </c>
      <c r="S250">
        <v>3.0667719999999998</v>
      </c>
      <c r="T250">
        <v>-6.5206169999999994E-2</v>
      </c>
      <c r="U250">
        <v>-0.42385859999999898</v>
      </c>
      <c r="V250">
        <v>-7.5866230000000007E-2</v>
      </c>
      <c r="W250">
        <v>0.11002049999999999</v>
      </c>
      <c r="X250">
        <v>0.99102970000000001</v>
      </c>
      <c r="Y250">
        <v>0.14395849999999999</v>
      </c>
      <c r="Z250">
        <v>-1.6744220000000001E-3</v>
      </c>
      <c r="AA250">
        <v>0.98958230000000003</v>
      </c>
      <c r="AB250">
        <v>41</v>
      </c>
      <c r="AC250">
        <v>54.039499999999897</v>
      </c>
      <c r="AD250">
        <v>-1.1542399999999999</v>
      </c>
      <c r="AE250">
        <v>-7.5049000000000099</v>
      </c>
      <c r="AF250">
        <v>7.8877948725576097</v>
      </c>
      <c r="AG250">
        <v>-1.1542399999999999</v>
      </c>
      <c r="AH250">
        <v>53.960272647460897</v>
      </c>
      <c r="AI250">
        <v>91.212519311507805</v>
      </c>
      <c r="AJ250">
        <v>81.683529530947695</v>
      </c>
      <c r="AK250">
        <v>54.545949456558702</v>
      </c>
      <c r="AL250">
        <v>83.683502889762494</v>
      </c>
      <c r="AM250">
        <v>94.377621812717607</v>
      </c>
      <c r="AN250">
        <v>1.0000000307783701</v>
      </c>
    </row>
    <row r="251" spans="1:40" x14ac:dyDescent="0.3">
      <c r="A251" t="str">
        <f>"20200111150229927"</f>
        <v>20200111150229927</v>
      </c>
      <c r="B251" t="str">
        <f>"1578726149915700"</f>
        <v>1578726149915700</v>
      </c>
      <c r="C251" t="s">
        <v>40</v>
      </c>
      <c r="D251">
        <v>4.6156360000000003</v>
      </c>
      <c r="E251">
        <v>0.58387049999999996</v>
      </c>
      <c r="F251" t="s">
        <v>43</v>
      </c>
      <c r="G251">
        <v>-297.11349999999999</v>
      </c>
      <c r="H251">
        <v>-0.05</v>
      </c>
      <c r="I251">
        <v>358.77519999999998</v>
      </c>
      <c r="J251">
        <v>-357.74340000000001</v>
      </c>
      <c r="K251">
        <v>1.104233</v>
      </c>
      <c r="L251">
        <v>367.16</v>
      </c>
      <c r="M251">
        <v>0.99990179999999995</v>
      </c>
      <c r="N251">
        <v>0</v>
      </c>
      <c r="O251">
        <v>7.5043489999999996E-3</v>
      </c>
      <c r="P251">
        <v>0.99184720000000004</v>
      </c>
      <c r="Q251">
        <v>9.7812289999999996E-2</v>
      </c>
      <c r="R251">
        <v>8.1684789999999993E-2</v>
      </c>
      <c r="S251">
        <v>3.0661010000000002</v>
      </c>
      <c r="T251">
        <v>-5.807126E-2</v>
      </c>
      <c r="U251">
        <v>-0.4217224</v>
      </c>
      <c r="V251">
        <v>-7.43732E-2</v>
      </c>
      <c r="W251">
        <v>0.1094659</v>
      </c>
      <c r="X251">
        <v>0.99120430000000004</v>
      </c>
      <c r="Y251">
        <v>0.14366509999999999</v>
      </c>
      <c r="Z251">
        <v>-1.495478E-3</v>
      </c>
      <c r="AA251">
        <v>0.98962519999999998</v>
      </c>
      <c r="AB251">
        <v>41</v>
      </c>
      <c r="AC251">
        <v>60.629899999999999</v>
      </c>
      <c r="AD251">
        <v>-1.1542330000000001</v>
      </c>
      <c r="AE251">
        <v>-8.3848000000000393</v>
      </c>
      <c r="AF251">
        <v>8.83644125533554</v>
      </c>
      <c r="AG251">
        <v>-1.1542330000000001</v>
      </c>
      <c r="AH251">
        <v>60.543735134258696</v>
      </c>
      <c r="AI251">
        <v>91.080732842636294</v>
      </c>
      <c r="AJ251">
        <v>81.696232819717906</v>
      </c>
      <c r="AK251">
        <v>61.1960685982732</v>
      </c>
      <c r="AL251">
        <v>83.715472410023395</v>
      </c>
      <c r="AM251">
        <v>94.291043151711193</v>
      </c>
      <c r="AN251">
        <v>1.0000000602397601</v>
      </c>
    </row>
    <row r="252" spans="1:40" x14ac:dyDescent="0.3">
      <c r="A252" t="str">
        <f>"20200111150229939"</f>
        <v>20200111150229939</v>
      </c>
      <c r="B252" t="str">
        <f>"1578726149936196"</f>
        <v>1578726149936196</v>
      </c>
      <c r="C252" t="s">
        <v>40</v>
      </c>
      <c r="D252">
        <v>5.4260000000000002</v>
      </c>
      <c r="E252">
        <v>0.58395949999999996</v>
      </c>
      <c r="F252" t="s">
        <v>43</v>
      </c>
      <c r="G252">
        <v>-300.01069999999999</v>
      </c>
      <c r="H252">
        <v>-0.05</v>
      </c>
      <c r="I252">
        <v>359.16750000000002</v>
      </c>
      <c r="J252">
        <v>-357.53429999999997</v>
      </c>
      <c r="K252">
        <v>1.104233</v>
      </c>
      <c r="L252">
        <v>367.16180000000003</v>
      </c>
      <c r="M252">
        <v>0.99989989999999995</v>
      </c>
      <c r="N252">
        <v>0</v>
      </c>
      <c r="O252">
        <v>7.7387530000000001E-3</v>
      </c>
      <c r="P252">
        <v>0.99189170000000004</v>
      </c>
      <c r="Q252">
        <v>9.7702319999999995E-2</v>
      </c>
      <c r="R252">
        <v>8.1272750000000005E-2</v>
      </c>
      <c r="S252">
        <v>3.0656430000000001</v>
      </c>
      <c r="T252">
        <v>-6.1290499999999998E-2</v>
      </c>
      <c r="U252">
        <v>-0.42440800000000001</v>
      </c>
      <c r="V252">
        <v>-7.372795E-2</v>
      </c>
      <c r="W252">
        <v>0.10935830000000001</v>
      </c>
      <c r="X252">
        <v>0.99126429999999999</v>
      </c>
      <c r="Y252">
        <v>0.14476439999999999</v>
      </c>
      <c r="Z252">
        <v>-1.594105E-3</v>
      </c>
      <c r="AA252">
        <v>0.98946489999999998</v>
      </c>
      <c r="AB252">
        <v>41</v>
      </c>
      <c r="AC252">
        <v>57.523599999999902</v>
      </c>
      <c r="AD252">
        <v>-1.1542330000000001</v>
      </c>
      <c r="AE252">
        <v>-7.9943000000000097</v>
      </c>
      <c r="AF252">
        <v>8.43592063339573</v>
      </c>
      <c r="AG252">
        <v>-1.1542330000000001</v>
      </c>
      <c r="AH252">
        <v>57.437319773238798</v>
      </c>
      <c r="AI252">
        <v>91.139017487740404</v>
      </c>
      <c r="AJ252">
        <v>81.644604846659206</v>
      </c>
      <c r="AK252">
        <v>58.0649869842794</v>
      </c>
      <c r="AL252">
        <v>83.721674167819103</v>
      </c>
      <c r="AM252">
        <v>94.253695460980296</v>
      </c>
      <c r="AN252">
        <v>0.99999998042229099</v>
      </c>
    </row>
    <row r="253" spans="1:40" x14ac:dyDescent="0.3">
      <c r="A253" t="str">
        <f>"20200111150229949"</f>
        <v>20200111150229949</v>
      </c>
      <c r="B253" t="str">
        <f>"1578726149945957"</f>
        <v>1578726149945957</v>
      </c>
      <c r="C253" t="s">
        <v>40</v>
      </c>
      <c r="D253">
        <v>4.3626259999999997</v>
      </c>
      <c r="E253">
        <v>0.58395949999999996</v>
      </c>
      <c r="F253" t="s">
        <v>43</v>
      </c>
      <c r="G253">
        <v>-281.62650000000002</v>
      </c>
      <c r="H253">
        <v>-0.05</v>
      </c>
      <c r="I253">
        <v>356.60070000000002</v>
      </c>
      <c r="J253">
        <v>-357.33089999999999</v>
      </c>
      <c r="K253">
        <v>1.104233</v>
      </c>
      <c r="L253">
        <v>367.1635</v>
      </c>
      <c r="M253">
        <v>0.99989810000000001</v>
      </c>
      <c r="N253">
        <v>0</v>
      </c>
      <c r="O253">
        <v>7.9667809999999992E-3</v>
      </c>
      <c r="P253">
        <v>0.99194190000000004</v>
      </c>
      <c r="Q253">
        <v>9.7523380000000007E-2</v>
      </c>
      <c r="R253">
        <v>8.0872890000000003E-2</v>
      </c>
      <c r="S253">
        <v>3.0640260000000001</v>
      </c>
      <c r="T253">
        <v>-4.6590689999999997E-2</v>
      </c>
      <c r="U253">
        <v>-0.42630000000000001</v>
      </c>
      <c r="V253">
        <v>-7.3101180000000002E-2</v>
      </c>
      <c r="W253">
        <v>0.1091815</v>
      </c>
      <c r="X253">
        <v>0.99133020000000005</v>
      </c>
      <c r="Y253">
        <v>0.14567289999999999</v>
      </c>
      <c r="Z253">
        <v>-1.2227360000000001E-3</v>
      </c>
      <c r="AA253">
        <v>0.98933210000000005</v>
      </c>
      <c r="AB253">
        <v>41</v>
      </c>
      <c r="AC253">
        <v>75.704399999999893</v>
      </c>
      <c r="AD253">
        <v>-1.1542330000000001</v>
      </c>
      <c r="AE253">
        <v>-10.5627999999999</v>
      </c>
      <c r="AF253">
        <v>11.1630820382419</v>
      </c>
      <c r="AG253">
        <v>-1.1542330000000001</v>
      </c>
      <c r="AH253">
        <v>75.600601360252895</v>
      </c>
      <c r="AI253">
        <v>90.865315027014503</v>
      </c>
      <c r="AJ253">
        <v>81.600477285501796</v>
      </c>
      <c r="AK253">
        <v>76.429036239132799</v>
      </c>
      <c r="AL253">
        <v>83.731865043105401</v>
      </c>
      <c r="AM253">
        <v>94.217385977642095</v>
      </c>
      <c r="AN253">
        <v>0.99999997394584095</v>
      </c>
    </row>
    <row r="254" spans="1:40" x14ac:dyDescent="0.3">
      <c r="A254" t="str">
        <f>"20200111150229962"</f>
        <v>20200111150229962</v>
      </c>
      <c r="B254" t="str">
        <f>"1578726149955716"</f>
        <v>1578726149955716</v>
      </c>
      <c r="C254" t="s">
        <v>40</v>
      </c>
      <c r="D254">
        <v>5.396185</v>
      </c>
      <c r="E254">
        <v>0.58412219999999904</v>
      </c>
      <c r="F254" t="s">
        <v>43</v>
      </c>
      <c r="G254">
        <v>-281.96210000000002</v>
      </c>
      <c r="H254">
        <v>-0.05</v>
      </c>
      <c r="I254">
        <v>356.6438</v>
      </c>
      <c r="J254">
        <v>-357.08620000000002</v>
      </c>
      <c r="K254">
        <v>1.1042299999999901</v>
      </c>
      <c r="L254">
        <v>367.16570000000002</v>
      </c>
      <c r="M254">
        <v>0.99989600000000001</v>
      </c>
      <c r="N254">
        <v>0</v>
      </c>
      <c r="O254">
        <v>8.2409419999999994E-3</v>
      </c>
      <c r="P254">
        <v>0.99198609999999998</v>
      </c>
      <c r="Q254">
        <v>9.7371760000000002E-2</v>
      </c>
      <c r="R254">
        <v>8.0514299999999997E-2</v>
      </c>
      <c r="S254">
        <v>3.0638429999999999</v>
      </c>
      <c r="T254">
        <v>-4.6921129999999998E-2</v>
      </c>
      <c r="U254">
        <v>-0.42764279999999999</v>
      </c>
      <c r="V254">
        <v>-7.2469889999999995E-2</v>
      </c>
      <c r="W254">
        <v>0.1090322</v>
      </c>
      <c r="X254">
        <v>0.99139299999999997</v>
      </c>
      <c r="Y254">
        <v>0.14637709999999901</v>
      </c>
      <c r="Z254">
        <v>-1.2409890000000001E-3</v>
      </c>
      <c r="AA254">
        <v>0.98922810000000005</v>
      </c>
      <c r="AB254">
        <v>41</v>
      </c>
      <c r="AC254">
        <v>75.124099999999999</v>
      </c>
      <c r="AD254">
        <v>-1.1542300000000001</v>
      </c>
      <c r="AE254">
        <v>-10.5219</v>
      </c>
      <c r="AF254">
        <v>11.138100675082899</v>
      </c>
      <c r="AG254">
        <v>-1.1542300000000001</v>
      </c>
      <c r="AH254">
        <v>75.017464133540798</v>
      </c>
      <c r="AI254">
        <v>90.871935198457393</v>
      </c>
      <c r="AJ254">
        <v>81.554794477773697</v>
      </c>
      <c r="AK254">
        <v>75.8485956268688</v>
      </c>
      <c r="AL254">
        <v>83.740470798509506</v>
      </c>
      <c r="AM254">
        <v>94.180831118971795</v>
      </c>
      <c r="AN254">
        <v>0.999999993021226</v>
      </c>
    </row>
    <row r="255" spans="1:40" x14ac:dyDescent="0.3">
      <c r="A255" t="str">
        <f>"20200111150229975"</f>
        <v>20200111150229975</v>
      </c>
      <c r="B255" t="str">
        <f>"1578726149965476"</f>
        <v>1578726149965476</v>
      </c>
      <c r="C255" t="s">
        <v>40</v>
      </c>
      <c r="D255">
        <v>5.4159459999999999</v>
      </c>
      <c r="E255">
        <v>0.58421460000000003</v>
      </c>
      <c r="F255" t="s">
        <v>43</v>
      </c>
      <c r="G255">
        <v>-272.30709999999999</v>
      </c>
      <c r="H255">
        <v>-0.05</v>
      </c>
      <c r="I255">
        <v>355.2559</v>
      </c>
      <c r="J255">
        <v>-356.85820000000001</v>
      </c>
      <c r="K255">
        <v>1.104228</v>
      </c>
      <c r="L255">
        <v>367.1678</v>
      </c>
      <c r="M255">
        <v>0.99989380000000005</v>
      </c>
      <c r="N255">
        <v>0</v>
      </c>
      <c r="O255">
        <v>8.4960909999999903E-3</v>
      </c>
      <c r="P255">
        <v>0.99207380000000001</v>
      </c>
      <c r="Q255">
        <v>9.6919519999999995E-2</v>
      </c>
      <c r="R255">
        <v>7.9976510000000001E-2</v>
      </c>
      <c r="S255">
        <v>3.0632630000000001</v>
      </c>
      <c r="T255">
        <v>-4.1705010000000001E-2</v>
      </c>
      <c r="U255">
        <v>-0.4303284</v>
      </c>
      <c r="V255">
        <v>-7.1676859999999995E-2</v>
      </c>
      <c r="W255">
        <v>0.10858329999999999</v>
      </c>
      <c r="X255">
        <v>0.99149989999999999</v>
      </c>
      <c r="Y255">
        <v>0.14750929999999901</v>
      </c>
      <c r="Z255">
        <v>-1.114311E-3</v>
      </c>
      <c r="AA255">
        <v>0.98906000000000005</v>
      </c>
      <c r="AB255">
        <v>41</v>
      </c>
      <c r="AC255">
        <v>84.551100000000005</v>
      </c>
      <c r="AD255">
        <v>-1.154228</v>
      </c>
      <c r="AE255">
        <v>-11.911899999999999</v>
      </c>
      <c r="AF255">
        <v>12.627566782466999</v>
      </c>
      <c r="AG255">
        <v>-1.154228</v>
      </c>
      <c r="AH255">
        <v>84.431408110756394</v>
      </c>
      <c r="AI255">
        <v>90.774604607962999</v>
      </c>
      <c r="AJ255">
        <v>81.493887802014697</v>
      </c>
      <c r="AK255">
        <v>85.378278037723106</v>
      </c>
      <c r="AL255">
        <v>83.766344400443799</v>
      </c>
      <c r="AM255">
        <v>94.134796029525305</v>
      </c>
      <c r="AN255">
        <v>0.99999997849917899</v>
      </c>
    </row>
    <row r="256" spans="1:40" x14ac:dyDescent="0.3">
      <c r="A256" t="str">
        <f>"20200111150229985"</f>
        <v>20200111150229985</v>
      </c>
      <c r="B256" t="str">
        <f>"1578726149976212"</f>
        <v>1578726149976212</v>
      </c>
      <c r="C256" t="s">
        <v>40</v>
      </c>
      <c r="D256">
        <v>5.3532019999999996</v>
      </c>
      <c r="E256">
        <v>0.58471819999999997</v>
      </c>
      <c r="F256" t="s">
        <v>43</v>
      </c>
      <c r="G256">
        <v>-253.97499999999999</v>
      </c>
      <c r="H256">
        <v>-0.05</v>
      </c>
      <c r="I256">
        <v>352.63470000000001</v>
      </c>
      <c r="J256">
        <v>-356.64269999999999</v>
      </c>
      <c r="K256">
        <v>1.1042270000000001</v>
      </c>
      <c r="L256">
        <v>367.16980000000001</v>
      </c>
      <c r="M256">
        <v>0.99989170000000005</v>
      </c>
      <c r="N256">
        <v>0</v>
      </c>
      <c r="O256">
        <v>8.7374740000000003E-3</v>
      </c>
      <c r="P256">
        <v>0.99213779999999996</v>
      </c>
      <c r="Q256">
        <v>9.6564159999999996E-2</v>
      </c>
      <c r="R256">
        <v>7.9609360000000004E-2</v>
      </c>
      <c r="S256">
        <v>3.0621640000000001</v>
      </c>
      <c r="T256">
        <v>-3.4353849999999998E-2</v>
      </c>
      <c r="U256">
        <v>-0.4325562</v>
      </c>
      <c r="V256">
        <v>-7.1069229999999997E-2</v>
      </c>
      <c r="W256">
        <v>0.1082307</v>
      </c>
      <c r="X256">
        <v>0.99158219999999997</v>
      </c>
      <c r="Y256">
        <v>0.1485069</v>
      </c>
      <c r="Z256">
        <v>-9.2645300000000004E-4</v>
      </c>
      <c r="AA256">
        <v>0.98891090000000004</v>
      </c>
      <c r="AB256">
        <v>41</v>
      </c>
      <c r="AC256">
        <v>102.6677</v>
      </c>
      <c r="AD256">
        <v>-1.1542269999999999</v>
      </c>
      <c r="AE256">
        <v>-14.5351</v>
      </c>
      <c r="AF256">
        <v>15.4297524955656</v>
      </c>
      <c r="AG256">
        <v>-1.1542269999999999</v>
      </c>
      <c r="AH256">
        <v>102.524067947144</v>
      </c>
      <c r="AI256">
        <v>90.637832436504794</v>
      </c>
      <c r="AJ256">
        <v>81.441284380743397</v>
      </c>
      <c r="AK256">
        <v>103.685071299935</v>
      </c>
      <c r="AL256">
        <v>83.786666729499998</v>
      </c>
      <c r="AM256">
        <v>94.099524820333798</v>
      </c>
      <c r="AN256">
        <v>0.99999998961606096</v>
      </c>
    </row>
    <row r="257" spans="1:40" x14ac:dyDescent="0.3">
      <c r="A257" t="str">
        <f>"20200111150229997"</f>
        <v>20200111150229997</v>
      </c>
      <c r="B257" t="str">
        <f>"1578726149995732"</f>
        <v>1578726149995732</v>
      </c>
      <c r="C257" t="s">
        <v>40</v>
      </c>
      <c r="D257">
        <v>5.4074210000000003</v>
      </c>
      <c r="E257">
        <v>0.58534580000000003</v>
      </c>
      <c r="F257" t="s">
        <v>43</v>
      </c>
      <c r="G257">
        <v>-250.3861</v>
      </c>
      <c r="H257">
        <v>-0.05</v>
      </c>
      <c r="I257">
        <v>351.97680000000003</v>
      </c>
      <c r="J257">
        <v>-356.43610000000001</v>
      </c>
      <c r="K257">
        <v>1.1042240000000001</v>
      </c>
      <c r="L257">
        <v>367.17180000000002</v>
      </c>
      <c r="M257">
        <v>0.99988969999999999</v>
      </c>
      <c r="N257">
        <v>0</v>
      </c>
      <c r="O257">
        <v>8.9689009999999996E-3</v>
      </c>
      <c r="P257">
        <v>0.99219579999999996</v>
      </c>
      <c r="Q257">
        <v>9.6211539999999998E-2</v>
      </c>
      <c r="R257">
        <v>7.9316520000000001E-2</v>
      </c>
      <c r="S257">
        <v>3.0621339999999999</v>
      </c>
      <c r="T257">
        <v>-3.3262849999999997E-2</v>
      </c>
      <c r="U257">
        <v>-0.43783569999999999</v>
      </c>
      <c r="V257">
        <v>-7.0545670000000005E-2</v>
      </c>
      <c r="W257">
        <v>0.1078799</v>
      </c>
      <c r="X257">
        <v>0.99165789999999998</v>
      </c>
      <c r="Y257">
        <v>0.1504086</v>
      </c>
      <c r="Z257">
        <v>-9.0971159999999999E-4</v>
      </c>
      <c r="AA257">
        <v>0.98862349999999999</v>
      </c>
      <c r="AB257">
        <v>41</v>
      </c>
      <c r="AC257">
        <v>106.05</v>
      </c>
      <c r="AD257">
        <v>-1.1542239999999999</v>
      </c>
      <c r="AE257">
        <v>-15.194999999999901</v>
      </c>
      <c r="AF257">
        <v>16.143733498156401</v>
      </c>
      <c r="AG257">
        <v>-1.1542239999999999</v>
      </c>
      <c r="AH257">
        <v>105.897150063141</v>
      </c>
      <c r="AI257">
        <v>90.617337788941995</v>
      </c>
      <c r="AJ257">
        <v>81.332150016350795</v>
      </c>
      <c r="AK257">
        <v>107.126834900491</v>
      </c>
      <c r="AL257">
        <v>83.806885012892295</v>
      </c>
      <c r="AM257">
        <v>94.069116260324904</v>
      </c>
      <c r="AN257">
        <v>1.00000007750608</v>
      </c>
    </row>
    <row r="258" spans="1:40" x14ac:dyDescent="0.3">
      <c r="A258" t="str">
        <f>"20200111150230011"</f>
        <v>20200111150230011</v>
      </c>
      <c r="B258" t="str">
        <f>"1578726150005492"</f>
        <v>1578726150005492</v>
      </c>
      <c r="C258" t="s">
        <v>40</v>
      </c>
      <c r="D258">
        <v>4.3791409999999997</v>
      </c>
      <c r="E258">
        <v>0.58534580000000003</v>
      </c>
      <c r="F258" t="s">
        <v>43</v>
      </c>
      <c r="G258">
        <v>-247.7724</v>
      </c>
      <c r="H258">
        <v>-0.05</v>
      </c>
      <c r="I258">
        <v>351.4264</v>
      </c>
      <c r="J258">
        <v>-356.20530000000002</v>
      </c>
      <c r="K258">
        <v>1.1042209999999999</v>
      </c>
      <c r="L258">
        <v>367.17410000000001</v>
      </c>
      <c r="M258">
        <v>0.99988719999999998</v>
      </c>
      <c r="N258">
        <v>0</v>
      </c>
      <c r="O258">
        <v>9.2276860000000006E-3</v>
      </c>
      <c r="P258">
        <v>0.99222880000000002</v>
      </c>
      <c r="Q258">
        <v>9.5916909999999994E-2</v>
      </c>
      <c r="R258">
        <v>7.9259540000000003E-2</v>
      </c>
      <c r="S258">
        <v>3.0622859999999998</v>
      </c>
      <c r="T258">
        <v>-3.2527569999999999E-2</v>
      </c>
      <c r="U258">
        <v>-0.4437256</v>
      </c>
      <c r="V258">
        <v>-7.0231070000000007E-2</v>
      </c>
      <c r="W258">
        <v>0.1075878</v>
      </c>
      <c r="X258">
        <v>0.99171189999999998</v>
      </c>
      <c r="Y258">
        <v>0.1525204</v>
      </c>
      <c r="Z258">
        <v>-9.0333130000000005E-4</v>
      </c>
      <c r="AA258">
        <v>0.98829990000000001</v>
      </c>
      <c r="AB258">
        <v>41</v>
      </c>
      <c r="AC258">
        <v>108.4329</v>
      </c>
      <c r="AD258">
        <v>-1.1542209999999999</v>
      </c>
      <c r="AE258">
        <v>-15.7477</v>
      </c>
      <c r="AF258">
        <v>16.745826229913501</v>
      </c>
      <c r="AG258">
        <v>-1.1542209999999999</v>
      </c>
      <c r="AH258">
        <v>108.270943252447</v>
      </c>
      <c r="AI258">
        <v>90.603601450992599</v>
      </c>
      <c r="AJ258">
        <v>81.207959639184395</v>
      </c>
      <c r="AK258">
        <v>109.564374114098</v>
      </c>
      <c r="AL258">
        <v>83.823718701004495</v>
      </c>
      <c r="AM258">
        <v>94.050810645576405</v>
      </c>
      <c r="AN258">
        <v>1.00000001525189</v>
      </c>
    </row>
    <row r="259" spans="1:40" x14ac:dyDescent="0.3">
      <c r="A259" t="str">
        <f>"20200111150230023"</f>
        <v>20200111150230023</v>
      </c>
      <c r="B259" t="str">
        <f>"1578726150016228"</f>
        <v>1578726150016228</v>
      </c>
      <c r="C259" t="s">
        <v>40</v>
      </c>
      <c r="D259">
        <v>5.4141820000000003</v>
      </c>
      <c r="E259">
        <v>0.58572959999999996</v>
      </c>
      <c r="F259" t="s">
        <v>43</v>
      </c>
      <c r="G259">
        <v>-250.89400000000001</v>
      </c>
      <c r="H259">
        <v>-0.05</v>
      </c>
      <c r="I259">
        <v>351.90660000000003</v>
      </c>
      <c r="J259">
        <v>-355.9769</v>
      </c>
      <c r="K259">
        <v>1.104222</v>
      </c>
      <c r="L259">
        <v>367.1764</v>
      </c>
      <c r="M259">
        <v>0.99988480000000002</v>
      </c>
      <c r="N259">
        <v>0</v>
      </c>
      <c r="O259">
        <v>9.4835530000000005E-3</v>
      </c>
      <c r="P259">
        <v>0.99223360000000005</v>
      </c>
      <c r="Q259">
        <v>9.5920710000000006E-2</v>
      </c>
      <c r="R259">
        <v>7.9192869999999999E-2</v>
      </c>
      <c r="S259">
        <v>3.062195</v>
      </c>
      <c r="T259">
        <v>-3.3561939999999998E-2</v>
      </c>
      <c r="U259">
        <v>-0.44393919999999998</v>
      </c>
      <c r="V259">
        <v>-6.9909949999999998E-2</v>
      </c>
      <c r="W259">
        <v>0.1075931</v>
      </c>
      <c r="X259">
        <v>0.991734</v>
      </c>
      <c r="Y259">
        <v>0.15284439999999999</v>
      </c>
      <c r="Z259">
        <v>-9.3663540000000003E-4</v>
      </c>
      <c r="AA259">
        <v>0.98824979999999996</v>
      </c>
      <c r="AB259">
        <v>41</v>
      </c>
      <c r="AC259">
        <v>105.0829</v>
      </c>
      <c r="AD259">
        <v>-1.1542219999999901</v>
      </c>
      <c r="AE259">
        <v>-15.269799999999901</v>
      </c>
      <c r="AF259">
        <v>16.2638208670508</v>
      </c>
      <c r="AG259">
        <v>-1.1542219999999901</v>
      </c>
      <c r="AH259">
        <v>104.920955059246</v>
      </c>
      <c r="AI259">
        <v>90.622840272286695</v>
      </c>
      <c r="AJ259">
        <v>81.188694901779598</v>
      </c>
      <c r="AK259">
        <v>106.180275513699</v>
      </c>
      <c r="AL259">
        <v>83.823413175217496</v>
      </c>
      <c r="AM259">
        <v>94.032260657770195</v>
      </c>
      <c r="AN259">
        <v>1.0000000015163</v>
      </c>
    </row>
    <row r="260" spans="1:40" x14ac:dyDescent="0.3">
      <c r="A260" t="str">
        <f>"20200111150230525"</f>
        <v>20200111150230525</v>
      </c>
      <c r="B260" t="str">
        <f>"1578726150515941"</f>
        <v>1578726150515941</v>
      </c>
      <c r="C260" t="s">
        <v>40</v>
      </c>
      <c r="D260">
        <v>5.7424949999999999</v>
      </c>
      <c r="E260">
        <v>0.58594460000000004</v>
      </c>
      <c r="F260" t="s">
        <v>43</v>
      </c>
      <c r="G260">
        <v>-251.02619999999999</v>
      </c>
      <c r="H260">
        <v>-0.05</v>
      </c>
      <c r="I260">
        <v>351.86189999999999</v>
      </c>
      <c r="J260">
        <v>-346.64389999999997</v>
      </c>
      <c r="K260">
        <v>1.1033790000000001</v>
      </c>
      <c r="L260">
        <v>367.298</v>
      </c>
      <c r="M260">
        <v>0.99985610000000003</v>
      </c>
      <c r="N260">
        <v>0</v>
      </c>
      <c r="O260">
        <v>1.211713E-2</v>
      </c>
      <c r="P260">
        <v>0.99153619999999998</v>
      </c>
      <c r="Q260">
        <v>9.6305710000000003E-2</v>
      </c>
      <c r="R260">
        <v>8.7071099999999998E-2</v>
      </c>
      <c r="S260">
        <v>3.062408</v>
      </c>
      <c r="T260">
        <v>-3.3679599999999997E-2</v>
      </c>
      <c r="U260">
        <v>-0.44686890000000001</v>
      </c>
      <c r="V260">
        <v>-7.4959230000000002E-2</v>
      </c>
      <c r="W260">
        <v>0.108152</v>
      </c>
      <c r="X260">
        <v>0.99130430000000003</v>
      </c>
      <c r="Y260">
        <v>0.156362</v>
      </c>
      <c r="Z260">
        <v>-9.878523000000001E-4</v>
      </c>
      <c r="AA260">
        <v>0.98769929999999995</v>
      </c>
      <c r="AB260">
        <v>42</v>
      </c>
      <c r="AC260">
        <v>95.617699999999999</v>
      </c>
      <c r="AD260">
        <v>-1.1533789999999999</v>
      </c>
      <c r="AE260">
        <v>-15.4361</v>
      </c>
      <c r="AF260">
        <v>16.591307618442901</v>
      </c>
      <c r="AG260">
        <v>-1.1533789999999999</v>
      </c>
      <c r="AH260">
        <v>95.410095103158099</v>
      </c>
      <c r="AI260">
        <v>90.682355571138899</v>
      </c>
      <c r="AJ260">
        <v>80.135214518268995</v>
      </c>
      <c r="AK260">
        <v>96.848789456560198</v>
      </c>
      <c r="AL260">
        <v>83.791202461201706</v>
      </c>
      <c r="AM260">
        <v>94.324292402740397</v>
      </c>
      <c r="AN260">
        <v>0.99999997823234099</v>
      </c>
    </row>
    <row r="261" spans="1:40" x14ac:dyDescent="0.3">
      <c r="A261" t="str">
        <f>"20200111150230542"</f>
        <v>20200111150230542</v>
      </c>
      <c r="B261" t="str">
        <f>"1578726150535459"</f>
        <v>1578726150535459</v>
      </c>
      <c r="C261" t="s">
        <v>40</v>
      </c>
      <c r="D261">
        <v>5.5978570000000003</v>
      </c>
      <c r="E261">
        <v>0.49332690000000001</v>
      </c>
      <c r="F261" t="s">
        <v>43</v>
      </c>
      <c r="G261">
        <v>-223.03559999999999</v>
      </c>
      <c r="H261">
        <v>-0.05</v>
      </c>
      <c r="I261">
        <v>350.13220000000001</v>
      </c>
      <c r="J261">
        <v>-346.35160000000002</v>
      </c>
      <c r="K261">
        <v>1.1033630000000001</v>
      </c>
      <c r="L261">
        <v>367.3014</v>
      </c>
      <c r="M261">
        <v>0.99985950000000001</v>
      </c>
      <c r="N261">
        <v>0</v>
      </c>
      <c r="O261">
        <v>1.183585E-2</v>
      </c>
      <c r="P261">
        <v>0.99156860000000002</v>
      </c>
      <c r="Q261">
        <v>9.5960980000000001E-2</v>
      </c>
      <c r="R261">
        <v>8.7084350000000005E-2</v>
      </c>
      <c r="S261">
        <v>3.0657649999999999</v>
      </c>
      <c r="T261">
        <v>-2.8606409999999999E-2</v>
      </c>
      <c r="U261">
        <v>-0.42575069999999998</v>
      </c>
      <c r="V261">
        <v>-7.5247530000000007E-2</v>
      </c>
      <c r="W261">
        <v>0.10781209999999999</v>
      </c>
      <c r="X261">
        <v>0.99131950000000002</v>
      </c>
      <c r="Y261">
        <v>0.14926020000000001</v>
      </c>
      <c r="Z261">
        <v>-8.0296519999999995E-4</v>
      </c>
      <c r="AA261">
        <v>0.98879760000000005</v>
      </c>
      <c r="AB261">
        <v>42</v>
      </c>
      <c r="AC261">
        <v>123.316</v>
      </c>
      <c r="AD261">
        <v>-1.1533629999999999</v>
      </c>
      <c r="AE261">
        <v>-17.169199999999901</v>
      </c>
      <c r="AF261">
        <v>18.6260513396901</v>
      </c>
      <c r="AG261">
        <v>-1.1533629999999999</v>
      </c>
      <c r="AH261">
        <v>123.09357150611601</v>
      </c>
      <c r="AI261">
        <v>90.530792752701998</v>
      </c>
      <c r="AJ261">
        <v>81.395495477987495</v>
      </c>
      <c r="AK261">
        <v>124.500150123804</v>
      </c>
      <c r="AL261">
        <v>83.810791945877</v>
      </c>
      <c r="AM261">
        <v>94.340794270431502</v>
      </c>
      <c r="AN261">
        <v>0.99999999537887996</v>
      </c>
    </row>
    <row r="262" spans="1:40" x14ac:dyDescent="0.3">
      <c r="A262" t="str">
        <f>"20200111150230555"</f>
        <v>20200111150230555</v>
      </c>
      <c r="B262" t="str">
        <f>"1578726150546196"</f>
        <v>1578726150546196</v>
      </c>
      <c r="C262" t="s">
        <v>40</v>
      </c>
      <c r="D262">
        <v>5.5576100000000004</v>
      </c>
      <c r="E262">
        <v>0.49255130000000003</v>
      </c>
      <c r="F262" t="s">
        <v>43</v>
      </c>
      <c r="G262">
        <v>-313.86500000000001</v>
      </c>
      <c r="H262">
        <v>-0.05</v>
      </c>
      <c r="I262">
        <v>370.64670000000001</v>
      </c>
      <c r="J262">
        <v>-346.09030000000001</v>
      </c>
      <c r="K262">
        <v>1.103351</v>
      </c>
      <c r="L262">
        <v>367.30430000000001</v>
      </c>
      <c r="M262">
        <v>0.99986240000000004</v>
      </c>
      <c r="N262">
        <v>0</v>
      </c>
      <c r="O262">
        <v>1.158441E-2</v>
      </c>
      <c r="P262">
        <v>0.99159810000000004</v>
      </c>
      <c r="Q262">
        <v>9.6166589999999996E-2</v>
      </c>
      <c r="R262">
        <v>8.6519170000000006E-2</v>
      </c>
      <c r="S262">
        <v>3.0086360000000001</v>
      </c>
      <c r="T262">
        <v>-0.10681499999999999</v>
      </c>
      <c r="U262">
        <v>0.30981449999999999</v>
      </c>
      <c r="V262">
        <v>-7.4927220000000003E-2</v>
      </c>
      <c r="W262">
        <v>0.108020699999999</v>
      </c>
      <c r="X262">
        <v>0.99132109999999996</v>
      </c>
      <c r="Y262">
        <v>-9.0852820000000001E-2</v>
      </c>
      <c r="Z262">
        <v>1.1979810000000001E-3</v>
      </c>
      <c r="AA262">
        <v>0.99586359999999996</v>
      </c>
      <c r="AB262">
        <v>42</v>
      </c>
      <c r="AC262">
        <v>32.225299999999997</v>
      </c>
      <c r="AD262">
        <v>-1.153351</v>
      </c>
      <c r="AE262">
        <v>3.3423999999999898</v>
      </c>
      <c r="AF262">
        <v>-2.9650806141970198</v>
      </c>
      <c r="AG262">
        <v>-1.153351</v>
      </c>
      <c r="AH262">
        <v>32.221025846455603</v>
      </c>
      <c r="AI262">
        <v>92.041408047870206</v>
      </c>
      <c r="AJ262">
        <v>95.257730767060295</v>
      </c>
      <c r="AK262">
        <v>32.377714993122197</v>
      </c>
      <c r="AL262">
        <v>83.798770124589694</v>
      </c>
      <c r="AM262">
        <v>94.322379815568596</v>
      </c>
      <c r="AN262">
        <v>1.0000000416153101</v>
      </c>
    </row>
    <row r="263" spans="1:40" x14ac:dyDescent="0.3">
      <c r="A263" t="str">
        <f>"20200111150230567"</f>
        <v>20200111150230567</v>
      </c>
      <c r="B263" t="str">
        <f>"1578726150555957"</f>
        <v>1578726150555957</v>
      </c>
      <c r="C263" t="s">
        <v>40</v>
      </c>
      <c r="D263">
        <v>5.4758290000000001</v>
      </c>
      <c r="E263">
        <v>0.4923247</v>
      </c>
      <c r="F263" t="s">
        <v>41</v>
      </c>
      <c r="G263">
        <v>-326.55599999999998</v>
      </c>
      <c r="H263" s="1">
        <v>-1.5087979999999901E-6</v>
      </c>
      <c r="I263">
        <v>369.34010000000001</v>
      </c>
      <c r="J263">
        <v>-345.85640000000001</v>
      </c>
      <c r="K263">
        <v>1.1033409999999999</v>
      </c>
      <c r="L263">
        <v>367.30680000000001</v>
      </c>
      <c r="M263">
        <v>0.999865</v>
      </c>
      <c r="N263">
        <v>0</v>
      </c>
      <c r="O263">
        <v>1.135983E-2</v>
      </c>
      <c r="P263">
        <v>0.99156449999999996</v>
      </c>
      <c r="Q263">
        <v>9.6770960000000003E-2</v>
      </c>
      <c r="R263">
        <v>8.6228940000000004E-2</v>
      </c>
      <c r="S263">
        <v>3.014526</v>
      </c>
      <c r="T263">
        <v>-0.1702679</v>
      </c>
      <c r="U263">
        <v>0.31417850000000003</v>
      </c>
      <c r="V263">
        <v>-7.4857010000000002E-2</v>
      </c>
      <c r="W263">
        <v>0.108627</v>
      </c>
      <c r="X263">
        <v>0.99126009999999998</v>
      </c>
      <c r="Y263">
        <v>-9.2226450000000001E-2</v>
      </c>
      <c r="Z263">
        <v>1.9561689999999998E-3</v>
      </c>
      <c r="AA263">
        <v>0.99573610000000001</v>
      </c>
      <c r="AB263">
        <v>42</v>
      </c>
      <c r="AC263">
        <v>19.3004</v>
      </c>
      <c r="AD263">
        <v>-1.103342508798</v>
      </c>
      <c r="AE263">
        <v>2.0332999999999899</v>
      </c>
      <c r="AF263">
        <v>-1.80806010589345</v>
      </c>
      <c r="AG263">
        <v>-1.103342508798</v>
      </c>
      <c r="AH263">
        <v>19.260002384537</v>
      </c>
      <c r="AI263">
        <v>93.264382840902002</v>
      </c>
      <c r="AJ263">
        <v>95.363005280306396</v>
      </c>
      <c r="AK263">
        <v>19.376122880767898</v>
      </c>
      <c r="AL263">
        <v>83.763825757657798</v>
      </c>
      <c r="AM263">
        <v>94.3186096257879</v>
      </c>
      <c r="AN263">
        <v>0.99999999146357499</v>
      </c>
    </row>
    <row r="264" spans="1:40" x14ac:dyDescent="0.3">
      <c r="A264" t="str">
        <f>"20200111150230581"</f>
        <v>20200111150230581</v>
      </c>
      <c r="B264" t="str">
        <f>"1578726150575476"</f>
        <v>1578726150575476</v>
      </c>
      <c r="C264" t="s">
        <v>40</v>
      </c>
      <c r="D264">
        <v>5.4582930000000003</v>
      </c>
      <c r="E264">
        <v>0.49376969999999998</v>
      </c>
      <c r="F264" t="s">
        <v>41</v>
      </c>
      <c r="G264">
        <v>-327.95359999999999</v>
      </c>
      <c r="H264" s="1">
        <v>-9.3800829999999999E-7</v>
      </c>
      <c r="I264">
        <v>369.17790000000002</v>
      </c>
      <c r="J264">
        <v>-345.61930000000001</v>
      </c>
      <c r="K264">
        <v>1.103334</v>
      </c>
      <c r="L264">
        <v>367.30939999999998</v>
      </c>
      <c r="M264">
        <v>0.99986759999999997</v>
      </c>
      <c r="N264">
        <v>0</v>
      </c>
      <c r="O264">
        <v>1.113337E-2</v>
      </c>
      <c r="P264">
        <v>0.99155550000000003</v>
      </c>
      <c r="Q264">
        <v>9.7230510000000006E-2</v>
      </c>
      <c r="R264">
        <v>8.5814710000000002E-2</v>
      </c>
      <c r="S264">
        <v>3.0162659999999999</v>
      </c>
      <c r="T264">
        <v>-0.18589059999999999</v>
      </c>
      <c r="U264">
        <v>0.31524659999999999</v>
      </c>
      <c r="V264">
        <v>-7.4665090000000003E-2</v>
      </c>
      <c r="W264">
        <v>0.10908859999999999</v>
      </c>
      <c r="X264">
        <v>0.99122390000000005</v>
      </c>
      <c r="Y264">
        <v>-9.2715969999999995E-2</v>
      </c>
      <c r="Z264">
        <v>2.1630009999999999E-3</v>
      </c>
      <c r="AA264">
        <v>0.99569019999999997</v>
      </c>
      <c r="AB264">
        <v>42</v>
      </c>
      <c r="AC264">
        <v>17.665700000000001</v>
      </c>
      <c r="AD264">
        <v>-1.1033349380083</v>
      </c>
      <c r="AE264">
        <v>1.86850000000004</v>
      </c>
      <c r="AF264">
        <v>-1.6652675539889501</v>
      </c>
      <c r="AG264">
        <v>-1.1033349380083</v>
      </c>
      <c r="AH264">
        <v>17.6174473999485</v>
      </c>
      <c r="AI264">
        <v>93.567743794796897</v>
      </c>
      <c r="AJ264">
        <v>95.399769397943203</v>
      </c>
      <c r="AK264">
        <v>17.7303388828796</v>
      </c>
      <c r="AL264">
        <v>83.737220026714496</v>
      </c>
      <c r="AM264">
        <v>94.307735932852694</v>
      </c>
      <c r="AN264">
        <v>1.00000000912293</v>
      </c>
    </row>
    <row r="265" spans="1:40" x14ac:dyDescent="0.3">
      <c r="A265" t="str">
        <f>"20200111150230596"</f>
        <v>20200111150230596</v>
      </c>
      <c r="B265" t="str">
        <f>"1578726150586212"</f>
        <v>1578726150586212</v>
      </c>
      <c r="C265" t="s">
        <v>40</v>
      </c>
      <c r="D265">
        <v>5.7371980000000002</v>
      </c>
      <c r="E265">
        <v>0.49376969999999998</v>
      </c>
      <c r="F265" t="s">
        <v>41</v>
      </c>
      <c r="G265">
        <v>-331.24970000000002</v>
      </c>
      <c r="H265" s="1">
        <v>-3.8910569999999998E-6</v>
      </c>
      <c r="I265">
        <v>368.74329999999998</v>
      </c>
      <c r="J265">
        <v>-345.32089999999999</v>
      </c>
      <c r="K265">
        <v>1.103324</v>
      </c>
      <c r="L265">
        <v>367.31240000000003</v>
      </c>
      <c r="M265">
        <v>0.9998707</v>
      </c>
      <c r="N265">
        <v>0</v>
      </c>
      <c r="O265">
        <v>1.0849549999999999E-2</v>
      </c>
      <c r="P265">
        <v>0.99161670000000002</v>
      </c>
      <c r="Q265">
        <v>9.7418279999999996E-2</v>
      </c>
      <c r="R265">
        <v>8.4890579999999993E-2</v>
      </c>
      <c r="S265">
        <v>3.0222470000000001</v>
      </c>
      <c r="T265">
        <v>-0.2320554</v>
      </c>
      <c r="U265">
        <v>0.30160520000000002</v>
      </c>
      <c r="V265">
        <v>-7.4018810000000004E-2</v>
      </c>
      <c r="W265">
        <v>0.10927870000000001</v>
      </c>
      <c r="X265">
        <v>0.9912514</v>
      </c>
      <c r="Y265">
        <v>-8.827364E-2</v>
      </c>
      <c r="Z265">
        <v>2.5458910000000002E-3</v>
      </c>
      <c r="AA265">
        <v>0.99609300000000001</v>
      </c>
      <c r="AB265">
        <v>42</v>
      </c>
      <c r="AC265">
        <v>14.0711999999999</v>
      </c>
      <c r="AD265">
        <v>-1.1033278910569999</v>
      </c>
      <c r="AE265">
        <v>1.4308999999999501</v>
      </c>
      <c r="AF265">
        <v>-1.2704080648326599</v>
      </c>
      <c r="AG265">
        <v>-1.1033278910569999</v>
      </c>
      <c r="AH265">
        <v>14.000699522647301</v>
      </c>
      <c r="AI265">
        <v>94.487532510861001</v>
      </c>
      <c r="AJ265">
        <v>95.184757429787695</v>
      </c>
      <c r="AK265">
        <v>14.1014487273412</v>
      </c>
      <c r="AL265">
        <v>83.726262396683794</v>
      </c>
      <c r="AM265">
        <v>94.270469888332201</v>
      </c>
      <c r="AN265">
        <v>0.99999997825473197</v>
      </c>
    </row>
    <row r="266" spans="1:40" x14ac:dyDescent="0.3">
      <c r="A266" t="str">
        <f>"20200111150230610"</f>
        <v>20200111150230610</v>
      </c>
      <c r="B266" t="str">
        <f>"1578726150605732"</f>
        <v>1578726150605732</v>
      </c>
      <c r="C266" t="s">
        <v>40</v>
      </c>
      <c r="D266">
        <v>5.7841639999999996</v>
      </c>
      <c r="E266">
        <v>0.49469819999999998</v>
      </c>
      <c r="F266" t="s">
        <v>41</v>
      </c>
      <c r="G266">
        <v>-330.91469999999998</v>
      </c>
      <c r="H266" s="1">
        <v>-4.036421E-6</v>
      </c>
      <c r="I266">
        <v>368.73399999999998</v>
      </c>
      <c r="J266">
        <v>-345.07440000000003</v>
      </c>
      <c r="K266">
        <v>1.1033139999999999</v>
      </c>
      <c r="L266">
        <v>367.31490000000002</v>
      </c>
      <c r="M266">
        <v>0.99987309999999996</v>
      </c>
      <c r="N266">
        <v>0</v>
      </c>
      <c r="O266">
        <v>1.0616199999999999E-2</v>
      </c>
      <c r="P266">
        <v>0.99171160000000003</v>
      </c>
      <c r="Q266">
        <v>9.7158510000000003E-2</v>
      </c>
      <c r="R266">
        <v>8.4076520000000002E-2</v>
      </c>
      <c r="S266">
        <v>3.022583</v>
      </c>
      <c r="T266">
        <v>-0.23148820000000001</v>
      </c>
      <c r="U266">
        <v>0.29827880000000001</v>
      </c>
      <c r="V266">
        <v>-7.3433849999999995E-2</v>
      </c>
      <c r="W266">
        <v>0.1090213</v>
      </c>
      <c r="X266">
        <v>0.99132330000000002</v>
      </c>
      <c r="Y266">
        <v>-8.7412550000000006E-2</v>
      </c>
      <c r="Z266">
        <v>2.524494E-3</v>
      </c>
      <c r="AA266">
        <v>0.99616899999999997</v>
      </c>
      <c r="AB266">
        <v>42</v>
      </c>
      <c r="AC266">
        <v>14.159700000000001</v>
      </c>
      <c r="AD266">
        <v>-1.103318036421</v>
      </c>
      <c r="AE266">
        <v>1.41910000000001</v>
      </c>
      <c r="AF266">
        <v>-1.2611065856545201</v>
      </c>
      <c r="AG266">
        <v>-1.103318036421</v>
      </c>
      <c r="AH266">
        <v>14.089276601340201</v>
      </c>
      <c r="AI266">
        <v>94.459883235951196</v>
      </c>
      <c r="AJ266">
        <v>95.114814895271707</v>
      </c>
      <c r="AK266">
        <v>14.1885663708123</v>
      </c>
      <c r="AL266">
        <v>83.741099297918794</v>
      </c>
      <c r="AM266">
        <v>94.236538184358196</v>
      </c>
      <c r="AN266">
        <v>1.0000000296511999</v>
      </c>
    </row>
    <row r="267" spans="1:40" x14ac:dyDescent="0.3">
      <c r="A267" t="str">
        <f>"20200111150230623"</f>
        <v>20200111150230623</v>
      </c>
      <c r="B267" t="str">
        <f>"1578726150615492"</f>
        <v>1578726150615492</v>
      </c>
      <c r="C267" t="s">
        <v>40</v>
      </c>
      <c r="D267">
        <v>5.4375090000000004</v>
      </c>
      <c r="E267">
        <v>0.49215629999999999</v>
      </c>
      <c r="F267" t="s">
        <v>41</v>
      </c>
      <c r="G267">
        <v>-330.63729999999998</v>
      </c>
      <c r="H267" s="1">
        <v>-4.162194E-6</v>
      </c>
      <c r="I267">
        <v>368.69589999999999</v>
      </c>
      <c r="J267">
        <v>-344.8279</v>
      </c>
      <c r="K267">
        <v>1.1033059999999999</v>
      </c>
      <c r="L267">
        <v>367.31740000000002</v>
      </c>
      <c r="M267">
        <v>0.99987550000000003</v>
      </c>
      <c r="N267">
        <v>0</v>
      </c>
      <c r="O267">
        <v>1.038465E-2</v>
      </c>
      <c r="P267">
        <v>0.99182669999999995</v>
      </c>
      <c r="Q267">
        <v>9.6623719999999996E-2</v>
      </c>
      <c r="R267">
        <v>8.3329760000000003E-2</v>
      </c>
      <c r="S267">
        <v>3.0231629999999998</v>
      </c>
      <c r="T267">
        <v>-0.23103489999999999</v>
      </c>
      <c r="U267">
        <v>0.28918460000000001</v>
      </c>
      <c r="V267">
        <v>-7.2914350000000003E-2</v>
      </c>
      <c r="W267">
        <v>0.1084895</v>
      </c>
      <c r="X267">
        <v>0.99141999999999997</v>
      </c>
      <c r="Y267">
        <v>-8.4663760000000005E-2</v>
      </c>
      <c r="Z267">
        <v>2.4324289999999998E-3</v>
      </c>
      <c r="AA267">
        <v>0.99640660000000003</v>
      </c>
      <c r="AB267">
        <v>42</v>
      </c>
      <c r="AC267">
        <v>14.1906</v>
      </c>
      <c r="AD267">
        <v>-1.10331016219399</v>
      </c>
      <c r="AE267">
        <v>1.3784999999999701</v>
      </c>
      <c r="AF267">
        <v>-1.2237226364592799</v>
      </c>
      <c r="AG267">
        <v>-1.10331016219399</v>
      </c>
      <c r="AH267">
        <v>14.1195964066599</v>
      </c>
      <c r="AI267">
        <v>94.4514135678576</v>
      </c>
      <c r="AJ267">
        <v>94.953355273790393</v>
      </c>
      <c r="AK267">
        <v>14.215406891536601</v>
      </c>
      <c r="AL267">
        <v>83.771751099642103</v>
      </c>
      <c r="AM267">
        <v>94.206266381620097</v>
      </c>
      <c r="AN267">
        <v>1.0000000452230799</v>
      </c>
    </row>
    <row r="268" spans="1:40" x14ac:dyDescent="0.3">
      <c r="A268" t="str">
        <f>"20200111150230636"</f>
        <v>20200111150230636</v>
      </c>
      <c r="B268" t="str">
        <f>"1578726150626229"</f>
        <v>1578726150626229</v>
      </c>
      <c r="C268" t="s">
        <v>40</v>
      </c>
      <c r="D268">
        <v>5.4072529999999999</v>
      </c>
      <c r="E268">
        <v>0.49296190000000001</v>
      </c>
      <c r="F268" t="s">
        <v>50</v>
      </c>
      <c r="G268">
        <v>-223.15209999999999</v>
      </c>
      <c r="H268">
        <v>9.113194</v>
      </c>
      <c r="I268">
        <v>380.03449999999998</v>
      </c>
      <c r="J268">
        <v>-344.5822</v>
      </c>
      <c r="K268">
        <v>1.1032959999999901</v>
      </c>
      <c r="L268">
        <v>367.31979999999999</v>
      </c>
      <c r="M268">
        <v>0.99987789999999999</v>
      </c>
      <c r="N268">
        <v>0</v>
      </c>
      <c r="O268">
        <v>1.015431E-2</v>
      </c>
      <c r="P268">
        <v>0.99193189999999998</v>
      </c>
      <c r="Q268">
        <v>9.6094579999999999E-2</v>
      </c>
      <c r="R268">
        <v>8.2688880000000006E-2</v>
      </c>
      <c r="S268">
        <v>2.9794619999999998</v>
      </c>
      <c r="T268">
        <v>0.1961389</v>
      </c>
      <c r="U268">
        <v>0.31140139999999999</v>
      </c>
      <c r="V268">
        <v>-7.2500149999999999E-2</v>
      </c>
      <c r="W268">
        <v>0.1079624</v>
      </c>
      <c r="X268">
        <v>0.9915079</v>
      </c>
      <c r="Y268">
        <v>-9.366563E-2</v>
      </c>
      <c r="Z268">
        <v>-2.4054660000000002E-3</v>
      </c>
      <c r="AA268">
        <v>0.99560079999999995</v>
      </c>
      <c r="AB268">
        <v>42</v>
      </c>
      <c r="AC268">
        <v>121.4301</v>
      </c>
      <c r="AD268">
        <v>8.0098979999999997</v>
      </c>
      <c r="AE268">
        <v>12.714699999999899</v>
      </c>
      <c r="AF268">
        <v>-11.431717156027901</v>
      </c>
      <c r="AG268">
        <v>8.0098979999999997</v>
      </c>
      <c r="AH268">
        <v>121.032042724942</v>
      </c>
      <c r="AI268">
        <v>86.230416379785396</v>
      </c>
      <c r="AJ268">
        <v>95.395693011771996</v>
      </c>
      <c r="AK268">
        <v>121.834305469675</v>
      </c>
      <c r="AL268">
        <v>83.802130068790206</v>
      </c>
      <c r="AM268">
        <v>94.182087668771203</v>
      </c>
      <c r="AN268">
        <v>1.0000000336630901</v>
      </c>
    </row>
    <row r="269" spans="1:40" x14ac:dyDescent="0.3">
      <c r="A269" t="str">
        <f>"20200111150230653"</f>
        <v>20200111150230653</v>
      </c>
      <c r="B269" t="str">
        <f>"1578726150645761"</f>
        <v>1578726150645761</v>
      </c>
      <c r="C269" t="s">
        <v>40</v>
      </c>
      <c r="D269">
        <v>5.4072579999999997</v>
      </c>
      <c r="E269">
        <v>0.4915138</v>
      </c>
      <c r="F269" t="s">
        <v>45</v>
      </c>
      <c r="G269">
        <v>-158.78319999999999</v>
      </c>
      <c r="H269">
        <v>12.385870000000001</v>
      </c>
      <c r="I269">
        <v>386.1902</v>
      </c>
      <c r="J269">
        <v>-344.25790000000001</v>
      </c>
      <c r="K269">
        <v>1.1032869999999999</v>
      </c>
      <c r="L269">
        <v>367.32279999999997</v>
      </c>
      <c r="M269">
        <v>0.99988089999999996</v>
      </c>
      <c r="N269">
        <v>0</v>
      </c>
      <c r="O269">
        <v>9.8512489999999994E-3</v>
      </c>
      <c r="P269">
        <v>0.99202190000000001</v>
      </c>
      <c r="Q269">
        <v>9.5488480000000001E-2</v>
      </c>
      <c r="R269">
        <v>8.2308309999999996E-2</v>
      </c>
      <c r="S269">
        <v>2.9816280000000002</v>
      </c>
      <c r="T269">
        <v>0.18105959999999999</v>
      </c>
      <c r="U269">
        <v>0.30282589999999998</v>
      </c>
      <c r="V269">
        <v>-7.2418860000000002E-2</v>
      </c>
      <c r="W269">
        <v>0.1073593</v>
      </c>
      <c r="X269">
        <v>0.99157930000000005</v>
      </c>
      <c r="Y269">
        <v>-9.1089610000000001E-2</v>
      </c>
      <c r="Z269">
        <v>-2.1599980000000002E-3</v>
      </c>
      <c r="AA269">
        <v>0.99584039999999996</v>
      </c>
      <c r="AB269">
        <v>42</v>
      </c>
      <c r="AC269">
        <v>185.47470000000001</v>
      </c>
      <c r="AD269">
        <v>11.282583000000001</v>
      </c>
      <c r="AE269">
        <v>18.8674</v>
      </c>
      <c r="AF269">
        <v>-16.977019719066799</v>
      </c>
      <c r="AG269">
        <v>11.282583000000001</v>
      </c>
      <c r="AH269">
        <v>184.97411288177699</v>
      </c>
      <c r="AI269">
        <v>86.524114488236293</v>
      </c>
      <c r="AJ269">
        <v>95.243944789847404</v>
      </c>
      <c r="AK269">
        <v>186.093896498768</v>
      </c>
      <c r="AL269">
        <v>83.8368870220106</v>
      </c>
      <c r="AM269">
        <v>94.177115422361695</v>
      </c>
      <c r="AN269">
        <v>1.00000000938433</v>
      </c>
    </row>
    <row r="270" spans="1:40" x14ac:dyDescent="0.3">
      <c r="A270" t="str">
        <f>"20200111150230666"</f>
        <v>20200111150230666</v>
      </c>
      <c r="B270" t="str">
        <f>"1578726150655509"</f>
        <v>1578726150655509</v>
      </c>
      <c r="C270" t="s">
        <v>40</v>
      </c>
      <c r="D270">
        <v>5.3810120000000001</v>
      </c>
      <c r="E270">
        <v>0.49040309999999998</v>
      </c>
      <c r="F270" t="s">
        <v>41</v>
      </c>
      <c r="G270">
        <v>-334.63290000000001</v>
      </c>
      <c r="H270" s="1">
        <v>-2.5180560000000001E-6</v>
      </c>
      <c r="I270">
        <v>368.30130000000003</v>
      </c>
      <c r="J270">
        <v>-344.02809999999999</v>
      </c>
      <c r="K270">
        <v>1.1032839999999999</v>
      </c>
      <c r="L270">
        <v>367.32490000000001</v>
      </c>
      <c r="M270">
        <v>0.99988290000000002</v>
      </c>
      <c r="N270">
        <v>0</v>
      </c>
      <c r="O270">
        <v>9.6366830000000001E-3</v>
      </c>
      <c r="P270">
        <v>0.99201859999999997</v>
      </c>
      <c r="Q270">
        <v>9.5580650000000003E-2</v>
      </c>
      <c r="R270">
        <v>8.2238989999999998E-2</v>
      </c>
      <c r="S270">
        <v>3.0320130000000001</v>
      </c>
      <c r="T270">
        <v>-0.34754819999999997</v>
      </c>
      <c r="U270">
        <v>0.30828860000000002</v>
      </c>
      <c r="V270">
        <v>-7.2561390000000003E-2</v>
      </c>
      <c r="W270">
        <v>0.1074532</v>
      </c>
      <c r="X270">
        <v>0.99155870000000002</v>
      </c>
      <c r="Y270">
        <v>-9.1036249999999999E-2</v>
      </c>
      <c r="Z270">
        <v>4.0891620000000004E-3</v>
      </c>
      <c r="AA270">
        <v>0.99583920000000004</v>
      </c>
      <c r="AB270">
        <v>42</v>
      </c>
      <c r="AC270">
        <v>9.3951999999999796</v>
      </c>
      <c r="AD270">
        <v>-1.1032865180560001</v>
      </c>
      <c r="AE270">
        <v>0.97640000000001204</v>
      </c>
      <c r="AF270">
        <v>-0.87388754090124199</v>
      </c>
      <c r="AG270">
        <v>-1.1032865180560001</v>
      </c>
      <c r="AH270">
        <v>9.2776024109089796</v>
      </c>
      <c r="AI270">
        <v>96.752118582329601</v>
      </c>
      <c r="AJ270">
        <v>95.380999200886606</v>
      </c>
      <c r="AK270">
        <v>9.3837533572643803</v>
      </c>
      <c r="AL270">
        <v>83.831475589872497</v>
      </c>
      <c r="AM270">
        <v>94.185394001263205</v>
      </c>
      <c r="AN270">
        <v>1.00000000052733</v>
      </c>
    </row>
    <row r="271" spans="1:40" x14ac:dyDescent="0.3">
      <c r="A271" t="str">
        <f>"20200111150230677"</f>
        <v>20200111150230677</v>
      </c>
      <c r="B271" t="str">
        <f>"1578726150676004"</f>
        <v>1578726150676004</v>
      </c>
      <c r="C271" t="s">
        <v>40</v>
      </c>
      <c r="D271">
        <v>5.2617440000000002</v>
      </c>
      <c r="E271">
        <v>0.4911277</v>
      </c>
      <c r="F271" t="s">
        <v>41</v>
      </c>
      <c r="G271">
        <v>-334.60210000000001</v>
      </c>
      <c r="H271" s="1">
        <v>-2.5297480000000002E-6</v>
      </c>
      <c r="I271">
        <v>368.31</v>
      </c>
      <c r="J271">
        <v>-343.80689999999998</v>
      </c>
      <c r="K271">
        <v>1.103281</v>
      </c>
      <c r="L271">
        <v>367.32679999999999</v>
      </c>
      <c r="M271">
        <v>0.99988500000000002</v>
      </c>
      <c r="N271">
        <v>0</v>
      </c>
      <c r="O271">
        <v>9.4314350000000002E-3</v>
      </c>
      <c r="P271">
        <v>0.99200259999999996</v>
      </c>
      <c r="Q271">
        <v>9.5853450000000007E-2</v>
      </c>
      <c r="R271">
        <v>8.2118209999999997E-2</v>
      </c>
      <c r="S271">
        <v>3.0320429999999998</v>
      </c>
      <c r="T271">
        <v>-0.35488710000000001</v>
      </c>
      <c r="U271">
        <v>0.31689450000000002</v>
      </c>
      <c r="V271">
        <v>-7.2643849999999996E-2</v>
      </c>
      <c r="W271">
        <v>0.1077268</v>
      </c>
      <c r="X271">
        <v>0.99152300000000004</v>
      </c>
      <c r="Y271">
        <v>-9.3992439999999997E-2</v>
      </c>
      <c r="Z271">
        <v>4.3701219999999997E-3</v>
      </c>
      <c r="AA271">
        <v>0.99556330000000004</v>
      </c>
      <c r="AB271">
        <v>42</v>
      </c>
      <c r="AC271">
        <v>9.2047999999999703</v>
      </c>
      <c r="AD271">
        <v>-1.1032835297479999</v>
      </c>
      <c r="AE271">
        <v>0.98320000000000995</v>
      </c>
      <c r="AF271">
        <v>-0.88378219520935697</v>
      </c>
      <c r="AG271">
        <v>-1.1032835297479999</v>
      </c>
      <c r="AH271">
        <v>9.0846238094065299</v>
      </c>
      <c r="AI271">
        <v>96.892163273801998</v>
      </c>
      <c r="AJ271">
        <v>95.556437816979397</v>
      </c>
      <c r="AK271">
        <v>9.1939488400805391</v>
      </c>
      <c r="AL271">
        <v>83.815708096708804</v>
      </c>
      <c r="AM271">
        <v>94.190283752578694</v>
      </c>
      <c r="AN271">
        <v>1.0000000259550299</v>
      </c>
    </row>
    <row r="272" spans="1:40" x14ac:dyDescent="0.3">
      <c r="A272" t="str">
        <f>"20200111150230690"</f>
        <v>20200111150230690</v>
      </c>
      <c r="B272" t="str">
        <f>"1578726150685764"</f>
        <v>1578726150685764</v>
      </c>
      <c r="C272" t="s">
        <v>40</v>
      </c>
      <c r="D272">
        <v>5.4951730000000003</v>
      </c>
      <c r="E272">
        <v>0.4911277</v>
      </c>
      <c r="F272" t="s">
        <v>41</v>
      </c>
      <c r="G272">
        <v>-333.2568</v>
      </c>
      <c r="H272" s="1">
        <v>-3.0888960000000001E-6</v>
      </c>
      <c r="I272">
        <v>368.41140000000001</v>
      </c>
      <c r="J272">
        <v>-343.577</v>
      </c>
      <c r="K272">
        <v>1.1032789999999999</v>
      </c>
      <c r="L272">
        <v>367.3288</v>
      </c>
      <c r="M272">
        <v>0.99988690000000002</v>
      </c>
      <c r="N272">
        <v>0</v>
      </c>
      <c r="O272">
        <v>9.2193410000000007E-3</v>
      </c>
      <c r="P272">
        <v>0.99198489999999995</v>
      </c>
      <c r="Q272">
        <v>9.6088380000000001E-2</v>
      </c>
      <c r="R272">
        <v>8.2056660000000003E-2</v>
      </c>
      <c r="S272">
        <v>3.0290219999999999</v>
      </c>
      <c r="T272">
        <v>-0.31675759999999997</v>
      </c>
      <c r="U272">
        <v>0.31140139999999999</v>
      </c>
      <c r="V272">
        <v>-7.2792319999999994E-2</v>
      </c>
      <c r="W272">
        <v>0.1079624</v>
      </c>
      <c r="X272">
        <v>0.99148650000000005</v>
      </c>
      <c r="Y272">
        <v>-9.2640860000000005E-2</v>
      </c>
      <c r="Z272">
        <v>3.8592349999999999E-3</v>
      </c>
      <c r="AA272">
        <v>0.99569209999999997</v>
      </c>
      <c r="AB272">
        <v>42</v>
      </c>
      <c r="AC272">
        <v>10.3202</v>
      </c>
      <c r="AD272">
        <v>-1.103282088896</v>
      </c>
      <c r="AE272">
        <v>1.08260000000001</v>
      </c>
      <c r="AF272">
        <v>-0.97636469748654198</v>
      </c>
      <c r="AG272">
        <v>-1.103282088896</v>
      </c>
      <c r="AH272">
        <v>10.214277575989099</v>
      </c>
      <c r="AI272">
        <v>96.137070447134903</v>
      </c>
      <c r="AJ272">
        <v>95.460212198563696</v>
      </c>
      <c r="AK272">
        <v>10.3199799316438</v>
      </c>
      <c r="AL272">
        <v>83.802130112410097</v>
      </c>
      <c r="AM272">
        <v>94.198971305210605</v>
      </c>
      <c r="AN272">
        <v>1.0000000406734899</v>
      </c>
    </row>
    <row r="273" spans="1:40" x14ac:dyDescent="0.3">
      <c r="A273" t="str">
        <f>"20200111150230703"</f>
        <v>20200111150230703</v>
      </c>
      <c r="B273" t="str">
        <f>"1578726150695524"</f>
        <v>1578726150695524</v>
      </c>
      <c r="C273" t="s">
        <v>40</v>
      </c>
      <c r="D273">
        <v>6.3862319999999997</v>
      </c>
      <c r="E273">
        <v>0.4911277</v>
      </c>
      <c r="F273" t="s">
        <v>41</v>
      </c>
      <c r="G273">
        <v>-333.00040000000001</v>
      </c>
      <c r="H273" s="1">
        <v>-3.1978640000000002E-6</v>
      </c>
      <c r="I273">
        <v>368.4171</v>
      </c>
      <c r="J273">
        <v>-343.32490000000001</v>
      </c>
      <c r="K273">
        <v>1.103283</v>
      </c>
      <c r="L273">
        <v>367.33100000000002</v>
      </c>
      <c r="M273">
        <v>0.99988900000000003</v>
      </c>
      <c r="N273">
        <v>0</v>
      </c>
      <c r="O273">
        <v>8.9924480000000001E-3</v>
      </c>
      <c r="P273">
        <v>0.99200169999999999</v>
      </c>
      <c r="Q273">
        <v>9.6214939999999999E-2</v>
      </c>
      <c r="R273">
        <v>8.1704159999999998E-2</v>
      </c>
      <c r="S273">
        <v>3.0290530000000002</v>
      </c>
      <c r="T273">
        <v>-0.31597039999999998</v>
      </c>
      <c r="U273">
        <v>0.31167600000000001</v>
      </c>
      <c r="V273">
        <v>-7.2665090000000002E-2</v>
      </c>
      <c r="W273">
        <v>0.1080889</v>
      </c>
      <c r="X273">
        <v>0.99148199999999997</v>
      </c>
      <c r="Y273">
        <v>-9.2954430000000005E-2</v>
      </c>
      <c r="Z273">
        <v>3.8894450000000001E-3</v>
      </c>
      <c r="AA273">
        <v>0.99566270000000001</v>
      </c>
      <c r="AB273">
        <v>42</v>
      </c>
      <c r="AC273">
        <v>10.3245</v>
      </c>
      <c r="AD273">
        <v>-1.1032861978640001</v>
      </c>
      <c r="AE273">
        <v>1.08610000000004</v>
      </c>
      <c r="AF273">
        <v>-0.98211471634439995</v>
      </c>
      <c r="AG273">
        <v>-1.1032861978640001</v>
      </c>
      <c r="AH273">
        <v>10.2184399207196</v>
      </c>
      <c r="AI273">
        <v>96.134309489298303</v>
      </c>
      <c r="AJ273">
        <v>95.489949007621206</v>
      </c>
      <c r="AK273">
        <v>10.324645474001199</v>
      </c>
      <c r="AL273">
        <v>83.794839223249895</v>
      </c>
      <c r="AM273">
        <v>94.191677274712205</v>
      </c>
      <c r="AN273">
        <v>0.99999999096595904</v>
      </c>
    </row>
    <row r="274" spans="1:40" x14ac:dyDescent="0.3">
      <c r="A274" t="str">
        <f>"20200111150231481"</f>
        <v>20200111150231481</v>
      </c>
      <c r="B274" t="str">
        <f>"1578726151475698"</f>
        <v>1578726151475698</v>
      </c>
      <c r="C274" t="s">
        <v>40</v>
      </c>
      <c r="D274">
        <v>6.2749920000000001</v>
      </c>
      <c r="E274">
        <v>0.4911277</v>
      </c>
      <c r="F274" t="s">
        <v>41</v>
      </c>
      <c r="G274">
        <v>-332.73270000000002</v>
      </c>
      <c r="H274" s="1">
        <v>-3.3124400000000001E-6</v>
      </c>
      <c r="I274">
        <v>368.41860000000003</v>
      </c>
      <c r="J274">
        <v>-328.78829999999999</v>
      </c>
      <c r="K274">
        <v>1.103998</v>
      </c>
      <c r="L274">
        <v>367.5052</v>
      </c>
      <c r="M274">
        <v>0.99976359999999997</v>
      </c>
      <c r="N274">
        <v>0</v>
      </c>
      <c r="O274">
        <v>1.8179259999999999E-2</v>
      </c>
      <c r="P274">
        <v>0.99171220000000004</v>
      </c>
      <c r="Q274">
        <v>9.6075209999999994E-2</v>
      </c>
      <c r="R274">
        <v>8.5305329999999999E-2</v>
      </c>
      <c r="S274">
        <v>3.0292050000000001</v>
      </c>
      <c r="T274">
        <v>-0.31551970000000001</v>
      </c>
      <c r="U274">
        <v>0.3110657</v>
      </c>
      <c r="V274">
        <v>-6.7336510000000002E-2</v>
      </c>
      <c r="W274">
        <v>0.1078775</v>
      </c>
      <c r="X274">
        <v>0.99188109999999996</v>
      </c>
      <c r="Y274">
        <v>-8.3698750000000002E-2</v>
      </c>
      <c r="Z274">
        <v>2.4527949999999998E-3</v>
      </c>
      <c r="AA274">
        <v>0.99648809999999999</v>
      </c>
      <c r="AB274">
        <v>42</v>
      </c>
      <c r="AC274">
        <v>-3.9444000000000199</v>
      </c>
      <c r="AD274">
        <v>-1.1040013124400001</v>
      </c>
      <c r="AE274">
        <v>0.91340000000002397</v>
      </c>
      <c r="AF274">
        <v>-0.916795032219474</v>
      </c>
      <c r="AG274">
        <v>-1.1040013124400001</v>
      </c>
      <c r="AH274">
        <v>-3.6553593482484401</v>
      </c>
      <c r="AI274">
        <v>106.32790377720001</v>
      </c>
      <c r="AJ274">
        <v>-104.079831483051</v>
      </c>
      <c r="AK274">
        <v>3.92695607230318</v>
      </c>
      <c r="AL274">
        <v>83.807022466112798</v>
      </c>
      <c r="AM274">
        <v>93.883718702937998</v>
      </c>
      <c r="AN274">
        <v>0.99999993856121805</v>
      </c>
    </row>
    <row r="275" spans="1:40" x14ac:dyDescent="0.3">
      <c r="A275" t="str">
        <f>"20200111150231494"</f>
        <v>20200111150231494</v>
      </c>
      <c r="B275" t="str">
        <f>"1578726151486434"</f>
        <v>1578726151486434</v>
      </c>
      <c r="C275" t="s">
        <v>40</v>
      </c>
      <c r="D275">
        <v>5.4069520000000004</v>
      </c>
      <c r="E275">
        <v>0.60104569999999902</v>
      </c>
      <c r="F275" t="s">
        <v>43</v>
      </c>
      <c r="G275">
        <v>-317.72629999999998</v>
      </c>
      <c r="H275">
        <v>-0.05</v>
      </c>
      <c r="I275">
        <v>368.6857</v>
      </c>
      <c r="J275">
        <v>-328.53570000000002</v>
      </c>
      <c r="K275">
        <v>1.103988</v>
      </c>
      <c r="L275">
        <v>367.50990000000002</v>
      </c>
      <c r="M275">
        <v>0.99976129999999996</v>
      </c>
      <c r="N275">
        <v>0</v>
      </c>
      <c r="O275">
        <v>1.8295990000000002E-2</v>
      </c>
      <c r="P275">
        <v>0.99166350000000003</v>
      </c>
      <c r="Q275">
        <v>9.6303390000000003E-2</v>
      </c>
      <c r="R275">
        <v>8.5611839999999995E-2</v>
      </c>
      <c r="S275">
        <v>3.0278320000000001</v>
      </c>
      <c r="T275">
        <v>-0.31586589999999998</v>
      </c>
      <c r="U275">
        <v>0.32312010000000002</v>
      </c>
      <c r="V275">
        <v>-6.7525890000000005E-2</v>
      </c>
      <c r="W275">
        <v>0.10810690000000001</v>
      </c>
      <c r="X275">
        <v>0.99184329999999998</v>
      </c>
      <c r="Y275">
        <v>-8.7531059999999994E-2</v>
      </c>
      <c r="Z275">
        <v>2.6427759999999999E-3</v>
      </c>
      <c r="AA275">
        <v>0.99615830000000005</v>
      </c>
      <c r="AB275">
        <v>42</v>
      </c>
      <c r="AC275">
        <v>10.8094</v>
      </c>
      <c r="AD275">
        <v>-1.153988</v>
      </c>
      <c r="AE275">
        <v>1.17579999999998</v>
      </c>
      <c r="AF275">
        <v>-0.96692893847224304</v>
      </c>
      <c r="AG275">
        <v>-1.153988</v>
      </c>
      <c r="AH275">
        <v>10.708484468020799</v>
      </c>
      <c r="AI275">
        <v>96.125948294574101</v>
      </c>
      <c r="AJ275">
        <v>95.159564175577103</v>
      </c>
      <c r="AK275">
        <v>10.8138004178939</v>
      </c>
      <c r="AL275">
        <v>83.793801812412099</v>
      </c>
      <c r="AM275">
        <v>93.894755837771001</v>
      </c>
      <c r="AN275">
        <v>0.99999998970139503</v>
      </c>
    </row>
    <row r="276" spans="1:40" x14ac:dyDescent="0.3">
      <c r="A276" t="str">
        <f>"20200111150231507"</f>
        <v>20200111150231507</v>
      </c>
      <c r="B276" t="str">
        <f>"1578726151495728"</f>
        <v>1578726151495728</v>
      </c>
      <c r="C276" t="s">
        <v>40</v>
      </c>
      <c r="D276">
        <v>8.2331579999999995</v>
      </c>
      <c r="E276">
        <v>0.59585759999999999</v>
      </c>
      <c r="F276" t="s">
        <v>42</v>
      </c>
      <c r="G276">
        <v>-327.553</v>
      </c>
      <c r="H276">
        <v>1.0066600000000001</v>
      </c>
      <c r="I276">
        <v>367.3356</v>
      </c>
      <c r="J276">
        <v>-328.29719999999998</v>
      </c>
      <c r="K276">
        <v>1.103979</v>
      </c>
      <c r="L276">
        <v>367.51440000000002</v>
      </c>
      <c r="M276">
        <v>0.99975939999999996</v>
      </c>
      <c r="N276">
        <v>0</v>
      </c>
      <c r="O276">
        <v>1.8405769999999998E-2</v>
      </c>
      <c r="P276">
        <v>0.99163469999999998</v>
      </c>
      <c r="Q276">
        <v>9.6474290000000004E-2</v>
      </c>
      <c r="R276">
        <v>8.5752910000000002E-2</v>
      </c>
      <c r="S276">
        <v>3.102509</v>
      </c>
      <c r="T276">
        <v>-0.30749910000000003</v>
      </c>
      <c r="U276">
        <v>-0.54931640000000004</v>
      </c>
      <c r="V276">
        <v>-6.7555820000000003E-2</v>
      </c>
      <c r="W276">
        <v>0.108280399999999</v>
      </c>
      <c r="X276">
        <v>0.99182239999999999</v>
      </c>
      <c r="Y276">
        <v>0.19144169999999999</v>
      </c>
      <c r="Z276">
        <v>-1.1198130000000001E-2</v>
      </c>
      <c r="AA276">
        <v>0.98144010000000004</v>
      </c>
      <c r="AB276">
        <v>42</v>
      </c>
      <c r="AC276">
        <v>0.74419999999997799</v>
      </c>
      <c r="AD276">
        <v>-9.7318999999999906E-2</v>
      </c>
      <c r="AE276">
        <v>-0.178800000000023</v>
      </c>
      <c r="AF276">
        <v>0.18940602877586901</v>
      </c>
      <c r="AG276">
        <v>-9.7318999999999906E-2</v>
      </c>
      <c r="AH276">
        <v>0.72899665430575</v>
      </c>
      <c r="AI276">
        <v>97.362245298619797</v>
      </c>
      <c r="AJ276">
        <v>75.435582994229904</v>
      </c>
      <c r="AK276">
        <v>0.75946148913991895</v>
      </c>
      <c r="AL276">
        <v>83.783802693855094</v>
      </c>
      <c r="AM276">
        <v>93.896558677592594</v>
      </c>
      <c r="AN276">
        <v>1.0000000534908899</v>
      </c>
    </row>
    <row r="277" spans="1:40" x14ac:dyDescent="0.3">
      <c r="A277" t="str">
        <f>"20200111150231537"</f>
        <v>20200111150231537</v>
      </c>
      <c r="B277" t="str">
        <f>"1578726151525984"</f>
        <v>1578726151525984</v>
      </c>
      <c r="C277" t="s">
        <v>40</v>
      </c>
      <c r="D277">
        <v>5.8879080000000004</v>
      </c>
      <c r="E277">
        <v>0.58605119999999999</v>
      </c>
      <c r="F277" t="s">
        <v>42</v>
      </c>
      <c r="G277">
        <v>-327.55009999999999</v>
      </c>
      <c r="H277">
        <v>1.0245340000000001</v>
      </c>
      <c r="I277">
        <v>367.39179999999999</v>
      </c>
      <c r="J277">
        <v>-327.73169999999999</v>
      </c>
      <c r="K277">
        <v>1.1039589999999999</v>
      </c>
      <c r="L277">
        <v>367.52510000000001</v>
      </c>
      <c r="M277">
        <v>0.99975440000000004</v>
      </c>
      <c r="N277">
        <v>0</v>
      </c>
      <c r="O277">
        <v>1.8667039999999999E-2</v>
      </c>
      <c r="P277">
        <v>0.99165380000000003</v>
      </c>
      <c r="Q277">
        <v>9.6434660000000005E-2</v>
      </c>
      <c r="R277">
        <v>8.5575830000000006E-2</v>
      </c>
      <c r="S277">
        <v>3.1012569999999999</v>
      </c>
      <c r="T277">
        <v>-0.33007819999999999</v>
      </c>
      <c r="U277">
        <v>-0.50738530000000004</v>
      </c>
      <c r="V277">
        <v>-6.711433E-2</v>
      </c>
      <c r="W277">
        <v>0.1082458</v>
      </c>
      <c r="X277">
        <v>0.99185610000000002</v>
      </c>
      <c r="Y277">
        <v>0.17876800000000001</v>
      </c>
      <c r="Z277">
        <v>-1.139358E-2</v>
      </c>
      <c r="AA277">
        <v>0.98382530000000001</v>
      </c>
      <c r="AB277">
        <v>42</v>
      </c>
      <c r="AC277">
        <v>0.18160000000000301</v>
      </c>
      <c r="AD277">
        <v>-7.9424999999999801E-2</v>
      </c>
      <c r="AE277">
        <v>-0.13330000000001899</v>
      </c>
      <c r="AF277">
        <v>0.12155646535757</v>
      </c>
      <c r="AG277">
        <v>-7.9424999999999801E-2</v>
      </c>
      <c r="AH277">
        <v>0.15928002522652401</v>
      </c>
      <c r="AI277">
        <v>111.62346010834599</v>
      </c>
      <c r="AJ277">
        <v>52.650501688454298</v>
      </c>
      <c r="AK277">
        <v>0.21553290080957099</v>
      </c>
      <c r="AL277">
        <v>83.785796545093305</v>
      </c>
      <c r="AM277">
        <v>93.871040483608994</v>
      </c>
      <c r="AN277">
        <v>1.0000000048080899</v>
      </c>
    </row>
    <row r="278" spans="1:40" x14ac:dyDescent="0.3">
      <c r="A278" t="str">
        <f>"20200111150238442"</f>
        <v>20200111150238442</v>
      </c>
      <c r="B278" t="str">
        <f>"1578726158435940"</f>
        <v>1578726158435940</v>
      </c>
      <c r="C278" t="s">
        <v>40</v>
      </c>
      <c r="D278">
        <v>5.317399</v>
      </c>
      <c r="E278">
        <v>0.68904580000000004</v>
      </c>
      <c r="F278" t="s">
        <v>48</v>
      </c>
      <c r="G278">
        <v>-168.40099999999899</v>
      </c>
      <c r="H278">
        <v>2.836408</v>
      </c>
      <c r="I278">
        <v>337.27910000000003</v>
      </c>
      <c r="J278">
        <v>-201.8605</v>
      </c>
      <c r="K278">
        <v>1.093091</v>
      </c>
      <c r="L278">
        <v>365.84930000000003</v>
      </c>
      <c r="M278">
        <v>0.97683960000000003</v>
      </c>
      <c r="N278">
        <v>0</v>
      </c>
      <c r="O278">
        <v>-0.2133929</v>
      </c>
      <c r="P278">
        <v>0.96347389999999999</v>
      </c>
      <c r="Q278">
        <v>0.1097858</v>
      </c>
      <c r="R278">
        <v>-0.2442656</v>
      </c>
      <c r="S278">
        <v>2.5589599999999999</v>
      </c>
      <c r="T278">
        <v>0.132581</v>
      </c>
      <c r="U278">
        <v>-2.1764220000000001</v>
      </c>
      <c r="V278">
        <v>3.6433189999999997E-2</v>
      </c>
      <c r="W278">
        <v>0.1244692</v>
      </c>
      <c r="X278">
        <v>0.99155439999999995</v>
      </c>
      <c r="Y278">
        <v>0.4701824</v>
      </c>
      <c r="Z278">
        <v>1.206539E-3</v>
      </c>
      <c r="AA278">
        <v>0.88256849999999998</v>
      </c>
      <c r="AB278">
        <v>35</v>
      </c>
      <c r="AC278">
        <v>33.459499999999998</v>
      </c>
      <c r="AD278">
        <v>1.74331699999999</v>
      </c>
      <c r="AE278">
        <v>-28.5702</v>
      </c>
      <c r="AF278">
        <v>20.738498402224302</v>
      </c>
      <c r="AG278">
        <v>1.74331699999999</v>
      </c>
      <c r="AH278">
        <v>38.725251817044601</v>
      </c>
      <c r="AI278">
        <v>87.727400864926906</v>
      </c>
      <c r="AJ278">
        <v>61.829655826808199</v>
      </c>
      <c r="AK278">
        <v>43.9632755653519</v>
      </c>
      <c r="AL278">
        <v>82.849896519855506</v>
      </c>
      <c r="AM278">
        <v>87.895698550405697</v>
      </c>
      <c r="AN278">
        <v>1.0000000436207801</v>
      </c>
    </row>
    <row r="279" spans="1:40" x14ac:dyDescent="0.3">
      <c r="A279" t="str">
        <f>"20200111150238454"</f>
        <v>20200111150238454</v>
      </c>
      <c r="B279" t="str">
        <f>"1578726158446676"</f>
        <v>1578726158446676</v>
      </c>
      <c r="C279" t="s">
        <v>40</v>
      </c>
      <c r="D279">
        <v>5.3442309999999997</v>
      </c>
      <c r="E279">
        <v>0.68750480000000003</v>
      </c>
      <c r="F279" t="s">
        <v>48</v>
      </c>
      <c r="G279">
        <v>-168.40090000000001</v>
      </c>
      <c r="H279">
        <v>2.607945</v>
      </c>
      <c r="I279">
        <v>336.6361</v>
      </c>
      <c r="J279">
        <v>-201.6773</v>
      </c>
      <c r="K279">
        <v>1.092927</v>
      </c>
      <c r="L279">
        <v>365.80380000000002</v>
      </c>
      <c r="M279">
        <v>0.97535400000000005</v>
      </c>
      <c r="N279">
        <v>0</v>
      </c>
      <c r="O279">
        <v>-0.220081</v>
      </c>
      <c r="P279">
        <v>0.96170849999999997</v>
      </c>
      <c r="Q279">
        <v>0.1093798</v>
      </c>
      <c r="R279">
        <v>-0.25130239999999998</v>
      </c>
      <c r="S279">
        <v>2.538681</v>
      </c>
      <c r="T279">
        <v>0.1149371</v>
      </c>
      <c r="U279">
        <v>-2.2164920000000001</v>
      </c>
      <c r="V279">
        <v>3.691415E-2</v>
      </c>
      <c r="W279">
        <v>0.124068899999999</v>
      </c>
      <c r="X279">
        <v>0.99158670000000004</v>
      </c>
      <c r="Y279">
        <v>0.47560970000000002</v>
      </c>
      <c r="Z279">
        <v>9.1090750000000003E-4</v>
      </c>
      <c r="AA279">
        <v>0.87965599999999999</v>
      </c>
      <c r="AB279">
        <v>35</v>
      </c>
      <c r="AC279">
        <v>33.276399999999903</v>
      </c>
      <c r="AD279">
        <v>1.515018</v>
      </c>
      <c r="AE279">
        <v>-29.1677</v>
      </c>
      <c r="AF279">
        <v>21.103221838430098</v>
      </c>
      <c r="AG279">
        <v>1.515018</v>
      </c>
      <c r="AH279">
        <v>38.834843224619902</v>
      </c>
      <c r="AI279">
        <v>88.036799261373901</v>
      </c>
      <c r="AJ279">
        <v>61.479923887048201</v>
      </c>
      <c r="AK279">
        <v>44.224272744536201</v>
      </c>
      <c r="AL279">
        <v>82.873010628436404</v>
      </c>
      <c r="AM279">
        <v>87.868014207068995</v>
      </c>
      <c r="AN279">
        <v>0.99999996501716004</v>
      </c>
    </row>
    <row r="280" spans="1:40" x14ac:dyDescent="0.3">
      <c r="A280" t="str">
        <f>"20200111150238465"</f>
        <v>20200111150238465</v>
      </c>
      <c r="B280" t="str">
        <f>"1578726158456437"</f>
        <v>1578726158456437</v>
      </c>
      <c r="C280" t="s">
        <v>40</v>
      </c>
      <c r="D280">
        <v>5.341812</v>
      </c>
      <c r="E280">
        <v>0.68694789999999994</v>
      </c>
      <c r="F280" t="s">
        <v>48</v>
      </c>
      <c r="G280">
        <v>-168.40090000000001</v>
      </c>
      <c r="H280">
        <v>2.4573870000000002</v>
      </c>
      <c r="I280">
        <v>336.5052</v>
      </c>
      <c r="J280">
        <v>-201.495</v>
      </c>
      <c r="K280">
        <v>1.092768</v>
      </c>
      <c r="L280">
        <v>365.75729999999999</v>
      </c>
      <c r="M280">
        <v>0.97381050000000002</v>
      </c>
      <c r="N280">
        <v>0</v>
      </c>
      <c r="O280">
        <v>-0.2268107</v>
      </c>
      <c r="P280">
        <v>0.96000110000000005</v>
      </c>
      <c r="Q280">
        <v>0.109242699999999</v>
      </c>
      <c r="R280">
        <v>-0.25780609999999998</v>
      </c>
      <c r="S280">
        <v>2.5264280000000001</v>
      </c>
      <c r="T280">
        <v>0.103593699999999</v>
      </c>
      <c r="U280">
        <v>-2.2244259999999998</v>
      </c>
      <c r="V280">
        <v>3.6816670000000003E-2</v>
      </c>
      <c r="W280">
        <v>0.12395349999999999</v>
      </c>
      <c r="X280">
        <v>0.99160479999999995</v>
      </c>
      <c r="Y280">
        <v>0.4732326</v>
      </c>
      <c r="Z280">
        <v>5.5987620000000002E-4</v>
      </c>
      <c r="AA280">
        <v>0.88093729999999904</v>
      </c>
      <c r="AB280">
        <v>35</v>
      </c>
      <c r="AC280">
        <v>33.094099999999997</v>
      </c>
      <c r="AD280">
        <v>1.36461899999999</v>
      </c>
      <c r="AE280">
        <v>-29.252099999999899</v>
      </c>
      <c r="AF280">
        <v>20.9625200692421</v>
      </c>
      <c r="AG280">
        <v>1.36461899999999</v>
      </c>
      <c r="AH280">
        <v>38.829866304911597</v>
      </c>
      <c r="AI280">
        <v>88.228700642149704</v>
      </c>
      <c r="AJ280">
        <v>61.637360525447598</v>
      </c>
      <c r="AK280">
        <v>44.148023171211698</v>
      </c>
      <c r="AL280">
        <v>82.879674307654994</v>
      </c>
      <c r="AM280">
        <v>87.873677790883505</v>
      </c>
      <c r="AN280">
        <v>1.00000000836758</v>
      </c>
    </row>
    <row r="281" spans="1:40" x14ac:dyDescent="0.3">
      <c r="A281" t="str">
        <f>"20200111150238477"</f>
        <v>20200111150238477</v>
      </c>
      <c r="B281" t="str">
        <f>"1578726158475956"</f>
        <v>1578726158475956</v>
      </c>
      <c r="C281" t="s">
        <v>40</v>
      </c>
      <c r="D281">
        <v>5.4094670000000002</v>
      </c>
      <c r="E281">
        <v>0.68540970000000001</v>
      </c>
      <c r="F281" t="s">
        <v>48</v>
      </c>
      <c r="G281">
        <v>-168.4008</v>
      </c>
      <c r="H281">
        <v>2.38022</v>
      </c>
      <c r="I281">
        <v>336.28410000000002</v>
      </c>
      <c r="J281">
        <v>-201.31049999999999</v>
      </c>
      <c r="K281">
        <v>1.092611</v>
      </c>
      <c r="L281">
        <v>365.70839999999998</v>
      </c>
      <c r="M281">
        <v>0.97217169999999997</v>
      </c>
      <c r="N281">
        <v>0</v>
      </c>
      <c r="O281">
        <v>-0.23373350000000001</v>
      </c>
      <c r="P281">
        <v>0.95810609999999996</v>
      </c>
      <c r="Q281">
        <v>0.10898670000000001</v>
      </c>
      <c r="R281">
        <v>-0.2648682</v>
      </c>
      <c r="S281">
        <v>2.5128940000000002</v>
      </c>
      <c r="T281">
        <v>9.7758890000000001E-2</v>
      </c>
      <c r="U281">
        <v>-2.237946</v>
      </c>
      <c r="V281">
        <v>3.7094309999999998E-2</v>
      </c>
      <c r="W281">
        <v>0.12370979999999999</v>
      </c>
      <c r="X281">
        <v>0.99162490000000003</v>
      </c>
      <c r="Y281">
        <v>0.4719778</v>
      </c>
      <c r="Z281">
        <v>2.9407910000000002E-4</v>
      </c>
      <c r="AA281">
        <v>0.88161039999999902</v>
      </c>
      <c r="AB281">
        <v>35</v>
      </c>
      <c r="AC281">
        <v>32.909699999999901</v>
      </c>
      <c r="AD281">
        <v>1.287609</v>
      </c>
      <c r="AE281">
        <v>-29.424299999999899</v>
      </c>
      <c r="AF281">
        <v>20.898217038098</v>
      </c>
      <c r="AG281">
        <v>1.287609</v>
      </c>
      <c r="AH281">
        <v>38.8431546339352</v>
      </c>
      <c r="AI281">
        <v>88.327890242787802</v>
      </c>
      <c r="AJ281">
        <v>61.719062322145497</v>
      </c>
      <c r="AK281">
        <v>44.1269087317946</v>
      </c>
      <c r="AL281">
        <v>82.893745692380094</v>
      </c>
      <c r="AM281">
        <v>87.857701147646196</v>
      </c>
      <c r="AN281">
        <v>1.0000000223752099</v>
      </c>
    </row>
    <row r="282" spans="1:40" x14ac:dyDescent="0.3">
      <c r="A282" t="str">
        <f>"20200111150238489"</f>
        <v>20200111150238489</v>
      </c>
      <c r="B282" t="str">
        <f>"1578726158486692"</f>
        <v>1578726158486692</v>
      </c>
      <c r="C282" t="s">
        <v>40</v>
      </c>
      <c r="D282">
        <v>5.4146989999999997</v>
      </c>
      <c r="E282">
        <v>0.68386449999999999</v>
      </c>
      <c r="F282" t="s">
        <v>48</v>
      </c>
      <c r="G282">
        <v>-168.4007</v>
      </c>
      <c r="H282">
        <v>2.0044590000000002</v>
      </c>
      <c r="I282">
        <v>336.14729999999997</v>
      </c>
      <c r="J282">
        <v>-201.1319</v>
      </c>
      <c r="K282">
        <v>1.092462</v>
      </c>
      <c r="L282">
        <v>365.66019999999997</v>
      </c>
      <c r="M282">
        <v>0.97052570000000005</v>
      </c>
      <c r="N282">
        <v>0</v>
      </c>
      <c r="O282">
        <v>-0.2404743</v>
      </c>
      <c r="P282">
        <v>0.9563545</v>
      </c>
      <c r="Q282">
        <v>0.10857650000000001</v>
      </c>
      <c r="R282">
        <v>-0.27128869999999999</v>
      </c>
      <c r="S282">
        <v>2.5019990000000001</v>
      </c>
      <c r="T282">
        <v>6.9324730000000001E-2</v>
      </c>
      <c r="U282">
        <v>-2.2474059999999998</v>
      </c>
      <c r="V282">
        <v>3.6883819999999998E-2</v>
      </c>
      <c r="W282">
        <v>0.12332509999999999</v>
      </c>
      <c r="X282">
        <v>0.99168060000000002</v>
      </c>
      <c r="Y282">
        <v>0.46965960000000001</v>
      </c>
      <c r="Z282" s="1">
        <v>3.3284999999999997E-5</v>
      </c>
      <c r="AA282">
        <v>0.88284759999999995</v>
      </c>
      <c r="AB282">
        <v>35</v>
      </c>
      <c r="AC282">
        <v>32.731200000000001</v>
      </c>
      <c r="AD282">
        <v>0.91199699999999995</v>
      </c>
      <c r="AE282">
        <v>-29.512899999999998</v>
      </c>
      <c r="AF282">
        <v>20.7657408668797</v>
      </c>
      <c r="AG282">
        <v>0.91199699999999995</v>
      </c>
      <c r="AH282">
        <v>38.851825142717999</v>
      </c>
      <c r="AI282">
        <v>88.8140209692356</v>
      </c>
      <c r="AJ282">
        <v>61.876138227057197</v>
      </c>
      <c r="AK282">
        <v>44.062592402158302</v>
      </c>
      <c r="AL282">
        <v>82.915956983573494</v>
      </c>
      <c r="AM282">
        <v>87.869965830561299</v>
      </c>
      <c r="AN282">
        <v>0.99999995444208001</v>
      </c>
    </row>
    <row r="283" spans="1:40" x14ac:dyDescent="0.3">
      <c r="A283" t="str">
        <f>"20200111150238504"</f>
        <v>20200111150238504</v>
      </c>
      <c r="B283" t="str">
        <f>"1578726158496452"</f>
        <v>1578726158496452</v>
      </c>
      <c r="C283" t="s">
        <v>40</v>
      </c>
      <c r="D283">
        <v>5.4819170000000002</v>
      </c>
      <c r="E283">
        <v>0.68339859999999997</v>
      </c>
      <c r="F283" t="s">
        <v>48</v>
      </c>
      <c r="G283">
        <v>-168.4007</v>
      </c>
      <c r="H283">
        <v>1.8279829999999999</v>
      </c>
      <c r="I283">
        <v>336.04610000000002</v>
      </c>
      <c r="J283">
        <v>-200.91050000000001</v>
      </c>
      <c r="K283">
        <v>1.0922810000000001</v>
      </c>
      <c r="L283">
        <v>365.59789999999998</v>
      </c>
      <c r="M283">
        <v>0.9683754</v>
      </c>
      <c r="N283">
        <v>0</v>
      </c>
      <c r="O283">
        <v>-0.2489893</v>
      </c>
      <c r="P283">
        <v>0.95376530000000004</v>
      </c>
      <c r="Q283">
        <v>0.1083216</v>
      </c>
      <c r="R283">
        <v>-0.28035389999999999</v>
      </c>
      <c r="S283">
        <v>2.4911799999999999</v>
      </c>
      <c r="T283">
        <v>5.5981280000000001E-2</v>
      </c>
      <c r="U283">
        <v>-2.2539370000000001</v>
      </c>
      <c r="V283">
        <v>3.7624709999999999E-2</v>
      </c>
      <c r="W283">
        <v>0.1230724</v>
      </c>
      <c r="X283">
        <v>0.99168420000000002</v>
      </c>
      <c r="Y283">
        <v>0.4650937</v>
      </c>
      <c r="Z283">
        <v>-1.6816659999999999E-4</v>
      </c>
      <c r="AA283">
        <v>0.88526149999999904</v>
      </c>
      <c r="AB283">
        <v>35</v>
      </c>
      <c r="AC283">
        <v>32.509799999999998</v>
      </c>
      <c r="AD283">
        <v>0.73570199999999997</v>
      </c>
      <c r="AE283">
        <v>-29.551799999999901</v>
      </c>
      <c r="AF283">
        <v>20.519490659709898</v>
      </c>
      <c r="AG283">
        <v>0.73570199999999997</v>
      </c>
      <c r="AH283">
        <v>38.833805152749001</v>
      </c>
      <c r="AI283">
        <v>89.040367341574793</v>
      </c>
      <c r="AJ283">
        <v>62.148363830606797</v>
      </c>
      <c r="AK283">
        <v>43.927840568464099</v>
      </c>
      <c r="AL283">
        <v>82.930547049964403</v>
      </c>
      <c r="AM283">
        <v>87.827228047768202</v>
      </c>
      <c r="AN283">
        <v>0.99999999348699198</v>
      </c>
    </row>
    <row r="284" spans="1:40" x14ac:dyDescent="0.3">
      <c r="A284" t="str">
        <f>"20200111150238517"</f>
        <v>20200111150238517</v>
      </c>
      <c r="B284" t="str">
        <f>"1578726158506214"</f>
        <v>1578726158506214</v>
      </c>
      <c r="C284" t="s">
        <v>40</v>
      </c>
      <c r="D284">
        <v>5.4671180000000001</v>
      </c>
      <c r="E284">
        <v>0.6826603</v>
      </c>
      <c r="F284" t="s">
        <v>48</v>
      </c>
      <c r="G284">
        <v>-168.4006</v>
      </c>
      <c r="H284">
        <v>1.629097</v>
      </c>
      <c r="I284">
        <v>335.66469999999998</v>
      </c>
      <c r="J284">
        <v>-200.71729999999999</v>
      </c>
      <c r="K284">
        <v>1.0921270000000001</v>
      </c>
      <c r="L284">
        <v>365.54169999999999</v>
      </c>
      <c r="M284">
        <v>0.96640959999999998</v>
      </c>
      <c r="N284">
        <v>0</v>
      </c>
      <c r="O284">
        <v>-0.25651170000000001</v>
      </c>
      <c r="P284">
        <v>0.95122340000000005</v>
      </c>
      <c r="Q284">
        <v>0.1083128</v>
      </c>
      <c r="R284">
        <v>-0.2888637</v>
      </c>
      <c r="S284">
        <v>2.471832</v>
      </c>
      <c r="T284">
        <v>4.0816310000000001E-2</v>
      </c>
      <c r="U284">
        <v>-2.275909</v>
      </c>
      <c r="V284">
        <v>3.8818369999999998E-2</v>
      </c>
      <c r="W284">
        <v>0.1230492</v>
      </c>
      <c r="X284">
        <v>0.99164099999999999</v>
      </c>
      <c r="Y284">
        <v>0.46593669999999998</v>
      </c>
      <c r="Z284">
        <v>-2.139439E-4</v>
      </c>
      <c r="AA284">
        <v>0.88481799999999999</v>
      </c>
      <c r="AB284">
        <v>35</v>
      </c>
      <c r="AC284">
        <v>32.316699999999997</v>
      </c>
      <c r="AD284">
        <v>0.53696999999999995</v>
      </c>
      <c r="AE284">
        <v>-29.876999999999999</v>
      </c>
      <c r="AF284">
        <v>20.583361023410198</v>
      </c>
      <c r="AG284">
        <v>0.53696999999999995</v>
      </c>
      <c r="AH284">
        <v>38.894124646860398</v>
      </c>
      <c r="AI284">
        <v>89.3008820392632</v>
      </c>
      <c r="AJ284">
        <v>62.111527546152303</v>
      </c>
      <c r="AK284">
        <v>44.008135836984202</v>
      </c>
      <c r="AL284">
        <v>82.931885986376003</v>
      </c>
      <c r="AM284">
        <v>87.758267614993699</v>
      </c>
      <c r="AN284">
        <v>0.99999992217554501</v>
      </c>
    </row>
    <row r="285" spans="1:40" x14ac:dyDescent="0.3">
      <c r="A285" t="str">
        <f>"20200111150238530"</f>
        <v>20200111150238530</v>
      </c>
      <c r="B285" t="str">
        <f>"1578726158525732"</f>
        <v>1578726158525732</v>
      </c>
      <c r="C285" t="s">
        <v>40</v>
      </c>
      <c r="D285">
        <v>5.4750129999999997</v>
      </c>
      <c r="E285">
        <v>0.68093800000000004</v>
      </c>
      <c r="F285" t="s">
        <v>48</v>
      </c>
      <c r="G285">
        <v>-168.40049999999999</v>
      </c>
      <c r="H285">
        <v>1.46492</v>
      </c>
      <c r="I285">
        <v>335.34030000000001</v>
      </c>
      <c r="J285">
        <v>-200.51740000000001</v>
      </c>
      <c r="K285">
        <v>1.0919760000000001</v>
      </c>
      <c r="L285">
        <v>365.48239999999998</v>
      </c>
      <c r="M285">
        <v>0.96429379999999998</v>
      </c>
      <c r="N285">
        <v>0</v>
      </c>
      <c r="O285">
        <v>-0.26435239999999999</v>
      </c>
      <c r="P285">
        <v>0.9483798</v>
      </c>
      <c r="Q285">
        <v>0.1082577</v>
      </c>
      <c r="R285">
        <v>-0.2980874</v>
      </c>
      <c r="S285">
        <v>2.4541629999999999</v>
      </c>
      <c r="T285">
        <v>2.8310780000000001E-2</v>
      </c>
      <c r="U285">
        <v>-2.2935180000000002</v>
      </c>
      <c r="V285">
        <v>4.0437519999999998E-2</v>
      </c>
      <c r="W285">
        <v>0.1229664</v>
      </c>
      <c r="X285">
        <v>0.99158659999999998</v>
      </c>
      <c r="Y285">
        <v>0.46532299999999899</v>
      </c>
      <c r="Z285">
        <v>-2.2193089999999999E-4</v>
      </c>
      <c r="AA285">
        <v>0.88514099999999996</v>
      </c>
      <c r="AB285">
        <v>35</v>
      </c>
      <c r="AC285">
        <v>32.116900000000001</v>
      </c>
      <c r="AD285">
        <v>0.372944</v>
      </c>
      <c r="AE285">
        <v>-30.1420999999999</v>
      </c>
      <c r="AF285">
        <v>20.576812079790301</v>
      </c>
      <c r="AG285">
        <v>0.372944</v>
      </c>
      <c r="AH285">
        <v>38.940443219236201</v>
      </c>
      <c r="AI285">
        <v>89.5148438885535</v>
      </c>
      <c r="AJ285">
        <v>62.147242752753797</v>
      </c>
      <c r="AK285">
        <v>44.044323138228698</v>
      </c>
      <c r="AL285">
        <v>82.936666627734496</v>
      </c>
      <c r="AM285">
        <v>87.664736363108503</v>
      </c>
      <c r="AN285">
        <v>0.99999995692613397</v>
      </c>
    </row>
    <row r="286" spans="1:40" x14ac:dyDescent="0.3">
      <c r="A286" t="str">
        <f>"20200111150238542"</f>
        <v>20200111150238542</v>
      </c>
      <c r="B286" t="str">
        <f>"1578726158536469"</f>
        <v>1578726158536469</v>
      </c>
      <c r="C286" t="s">
        <v>40</v>
      </c>
      <c r="D286">
        <v>5.4988849999999996</v>
      </c>
      <c r="E286">
        <v>0.6799731</v>
      </c>
      <c r="F286" t="s">
        <v>48</v>
      </c>
      <c r="G286">
        <v>-168.40049999999999</v>
      </c>
      <c r="H286">
        <v>1.2204569999999999</v>
      </c>
      <c r="I286">
        <v>335.0976</v>
      </c>
      <c r="J286">
        <v>-200.33709999999999</v>
      </c>
      <c r="K286">
        <v>1.091844</v>
      </c>
      <c r="L286">
        <v>365.42660000000001</v>
      </c>
      <c r="M286">
        <v>0.96229209999999998</v>
      </c>
      <c r="N286">
        <v>0</v>
      </c>
      <c r="O286">
        <v>-0.27154679999999998</v>
      </c>
      <c r="P286">
        <v>0.94555040000000001</v>
      </c>
      <c r="Q286">
        <v>0.1088298</v>
      </c>
      <c r="R286">
        <v>-0.30674240000000003</v>
      </c>
      <c r="S286">
        <v>2.437424</v>
      </c>
      <c r="T286">
        <v>9.7512009999999993E-3</v>
      </c>
      <c r="U286">
        <v>-2.3059690000000002</v>
      </c>
      <c r="V286">
        <v>4.2170279999999997E-2</v>
      </c>
      <c r="W286">
        <v>0.123504</v>
      </c>
      <c r="X286">
        <v>0.99144759999999998</v>
      </c>
      <c r="Y286">
        <v>0.46413270000000001</v>
      </c>
      <c r="Z286">
        <v>-1.0086560000000001E-4</v>
      </c>
      <c r="AA286">
        <v>0.88576569999999899</v>
      </c>
      <c r="AB286">
        <v>35</v>
      </c>
      <c r="AC286">
        <v>31.936599999999999</v>
      </c>
      <c r="AD286">
        <v>0.12861299999999901</v>
      </c>
      <c r="AE286">
        <v>-30.329000000000001</v>
      </c>
      <c r="AF286">
        <v>20.5155293647869</v>
      </c>
      <c r="AG286">
        <v>0.12861299999999901</v>
      </c>
      <c r="AH286">
        <v>38.972742182943399</v>
      </c>
      <c r="AI286">
        <v>89.8326860739502</v>
      </c>
      <c r="AJ286">
        <v>62.237361355468899</v>
      </c>
      <c r="AK286">
        <v>44.042912252476903</v>
      </c>
      <c r="AL286">
        <v>82.905627822160596</v>
      </c>
      <c r="AM286">
        <v>87.564446601601702</v>
      </c>
      <c r="AN286">
        <v>0.99999995703851796</v>
      </c>
    </row>
    <row r="287" spans="1:40" x14ac:dyDescent="0.3">
      <c r="A287" t="str">
        <f>"20200111150238676"</f>
        <v>20200111150238676</v>
      </c>
      <c r="B287" t="str">
        <f>"1578726158666276"</f>
        <v>1578726158666276</v>
      </c>
      <c r="C287" t="s">
        <v>40</v>
      </c>
      <c r="D287">
        <v>5.5988230000000003</v>
      </c>
      <c r="E287">
        <v>0.6799731</v>
      </c>
      <c r="F287" t="s">
        <v>48</v>
      </c>
      <c r="G287">
        <v>-168.40039999999999</v>
      </c>
      <c r="H287">
        <v>1.1698470000000001</v>
      </c>
      <c r="I287">
        <v>334.77249999999998</v>
      </c>
      <c r="J287">
        <v>-198.36349999999999</v>
      </c>
      <c r="K287">
        <v>1.0907180000000001</v>
      </c>
      <c r="L287">
        <v>364.71499999999997</v>
      </c>
      <c r="M287">
        <v>0.93492830000000005</v>
      </c>
      <c r="N287">
        <v>0</v>
      </c>
      <c r="O287">
        <v>-0.35446070000000002</v>
      </c>
      <c r="P287">
        <v>0.9053059</v>
      </c>
      <c r="Q287">
        <v>0.1185624</v>
      </c>
      <c r="R287">
        <v>-0.40787810000000002</v>
      </c>
      <c r="S287">
        <v>2.4188839999999998</v>
      </c>
      <c r="T287">
        <v>5.9083699999999996E-3</v>
      </c>
      <c r="U287">
        <v>-2.3217469999999998</v>
      </c>
      <c r="V287">
        <v>6.4862180000000005E-2</v>
      </c>
      <c r="W287">
        <v>0.1326647</v>
      </c>
      <c r="X287">
        <v>0.98903640000000004</v>
      </c>
      <c r="Y287">
        <v>0.3917407</v>
      </c>
      <c r="Z287">
        <v>-2.8853389999999998E-4</v>
      </c>
      <c r="AA287">
        <v>0.92007559999999999</v>
      </c>
      <c r="AB287">
        <v>34</v>
      </c>
      <c r="AC287">
        <v>29.963100000000001</v>
      </c>
      <c r="AD287">
        <v>7.91289999999997E-2</v>
      </c>
      <c r="AE287">
        <v>-29.9424999999999</v>
      </c>
      <c r="AF287">
        <v>17.375605668041899</v>
      </c>
      <c r="AG287">
        <v>7.91289999999997E-2</v>
      </c>
      <c r="AH287">
        <v>38.631806491503497</v>
      </c>
      <c r="AI287">
        <v>89.892969668661607</v>
      </c>
      <c r="AJ287">
        <v>65.782994831580496</v>
      </c>
      <c r="AK287">
        <v>42.359584588696102</v>
      </c>
      <c r="AL287">
        <v>82.376397694982302</v>
      </c>
      <c r="AM287">
        <v>86.247847877769601</v>
      </c>
      <c r="AN287">
        <v>1.0000000127727</v>
      </c>
    </row>
    <row r="288" spans="1:40" x14ac:dyDescent="0.3">
      <c r="A288" t="str">
        <f>"20200111150238686"</f>
        <v>20200111150238686</v>
      </c>
      <c r="B288" t="str">
        <f>"1578726158676037"</f>
        <v>1578726158676037</v>
      </c>
      <c r="C288" t="s">
        <v>40</v>
      </c>
      <c r="D288">
        <v>5.5977759999999996</v>
      </c>
      <c r="E288">
        <v>0.65914059999999997</v>
      </c>
      <c r="F288" t="s">
        <v>48</v>
      </c>
      <c r="G288">
        <v>-168.40049999999999</v>
      </c>
      <c r="H288">
        <v>1.582865</v>
      </c>
      <c r="I288">
        <v>328.87279999999998</v>
      </c>
      <c r="J288">
        <v>-198.1953</v>
      </c>
      <c r="K288">
        <v>1.0906370000000001</v>
      </c>
      <c r="L288">
        <v>364.64510000000001</v>
      </c>
      <c r="M288">
        <v>0.93210059999999995</v>
      </c>
      <c r="N288">
        <v>0</v>
      </c>
      <c r="O288">
        <v>-0.3618304</v>
      </c>
      <c r="P288">
        <v>0.90138010000000002</v>
      </c>
      <c r="Q288">
        <v>0.1192555</v>
      </c>
      <c r="R288">
        <v>-0.41628409999999899</v>
      </c>
      <c r="S288">
        <v>2.1502840000000001</v>
      </c>
      <c r="T288">
        <v>3.5319330000000003E-2</v>
      </c>
      <c r="U288">
        <v>-2.5722049999999999</v>
      </c>
      <c r="V288">
        <v>6.6339469999999998E-2</v>
      </c>
      <c r="W288">
        <v>0.1333183</v>
      </c>
      <c r="X288">
        <v>0.98885049999999997</v>
      </c>
      <c r="Y288">
        <v>0.48311959999999998</v>
      </c>
      <c r="Z288">
        <v>-1.282577E-3</v>
      </c>
      <c r="AA288">
        <v>0.87555339999999904</v>
      </c>
      <c r="AB288">
        <v>34</v>
      </c>
      <c r="AC288">
        <v>29.794799999999999</v>
      </c>
      <c r="AD288">
        <v>0.492227999999999</v>
      </c>
      <c r="AE288">
        <v>-35.772300000000001</v>
      </c>
      <c r="AF288">
        <v>22.563210947259201</v>
      </c>
      <c r="AG288">
        <v>0.492227999999999</v>
      </c>
      <c r="AH288">
        <v>40.716146312174203</v>
      </c>
      <c r="AI288">
        <v>89.3941668689164</v>
      </c>
      <c r="AJ288">
        <v>61.006585605212898</v>
      </c>
      <c r="AK288">
        <v>46.552608382011002</v>
      </c>
      <c r="AL288">
        <v>82.338613467074296</v>
      </c>
      <c r="AM288">
        <v>86.161922741104902</v>
      </c>
      <c r="AN288">
        <v>1.00000000287251</v>
      </c>
    </row>
    <row r="289" spans="1:40" x14ac:dyDescent="0.3">
      <c r="A289" t="str">
        <f>"20200111150238698"</f>
        <v>20200111150238698</v>
      </c>
      <c r="B289" t="str">
        <f>"1578726158696532"</f>
        <v>1578726158696532</v>
      </c>
      <c r="C289" t="s">
        <v>40</v>
      </c>
      <c r="D289">
        <v>5.6035839999999997</v>
      </c>
      <c r="E289">
        <v>0.65820730000000005</v>
      </c>
      <c r="F289" t="s">
        <v>41</v>
      </c>
      <c r="G289">
        <v>-179.95779999999999</v>
      </c>
      <c r="H289">
        <v>1.391068E-2</v>
      </c>
      <c r="I289">
        <v>344.34269999999998</v>
      </c>
      <c r="J289">
        <v>-198.03290000000001</v>
      </c>
      <c r="K289">
        <v>1.09057</v>
      </c>
      <c r="L289">
        <v>364.57549999999998</v>
      </c>
      <c r="M289">
        <v>0.9292821</v>
      </c>
      <c r="N289">
        <v>0</v>
      </c>
      <c r="O289">
        <v>-0.36900759999999999</v>
      </c>
      <c r="P289">
        <v>0.8974415</v>
      </c>
      <c r="Q289">
        <v>0.1193747</v>
      </c>
      <c r="R289">
        <v>-0.42467460000000001</v>
      </c>
      <c r="S289">
        <v>2.2095180000000001</v>
      </c>
      <c r="T289">
        <v>-0.13044810000000001</v>
      </c>
      <c r="U289">
        <v>-2.459686</v>
      </c>
      <c r="V289">
        <v>6.7972500000000005E-2</v>
      </c>
      <c r="W289">
        <v>0.1333925</v>
      </c>
      <c r="X289">
        <v>0.98872959999999999</v>
      </c>
      <c r="Y289">
        <v>0.44471759999999999</v>
      </c>
      <c r="Z289">
        <v>5.9558609999999998E-3</v>
      </c>
      <c r="AA289">
        <v>0.89565099999999997</v>
      </c>
      <c r="AB289">
        <v>34</v>
      </c>
      <c r="AC289">
        <v>18.075099999999999</v>
      </c>
      <c r="AD289">
        <v>-1.0766593200000001</v>
      </c>
      <c r="AE289">
        <v>-20.232800000000001</v>
      </c>
      <c r="AF289">
        <v>12.1146780795043</v>
      </c>
      <c r="AG289">
        <v>-1.0766593200000001</v>
      </c>
      <c r="AH289">
        <v>24.2280227305986</v>
      </c>
      <c r="AI289">
        <v>92.276117273240203</v>
      </c>
      <c r="AJ289">
        <v>63.433687490454602</v>
      </c>
      <c r="AK289">
        <v>27.109439420537001</v>
      </c>
      <c r="AL289">
        <v>82.334323944947897</v>
      </c>
      <c r="AM289">
        <v>86.0672571466921</v>
      </c>
      <c r="AN289">
        <v>1.00000002086432</v>
      </c>
    </row>
    <row r="290" spans="1:40" x14ac:dyDescent="0.3">
      <c r="A290" t="str">
        <f>"20200111150238710"</f>
        <v>20200111150238710</v>
      </c>
      <c r="B290" t="str">
        <f>"1578726158706294"</f>
        <v>1578726158706294</v>
      </c>
      <c r="C290" t="s">
        <v>40</v>
      </c>
      <c r="D290">
        <v>5.5816840000000001</v>
      </c>
      <c r="E290">
        <v>0.65741669999999996</v>
      </c>
      <c r="F290" t="s">
        <v>41</v>
      </c>
      <c r="G290">
        <v>-182.5119</v>
      </c>
      <c r="H290" s="1">
        <v>-4.510106E-6</v>
      </c>
      <c r="I290">
        <v>347.04649999999998</v>
      </c>
      <c r="J290">
        <v>-197.86449999999999</v>
      </c>
      <c r="K290">
        <v>1.090503</v>
      </c>
      <c r="L290">
        <v>364.5025</v>
      </c>
      <c r="M290">
        <v>0.92628730000000004</v>
      </c>
      <c r="N290">
        <v>0</v>
      </c>
      <c r="O290">
        <v>-0.3764613</v>
      </c>
      <c r="P290">
        <v>0.89317979999999997</v>
      </c>
      <c r="Q290">
        <v>0.11968719999999999</v>
      </c>
      <c r="R290">
        <v>-0.43347970000000002</v>
      </c>
      <c r="S290">
        <v>2.1918950000000001</v>
      </c>
      <c r="T290">
        <v>-0.15401210000000001</v>
      </c>
      <c r="U290">
        <v>-2.4754640000000001</v>
      </c>
      <c r="V290">
        <v>6.9803509999999999E-2</v>
      </c>
      <c r="W290">
        <v>0.13365239999999901</v>
      </c>
      <c r="X290">
        <v>0.98856690000000003</v>
      </c>
      <c r="Y290">
        <v>0.44391160000000002</v>
      </c>
      <c r="Z290">
        <v>7.4306479999999998E-3</v>
      </c>
      <c r="AA290">
        <v>0.89603980000000005</v>
      </c>
      <c r="AB290">
        <v>34</v>
      </c>
      <c r="AC290">
        <v>15.352599999999899</v>
      </c>
      <c r="AD290">
        <v>-1.090507510106</v>
      </c>
      <c r="AE290">
        <v>-17.456</v>
      </c>
      <c r="AF290">
        <v>10.368191935930501</v>
      </c>
      <c r="AG290">
        <v>-1.090507510106</v>
      </c>
      <c r="AH290">
        <v>20.7495607958849</v>
      </c>
      <c r="AI290">
        <v>92.691676531181102</v>
      </c>
      <c r="AJ290">
        <v>63.449504851872497</v>
      </c>
      <c r="AK290">
        <v>23.221388500088</v>
      </c>
      <c r="AL290">
        <v>82.319298105366101</v>
      </c>
      <c r="AM290">
        <v>85.961002332482394</v>
      </c>
      <c r="AN290">
        <v>1.0000000049048401</v>
      </c>
    </row>
    <row r="291" spans="1:40" x14ac:dyDescent="0.3">
      <c r="A291" t="str">
        <f>"20200111150238720"</f>
        <v>20200111150238720</v>
      </c>
      <c r="B291" t="str">
        <f>"1578726158716052"</f>
        <v>1578726158716052</v>
      </c>
      <c r="C291" t="s">
        <v>40</v>
      </c>
      <c r="D291">
        <v>5.5425250000000004</v>
      </c>
      <c r="E291">
        <v>0.65557030000000005</v>
      </c>
      <c r="F291" t="s">
        <v>41</v>
      </c>
      <c r="G291">
        <v>-183.20400000000001</v>
      </c>
      <c r="H291" s="1">
        <v>-4.6566030000000003E-6</v>
      </c>
      <c r="I291">
        <v>347.67739999999998</v>
      </c>
      <c r="J291">
        <v>-197.7004</v>
      </c>
      <c r="K291">
        <v>1.0904419999999999</v>
      </c>
      <c r="L291">
        <v>364.42899999999997</v>
      </c>
      <c r="M291">
        <v>0.92327590000000004</v>
      </c>
      <c r="N291">
        <v>0</v>
      </c>
      <c r="O291">
        <v>-0.38378689999999999</v>
      </c>
      <c r="P291">
        <v>0.88899280000000003</v>
      </c>
      <c r="Q291">
        <v>0.1199036</v>
      </c>
      <c r="R291">
        <v>-0.44194470000000002</v>
      </c>
      <c r="S291">
        <v>2.1711269999999998</v>
      </c>
      <c r="T291">
        <v>-0.16149740000000001</v>
      </c>
      <c r="U291">
        <v>-2.4916990000000001</v>
      </c>
      <c r="V291">
        <v>7.1403620000000001E-2</v>
      </c>
      <c r="W291">
        <v>0.13382349999999901</v>
      </c>
      <c r="X291">
        <v>0.98842949999999996</v>
      </c>
      <c r="Y291">
        <v>0.44394610000000001</v>
      </c>
      <c r="Z291">
        <v>8.1861539999999993E-3</v>
      </c>
      <c r="AA291">
        <v>0.89601609999999998</v>
      </c>
      <c r="AB291">
        <v>34</v>
      </c>
      <c r="AC291">
        <v>14.4963999999999</v>
      </c>
      <c r="AD291">
        <v>-1.090446656603</v>
      </c>
      <c r="AE291">
        <v>-16.7516</v>
      </c>
      <c r="AF291">
        <v>9.8802145562596806</v>
      </c>
      <c r="AG291">
        <v>-1.090446656603</v>
      </c>
      <c r="AH291">
        <v>19.767992899074301</v>
      </c>
      <c r="AI291">
        <v>92.824818977857703</v>
      </c>
      <c r="AJ291">
        <v>63.443718680584901</v>
      </c>
      <c r="AK291">
        <v>22.1264831558581</v>
      </c>
      <c r="AL291">
        <v>82.309406214968305</v>
      </c>
      <c r="AM291">
        <v>85.868160856194507</v>
      </c>
      <c r="AN291">
        <v>1.0000000412857999</v>
      </c>
    </row>
    <row r="292" spans="1:40" x14ac:dyDescent="0.3">
      <c r="A292" t="str">
        <f>"20200111150238733"</f>
        <v>20200111150238733</v>
      </c>
      <c r="B292" t="str">
        <f>"1578726158726790"</f>
        <v>1578726158726790</v>
      </c>
      <c r="C292" t="s">
        <v>40</v>
      </c>
      <c r="D292">
        <v>5.5478160000000001</v>
      </c>
      <c r="E292">
        <v>0.65405800000000003</v>
      </c>
      <c r="F292" t="s">
        <v>41</v>
      </c>
      <c r="G292">
        <v>-182.83510000000001</v>
      </c>
      <c r="H292" s="1">
        <v>-4.5133380000000003E-6</v>
      </c>
      <c r="I292">
        <v>347.1909</v>
      </c>
      <c r="J292">
        <v>-197.53360000000001</v>
      </c>
      <c r="K292">
        <v>1.090384</v>
      </c>
      <c r="L292">
        <v>364.35329999999999</v>
      </c>
      <c r="M292">
        <v>0.92014039999999997</v>
      </c>
      <c r="N292">
        <v>0</v>
      </c>
      <c r="O292">
        <v>-0.39124340000000002</v>
      </c>
      <c r="P292">
        <v>0.88476160000000004</v>
      </c>
      <c r="Q292">
        <v>0.11982329999999999</v>
      </c>
      <c r="R292">
        <v>-0.45037650000000001</v>
      </c>
      <c r="S292">
        <v>2.1541139999999999</v>
      </c>
      <c r="T292">
        <v>-0.1580154</v>
      </c>
      <c r="U292">
        <v>-2.4979550000000001</v>
      </c>
      <c r="V292">
        <v>7.2818850000000004E-2</v>
      </c>
      <c r="W292">
        <v>0.13370299999999999</v>
      </c>
      <c r="X292">
        <v>0.98834250000000001</v>
      </c>
      <c r="Y292">
        <v>0.44130900000000001</v>
      </c>
      <c r="Z292">
        <v>8.4858929999999996E-3</v>
      </c>
      <c r="AA292">
        <v>0.89731510000000003</v>
      </c>
      <c r="AB292">
        <v>34</v>
      </c>
      <c r="AC292">
        <v>14.6984999999999</v>
      </c>
      <c r="AD292">
        <v>-1.090388513338</v>
      </c>
      <c r="AE292">
        <v>-17.162399999999899</v>
      </c>
      <c r="AF292">
        <v>10.019153376498799</v>
      </c>
      <c r="AG292">
        <v>-1.090388513338</v>
      </c>
      <c r="AH292">
        <v>20.195069380687102</v>
      </c>
      <c r="AI292">
        <v>92.769095164934498</v>
      </c>
      <c r="AJ292">
        <v>63.613126448857301</v>
      </c>
      <c r="AK292">
        <v>22.570184066209901</v>
      </c>
      <c r="AL292">
        <v>82.316372546118799</v>
      </c>
      <c r="AM292">
        <v>85.786189733393897</v>
      </c>
      <c r="AN292">
        <v>0.99999998721528605</v>
      </c>
    </row>
    <row r="293" spans="1:40" x14ac:dyDescent="0.3">
      <c r="A293" t="str">
        <f>"20200111150238744"</f>
        <v>20200111150238744</v>
      </c>
      <c r="B293" t="str">
        <f>"1578726158736548"</f>
        <v>1578726158736548</v>
      </c>
      <c r="C293" t="s">
        <v>40</v>
      </c>
      <c r="D293">
        <v>5.5264709999999999</v>
      </c>
      <c r="E293">
        <v>0.65253450000000002</v>
      </c>
      <c r="F293" t="s">
        <v>41</v>
      </c>
      <c r="G293">
        <v>-182.41800000000001</v>
      </c>
      <c r="H293" s="1">
        <v>-4.3847109999999998E-6</v>
      </c>
      <c r="I293">
        <v>346.6046</v>
      </c>
      <c r="J293">
        <v>-197.36539999999999</v>
      </c>
      <c r="K293">
        <v>1.0903290000000001</v>
      </c>
      <c r="L293">
        <v>364.27510000000001</v>
      </c>
      <c r="M293">
        <v>0.91689219999999905</v>
      </c>
      <c r="N293">
        <v>0</v>
      </c>
      <c r="O293">
        <v>-0.39879569999999998</v>
      </c>
      <c r="P293">
        <v>0.88049419999999901</v>
      </c>
      <c r="Q293">
        <v>0.1204161</v>
      </c>
      <c r="R293">
        <v>-0.45850839999999998</v>
      </c>
      <c r="S293">
        <v>2.1353</v>
      </c>
      <c r="T293">
        <v>-0.1540337</v>
      </c>
      <c r="U293">
        <v>-2.507263</v>
      </c>
      <c r="V293">
        <v>7.3868920000000005E-2</v>
      </c>
      <c r="W293">
        <v>0.13426769999999999</v>
      </c>
      <c r="X293">
        <v>0.98818799999999996</v>
      </c>
      <c r="Y293">
        <v>0.43947999999999998</v>
      </c>
      <c r="Z293">
        <v>8.7196689999999993E-3</v>
      </c>
      <c r="AA293">
        <v>0.89820999999999995</v>
      </c>
      <c r="AB293">
        <v>34</v>
      </c>
      <c r="AC293">
        <v>14.947399999999901</v>
      </c>
      <c r="AD293">
        <v>-1.0903333847109999</v>
      </c>
      <c r="AE293">
        <v>-17.670500000000001</v>
      </c>
      <c r="AF293">
        <v>10.219690308895901</v>
      </c>
      <c r="AG293">
        <v>-1.0903333847109999</v>
      </c>
      <c r="AH293">
        <v>20.708923318964601</v>
      </c>
      <c r="AI293">
        <v>92.703168469755198</v>
      </c>
      <c r="AJ293">
        <v>63.734024259609498</v>
      </c>
      <c r="AK293">
        <v>23.119048465071199</v>
      </c>
      <c r="AL293">
        <v>82.283723158130798</v>
      </c>
      <c r="AM293">
        <v>85.724983111481393</v>
      </c>
      <c r="AN293">
        <v>0.99999997797462803</v>
      </c>
    </row>
    <row r="294" spans="1:40" x14ac:dyDescent="0.3">
      <c r="A294" t="str">
        <f>"20200111150238766"</f>
        <v>20200111150238766</v>
      </c>
      <c r="B294" t="str">
        <f>"1578726158756068"</f>
        <v>1578726158756068</v>
      </c>
      <c r="C294" t="s">
        <v>40</v>
      </c>
      <c r="D294">
        <v>5.5811419999999998</v>
      </c>
      <c r="E294">
        <v>0.65253450000000002</v>
      </c>
      <c r="F294" t="s">
        <v>41</v>
      </c>
      <c r="G294">
        <v>-181.1585</v>
      </c>
      <c r="H294" s="1">
        <v>-4.1811499999999998E-6</v>
      </c>
      <c r="I294">
        <v>345.02159999999998</v>
      </c>
      <c r="J294">
        <v>-197.05629999999999</v>
      </c>
      <c r="K294">
        <v>1.0902350000000001</v>
      </c>
      <c r="L294">
        <v>364.12700000000001</v>
      </c>
      <c r="M294">
        <v>0.91069100000000003</v>
      </c>
      <c r="N294">
        <v>0</v>
      </c>
      <c r="O294">
        <v>-0.41275919999999999</v>
      </c>
      <c r="P294">
        <v>0.87262099999999898</v>
      </c>
      <c r="Q294">
        <v>0.12165719999999999</v>
      </c>
      <c r="R294">
        <v>-0.47300330000000002</v>
      </c>
      <c r="S294">
        <v>2.1170040000000001</v>
      </c>
      <c r="T294">
        <v>-0.14242279999999999</v>
      </c>
      <c r="U294">
        <v>-2.5149539999999999</v>
      </c>
      <c r="V294">
        <v>7.5252769999999997E-2</v>
      </c>
      <c r="W294">
        <v>0.13547390000000001</v>
      </c>
      <c r="X294">
        <v>0.98791899999999999</v>
      </c>
      <c r="Y294">
        <v>0.43092859999999999</v>
      </c>
      <c r="Z294">
        <v>8.9416369999999901E-3</v>
      </c>
      <c r="AA294">
        <v>0.90234170000000002</v>
      </c>
      <c r="AB294">
        <v>34</v>
      </c>
      <c r="AC294">
        <v>15.897799999999901</v>
      </c>
      <c r="AD294">
        <v>-1.0902391811499901</v>
      </c>
      <c r="AE294">
        <v>-19.1053999999999</v>
      </c>
      <c r="AF294">
        <v>10.8178109064685</v>
      </c>
      <c r="AG294">
        <v>-1.0902391811499901</v>
      </c>
      <c r="AH294">
        <v>22.323998784883599</v>
      </c>
      <c r="AI294">
        <v>92.516467048063205</v>
      </c>
      <c r="AJ294">
        <v>64.146000756634294</v>
      </c>
      <c r="AK294">
        <v>24.830919757989399</v>
      </c>
      <c r="AL294">
        <v>82.2139763076771</v>
      </c>
      <c r="AM294">
        <v>85.644019605031104</v>
      </c>
      <c r="AN294">
        <v>1.0000000537674301</v>
      </c>
    </row>
    <row r="295" spans="1:40" x14ac:dyDescent="0.3">
      <c r="A295" t="str">
        <f>"20200111150238778"</f>
        <v>20200111150238778</v>
      </c>
      <c r="B295" t="str">
        <f>"1578726158776564"</f>
        <v>1578726158776564</v>
      </c>
      <c r="C295" t="s">
        <v>40</v>
      </c>
      <c r="D295">
        <v>5.4891110000000003</v>
      </c>
      <c r="E295">
        <v>0.65077039999999997</v>
      </c>
      <c r="F295" t="s">
        <v>41</v>
      </c>
      <c r="G295">
        <v>-180.9496</v>
      </c>
      <c r="H295" s="1">
        <v>-4.0079339999999999E-6</v>
      </c>
      <c r="I295">
        <v>344.34930000000003</v>
      </c>
      <c r="J295">
        <v>-196.90299999999999</v>
      </c>
      <c r="K295">
        <v>1.0901909999999999</v>
      </c>
      <c r="L295">
        <v>364.05090000000001</v>
      </c>
      <c r="M295">
        <v>0.90749599999999997</v>
      </c>
      <c r="N295">
        <v>0</v>
      </c>
      <c r="O295">
        <v>-0.41973650000000001</v>
      </c>
      <c r="P295">
        <v>0.86874810000000002</v>
      </c>
      <c r="Q295">
        <v>0.1221703</v>
      </c>
      <c r="R295">
        <v>-0.47994940000000003</v>
      </c>
      <c r="S295">
        <v>2.0758510000000001</v>
      </c>
      <c r="T295">
        <v>-0.14051150000000001</v>
      </c>
      <c r="U295">
        <v>-2.5489809999999999</v>
      </c>
      <c r="V295">
        <v>7.5613360000000004E-2</v>
      </c>
      <c r="W295">
        <v>0.13598080000000001</v>
      </c>
      <c r="X295">
        <v>0.98782179999999997</v>
      </c>
      <c r="Y295">
        <v>0.43864429999999999</v>
      </c>
      <c r="Z295">
        <v>8.9760819999999998E-3</v>
      </c>
      <c r="AA295">
        <v>0.89861589999999902</v>
      </c>
      <c r="AB295">
        <v>34</v>
      </c>
      <c r="AC295">
        <v>15.953399999999901</v>
      </c>
      <c r="AD295">
        <v>-1.0901950079339999</v>
      </c>
      <c r="AE295">
        <v>-19.7015999999999</v>
      </c>
      <c r="AF295">
        <v>11.1637756886426</v>
      </c>
      <c r="AG295">
        <v>-1.0901950079339999</v>
      </c>
      <c r="AH295">
        <v>22.7082287736818</v>
      </c>
      <c r="AI295">
        <v>92.466997795650698</v>
      </c>
      <c r="AJ295">
        <v>63.820434668763497</v>
      </c>
      <c r="AK295">
        <v>25.327496260379199</v>
      </c>
      <c r="AL295">
        <v>82.184661648149003</v>
      </c>
      <c r="AM295">
        <v>85.622798896760102</v>
      </c>
      <c r="AN295">
        <v>1.0000000333671799</v>
      </c>
    </row>
    <row r="296" spans="1:40" x14ac:dyDescent="0.3">
      <c r="A296" t="str">
        <f>"20200111150238793"</f>
        <v>20200111150238793</v>
      </c>
      <c r="B296" t="str">
        <f>"1578726158786324"</f>
        <v>1578726158786324</v>
      </c>
      <c r="C296" t="s">
        <v>40</v>
      </c>
      <c r="D296">
        <v>5.4222279999999996</v>
      </c>
      <c r="E296">
        <v>0.62120679999999995</v>
      </c>
      <c r="F296" t="s">
        <v>41</v>
      </c>
      <c r="G296">
        <v>-181.6061</v>
      </c>
      <c r="H296" s="1">
        <v>-4.0932260000000003E-6</v>
      </c>
      <c r="I296">
        <v>345.11329999999998</v>
      </c>
      <c r="J296">
        <v>-196.6936</v>
      </c>
      <c r="K296">
        <v>1.0901350000000001</v>
      </c>
      <c r="L296">
        <v>363.94529999999997</v>
      </c>
      <c r="M296">
        <v>0.90301909999999996</v>
      </c>
      <c r="N296">
        <v>0</v>
      </c>
      <c r="O296">
        <v>-0.42928250000000001</v>
      </c>
      <c r="P296">
        <v>0.86338729999999997</v>
      </c>
      <c r="Q296">
        <v>0.1219683</v>
      </c>
      <c r="R296">
        <v>-0.4895776</v>
      </c>
      <c r="S296">
        <v>2.0629580000000001</v>
      </c>
      <c r="T296">
        <v>-0.14702499999999999</v>
      </c>
      <c r="U296">
        <v>-2.5539550000000002</v>
      </c>
      <c r="V296">
        <v>7.617873E-2</v>
      </c>
      <c r="W296">
        <v>0.13576820000000001</v>
      </c>
      <c r="X296">
        <v>0.98780760000000001</v>
      </c>
      <c r="Y296">
        <v>0.43276419999999999</v>
      </c>
      <c r="Z296">
        <v>1.001641E-2</v>
      </c>
      <c r="AA296">
        <v>0.90145149999999996</v>
      </c>
      <c r="AB296">
        <v>34</v>
      </c>
      <c r="AC296">
        <v>15.0875</v>
      </c>
      <c r="AD296">
        <v>-1.090139093226</v>
      </c>
      <c r="AE296">
        <v>-18.831999999999901</v>
      </c>
      <c r="AF296">
        <v>10.5088455445366</v>
      </c>
      <c r="AG296">
        <v>-1.090139093226</v>
      </c>
      <c r="AH296">
        <v>21.6672909193089</v>
      </c>
      <c r="AI296">
        <v>92.5919632757698</v>
      </c>
      <c r="AJ296">
        <v>64.126166391984697</v>
      </c>
      <c r="AK296">
        <v>24.105927356222399</v>
      </c>
      <c r="AL296">
        <v>82.196956718948897</v>
      </c>
      <c r="AM296">
        <v>85.590135527851899</v>
      </c>
      <c r="AN296">
        <v>1.0000000288266999</v>
      </c>
    </row>
    <row r="297" spans="1:40" x14ac:dyDescent="0.3">
      <c r="A297" t="str">
        <f>"20200111150238804"</f>
        <v>20200111150238804</v>
      </c>
      <c r="B297" t="str">
        <f>"1578726158796085"</f>
        <v>1578726158796085</v>
      </c>
      <c r="C297" t="s">
        <v>40</v>
      </c>
      <c r="D297">
        <v>5.4812640000000004</v>
      </c>
      <c r="E297">
        <v>0.61899930000000003</v>
      </c>
      <c r="F297" t="s">
        <v>41</v>
      </c>
      <c r="G297">
        <v>-180.4838</v>
      </c>
      <c r="H297" s="1">
        <v>-4.7205890000000001E-6</v>
      </c>
      <c r="I297">
        <v>346.07929999999999</v>
      </c>
      <c r="J297">
        <v>-196.52459999999999</v>
      </c>
      <c r="K297">
        <v>1.0900939999999999</v>
      </c>
      <c r="L297">
        <v>363.85789999999997</v>
      </c>
      <c r="M297">
        <v>0.89929789999999998</v>
      </c>
      <c r="N297">
        <v>0</v>
      </c>
      <c r="O297">
        <v>-0.43702429999999898</v>
      </c>
      <c r="P297">
        <v>0.85869150000000005</v>
      </c>
      <c r="Q297">
        <v>0.12047579999999999</v>
      </c>
      <c r="R297">
        <v>-0.4981312</v>
      </c>
      <c r="S297">
        <v>2.1508790000000002</v>
      </c>
      <c r="T297">
        <v>-0.14465029999999901</v>
      </c>
      <c r="U297">
        <v>-2.3706360000000002</v>
      </c>
      <c r="V297">
        <v>7.737964E-2</v>
      </c>
      <c r="W297">
        <v>0.1342421</v>
      </c>
      <c r="X297">
        <v>0.98792279999999999</v>
      </c>
      <c r="Y297">
        <v>0.3724498</v>
      </c>
      <c r="Z297">
        <v>1.1893020000000001E-2</v>
      </c>
      <c r="AA297">
        <v>0.92797609999999997</v>
      </c>
      <c r="AB297">
        <v>34</v>
      </c>
      <c r="AC297">
        <v>16.040799999999901</v>
      </c>
      <c r="AD297">
        <v>-1.090098720589</v>
      </c>
      <c r="AE297">
        <v>-17.778599999999901</v>
      </c>
      <c r="AF297">
        <v>8.9606936082255206</v>
      </c>
      <c r="AG297">
        <v>-1.090098720589</v>
      </c>
      <c r="AH297">
        <v>22.152259253569198</v>
      </c>
      <c r="AI297">
        <v>92.611939396808395</v>
      </c>
      <c r="AJ297">
        <v>67.976435065433705</v>
      </c>
      <c r="AK297">
        <v>23.920805488077999</v>
      </c>
      <c r="AL297">
        <v>82.285203535704298</v>
      </c>
      <c r="AM297">
        <v>85.521417658252005</v>
      </c>
      <c r="AN297">
        <v>1.00000000442938</v>
      </c>
    </row>
    <row r="298" spans="1:40" x14ac:dyDescent="0.3">
      <c r="A298" t="str">
        <f>"20200111150238818"</f>
        <v>20200111150238818</v>
      </c>
      <c r="B298" t="str">
        <f>"1578726158805844"</f>
        <v>1578726158805844</v>
      </c>
      <c r="C298" t="s">
        <v>40</v>
      </c>
      <c r="D298">
        <v>5.4333910000000003</v>
      </c>
      <c r="E298">
        <v>0.61732629999999999</v>
      </c>
      <c r="F298" t="s">
        <v>41</v>
      </c>
      <c r="G298">
        <v>-182.27199999999999</v>
      </c>
      <c r="H298" s="1">
        <v>-4.9598980000000001E-6</v>
      </c>
      <c r="I298">
        <v>347.9991</v>
      </c>
      <c r="J298">
        <v>-196.3535</v>
      </c>
      <c r="K298">
        <v>1.090044</v>
      </c>
      <c r="L298">
        <v>363.7672</v>
      </c>
      <c r="M298">
        <v>0.89542409999999995</v>
      </c>
      <c r="N298">
        <v>0</v>
      </c>
      <c r="O298">
        <v>-0.44490639999999998</v>
      </c>
      <c r="P298">
        <v>0.85411579999999998</v>
      </c>
      <c r="Q298">
        <v>0.1194318</v>
      </c>
      <c r="R298">
        <v>-0.50618430000000003</v>
      </c>
      <c r="S298">
        <v>2.1371310000000001</v>
      </c>
      <c r="T298">
        <v>-0.16345750000000001</v>
      </c>
      <c r="U298">
        <v>-2.3779910000000002</v>
      </c>
      <c r="V298">
        <v>7.7906119999999995E-2</v>
      </c>
      <c r="W298">
        <v>0.13318740000000001</v>
      </c>
      <c r="X298">
        <v>0.98802420000000002</v>
      </c>
      <c r="Y298">
        <v>0.3687067</v>
      </c>
      <c r="Z298">
        <v>1.398929E-2</v>
      </c>
      <c r="AA298">
        <v>0.9294405</v>
      </c>
      <c r="AB298">
        <v>34</v>
      </c>
      <c r="AC298">
        <v>14.081499999999901</v>
      </c>
      <c r="AD298">
        <v>-1.0900489598980001</v>
      </c>
      <c r="AE298">
        <v>-15.7681</v>
      </c>
      <c r="AF298">
        <v>7.8344344375818897</v>
      </c>
      <c r="AG298">
        <v>-1.0900489598980001</v>
      </c>
      <c r="AH298">
        <v>19.574889195491799</v>
      </c>
      <c r="AI298">
        <v>92.959508408842893</v>
      </c>
      <c r="AJ298">
        <v>68.187290244353093</v>
      </c>
      <c r="AK298">
        <v>21.1126231602689</v>
      </c>
      <c r="AL298">
        <v>82.346181206231904</v>
      </c>
      <c r="AM298">
        <v>85.491532093820496</v>
      </c>
      <c r="AN298">
        <v>1.0000000334189201</v>
      </c>
    </row>
    <row r="299" spans="1:40" x14ac:dyDescent="0.3">
      <c r="A299" t="str">
        <f>"20200111150238828"</f>
        <v>20200111150238828</v>
      </c>
      <c r="B299" t="str">
        <f>"1578726158826340"</f>
        <v>1578726158826340</v>
      </c>
      <c r="C299" t="s">
        <v>40</v>
      </c>
      <c r="D299">
        <v>5.4645169999999998</v>
      </c>
      <c r="E299">
        <v>0.61495239999999995</v>
      </c>
      <c r="F299" t="s">
        <v>41</v>
      </c>
      <c r="G299">
        <v>-182.75720000000001</v>
      </c>
      <c r="H299" s="1">
        <v>-5.0780240000000002E-6</v>
      </c>
      <c r="I299">
        <v>348.47500000000002</v>
      </c>
      <c r="J299">
        <v>-196.20779999999999</v>
      </c>
      <c r="K299">
        <v>1.090004</v>
      </c>
      <c r="L299">
        <v>363.68920000000003</v>
      </c>
      <c r="M299">
        <v>0.89206189999999996</v>
      </c>
      <c r="N299">
        <v>0</v>
      </c>
      <c r="O299">
        <v>-0.45161010000000001</v>
      </c>
      <c r="P299">
        <v>0.85013189999999905</v>
      </c>
      <c r="Q299">
        <v>0.118481</v>
      </c>
      <c r="R299">
        <v>-0.51306790000000002</v>
      </c>
      <c r="S299">
        <v>2.1218409999999999</v>
      </c>
      <c r="T299">
        <v>-0.1701134</v>
      </c>
      <c r="U299">
        <v>-2.3865050000000001</v>
      </c>
      <c r="V299">
        <v>7.8396930000000004E-2</v>
      </c>
      <c r="W299">
        <v>0.13222610000000001</v>
      </c>
      <c r="X299">
        <v>0.98811450000000001</v>
      </c>
      <c r="Y299">
        <v>0.3667146</v>
      </c>
      <c r="Z299">
        <v>1.501916E-2</v>
      </c>
      <c r="AA299">
        <v>0.93021229999999999</v>
      </c>
      <c r="AB299">
        <v>34</v>
      </c>
      <c r="AC299">
        <v>13.4505999999999</v>
      </c>
      <c r="AD299">
        <v>-1.0900090780239999</v>
      </c>
      <c r="AE299">
        <v>-15.2142</v>
      </c>
      <c r="AF299">
        <v>7.47706645324749</v>
      </c>
      <c r="AG299">
        <v>-1.0900090780239999</v>
      </c>
      <c r="AH299">
        <v>18.818022996122899</v>
      </c>
      <c r="AI299">
        <v>93.081263792833695</v>
      </c>
      <c r="AJ299">
        <v>68.330324312839593</v>
      </c>
      <c r="AK299">
        <v>20.278378436627101</v>
      </c>
      <c r="AL299">
        <v>82.401751206742603</v>
      </c>
      <c r="AM299">
        <v>85.463659731134896</v>
      </c>
      <c r="AN299">
        <v>1.00000004263244</v>
      </c>
    </row>
    <row r="300" spans="1:40" x14ac:dyDescent="0.3">
      <c r="A300" t="str">
        <f>"20200111150238841"</f>
        <v>20200111150238841</v>
      </c>
      <c r="B300" t="str">
        <f>"1578726158836100"</f>
        <v>1578726158836100</v>
      </c>
      <c r="C300" t="s">
        <v>40</v>
      </c>
      <c r="D300">
        <v>5.4745799999999996</v>
      </c>
      <c r="E300">
        <v>0.61399869999999901</v>
      </c>
      <c r="F300" t="s">
        <v>41</v>
      </c>
      <c r="G300">
        <v>-182.7175</v>
      </c>
      <c r="H300" s="1">
        <v>-5.0693940000000004E-6</v>
      </c>
      <c r="I300">
        <v>348.43849999999998</v>
      </c>
      <c r="J300">
        <v>-196.03630000000001</v>
      </c>
      <c r="K300">
        <v>1.0899559999999999</v>
      </c>
      <c r="L300">
        <v>363.59429999999998</v>
      </c>
      <c r="M300">
        <v>0.88798120000000003</v>
      </c>
      <c r="N300">
        <v>0</v>
      </c>
      <c r="O300">
        <v>-0.45958100000000002</v>
      </c>
      <c r="P300">
        <v>0.84522609999999998</v>
      </c>
      <c r="Q300">
        <v>0.11759319999999999</v>
      </c>
      <c r="R300">
        <v>-0.52131099999999997</v>
      </c>
      <c r="S300">
        <v>2.1118320000000002</v>
      </c>
      <c r="T300">
        <v>-0.1706346</v>
      </c>
      <c r="U300">
        <v>-2.3874209999999998</v>
      </c>
      <c r="V300">
        <v>7.9084299999999996E-2</v>
      </c>
      <c r="W300">
        <v>0.13132089999999999</v>
      </c>
      <c r="X300">
        <v>0.98818039999999996</v>
      </c>
      <c r="Y300">
        <v>0.36075210000000002</v>
      </c>
      <c r="Z300">
        <v>1.5718389999999999E-2</v>
      </c>
      <c r="AA300">
        <v>0.93252930000000001</v>
      </c>
      <c r="AB300">
        <v>34</v>
      </c>
      <c r="AC300">
        <v>13.3188</v>
      </c>
      <c r="AD300">
        <v>-1.0899610693939901</v>
      </c>
      <c r="AE300">
        <v>-15.155799999999999</v>
      </c>
      <c r="AF300">
        <v>7.3166536294701396</v>
      </c>
      <c r="AG300">
        <v>-1.0899610693939901</v>
      </c>
      <c r="AH300">
        <v>18.740053820137401</v>
      </c>
      <c r="AI300">
        <v>93.101203431606507</v>
      </c>
      <c r="AJ300">
        <v>68.672902779076907</v>
      </c>
      <c r="AK300">
        <v>20.1472343672297</v>
      </c>
      <c r="AL300">
        <v>82.454071295124393</v>
      </c>
      <c r="AM300">
        <v>85.424357977857895</v>
      </c>
      <c r="AN300">
        <v>1.00000000411372</v>
      </c>
    </row>
    <row r="301" spans="1:40" x14ac:dyDescent="0.3">
      <c r="A301" t="str">
        <f>"20200111150239681"</f>
        <v>20200111150239681</v>
      </c>
      <c r="B301" t="str">
        <f>"1578726159676621"</f>
        <v>1578726159676621</v>
      </c>
      <c r="C301" t="s">
        <v>40</v>
      </c>
      <c r="D301">
        <v>5.3408790000000002</v>
      </c>
      <c r="E301">
        <v>0.61830649999999998</v>
      </c>
      <c r="F301" t="s">
        <v>41</v>
      </c>
      <c r="G301">
        <v>-183.08529999999999</v>
      </c>
      <c r="H301" s="1">
        <v>-5.1297089999999998E-6</v>
      </c>
      <c r="I301">
        <v>348.73110000000003</v>
      </c>
      <c r="J301">
        <v>-187.5677</v>
      </c>
      <c r="K301">
        <v>1.0897749999999999</v>
      </c>
      <c r="L301">
        <v>354.56760000000003</v>
      </c>
      <c r="M301">
        <v>0.45550299999999999</v>
      </c>
      <c r="N301">
        <v>0</v>
      </c>
      <c r="O301">
        <v>-0.89007619999999898</v>
      </c>
      <c r="P301">
        <v>0.3492768</v>
      </c>
      <c r="Q301">
        <v>9.4459760000000004E-2</v>
      </c>
      <c r="R301">
        <v>-0.93224660000000004</v>
      </c>
      <c r="S301">
        <v>2.0926209999999998</v>
      </c>
      <c r="T301">
        <v>-0.176115299999999</v>
      </c>
      <c r="U301">
        <v>-2.4015810000000002</v>
      </c>
      <c r="V301">
        <v>0.1175624</v>
      </c>
      <c r="W301">
        <v>0.107019</v>
      </c>
      <c r="X301">
        <v>0.9872822</v>
      </c>
      <c r="Y301">
        <v>-0.24034839999999999</v>
      </c>
      <c r="Z301">
        <v>5.2220900000000001E-2</v>
      </c>
      <c r="AA301">
        <v>0.96928099999999995</v>
      </c>
      <c r="AB301">
        <v>32</v>
      </c>
      <c r="AC301">
        <v>4.4824000000000099</v>
      </c>
      <c r="AD301">
        <v>-1.089780129709</v>
      </c>
      <c r="AE301">
        <v>-5.8365</v>
      </c>
      <c r="AF301">
        <v>-1.3027530664221401</v>
      </c>
      <c r="AG301">
        <v>-1.089780129709</v>
      </c>
      <c r="AH301">
        <v>7.0823825666682101</v>
      </c>
      <c r="AI301">
        <v>98.605450641989094</v>
      </c>
      <c r="AJ301">
        <v>100.422636827234</v>
      </c>
      <c r="AK301">
        <v>7.2831949791164199</v>
      </c>
      <c r="AL301">
        <v>83.856498092876095</v>
      </c>
      <c r="AM301">
        <v>83.209377140327902</v>
      </c>
      <c r="AN301">
        <v>1.0000000633457899</v>
      </c>
    </row>
    <row r="302" spans="1:40" x14ac:dyDescent="0.3">
      <c r="A302" t="str">
        <f>"20200111150239695"</f>
        <v>20200111150239695</v>
      </c>
      <c r="B302" t="str">
        <f>"1578726159686381"</f>
        <v>1578726159686381</v>
      </c>
      <c r="C302" t="s">
        <v>40</v>
      </c>
      <c r="D302">
        <v>5.4446789999999998</v>
      </c>
      <c r="E302">
        <v>0.62090559999999995</v>
      </c>
      <c r="F302" t="s">
        <v>41</v>
      </c>
      <c r="G302">
        <v>-186.8466</v>
      </c>
      <c r="H302" s="1">
        <v>-8.3200289999999997E-7</v>
      </c>
      <c r="I302">
        <v>339.62740000000002</v>
      </c>
      <c r="J302">
        <v>-187.4821</v>
      </c>
      <c r="K302">
        <v>1.0898019999999999</v>
      </c>
      <c r="L302">
        <v>354.38139999999999</v>
      </c>
      <c r="M302">
        <v>0.44626480000000002</v>
      </c>
      <c r="N302">
        <v>0</v>
      </c>
      <c r="O302">
        <v>-0.89474409999999904</v>
      </c>
      <c r="P302">
        <v>0.340059</v>
      </c>
      <c r="Q302">
        <v>9.3880539999999998E-2</v>
      </c>
      <c r="R302">
        <v>-0.93570710000000001</v>
      </c>
      <c r="S302">
        <v>0.15367129999999901</v>
      </c>
      <c r="T302">
        <v>-0.23224839999999999</v>
      </c>
      <c r="U302">
        <v>-3.1839900000000001</v>
      </c>
      <c r="V302">
        <v>0.11708490000000001</v>
      </c>
      <c r="W302">
        <v>0.10646</v>
      </c>
      <c r="X302">
        <v>0.98739929999999998</v>
      </c>
      <c r="Y302">
        <v>0.40270699999999998</v>
      </c>
      <c r="Z302">
        <v>5.8216879999999999E-2</v>
      </c>
      <c r="AA302">
        <v>0.9134757</v>
      </c>
      <c r="AB302">
        <v>32</v>
      </c>
      <c r="AC302">
        <v>0.63550000000000695</v>
      </c>
      <c r="AD302">
        <v>-1.0898028320028901</v>
      </c>
      <c r="AE302">
        <v>-14.7539999999999</v>
      </c>
      <c r="AF302">
        <v>5.9838380127047799</v>
      </c>
      <c r="AG302">
        <v>-1.0898028320028901</v>
      </c>
      <c r="AH302">
        <v>13.4135000053183</v>
      </c>
      <c r="AI302">
        <v>94.243477572185697</v>
      </c>
      <c r="AJ302">
        <v>65.9580802344163</v>
      </c>
      <c r="AK302">
        <v>14.7280674213424</v>
      </c>
      <c r="AL302">
        <v>83.888710020010095</v>
      </c>
      <c r="AM302">
        <v>83.237497079050598</v>
      </c>
      <c r="AN302">
        <v>0.99999999152424901</v>
      </c>
    </row>
    <row r="303" spans="1:40" x14ac:dyDescent="0.3">
      <c r="A303" t="str">
        <f>"20200111150239708"</f>
        <v>20200111150239708</v>
      </c>
      <c r="B303" t="str">
        <f>"1578726159706877"</f>
        <v>1578726159706877</v>
      </c>
      <c r="C303" t="s">
        <v>40</v>
      </c>
      <c r="D303">
        <v>5.6821089999999996</v>
      </c>
      <c r="E303">
        <v>0.62920980000000004</v>
      </c>
      <c r="F303" t="s">
        <v>41</v>
      </c>
      <c r="G303">
        <v>-186.98169999999999</v>
      </c>
      <c r="H303" s="1">
        <v>-4.5227599999999999E-6</v>
      </c>
      <c r="I303">
        <v>338.92739999999998</v>
      </c>
      <c r="J303">
        <v>-187.39930000000001</v>
      </c>
      <c r="K303">
        <v>1.089825</v>
      </c>
      <c r="L303">
        <v>354.19709999999998</v>
      </c>
      <c r="M303">
        <v>0.43711070000000002</v>
      </c>
      <c r="N303">
        <v>0</v>
      </c>
      <c r="O303">
        <v>-0.89925159999999904</v>
      </c>
      <c r="P303">
        <v>0.3309494</v>
      </c>
      <c r="Q303">
        <v>9.3535660000000007E-2</v>
      </c>
      <c r="R303">
        <v>-0.93900189999999994</v>
      </c>
      <c r="S303">
        <v>0.10333249999999999</v>
      </c>
      <c r="T303">
        <v>-0.22504389999999999</v>
      </c>
      <c r="U303">
        <v>-3.1912229999999999</v>
      </c>
      <c r="V303">
        <v>0.1166002</v>
      </c>
      <c r="W303">
        <v>0.1061357</v>
      </c>
      <c r="X303">
        <v>0.98749149999999997</v>
      </c>
      <c r="Y303">
        <v>0.40784419999999999</v>
      </c>
      <c r="Z303">
        <v>5.6689539999999997E-2</v>
      </c>
      <c r="AA303">
        <v>0.91129000000000004</v>
      </c>
      <c r="AB303">
        <v>32</v>
      </c>
      <c r="AC303">
        <v>0.41760000000002101</v>
      </c>
      <c r="AD303">
        <v>-1.0898295227599999</v>
      </c>
      <c r="AE303">
        <v>-15.2697</v>
      </c>
      <c r="AF303">
        <v>6.2680012148561097</v>
      </c>
      <c r="AG303">
        <v>-1.0898295227599999</v>
      </c>
      <c r="AH303">
        <v>13.8453185846026</v>
      </c>
      <c r="AI303">
        <v>94.101574686869199</v>
      </c>
      <c r="AJ303">
        <v>65.642962831448401</v>
      </c>
      <c r="AK303">
        <v>15.2370736799183</v>
      </c>
      <c r="AL303">
        <v>83.907396526852594</v>
      </c>
      <c r="AM303">
        <v>83.265857380845901</v>
      </c>
      <c r="AN303">
        <v>0.999999928013387</v>
      </c>
    </row>
    <row r="304" spans="1:40" x14ac:dyDescent="0.3">
      <c r="A304" t="str">
        <f>"20200111150239725"</f>
        <v>20200111150239725</v>
      </c>
      <c r="B304" t="str">
        <f>"1578726159716636"</f>
        <v>1578726159716636</v>
      </c>
      <c r="C304" t="s">
        <v>40</v>
      </c>
      <c r="D304">
        <v>5.7745040000000003</v>
      </c>
      <c r="E304">
        <v>0.63166679999999997</v>
      </c>
      <c r="F304" t="s">
        <v>41</v>
      </c>
      <c r="G304">
        <v>-187.35380000000001</v>
      </c>
      <c r="H304" s="1">
        <v>-4.7128290000000002E-6</v>
      </c>
      <c r="I304">
        <v>339.52440000000001</v>
      </c>
      <c r="J304">
        <v>-187.30160000000001</v>
      </c>
      <c r="K304">
        <v>1.089853</v>
      </c>
      <c r="L304">
        <v>353.97109999999998</v>
      </c>
      <c r="M304">
        <v>0.4258805</v>
      </c>
      <c r="N304">
        <v>0</v>
      </c>
      <c r="O304">
        <v>-0.90462430000000005</v>
      </c>
      <c r="P304">
        <v>0.32082270000000002</v>
      </c>
      <c r="Q304">
        <v>9.2834260000000002E-2</v>
      </c>
      <c r="R304">
        <v>-0.94257880000000005</v>
      </c>
      <c r="S304">
        <v>9.9639889999999995E-3</v>
      </c>
      <c r="T304">
        <v>-0.23880699999999999</v>
      </c>
      <c r="U304">
        <v>-3.2151489999999998</v>
      </c>
      <c r="V304">
        <v>0.1149299</v>
      </c>
      <c r="W304">
        <v>0.10549790000000001</v>
      </c>
      <c r="X304">
        <v>0.98775570000000001</v>
      </c>
      <c r="Y304">
        <v>0.42308269999999998</v>
      </c>
      <c r="Z304">
        <v>6.0022220000000001E-2</v>
      </c>
      <c r="AA304">
        <v>0.90410080000000004</v>
      </c>
      <c r="AB304">
        <v>32</v>
      </c>
      <c r="AC304">
        <v>-5.2199999999999101E-2</v>
      </c>
      <c r="AD304">
        <v>-1.0898577128289999</v>
      </c>
      <c r="AE304">
        <v>-14.4466999999999</v>
      </c>
      <c r="AF304">
        <v>6.1655705441577702</v>
      </c>
      <c r="AG304">
        <v>-1.0898577128289999</v>
      </c>
      <c r="AH304">
        <v>12.9745964346234</v>
      </c>
      <c r="AI304">
        <v>94.338647326368005</v>
      </c>
      <c r="AJ304">
        <v>64.582780521151406</v>
      </c>
      <c r="AK304">
        <v>14.406325090408799</v>
      </c>
      <c r="AL304">
        <v>83.944146576750796</v>
      </c>
      <c r="AM304">
        <v>83.363216698593504</v>
      </c>
      <c r="AN304">
        <v>1.0000000058504499</v>
      </c>
    </row>
    <row r="305" spans="1:40" x14ac:dyDescent="0.3">
      <c r="A305" t="str">
        <f>"20200111150239738"</f>
        <v>20200111150239738</v>
      </c>
      <c r="B305" t="str">
        <f>"1578726159736285"</f>
        <v>1578726159736285</v>
      </c>
      <c r="C305" t="s">
        <v>40</v>
      </c>
      <c r="D305">
        <v>5.73386</v>
      </c>
      <c r="E305">
        <v>0.63417119999999905</v>
      </c>
      <c r="F305" t="s">
        <v>41</v>
      </c>
      <c r="G305">
        <v>-187.4907</v>
      </c>
      <c r="H305" s="1">
        <v>-7.7925769999999997E-7</v>
      </c>
      <c r="I305">
        <v>339.976</v>
      </c>
      <c r="J305">
        <v>-187.2302</v>
      </c>
      <c r="K305">
        <v>1.089879</v>
      </c>
      <c r="L305">
        <v>353.80040000000002</v>
      </c>
      <c r="M305">
        <v>0.41739510000000002</v>
      </c>
      <c r="N305">
        <v>0</v>
      </c>
      <c r="O305">
        <v>-0.90857080000000001</v>
      </c>
      <c r="P305">
        <v>0.31292730000000002</v>
      </c>
      <c r="Q305">
        <v>9.214485E-2</v>
      </c>
      <c r="R305">
        <v>-0.9452969</v>
      </c>
      <c r="S305">
        <v>-4.3533330000000002E-2</v>
      </c>
      <c r="T305">
        <v>-0.25093280000000001</v>
      </c>
      <c r="U305">
        <v>-3.2222900000000001</v>
      </c>
      <c r="V305">
        <v>0.1139442</v>
      </c>
      <c r="W305">
        <v>0.10484640000000001</v>
      </c>
      <c r="X305">
        <v>0.98793920000000002</v>
      </c>
      <c r="Y305">
        <v>0.42959740000000002</v>
      </c>
      <c r="Z305">
        <v>6.3237989999999994E-2</v>
      </c>
      <c r="AA305">
        <v>0.90080360000000004</v>
      </c>
      <c r="AB305">
        <v>32</v>
      </c>
      <c r="AC305">
        <v>-0.260500000000007</v>
      </c>
      <c r="AD305">
        <v>-1.0898797792577</v>
      </c>
      <c r="AE305">
        <v>-13.824400000000001</v>
      </c>
      <c r="AF305">
        <v>5.9706654375379902</v>
      </c>
      <c r="AG305">
        <v>-1.0898797792577</v>
      </c>
      <c r="AH305">
        <v>12.376563842517299</v>
      </c>
      <c r="AI305">
        <v>94.534815731695502</v>
      </c>
      <c r="AJ305">
        <v>64.246546016014193</v>
      </c>
      <c r="AK305">
        <v>13.784629710229799</v>
      </c>
      <c r="AL305">
        <v>83.981682649639197</v>
      </c>
      <c r="AM305">
        <v>83.420847463448894</v>
      </c>
      <c r="AN305">
        <v>0.99999995560161903</v>
      </c>
    </row>
    <row r="306" spans="1:40" x14ac:dyDescent="0.3">
      <c r="A306" t="str">
        <f>"20200111150239772"</f>
        <v>20200111150239772</v>
      </c>
      <c r="B306" t="str">
        <f>"1578726159766542"</f>
        <v>1578726159766542</v>
      </c>
      <c r="C306" t="s">
        <v>40</v>
      </c>
      <c r="D306">
        <v>5.8625530000000001</v>
      </c>
      <c r="E306">
        <v>0.63617109999999899</v>
      </c>
      <c r="F306" t="s">
        <v>41</v>
      </c>
      <c r="G306">
        <v>-187.6052</v>
      </c>
      <c r="H306" s="1">
        <v>-8.7923880000000002E-7</v>
      </c>
      <c r="I306">
        <v>340.35930000000002</v>
      </c>
      <c r="J306">
        <v>-187.0498</v>
      </c>
      <c r="K306">
        <v>1.0899399999999999</v>
      </c>
      <c r="L306">
        <v>353.35019999999997</v>
      </c>
      <c r="M306">
        <v>0.39496179999999997</v>
      </c>
      <c r="N306">
        <v>0</v>
      </c>
      <c r="O306">
        <v>-0.91854519999999995</v>
      </c>
      <c r="P306">
        <v>0.29319460000000003</v>
      </c>
      <c r="Q306">
        <v>9.1096280000000002E-2</v>
      </c>
      <c r="R306">
        <v>-0.95170310000000002</v>
      </c>
      <c r="S306">
        <v>-9.0087890000000004E-2</v>
      </c>
      <c r="T306">
        <v>-0.26181870000000002</v>
      </c>
      <c r="U306">
        <v>-3.2289119999999998</v>
      </c>
      <c r="V306">
        <v>0.11022220000000001</v>
      </c>
      <c r="W306">
        <v>0.1039373</v>
      </c>
      <c r="X306">
        <v>0.98845740000000004</v>
      </c>
      <c r="Y306">
        <v>0.42035420000000001</v>
      </c>
      <c r="Z306">
        <v>6.7195450000000004E-2</v>
      </c>
      <c r="AA306">
        <v>0.90486849999999996</v>
      </c>
      <c r="AB306">
        <v>32</v>
      </c>
      <c r="AC306">
        <v>-0.55539999999999101</v>
      </c>
      <c r="AD306">
        <v>-1.0899408792387999</v>
      </c>
      <c r="AE306">
        <v>-12.9908999999999</v>
      </c>
      <c r="AF306">
        <v>5.6024933722613097</v>
      </c>
      <c r="AG306">
        <v>-1.0899408792387999</v>
      </c>
      <c r="AH306">
        <v>11.633266383407801</v>
      </c>
      <c r="AI306">
        <v>94.825055403742894</v>
      </c>
      <c r="AJ306">
        <v>64.284884518176796</v>
      </c>
      <c r="AK306">
        <v>12.957962411343599</v>
      </c>
      <c r="AL306">
        <v>84.034056452642901</v>
      </c>
      <c r="AM306">
        <v>83.637272508612597</v>
      </c>
      <c r="AN306">
        <v>0.99999996365944399</v>
      </c>
    </row>
    <row r="307" spans="1:40" x14ac:dyDescent="0.3">
      <c r="A307" t="str">
        <f>"20200111150239792"</f>
        <v>20200111150239792</v>
      </c>
      <c r="B307" t="str">
        <f>"1578726159786061"</f>
        <v>1578726159786061</v>
      </c>
      <c r="C307" t="s">
        <v>40</v>
      </c>
      <c r="D307">
        <v>5.1440260000000002</v>
      </c>
      <c r="E307">
        <v>0.64104090000000002</v>
      </c>
      <c r="F307" t="s">
        <v>41</v>
      </c>
      <c r="G307">
        <v>-187.71860000000001</v>
      </c>
      <c r="H307" s="1">
        <v>-1.006122E-6</v>
      </c>
      <c r="I307">
        <v>340.82080000000002</v>
      </c>
      <c r="J307">
        <v>-186.94800000000001</v>
      </c>
      <c r="K307">
        <v>1.0899700000000001</v>
      </c>
      <c r="L307">
        <v>353.08069999999998</v>
      </c>
      <c r="M307">
        <v>0.38152160000000002</v>
      </c>
      <c r="N307">
        <v>0</v>
      </c>
      <c r="O307">
        <v>-0.92420869999999999</v>
      </c>
      <c r="P307">
        <v>0.28136460000000002</v>
      </c>
      <c r="Q307">
        <v>9.065629E-2</v>
      </c>
      <c r="R307">
        <v>-0.95530919999999997</v>
      </c>
      <c r="S307">
        <v>-0.17254639999999999</v>
      </c>
      <c r="T307">
        <v>-0.28118959999999998</v>
      </c>
      <c r="U307">
        <v>-3.2323909999999998</v>
      </c>
      <c r="V307">
        <v>0.1080561</v>
      </c>
      <c r="W307">
        <v>0.1035778</v>
      </c>
      <c r="X307">
        <v>0.98873429999999995</v>
      </c>
      <c r="Y307">
        <v>0.43008030000000003</v>
      </c>
      <c r="Z307">
        <v>7.2540279999999999E-2</v>
      </c>
      <c r="AA307">
        <v>0.89987159999999999</v>
      </c>
      <c r="AB307">
        <v>32</v>
      </c>
      <c r="AC307">
        <v>-0.77060000000003004</v>
      </c>
      <c r="AD307">
        <v>-1.089971006122</v>
      </c>
      <c r="AE307">
        <v>-12.259899999999901</v>
      </c>
      <c r="AF307">
        <v>5.3482582100951799</v>
      </c>
      <c r="AG307">
        <v>-1.089971006122</v>
      </c>
      <c r="AH307">
        <v>10.952022720358</v>
      </c>
      <c r="AI307">
        <v>95.110301309735704</v>
      </c>
      <c r="AJ307">
        <v>63.972114557812297</v>
      </c>
      <c r="AK307">
        <v>12.236776713795001</v>
      </c>
      <c r="AL307">
        <v>84.054766272966106</v>
      </c>
      <c r="AM307">
        <v>83.763051256717205</v>
      </c>
      <c r="AN307">
        <v>0.99999999869826905</v>
      </c>
    </row>
    <row r="308" spans="1:40" x14ac:dyDescent="0.3">
      <c r="A308" t="str">
        <f>"20200111150239816"</f>
        <v>20200111150239816</v>
      </c>
      <c r="B308" t="str">
        <f>"1578726159806557"</f>
        <v>1578726159806557</v>
      </c>
      <c r="C308" t="s">
        <v>40</v>
      </c>
      <c r="D308">
        <v>5.2181379999999997</v>
      </c>
      <c r="E308">
        <v>0.64531240000000001</v>
      </c>
      <c r="F308" t="s">
        <v>41</v>
      </c>
      <c r="G308">
        <v>-188.08430000000001</v>
      </c>
      <c r="H308" s="1">
        <v>-4.0561229999999996E-6</v>
      </c>
      <c r="I308">
        <v>338.29559999999998</v>
      </c>
      <c r="J308">
        <v>-186.83670000000001</v>
      </c>
      <c r="K308">
        <v>1.0900129999999999</v>
      </c>
      <c r="L308">
        <v>352.77069999999998</v>
      </c>
      <c r="M308">
        <v>0.36604150000000002</v>
      </c>
      <c r="N308">
        <v>0</v>
      </c>
      <c r="O308">
        <v>-0.93044850000000001</v>
      </c>
      <c r="P308">
        <v>0.2670305</v>
      </c>
      <c r="Q308">
        <v>9.0218350000000003E-2</v>
      </c>
      <c r="R308">
        <v>-0.95945630000000004</v>
      </c>
      <c r="S308">
        <v>-0.24870300000000001</v>
      </c>
      <c r="T308">
        <v>-0.2385784</v>
      </c>
      <c r="U308">
        <v>-3.236237</v>
      </c>
      <c r="V308">
        <v>0.1063417</v>
      </c>
      <c r="W308">
        <v>0.10320360000000001</v>
      </c>
      <c r="X308">
        <v>0.98895929999999999</v>
      </c>
      <c r="Y308">
        <v>0.43611149999999999</v>
      </c>
      <c r="Z308">
        <v>6.2062550000000001E-2</v>
      </c>
      <c r="AA308">
        <v>0.89775000000000005</v>
      </c>
      <c r="AB308">
        <v>31</v>
      </c>
      <c r="AC308">
        <v>-1.2476</v>
      </c>
      <c r="AD308">
        <v>-1.09001705612299</v>
      </c>
      <c r="AE308">
        <v>-14.4750999999999</v>
      </c>
      <c r="AF308">
        <v>6.4240576226145798</v>
      </c>
      <c r="AG308">
        <v>-1.09001705612299</v>
      </c>
      <c r="AH308">
        <v>12.940639419995</v>
      </c>
      <c r="AI308">
        <v>94.314623110553498</v>
      </c>
      <c r="AJ308">
        <v>63.599046486112002</v>
      </c>
      <c r="AK308">
        <v>14.488505862222</v>
      </c>
      <c r="AL308">
        <v>84.076321992656403</v>
      </c>
      <c r="AM308">
        <v>83.862630058554799</v>
      </c>
      <c r="AN308">
        <v>1.00000001863417</v>
      </c>
    </row>
    <row r="309" spans="1:40" x14ac:dyDescent="0.3">
      <c r="A309" t="str">
        <f>"20200111150239830"</f>
        <v>20200111150239830</v>
      </c>
      <c r="B309" t="str">
        <f>"1578726159826078"</f>
        <v>1578726159826078</v>
      </c>
      <c r="C309" t="s">
        <v>40</v>
      </c>
      <c r="D309">
        <v>5.2515559999999999</v>
      </c>
      <c r="E309">
        <v>0.64805360000000001</v>
      </c>
      <c r="F309" t="s">
        <v>41</v>
      </c>
      <c r="G309">
        <v>-188.51840000000001</v>
      </c>
      <c r="H309" s="1">
        <v>-3.0915590000000001E-6</v>
      </c>
      <c r="I309">
        <v>336.22669999999999</v>
      </c>
      <c r="J309">
        <v>-186.76750000000001</v>
      </c>
      <c r="K309">
        <v>1.0900430000000001</v>
      </c>
      <c r="L309">
        <v>352.57040000000001</v>
      </c>
      <c r="M309">
        <v>0.35602919999999999</v>
      </c>
      <c r="N309">
        <v>0</v>
      </c>
      <c r="O309">
        <v>-0.93432550000000003</v>
      </c>
      <c r="P309">
        <v>0.25765979999999999</v>
      </c>
      <c r="Q309">
        <v>9.0204359999999997E-2</v>
      </c>
      <c r="R309">
        <v>-0.96201619999999999</v>
      </c>
      <c r="S309">
        <v>-0.32917790000000002</v>
      </c>
      <c r="T309">
        <v>-0.21336469999999999</v>
      </c>
      <c r="U309">
        <v>-3.2384029999999999</v>
      </c>
      <c r="V309">
        <v>0.1053592</v>
      </c>
      <c r="W309">
        <v>0.1032259</v>
      </c>
      <c r="X309">
        <v>0.98906210000000006</v>
      </c>
      <c r="Y309">
        <v>0.44854379999999999</v>
      </c>
      <c r="Z309">
        <v>5.560756E-2</v>
      </c>
      <c r="AA309">
        <v>0.89202929999999903</v>
      </c>
      <c r="AB309">
        <v>31</v>
      </c>
      <c r="AC309">
        <v>-1.7508999999999999</v>
      </c>
      <c r="AD309">
        <v>-1.090046091559</v>
      </c>
      <c r="AE309">
        <v>-16.343699999999998</v>
      </c>
      <c r="AF309">
        <v>7.4231400641347998</v>
      </c>
      <c r="AG309">
        <v>-1.090046091559</v>
      </c>
      <c r="AH309">
        <v>14.5848673638782</v>
      </c>
      <c r="AI309">
        <v>93.810692117412501</v>
      </c>
      <c r="AJ309">
        <v>63.0256452792743</v>
      </c>
      <c r="AK309">
        <v>16.401511055857199</v>
      </c>
      <c r="AL309">
        <v>84.075037281037098</v>
      </c>
      <c r="AM309">
        <v>83.919534224830201</v>
      </c>
      <c r="AN309">
        <v>0.99999999255592997</v>
      </c>
    </row>
    <row r="310" spans="1:40" x14ac:dyDescent="0.3">
      <c r="A310" t="str">
        <f>"20200111150239848"</f>
        <v>20200111150239848</v>
      </c>
      <c r="B310" t="str">
        <f>"1578726159836548"</f>
        <v>1578726159836548</v>
      </c>
      <c r="C310" t="s">
        <v>40</v>
      </c>
      <c r="D310">
        <v>5.2635949999999996</v>
      </c>
      <c r="E310">
        <v>0.64918209999999998</v>
      </c>
      <c r="F310" t="s">
        <v>41</v>
      </c>
      <c r="G310">
        <v>-188.98050000000001</v>
      </c>
      <c r="H310" s="1">
        <v>-1.9549239999999999E-6</v>
      </c>
      <c r="I310">
        <v>333.76819999999998</v>
      </c>
      <c r="J310">
        <v>-186.6857</v>
      </c>
      <c r="K310">
        <v>1.090087</v>
      </c>
      <c r="L310">
        <v>352.32330000000002</v>
      </c>
      <c r="M310">
        <v>0.34367219999999998</v>
      </c>
      <c r="N310">
        <v>0</v>
      </c>
      <c r="O310">
        <v>-0.93894120000000003</v>
      </c>
      <c r="P310">
        <v>0.24641979999999999</v>
      </c>
      <c r="Q310">
        <v>9.0468190000000004E-2</v>
      </c>
      <c r="R310">
        <v>-0.96493180000000001</v>
      </c>
      <c r="S310">
        <v>-0.38111879999999998</v>
      </c>
      <c r="T310">
        <v>-0.18772829999999999</v>
      </c>
      <c r="U310">
        <v>-3.2381289999999998</v>
      </c>
      <c r="V310">
        <v>0.1038381</v>
      </c>
      <c r="W310">
        <v>0.1035455</v>
      </c>
      <c r="X310">
        <v>0.9891896</v>
      </c>
      <c r="Y310">
        <v>0.45095039999999997</v>
      </c>
      <c r="Z310">
        <v>4.927368E-2</v>
      </c>
      <c r="AA310">
        <v>0.89118779999999997</v>
      </c>
      <c r="AB310">
        <v>31</v>
      </c>
      <c r="AC310">
        <v>-2.2948</v>
      </c>
      <c r="AD310">
        <v>-1.090088954924</v>
      </c>
      <c r="AE310">
        <v>-18.555099999999999</v>
      </c>
      <c r="AF310">
        <v>8.5038359200875799</v>
      </c>
      <c r="AG310">
        <v>-1.090088954924</v>
      </c>
      <c r="AH310">
        <v>16.579447930191801</v>
      </c>
      <c r="AI310">
        <v>93.348144223585294</v>
      </c>
      <c r="AJ310">
        <v>62.846063799660698</v>
      </c>
      <c r="AK310">
        <v>18.664983604476099</v>
      </c>
      <c r="AL310">
        <v>84.056627196573601</v>
      </c>
      <c r="AM310">
        <v>84.007442893928499</v>
      </c>
      <c r="AN310">
        <v>1.000000043165</v>
      </c>
    </row>
    <row r="311" spans="1:40" x14ac:dyDescent="0.3">
      <c r="A311" t="str">
        <f>"20200111150239884"</f>
        <v>20200111150239884</v>
      </c>
      <c r="B311" t="str">
        <f>"1578726159876565"</f>
        <v>1578726159876565</v>
      </c>
      <c r="C311" t="s">
        <v>40</v>
      </c>
      <c r="D311">
        <v>5.4218919999999997</v>
      </c>
      <c r="E311">
        <v>0.65087119999999998</v>
      </c>
      <c r="F311" t="s">
        <v>41</v>
      </c>
      <c r="G311">
        <v>-189.31549999999999</v>
      </c>
      <c r="H311" s="1">
        <v>-1.3101590000000001E-6</v>
      </c>
      <c r="I311">
        <v>332.40379999999999</v>
      </c>
      <c r="J311">
        <v>-186.53190000000001</v>
      </c>
      <c r="K311">
        <v>1.090182</v>
      </c>
      <c r="L311">
        <v>351.82350000000002</v>
      </c>
      <c r="M311">
        <v>0.31868819999999998</v>
      </c>
      <c r="N311">
        <v>0</v>
      </c>
      <c r="O311">
        <v>-0.94771269999999996</v>
      </c>
      <c r="P311">
        <v>0.22231190000000001</v>
      </c>
      <c r="Q311">
        <v>9.0254810000000005E-2</v>
      </c>
      <c r="R311">
        <v>-0.97078900000000001</v>
      </c>
      <c r="S311">
        <v>-0.42704769999999997</v>
      </c>
      <c r="T311">
        <v>-0.1770185</v>
      </c>
      <c r="U311">
        <v>-3.2347109999999999</v>
      </c>
      <c r="V311">
        <v>0.10225430000000001</v>
      </c>
      <c r="W311">
        <v>0.10339089999999999</v>
      </c>
      <c r="X311">
        <v>0.98937070000000005</v>
      </c>
      <c r="Y311">
        <v>0.43987029999999999</v>
      </c>
      <c r="Z311">
        <v>4.7348469999999997E-2</v>
      </c>
      <c r="AA311">
        <v>0.89681230000000001</v>
      </c>
      <c r="AB311">
        <v>31</v>
      </c>
      <c r="AC311">
        <v>-2.7835999999999701</v>
      </c>
      <c r="AD311">
        <v>-1.0901833101589999</v>
      </c>
      <c r="AE311">
        <v>-19.419699999999999</v>
      </c>
      <c r="AF311">
        <v>8.8009340322748795</v>
      </c>
      <c r="AG311">
        <v>-1.0901833101589999</v>
      </c>
      <c r="AH311">
        <v>17.465700762232899</v>
      </c>
      <c r="AI311">
        <v>93.190459146492998</v>
      </c>
      <c r="AJ311">
        <v>63.256550243956497</v>
      </c>
      <c r="AK311">
        <v>19.588150566249599</v>
      </c>
      <c r="AL311">
        <v>84.065532672001893</v>
      </c>
      <c r="AM311">
        <v>84.099267489949597</v>
      </c>
      <c r="AN311">
        <v>1.00000000104489</v>
      </c>
    </row>
    <row r="312" spans="1:40" x14ac:dyDescent="0.3">
      <c r="A312" t="str">
        <f>"20200111150239904"</f>
        <v>20200111150239904</v>
      </c>
      <c r="B312" t="str">
        <f>"1578726159896084"</f>
        <v>1578726159896084</v>
      </c>
      <c r="C312" t="s">
        <v>40</v>
      </c>
      <c r="D312">
        <v>5.4452590000000001</v>
      </c>
      <c r="E312">
        <v>0.65090700000000001</v>
      </c>
      <c r="F312" t="s">
        <v>41</v>
      </c>
      <c r="G312">
        <v>-189.69499999999999</v>
      </c>
      <c r="H312" s="1">
        <v>-1.15629E-6</v>
      </c>
      <c r="I312">
        <v>332.202</v>
      </c>
      <c r="J312">
        <v>-186.45240000000001</v>
      </c>
      <c r="K312">
        <v>1.090236</v>
      </c>
      <c r="L312">
        <v>351.54559999999998</v>
      </c>
      <c r="M312">
        <v>0.3047977</v>
      </c>
      <c r="N312">
        <v>0</v>
      </c>
      <c r="O312">
        <v>-0.95227099999999998</v>
      </c>
      <c r="P312">
        <v>0.2093421</v>
      </c>
      <c r="Q312">
        <v>9.0211490000000005E-2</v>
      </c>
      <c r="R312">
        <v>-0.9736726</v>
      </c>
      <c r="S312">
        <v>-0.52005000000000001</v>
      </c>
      <c r="T312">
        <v>-0.17923929999999999</v>
      </c>
      <c r="U312">
        <v>-3.226013</v>
      </c>
      <c r="V312">
        <v>0.1009713</v>
      </c>
      <c r="W312">
        <v>0.10339379999999999</v>
      </c>
      <c r="X312">
        <v>0.9895022</v>
      </c>
      <c r="Y312">
        <v>0.45231169999999998</v>
      </c>
      <c r="Z312">
        <v>4.81725E-2</v>
      </c>
      <c r="AA312">
        <v>0.89055799999999996</v>
      </c>
      <c r="AB312">
        <v>31</v>
      </c>
      <c r="AC312">
        <v>-3.2425999999999799</v>
      </c>
      <c r="AD312">
        <v>-1.09023715629</v>
      </c>
      <c r="AE312">
        <v>-19.343599999999899</v>
      </c>
      <c r="AF312">
        <v>8.9572927640533795</v>
      </c>
      <c r="AG312">
        <v>-1.09023715629</v>
      </c>
      <c r="AH312">
        <v>17.380735327750902</v>
      </c>
      <c r="AI312">
        <v>93.191382865419101</v>
      </c>
      <c r="AJ312">
        <v>62.735344331960697</v>
      </c>
      <c r="AK312">
        <v>19.583454017390501</v>
      </c>
      <c r="AL312">
        <v>84.065365866168605</v>
      </c>
      <c r="AM312">
        <v>84.173561250377702</v>
      </c>
      <c r="AN312">
        <v>1.0000000425534801</v>
      </c>
    </row>
    <row r="313" spans="1:40" x14ac:dyDescent="0.3">
      <c r="A313" t="str">
        <f>"20200111150239919"</f>
        <v>20200111150239919</v>
      </c>
      <c r="B313" t="str">
        <f>"1578726159916581"</f>
        <v>1578726159916581</v>
      </c>
      <c r="C313" t="s">
        <v>40</v>
      </c>
      <c r="D313">
        <v>5.447057</v>
      </c>
      <c r="E313">
        <v>0.65162759999999997</v>
      </c>
      <c r="F313" t="s">
        <v>41</v>
      </c>
      <c r="G313">
        <v>-190.11680000000001</v>
      </c>
      <c r="H313" s="1">
        <v>-4.7009310000000002E-7</v>
      </c>
      <c r="I313">
        <v>330.61250000000001</v>
      </c>
      <c r="J313">
        <v>-186.3989</v>
      </c>
      <c r="K313">
        <v>1.090279</v>
      </c>
      <c r="L313">
        <v>351.34870000000001</v>
      </c>
      <c r="M313">
        <v>0.29497139999999999</v>
      </c>
      <c r="N313">
        <v>0</v>
      </c>
      <c r="O313">
        <v>-0.95536080000000001</v>
      </c>
      <c r="P313">
        <v>0.19978090000000001</v>
      </c>
      <c r="Q313">
        <v>9.0111830000000004E-2</v>
      </c>
      <c r="R313">
        <v>-0.97568840000000001</v>
      </c>
      <c r="S313">
        <v>-0.56327819999999995</v>
      </c>
      <c r="T313">
        <v>-0.16758789999999901</v>
      </c>
      <c r="U313">
        <v>-3.2177730000000002</v>
      </c>
      <c r="V313">
        <v>0.1004722</v>
      </c>
      <c r="W313">
        <v>0.10331220000000001</v>
      </c>
      <c r="X313">
        <v>0.98956149999999998</v>
      </c>
      <c r="Y313">
        <v>0.45514310000000002</v>
      </c>
      <c r="Z313">
        <v>4.5315790000000002E-2</v>
      </c>
      <c r="AA313">
        <v>0.88926439999999995</v>
      </c>
      <c r="AB313">
        <v>31</v>
      </c>
      <c r="AC313">
        <v>-3.71790000000001</v>
      </c>
      <c r="AD313">
        <v>-1.0902794700931</v>
      </c>
      <c r="AE313">
        <v>-20.7362</v>
      </c>
      <c r="AF313">
        <v>9.6440336002562503</v>
      </c>
      <c r="AG313">
        <v>-1.0902794700931</v>
      </c>
      <c r="AH313">
        <v>18.6664802694958</v>
      </c>
      <c r="AI313">
        <v>92.970522632389603</v>
      </c>
      <c r="AJ313">
        <v>62.676870742724098</v>
      </c>
      <c r="AK313">
        <v>21.038858786950701</v>
      </c>
      <c r="AL313">
        <v>84.070066227673195</v>
      </c>
      <c r="AM313">
        <v>84.202509661433794</v>
      </c>
      <c r="AN313">
        <v>1.0000000179619599</v>
      </c>
    </row>
    <row r="314" spans="1:40" x14ac:dyDescent="0.3">
      <c r="A314" t="str">
        <f>"20200111150239939"</f>
        <v>20200111150239939</v>
      </c>
      <c r="B314" t="str">
        <f>"1578726159926340"</f>
        <v>1578726159926340</v>
      </c>
      <c r="C314" t="s">
        <v>40</v>
      </c>
      <c r="D314">
        <v>5.4427529999999997</v>
      </c>
      <c r="E314">
        <v>0.6518446</v>
      </c>
      <c r="F314" t="s">
        <v>41</v>
      </c>
      <c r="G314">
        <v>-190.35050000000001</v>
      </c>
      <c r="H314" s="1">
        <v>-3.5600919999999998E-7</v>
      </c>
      <c r="I314">
        <v>330.20159999999998</v>
      </c>
      <c r="J314">
        <v>-186.3321</v>
      </c>
      <c r="K314">
        <v>1.090338</v>
      </c>
      <c r="L314">
        <v>351.09120000000001</v>
      </c>
      <c r="M314">
        <v>0.28212579999999998</v>
      </c>
      <c r="N314">
        <v>0</v>
      </c>
      <c r="O314">
        <v>-0.95923290000000005</v>
      </c>
      <c r="P314">
        <v>0.18775259999999999</v>
      </c>
      <c r="Q314">
        <v>9.037278E-2</v>
      </c>
      <c r="R314">
        <v>-0.97804990000000003</v>
      </c>
      <c r="S314">
        <v>-0.60037229999999997</v>
      </c>
      <c r="T314">
        <v>-0.16564970000000001</v>
      </c>
      <c r="U314">
        <v>-3.212952</v>
      </c>
      <c r="V314">
        <v>9.9363919999999994E-2</v>
      </c>
      <c r="W314">
        <v>0.10361190000000001</v>
      </c>
      <c r="X314">
        <v>0.98964200000000002</v>
      </c>
      <c r="Y314">
        <v>0.45336680000000001</v>
      </c>
      <c r="Z314">
        <v>4.5135090000000003E-2</v>
      </c>
      <c r="AA314">
        <v>0.89018050000000004</v>
      </c>
      <c r="AB314">
        <v>31</v>
      </c>
      <c r="AC314">
        <v>-4.0184000000000104</v>
      </c>
      <c r="AD314">
        <v>-1.0903383560091999</v>
      </c>
      <c r="AE314">
        <v>-20.889600000000002</v>
      </c>
      <c r="AF314">
        <v>9.7238824061711409</v>
      </c>
      <c r="AG314">
        <v>-1.0903383560091999</v>
      </c>
      <c r="AH314">
        <v>18.857377845280599</v>
      </c>
      <c r="AI314">
        <v>92.941854581644606</v>
      </c>
      <c r="AJ314">
        <v>62.7219238163581</v>
      </c>
      <c r="AK314">
        <v>21.244844691814201</v>
      </c>
      <c r="AL314">
        <v>84.052801634871201</v>
      </c>
      <c r="AM314">
        <v>84.266494934882104</v>
      </c>
      <c r="AN314">
        <v>0.99999995129168695</v>
      </c>
    </row>
    <row r="315" spans="1:40" x14ac:dyDescent="0.3">
      <c r="A315" t="str">
        <f>"20200111150239960"</f>
        <v>20200111150239960</v>
      </c>
      <c r="B315" t="str">
        <f>"1578726159956627"</f>
        <v>1578726159956627</v>
      </c>
      <c r="C315" t="s">
        <v>40</v>
      </c>
      <c r="D315">
        <v>5.8391029999999997</v>
      </c>
      <c r="E315">
        <v>0.65163939999999998</v>
      </c>
      <c r="F315" t="s">
        <v>41</v>
      </c>
      <c r="G315">
        <v>-190.56059999999999</v>
      </c>
      <c r="H315" s="1">
        <v>-3.0783789999999999E-7</v>
      </c>
      <c r="I315">
        <v>329.959</v>
      </c>
      <c r="J315">
        <v>-186.25649999999999</v>
      </c>
      <c r="K315">
        <v>1.090417</v>
      </c>
      <c r="L315">
        <v>350.7817</v>
      </c>
      <c r="M315">
        <v>0.26671899999999998</v>
      </c>
      <c r="N315">
        <v>0</v>
      </c>
      <c r="O315">
        <v>-0.96363069999999895</v>
      </c>
      <c r="P315">
        <v>0.17278769999999999</v>
      </c>
      <c r="Q315">
        <v>9.0769879999999997E-2</v>
      </c>
      <c r="R315">
        <v>-0.98076770000000002</v>
      </c>
      <c r="S315">
        <v>-0.64146419999999904</v>
      </c>
      <c r="T315">
        <v>-0.16540250000000001</v>
      </c>
      <c r="U315">
        <v>-3.2057190000000002</v>
      </c>
      <c r="V315">
        <v>9.8609189999999999E-2</v>
      </c>
      <c r="W315">
        <v>0.1040345</v>
      </c>
      <c r="X315">
        <v>0.98967320000000003</v>
      </c>
      <c r="Y315">
        <v>0.45044250000000002</v>
      </c>
      <c r="Z315">
        <v>4.5490290000000003E-2</v>
      </c>
      <c r="AA315">
        <v>0.89164580000000004</v>
      </c>
      <c r="AB315">
        <v>31</v>
      </c>
      <c r="AC315">
        <v>-4.3041</v>
      </c>
      <c r="AD315">
        <v>-1.0904173078379</v>
      </c>
      <c r="AE315">
        <v>-20.822700000000001</v>
      </c>
      <c r="AF315">
        <v>9.6772654454203302</v>
      </c>
      <c r="AG315">
        <v>-1.0904173078379</v>
      </c>
      <c r="AH315">
        <v>18.870399412210698</v>
      </c>
      <c r="AI315">
        <v>92.943415884300904</v>
      </c>
      <c r="AJ315">
        <v>62.849987646098803</v>
      </c>
      <c r="AK315">
        <v>21.235123036674899</v>
      </c>
      <c r="AL315">
        <v>84.028457141311506</v>
      </c>
      <c r="AM315">
        <v>84.309935763164006</v>
      </c>
      <c r="AN315">
        <v>0.99999999617047297</v>
      </c>
    </row>
    <row r="316" spans="1:40" x14ac:dyDescent="0.3">
      <c r="A316" t="str">
        <f>"20200111150239982"</f>
        <v>20200111150239982</v>
      </c>
      <c r="B316" t="str">
        <f>"1578726159976148"</f>
        <v>1578726159976148</v>
      </c>
      <c r="C316" t="s">
        <v>40</v>
      </c>
      <c r="D316">
        <v>5.6840549999999999</v>
      </c>
      <c r="E316">
        <v>0.65163939999999998</v>
      </c>
      <c r="F316" t="s">
        <v>41</v>
      </c>
      <c r="G316">
        <v>-190.69399999999999</v>
      </c>
      <c r="H316" s="1">
        <v>-4.4256210000000001E-7</v>
      </c>
      <c r="I316">
        <v>330.19029999999998</v>
      </c>
      <c r="J316">
        <v>-186.18790000000001</v>
      </c>
      <c r="K316">
        <v>1.0904959999999999</v>
      </c>
      <c r="L316">
        <v>350.48009999999999</v>
      </c>
      <c r="M316">
        <v>0.25173820000000002</v>
      </c>
      <c r="N316">
        <v>0</v>
      </c>
      <c r="O316">
        <v>-0.96765270000000003</v>
      </c>
      <c r="P316">
        <v>0.1584062</v>
      </c>
      <c r="Q316">
        <v>9.0880420000000003E-2</v>
      </c>
      <c r="R316">
        <v>-0.98318300000000003</v>
      </c>
      <c r="S316">
        <v>-0.68870540000000002</v>
      </c>
      <c r="T316">
        <v>-0.1692351</v>
      </c>
      <c r="U316">
        <v>-3.1958310000000001</v>
      </c>
      <c r="V316">
        <v>9.7729659999999996E-2</v>
      </c>
      <c r="W316">
        <v>0.1041749</v>
      </c>
      <c r="X316">
        <v>0.98974569999999995</v>
      </c>
      <c r="Y316">
        <v>0.44974389999999997</v>
      </c>
      <c r="Z316">
        <v>4.6940049999999997E-2</v>
      </c>
      <c r="AA316">
        <v>0.89192320000000003</v>
      </c>
      <c r="AB316">
        <v>31</v>
      </c>
      <c r="AC316">
        <v>-4.5061</v>
      </c>
      <c r="AD316">
        <v>-1.0904964425621</v>
      </c>
      <c r="AE316">
        <v>-20.2898</v>
      </c>
      <c r="AF316">
        <v>9.4433687828831196</v>
      </c>
      <c r="AG316">
        <v>-1.0904964425621</v>
      </c>
      <c r="AH316">
        <v>18.450884188259501</v>
      </c>
      <c r="AI316">
        <v>93.011676199081606</v>
      </c>
      <c r="AJ316">
        <v>62.896125887960601</v>
      </c>
      <c r="AK316">
        <v>20.755758810251599</v>
      </c>
      <c r="AL316">
        <v>84.020369028636495</v>
      </c>
      <c r="AM316">
        <v>84.360769263640407</v>
      </c>
      <c r="AN316">
        <v>1.0000000234511</v>
      </c>
    </row>
    <row r="317" spans="1:40" x14ac:dyDescent="0.3">
      <c r="A317" t="str">
        <f>"20200111150240005"</f>
        <v>20200111150240005</v>
      </c>
      <c r="B317" t="str">
        <f>"1578726159996643"</f>
        <v>1578726159996643</v>
      </c>
      <c r="C317" t="s">
        <v>40</v>
      </c>
      <c r="D317">
        <v>5.6788850000000002</v>
      </c>
      <c r="E317">
        <v>0.65189490000000005</v>
      </c>
      <c r="F317" t="s">
        <v>41</v>
      </c>
      <c r="G317">
        <v>-190.92269999999999</v>
      </c>
      <c r="H317" s="1">
        <v>-4.0770729999999999E-7</v>
      </c>
      <c r="I317">
        <v>329.96730000000002</v>
      </c>
      <c r="J317">
        <v>-186.12029999999999</v>
      </c>
      <c r="K317">
        <v>1.0905819999999999</v>
      </c>
      <c r="L317">
        <v>350.15949999999998</v>
      </c>
      <c r="M317">
        <v>0.2358556</v>
      </c>
      <c r="N317">
        <v>0</v>
      </c>
      <c r="O317">
        <v>-0.97164649999999997</v>
      </c>
      <c r="P317">
        <v>0.14366499999999999</v>
      </c>
      <c r="Q317">
        <v>8.9910950000000003E-2</v>
      </c>
      <c r="R317">
        <v>-0.98553389999999996</v>
      </c>
      <c r="S317">
        <v>-0.73524480000000003</v>
      </c>
      <c r="T317">
        <v>-0.16934060000000001</v>
      </c>
      <c r="U317">
        <v>-3.1853940000000001</v>
      </c>
      <c r="V317">
        <v>9.6305650000000007E-2</v>
      </c>
      <c r="W317">
        <v>0.103253399999999</v>
      </c>
      <c r="X317">
        <v>0.98998180000000002</v>
      </c>
      <c r="Y317">
        <v>0.44812600000000002</v>
      </c>
      <c r="Z317">
        <v>4.7383309999999998E-2</v>
      </c>
      <c r="AA317">
        <v>0.8927138</v>
      </c>
      <c r="AB317">
        <v>31</v>
      </c>
      <c r="AC317">
        <v>-4.8023999999999996</v>
      </c>
      <c r="AD317">
        <v>-1.0905824077073001</v>
      </c>
      <c r="AE317">
        <v>-20.1921999999999</v>
      </c>
      <c r="AF317">
        <v>9.4040126218475404</v>
      </c>
      <c r="AG317">
        <v>-1.0905824077073001</v>
      </c>
      <c r="AH317">
        <v>18.438644428172701</v>
      </c>
      <c r="AI317">
        <v>93.016097080190406</v>
      </c>
      <c r="AJ317">
        <v>62.9776688475485</v>
      </c>
      <c r="AK317">
        <v>20.726997653506299</v>
      </c>
      <c r="AL317">
        <v>84.073453248057902</v>
      </c>
      <c r="AM317">
        <v>84.443736918350197</v>
      </c>
      <c r="AN317">
        <v>1.00000000358236</v>
      </c>
    </row>
    <row r="318" spans="1:40" x14ac:dyDescent="0.3">
      <c r="A318" t="str">
        <f>"20200111150240028"</f>
        <v>20200111150240028</v>
      </c>
      <c r="B318" t="str">
        <f>"1578726160025923"</f>
        <v>1578726160025923</v>
      </c>
      <c r="C318" t="s">
        <v>40</v>
      </c>
      <c r="D318">
        <v>5.499803</v>
      </c>
      <c r="E318">
        <v>0.65223569999999997</v>
      </c>
      <c r="F318" t="s">
        <v>41</v>
      </c>
      <c r="G318">
        <v>-190.98179999999999</v>
      </c>
      <c r="H318" s="1">
        <v>-6.5528999999999898E-7</v>
      </c>
      <c r="I318">
        <v>330.5077</v>
      </c>
      <c r="J318">
        <v>-186.0592</v>
      </c>
      <c r="K318">
        <v>1.0906659999999999</v>
      </c>
      <c r="L318">
        <v>349.8458</v>
      </c>
      <c r="M318">
        <v>0.22035950000000001</v>
      </c>
      <c r="N318">
        <v>0</v>
      </c>
      <c r="O318">
        <v>-0.97527799999999998</v>
      </c>
      <c r="P318">
        <v>0.12998709999999999</v>
      </c>
      <c r="Q318">
        <v>8.8736029999999994E-2</v>
      </c>
      <c r="R318">
        <v>-0.9875372</v>
      </c>
      <c r="S318">
        <v>-0.78533940000000002</v>
      </c>
      <c r="T318">
        <v>-0.17617459999999999</v>
      </c>
      <c r="U318">
        <v>-3.1745909999999999</v>
      </c>
      <c r="V318">
        <v>9.4233330000000004E-2</v>
      </c>
      <c r="W318">
        <v>0.10214819999999999</v>
      </c>
      <c r="X318">
        <v>0.99029579999999995</v>
      </c>
      <c r="Y318">
        <v>0.44785940000000002</v>
      </c>
      <c r="Z318">
        <v>4.9667290000000003E-2</v>
      </c>
      <c r="AA318">
        <v>0.89272339999999994</v>
      </c>
      <c r="AB318">
        <v>31</v>
      </c>
      <c r="AC318">
        <v>-4.9225999999999797</v>
      </c>
      <c r="AD318">
        <v>-1.09066665529</v>
      </c>
      <c r="AE318">
        <v>-19.338100000000001</v>
      </c>
      <c r="AF318">
        <v>9.0364862965287998</v>
      </c>
      <c r="AG318">
        <v>-1.09066665529</v>
      </c>
      <c r="AH318">
        <v>17.724771617368202</v>
      </c>
      <c r="AI318">
        <v>93.137821488607798</v>
      </c>
      <c r="AJ318">
        <v>62.986492551752498</v>
      </c>
      <c r="AK318">
        <v>19.9252394522168</v>
      </c>
      <c r="AL318">
        <v>84.1371129839426</v>
      </c>
      <c r="AM318">
        <v>84.564286841344796</v>
      </c>
      <c r="AN318">
        <v>0.99999997337188395</v>
      </c>
    </row>
    <row r="319" spans="1:40" x14ac:dyDescent="0.3">
      <c r="A319" t="str">
        <f>"20200111150240050"</f>
        <v>20200111150240050</v>
      </c>
      <c r="B319" t="str">
        <f>"1578726160046791"</f>
        <v>1578726160046791</v>
      </c>
      <c r="C319" t="s">
        <v>40</v>
      </c>
      <c r="D319">
        <v>5.5123930000000003</v>
      </c>
      <c r="E319">
        <v>0.65200009999999997</v>
      </c>
      <c r="F319" t="s">
        <v>41</v>
      </c>
      <c r="G319">
        <v>-191.1439</v>
      </c>
      <c r="H319" s="1">
        <v>-7.0750400000000001E-7</v>
      </c>
      <c r="I319">
        <v>330.52890000000002</v>
      </c>
      <c r="J319">
        <v>-186.0069</v>
      </c>
      <c r="K319">
        <v>1.0907500000000001</v>
      </c>
      <c r="L319">
        <v>349.55119999999999</v>
      </c>
      <c r="M319">
        <v>0.20586009999999999</v>
      </c>
      <c r="N319">
        <v>0</v>
      </c>
      <c r="O319">
        <v>-0.97844140000000002</v>
      </c>
      <c r="P319">
        <v>0.1174694</v>
      </c>
      <c r="Q319">
        <v>8.7666850000000004E-2</v>
      </c>
      <c r="R319">
        <v>-0.98919959999999996</v>
      </c>
      <c r="S319">
        <v>-0.83270259999999996</v>
      </c>
      <c r="T319">
        <v>-0.17861769999999999</v>
      </c>
      <c r="U319">
        <v>-3.163513</v>
      </c>
      <c r="V319">
        <v>9.2038499999999995E-2</v>
      </c>
      <c r="W319">
        <v>0.10115159999999999</v>
      </c>
      <c r="X319">
        <v>0.9906045</v>
      </c>
      <c r="Y319">
        <v>0.44785269999999999</v>
      </c>
      <c r="Z319">
        <v>5.0698279999999998E-2</v>
      </c>
      <c r="AA319">
        <v>0.89266880000000004</v>
      </c>
      <c r="AB319">
        <v>31</v>
      </c>
      <c r="AC319">
        <v>-5.1369999999999996</v>
      </c>
      <c r="AD319">
        <v>-1.0907507075039999</v>
      </c>
      <c r="AE319">
        <v>-19.022299999999898</v>
      </c>
      <c r="AF319">
        <v>8.9160885608092606</v>
      </c>
      <c r="AG319">
        <v>-1.0907507075039999</v>
      </c>
      <c r="AH319">
        <v>17.503469657512699</v>
      </c>
      <c r="AI319">
        <v>93.178212645748602</v>
      </c>
      <c r="AJ319">
        <v>63.006171488730402</v>
      </c>
      <c r="AK319">
        <v>19.6737851564355</v>
      </c>
      <c r="AL319">
        <v>84.194511447264105</v>
      </c>
      <c r="AM319">
        <v>84.691805466169697</v>
      </c>
      <c r="AN319">
        <v>1.0000000035425201</v>
      </c>
    </row>
    <row r="320" spans="1:40" x14ac:dyDescent="0.3">
      <c r="A320" t="str">
        <f>"20200111150240072"</f>
        <v>20200111150240072</v>
      </c>
      <c r="B320" t="str">
        <f>"1578726160066311"</f>
        <v>1578726160066311</v>
      </c>
      <c r="C320" t="s">
        <v>40</v>
      </c>
      <c r="D320">
        <v>5.5027359999999996</v>
      </c>
      <c r="E320">
        <v>0.65164739999999999</v>
      </c>
      <c r="F320" t="s">
        <v>41</v>
      </c>
      <c r="G320">
        <v>-191.25569999999999</v>
      </c>
      <c r="H320" s="1">
        <v>-7.5229799999999897E-7</v>
      </c>
      <c r="I320">
        <v>330.56389999999999</v>
      </c>
      <c r="J320">
        <v>-185.9564</v>
      </c>
      <c r="K320">
        <v>1.090848</v>
      </c>
      <c r="L320">
        <v>349.23840000000001</v>
      </c>
      <c r="M320">
        <v>0.1905164</v>
      </c>
      <c r="N320">
        <v>0</v>
      </c>
      <c r="O320">
        <v>-0.981545</v>
      </c>
      <c r="P320">
        <v>0.1042858</v>
      </c>
      <c r="Q320">
        <v>8.7403629999999996E-2</v>
      </c>
      <c r="R320">
        <v>-0.99069949999999996</v>
      </c>
      <c r="S320">
        <v>-0.87141420000000003</v>
      </c>
      <c r="T320">
        <v>-0.18108740000000001</v>
      </c>
      <c r="U320">
        <v>-3.1522830000000002</v>
      </c>
      <c r="V320">
        <v>8.9691709999999994E-2</v>
      </c>
      <c r="W320">
        <v>0.1009632</v>
      </c>
      <c r="X320">
        <v>0.99083889999999997</v>
      </c>
      <c r="Y320">
        <v>0.4448394</v>
      </c>
      <c r="Z320">
        <v>5.1799789999999998E-2</v>
      </c>
      <c r="AA320">
        <v>0.89411109999999905</v>
      </c>
      <c r="AB320">
        <v>31</v>
      </c>
      <c r="AC320">
        <v>-5.2992999999999801</v>
      </c>
      <c r="AD320">
        <v>-1.0908487522979999</v>
      </c>
      <c r="AE320">
        <v>-18.674499999999998</v>
      </c>
      <c r="AF320">
        <v>8.7329179339959406</v>
      </c>
      <c r="AG320">
        <v>-1.0908487522979999</v>
      </c>
      <c r="AH320">
        <v>17.268091932432402</v>
      </c>
      <c r="AI320">
        <v>93.226490190285304</v>
      </c>
      <c r="AJ320">
        <v>63.1731034509599</v>
      </c>
      <c r="AK320">
        <v>19.381455198958498</v>
      </c>
      <c r="AL320">
        <v>84.205361196056302</v>
      </c>
      <c r="AM320">
        <v>84.827626608238603</v>
      </c>
      <c r="AN320">
        <v>0.99999994817508497</v>
      </c>
    </row>
    <row r="321" spans="1:40" x14ac:dyDescent="0.3">
      <c r="A321" t="str">
        <f>"20200111150240095"</f>
        <v>20200111150240095</v>
      </c>
      <c r="B321" t="str">
        <f>"1578726160086807"</f>
        <v>1578726160086807</v>
      </c>
      <c r="C321" t="s">
        <v>40</v>
      </c>
      <c r="D321">
        <v>5.4977</v>
      </c>
      <c r="E321">
        <v>0.65111430000000003</v>
      </c>
      <c r="F321" t="s">
        <v>41</v>
      </c>
      <c r="G321">
        <v>-191.43279999999999</v>
      </c>
      <c r="H321" s="1">
        <v>-7.1291779999999997E-7</v>
      </c>
      <c r="I321">
        <v>330.3623</v>
      </c>
      <c r="J321">
        <v>-185.9093</v>
      </c>
      <c r="K321">
        <v>1.0909439999999999</v>
      </c>
      <c r="L321">
        <v>348.91480000000001</v>
      </c>
      <c r="M321">
        <v>0.1746846</v>
      </c>
      <c r="N321">
        <v>0</v>
      </c>
      <c r="O321">
        <v>-0.98448630000000004</v>
      </c>
      <c r="P321">
        <v>9.0996419999999995E-2</v>
      </c>
      <c r="Q321">
        <v>8.8357210000000005E-2</v>
      </c>
      <c r="R321">
        <v>-0.99192400000000003</v>
      </c>
      <c r="S321">
        <v>-0.91099549999999996</v>
      </c>
      <c r="T321">
        <v>-0.18146090000000001</v>
      </c>
      <c r="U321">
        <v>-3.140015</v>
      </c>
      <c r="V321">
        <v>8.7006349999999996E-2</v>
      </c>
      <c r="W321">
        <v>0.1019993</v>
      </c>
      <c r="X321">
        <v>0.99097230000000003</v>
      </c>
      <c r="Y321">
        <v>0.44173820000000003</v>
      </c>
      <c r="Z321">
        <v>5.2308849999999997E-2</v>
      </c>
      <c r="AA321">
        <v>0.89561780000000002</v>
      </c>
      <c r="AB321">
        <v>31</v>
      </c>
      <c r="AC321">
        <v>-5.5234999999999799</v>
      </c>
      <c r="AD321">
        <v>-1.0909447129178</v>
      </c>
      <c r="AE321">
        <v>-18.552499999999998</v>
      </c>
      <c r="AF321">
        <v>8.6523445805719401</v>
      </c>
      <c r="AG321">
        <v>-1.0909447129178</v>
      </c>
      <c r="AH321">
        <v>17.247382815463499</v>
      </c>
      <c r="AI321">
        <v>93.235908121054507</v>
      </c>
      <c r="AJ321">
        <v>63.358850799206103</v>
      </c>
      <c r="AK321">
        <v>19.326806282744698</v>
      </c>
      <c r="AL321">
        <v>84.145689457440497</v>
      </c>
      <c r="AM321">
        <v>84.982356119544207</v>
      </c>
      <c r="AN321">
        <v>1.00000003075405</v>
      </c>
    </row>
    <row r="322" spans="1:40" x14ac:dyDescent="0.3">
      <c r="A322" t="str">
        <f>"20200111150240119"</f>
        <v>20200111150240119</v>
      </c>
      <c r="B322" t="str">
        <f>"1578726160116087"</f>
        <v>1578726160116087</v>
      </c>
      <c r="C322" t="s">
        <v>40</v>
      </c>
      <c r="D322">
        <v>5.5457809999999998</v>
      </c>
      <c r="E322">
        <v>0.6502616</v>
      </c>
      <c r="F322" t="s">
        <v>41</v>
      </c>
      <c r="G322">
        <v>-191.71170000000001</v>
      </c>
      <c r="H322" s="1">
        <v>-5.4289919999999998E-7</v>
      </c>
      <c r="I322">
        <v>329.79300000000001</v>
      </c>
      <c r="J322">
        <v>-185.86609999999999</v>
      </c>
      <c r="K322">
        <v>1.091048</v>
      </c>
      <c r="L322">
        <v>348.5797</v>
      </c>
      <c r="M322">
        <v>0.15834809999999999</v>
      </c>
      <c r="N322">
        <v>0</v>
      </c>
      <c r="O322">
        <v>-0.98724599999999996</v>
      </c>
      <c r="P322">
        <v>7.814277E-2</v>
      </c>
      <c r="Q322">
        <v>8.9940439999999997E-2</v>
      </c>
      <c r="R322">
        <v>-0.99287709999999996</v>
      </c>
      <c r="S322">
        <v>-0.94898990000000005</v>
      </c>
      <c r="T322">
        <v>-0.1784261</v>
      </c>
      <c r="U322">
        <v>-3.1274109999999999</v>
      </c>
      <c r="V322">
        <v>8.3419480000000004E-2</v>
      </c>
      <c r="W322">
        <v>0.10369349999999999</v>
      </c>
      <c r="X322">
        <v>0.99110480000000001</v>
      </c>
      <c r="Y322">
        <v>0.4378437</v>
      </c>
      <c r="Z322">
        <v>5.1834140000000001E-2</v>
      </c>
      <c r="AA322">
        <v>0.89755560000000001</v>
      </c>
      <c r="AB322">
        <v>31</v>
      </c>
      <c r="AC322">
        <v>-5.8456000000000099</v>
      </c>
      <c r="AD322">
        <v>-1.0910485428992001</v>
      </c>
      <c r="AE322">
        <v>-18.7867</v>
      </c>
      <c r="AF322">
        <v>8.7202544782148301</v>
      </c>
      <c r="AG322">
        <v>-1.0910485428992001</v>
      </c>
      <c r="AH322">
        <v>17.569816757503801</v>
      </c>
      <c r="AI322">
        <v>93.1837209887358</v>
      </c>
      <c r="AJ322">
        <v>63.603867854257601</v>
      </c>
      <c r="AK322">
        <v>19.645144081427599</v>
      </c>
      <c r="AL322">
        <v>84.048100900301407</v>
      </c>
      <c r="AM322">
        <v>85.188858709107095</v>
      </c>
      <c r="AN322">
        <v>0.99999993808437804</v>
      </c>
    </row>
    <row r="323" spans="1:40" x14ac:dyDescent="0.3">
      <c r="A323" t="str">
        <f>"20200111150240139"</f>
        <v>20200111150240139</v>
      </c>
      <c r="B323" t="str">
        <f>"1578726160136582"</f>
        <v>1578726160136582</v>
      </c>
      <c r="C323" t="s">
        <v>40</v>
      </c>
      <c r="D323">
        <v>5.0924480000000001</v>
      </c>
      <c r="E323">
        <v>0.6502616</v>
      </c>
      <c r="F323" t="s">
        <v>41</v>
      </c>
      <c r="G323">
        <v>-192.03489999999999</v>
      </c>
      <c r="H323" s="1">
        <v>-4.4559239999999998E-6</v>
      </c>
      <c r="I323">
        <v>329.02010000000001</v>
      </c>
      <c r="J323">
        <v>-185.83459999999999</v>
      </c>
      <c r="K323">
        <v>1.091135</v>
      </c>
      <c r="L323">
        <v>348.30259999999998</v>
      </c>
      <c r="M323">
        <v>0.1448826</v>
      </c>
      <c r="N323">
        <v>0</v>
      </c>
      <c r="O323">
        <v>-0.98931190000000002</v>
      </c>
      <c r="P323">
        <v>6.8941630000000004E-2</v>
      </c>
      <c r="Q323">
        <v>9.1436160000000002E-2</v>
      </c>
      <c r="R323">
        <v>-0.99342200000000003</v>
      </c>
      <c r="S323">
        <v>-0.9822845</v>
      </c>
      <c r="T323">
        <v>-0.1737339</v>
      </c>
      <c r="U323">
        <v>-3.1145939999999999</v>
      </c>
      <c r="V323">
        <v>7.9098500000000002E-2</v>
      </c>
      <c r="W323">
        <v>0.1053239</v>
      </c>
      <c r="X323">
        <v>0.99128720000000003</v>
      </c>
      <c r="Y323">
        <v>0.43539319999999998</v>
      </c>
      <c r="Z323">
        <v>5.079769E-2</v>
      </c>
      <c r="AA323">
        <v>0.89880599999999999</v>
      </c>
      <c r="AB323">
        <v>31</v>
      </c>
      <c r="AC323">
        <v>-6.2002999999999897</v>
      </c>
      <c r="AD323">
        <v>-1.091139455924</v>
      </c>
      <c r="AE323">
        <v>-19.282499999999899</v>
      </c>
      <c r="AF323">
        <v>8.9031021173856999</v>
      </c>
      <c r="AG323">
        <v>-1.091139455924</v>
      </c>
      <c r="AH323">
        <v>18.1279467620354</v>
      </c>
      <c r="AI323">
        <v>93.092506185066696</v>
      </c>
      <c r="AJ323">
        <v>63.843154911948901</v>
      </c>
      <c r="AK323">
        <v>20.225683336591199</v>
      </c>
      <c r="AL323">
        <v>83.954171889196502</v>
      </c>
      <c r="AM323">
        <v>85.437822359339194</v>
      </c>
      <c r="AN323">
        <v>1.0000000047486499</v>
      </c>
    </row>
    <row r="324" spans="1:40" x14ac:dyDescent="0.3">
      <c r="A324" t="str">
        <f>"20200111150240186"</f>
        <v>20200111150240186</v>
      </c>
      <c r="B324" t="str">
        <f>"1578726160176599"</f>
        <v>1578726160176599</v>
      </c>
      <c r="C324" t="s">
        <v>40</v>
      </c>
      <c r="D324">
        <v>5.5689279999999997</v>
      </c>
      <c r="E324">
        <v>0.57204719999999998</v>
      </c>
      <c r="F324" t="s">
        <v>41</v>
      </c>
      <c r="G324">
        <v>-192.32310000000001</v>
      </c>
      <c r="H324" s="1">
        <v>-4.2852129999999998E-6</v>
      </c>
      <c r="I324">
        <v>328.3682</v>
      </c>
      <c r="J324">
        <v>-185.77539999999999</v>
      </c>
      <c r="K324">
        <v>1.0913740000000001</v>
      </c>
      <c r="L324">
        <v>347.65410000000003</v>
      </c>
      <c r="M324">
        <v>0.1136443</v>
      </c>
      <c r="N324">
        <v>0</v>
      </c>
      <c r="O324">
        <v>-0.99338630000000006</v>
      </c>
      <c r="P324">
        <v>5.051522E-2</v>
      </c>
      <c r="Q324">
        <v>9.3009439999999999E-2</v>
      </c>
      <c r="R324">
        <v>-0.99438320000000002</v>
      </c>
      <c r="S324">
        <v>-1.01088</v>
      </c>
      <c r="T324">
        <v>-0.16999539999999999</v>
      </c>
      <c r="U324">
        <v>-3.1057130000000002</v>
      </c>
      <c r="V324">
        <v>6.6189799999999993E-2</v>
      </c>
      <c r="W324">
        <v>0.1072972</v>
      </c>
      <c r="X324">
        <v>0.99202129999999999</v>
      </c>
      <c r="Y324">
        <v>0.41517870000000001</v>
      </c>
      <c r="Z324">
        <v>5.0356629999999999E-2</v>
      </c>
      <c r="AA324">
        <v>0.90834519999999996</v>
      </c>
      <c r="AB324">
        <v>31</v>
      </c>
      <c r="AC324">
        <v>-6.5477000000000096</v>
      </c>
      <c r="AD324">
        <v>-1.0913782852130001</v>
      </c>
      <c r="AE324">
        <v>-19.285900000000002</v>
      </c>
      <c r="AF324">
        <v>8.6723944904787693</v>
      </c>
      <c r="AG324">
        <v>-1.0913782852130001</v>
      </c>
      <c r="AH324">
        <v>18.3639836648649</v>
      </c>
      <c r="AI324">
        <v>93.076073286320593</v>
      </c>
      <c r="AJ324">
        <v>64.720968247632996</v>
      </c>
      <c r="AK324">
        <v>20.338078296715899</v>
      </c>
      <c r="AL324">
        <v>83.8404658226859</v>
      </c>
      <c r="AM324">
        <v>86.182759936682103</v>
      </c>
      <c r="AN324">
        <v>1.00000001920278</v>
      </c>
    </row>
    <row r="325" spans="1:40" x14ac:dyDescent="0.3">
      <c r="A325" t="str">
        <f>"20200111150240208"</f>
        <v>20200111150240208</v>
      </c>
      <c r="B325" t="str">
        <f>"1578726160196118"</f>
        <v>1578726160196118</v>
      </c>
      <c r="C325" t="s">
        <v>40</v>
      </c>
      <c r="D325">
        <v>5.5778549999999996</v>
      </c>
      <c r="E325">
        <v>0.57191709999999996</v>
      </c>
      <c r="F325" t="s">
        <v>41</v>
      </c>
      <c r="G325">
        <v>-188.25129999999999</v>
      </c>
      <c r="H325" s="1">
        <v>-7.8476559999999897E-7</v>
      </c>
      <c r="I325">
        <v>330.58690000000001</v>
      </c>
      <c r="J325">
        <v>-185.75399999999999</v>
      </c>
      <c r="K325">
        <v>1.09154</v>
      </c>
      <c r="L325">
        <v>347.34309999999999</v>
      </c>
      <c r="M325">
        <v>9.8917309999999994E-2</v>
      </c>
      <c r="N325">
        <v>0</v>
      </c>
      <c r="O325">
        <v>-0.99496119999999999</v>
      </c>
      <c r="P325">
        <v>4.01491E-2</v>
      </c>
      <c r="Q325">
        <v>9.2850829999999995E-2</v>
      </c>
      <c r="R325">
        <v>-0.99487040000000004</v>
      </c>
      <c r="S325">
        <v>-0.44358829999999999</v>
      </c>
      <c r="T325">
        <v>-0.1955317</v>
      </c>
      <c r="U325">
        <v>-3.0577700000000001</v>
      </c>
      <c r="V325">
        <v>6.177912E-2</v>
      </c>
      <c r="W325">
        <v>0.1072674</v>
      </c>
      <c r="X325">
        <v>0.992309</v>
      </c>
      <c r="Y325">
        <v>0.2404867</v>
      </c>
      <c r="Z325">
        <v>6.2084649999999998E-2</v>
      </c>
      <c r="AA325">
        <v>0.96866490000000005</v>
      </c>
      <c r="AB325">
        <v>31</v>
      </c>
      <c r="AC325">
        <v>-2.4972999999999601</v>
      </c>
      <c r="AD325">
        <v>-1.0915407847656</v>
      </c>
      <c r="AE325">
        <v>-16.7561999999999</v>
      </c>
      <c r="AF325">
        <v>4.1256222802322302</v>
      </c>
      <c r="AG325">
        <v>-1.0915407847656</v>
      </c>
      <c r="AH325">
        <v>16.359028721755202</v>
      </c>
      <c r="AI325">
        <v>93.701782064430304</v>
      </c>
      <c r="AJ325">
        <v>75.845592954204903</v>
      </c>
      <c r="AK325">
        <v>16.906508841365401</v>
      </c>
      <c r="AL325">
        <v>83.842183357956003</v>
      </c>
      <c r="AM325">
        <v>86.437480549724398</v>
      </c>
      <c r="AN325">
        <v>1.0000000531258599</v>
      </c>
    </row>
    <row r="326" spans="1:40" x14ac:dyDescent="0.3">
      <c r="A326" t="str">
        <f>"20200111150240230"</f>
        <v>20200111150240230</v>
      </c>
      <c r="B326" t="str">
        <f>"1578726160226374"</f>
        <v>1578726160226374</v>
      </c>
      <c r="C326" t="s">
        <v>40</v>
      </c>
      <c r="D326">
        <v>5.5806570000000004</v>
      </c>
      <c r="E326">
        <v>0.57057440000000004</v>
      </c>
      <c r="F326" t="s">
        <v>41</v>
      </c>
      <c r="G326">
        <v>-188.30959999999999</v>
      </c>
      <c r="H326" s="1">
        <v>-8.5157189999999995E-7</v>
      </c>
      <c r="I326">
        <v>330.8288</v>
      </c>
      <c r="J326">
        <v>-185.7381</v>
      </c>
      <c r="K326">
        <v>1.091747</v>
      </c>
      <c r="L326">
        <v>347.04950000000002</v>
      </c>
      <c r="M326">
        <v>8.526823E-2</v>
      </c>
      <c r="N326">
        <v>0</v>
      </c>
      <c r="O326">
        <v>-0.99622449999999996</v>
      </c>
      <c r="P326">
        <v>3.097755E-2</v>
      </c>
      <c r="Q326">
        <v>9.222561E-2</v>
      </c>
      <c r="R326">
        <v>-0.99525609999999998</v>
      </c>
      <c r="S326">
        <v>-0.47250370000000003</v>
      </c>
      <c r="T326">
        <v>-0.20181750000000001</v>
      </c>
      <c r="U326">
        <v>-3.053375</v>
      </c>
      <c r="V326">
        <v>5.7243269999999999E-2</v>
      </c>
      <c r="W326">
        <v>0.10676910000000001</v>
      </c>
      <c r="X326">
        <v>0.99263469999999998</v>
      </c>
      <c r="Y326">
        <v>0.23632719999999999</v>
      </c>
      <c r="Z326">
        <v>6.4276249999999993E-2</v>
      </c>
      <c r="AA326">
        <v>0.9695452</v>
      </c>
      <c r="AB326">
        <v>31</v>
      </c>
      <c r="AC326">
        <v>-2.5714999999999799</v>
      </c>
      <c r="AD326">
        <v>-1.0917478515718999</v>
      </c>
      <c r="AE326">
        <v>-16.220700000000001</v>
      </c>
      <c r="AF326">
        <v>3.9280684076597199</v>
      </c>
      <c r="AG326">
        <v>-1.0917478515718999</v>
      </c>
      <c r="AH326">
        <v>15.872173173326599</v>
      </c>
      <c r="AI326">
        <v>93.819936931401102</v>
      </c>
      <c r="AJ326">
        <v>76.099650805443403</v>
      </c>
      <c r="AK326">
        <v>16.387419443913</v>
      </c>
      <c r="AL326">
        <v>83.8708986747898</v>
      </c>
      <c r="AM326">
        <v>86.699521738220199</v>
      </c>
      <c r="AN326">
        <v>1.0000000401595901</v>
      </c>
    </row>
    <row r="327" spans="1:40" x14ac:dyDescent="0.3">
      <c r="A327" t="str">
        <f>"20200111150240251"</f>
        <v>20200111150240251</v>
      </c>
      <c r="B327" t="str">
        <f>"1578726160246872"</f>
        <v>1578726160246872</v>
      </c>
      <c r="C327" t="s">
        <v>40</v>
      </c>
      <c r="D327">
        <v>5.6813219999999998</v>
      </c>
      <c r="E327">
        <v>0.57012220000000002</v>
      </c>
      <c r="F327" t="s">
        <v>41</v>
      </c>
      <c r="G327">
        <v>-188.27549999999999</v>
      </c>
      <c r="H327" s="1">
        <v>-9.849695E-7</v>
      </c>
      <c r="I327">
        <v>331.19409999999999</v>
      </c>
      <c r="J327">
        <v>-185.72579999999999</v>
      </c>
      <c r="K327">
        <v>1.092041</v>
      </c>
      <c r="L327">
        <v>346.74799999999999</v>
      </c>
      <c r="M327">
        <v>7.160205E-2</v>
      </c>
      <c r="N327">
        <v>0</v>
      </c>
      <c r="O327">
        <v>-0.99730079999999999</v>
      </c>
      <c r="P327">
        <v>2.031235E-2</v>
      </c>
      <c r="Q327">
        <v>8.9302039999999999E-2</v>
      </c>
      <c r="R327">
        <v>-0.99579759999999995</v>
      </c>
      <c r="S327">
        <v>-0.48793029999999998</v>
      </c>
      <c r="T327">
        <v>-0.20994199999999999</v>
      </c>
      <c r="U327">
        <v>-3.0489809999999999</v>
      </c>
      <c r="V327">
        <v>5.4121139999999998E-2</v>
      </c>
      <c r="W327">
        <v>0.1039197</v>
      </c>
      <c r="X327">
        <v>0.99311210000000005</v>
      </c>
      <c r="Y327">
        <v>0.2279669</v>
      </c>
      <c r="Z327">
        <v>6.7099229999999996E-2</v>
      </c>
      <c r="AA327">
        <v>0.9713541</v>
      </c>
      <c r="AB327">
        <v>30</v>
      </c>
      <c r="AC327">
        <v>-2.5497000000000001</v>
      </c>
      <c r="AD327">
        <v>-1.0920419849695</v>
      </c>
      <c r="AE327">
        <v>-15.553900000000001</v>
      </c>
      <c r="AF327">
        <v>3.6395207963137</v>
      </c>
      <c r="AG327">
        <v>-1.0920419849695</v>
      </c>
      <c r="AH327">
        <v>15.2581328310998</v>
      </c>
      <c r="AI327">
        <v>93.982393649755195</v>
      </c>
      <c r="AJ327">
        <v>76.583936692809104</v>
      </c>
      <c r="AK327">
        <v>15.7241624519471</v>
      </c>
      <c r="AL327">
        <v>84.035070701161004</v>
      </c>
      <c r="AM327">
        <v>86.880665743221996</v>
      </c>
      <c r="AN327">
        <v>1.0000000225046899</v>
      </c>
    </row>
    <row r="328" spans="1:40" x14ac:dyDescent="0.3">
      <c r="A328" t="str">
        <f>"20200111150240275"</f>
        <v>20200111150240275</v>
      </c>
      <c r="B328" t="str">
        <f>"1578726160266390"</f>
        <v>1578726160266390</v>
      </c>
      <c r="C328" t="s">
        <v>40</v>
      </c>
      <c r="D328">
        <v>5.54033</v>
      </c>
      <c r="E328">
        <v>0.5680016</v>
      </c>
      <c r="F328" t="s">
        <v>41</v>
      </c>
      <c r="G328">
        <v>-188.13159999999999</v>
      </c>
      <c r="H328" s="1">
        <v>-1.5844879999999999E-6</v>
      </c>
      <c r="I328">
        <v>332.55369999999999</v>
      </c>
      <c r="J328">
        <v>-185.7167</v>
      </c>
      <c r="K328">
        <v>1.092392</v>
      </c>
      <c r="L328">
        <v>346.41649999999998</v>
      </c>
      <c r="M328">
        <v>5.6963319999999998E-2</v>
      </c>
      <c r="N328">
        <v>0</v>
      </c>
      <c r="O328">
        <v>-0.9982451</v>
      </c>
      <c r="P328">
        <v>7.3412460000000001E-3</v>
      </c>
      <c r="Q328">
        <v>8.5446110000000006E-2</v>
      </c>
      <c r="R328">
        <v>-0.99631599999999998</v>
      </c>
      <c r="S328">
        <v>-0.51597599999999999</v>
      </c>
      <c r="T328">
        <v>-0.23420640000000001</v>
      </c>
      <c r="U328">
        <v>-3.0441889999999998</v>
      </c>
      <c r="V328">
        <v>5.2302059999999997E-2</v>
      </c>
      <c r="W328">
        <v>0.1000875</v>
      </c>
      <c r="X328">
        <v>0.99360309999999996</v>
      </c>
      <c r="Y328">
        <v>0.22253629999999999</v>
      </c>
      <c r="Z328">
        <v>7.5027650000000001E-2</v>
      </c>
      <c r="AA328">
        <v>0.97203309999999998</v>
      </c>
      <c r="AB328">
        <v>30</v>
      </c>
      <c r="AC328">
        <v>-2.4148999999999798</v>
      </c>
      <c r="AD328">
        <v>-1.0923935844879999</v>
      </c>
      <c r="AE328">
        <v>-13.862799999999901</v>
      </c>
      <c r="AF328">
        <v>3.1815782251702198</v>
      </c>
      <c r="AG328">
        <v>-1.0923935844879999</v>
      </c>
      <c r="AH328">
        <v>13.6206197141556</v>
      </c>
      <c r="AI328">
        <v>94.465685679284505</v>
      </c>
      <c r="AJ328">
        <v>76.852280527726293</v>
      </c>
      <c r="AK328">
        <v>14.029862620280801</v>
      </c>
      <c r="AL328">
        <v>84.255791247884602</v>
      </c>
      <c r="AM328">
        <v>86.986800757595404</v>
      </c>
      <c r="AN328">
        <v>1.00000006673304</v>
      </c>
    </row>
    <row r="329" spans="1:40" x14ac:dyDescent="0.3">
      <c r="A329" t="str">
        <f>"20200111150240296"</f>
        <v>20200111150240296</v>
      </c>
      <c r="B329" t="str">
        <f>"1578726160285913"</f>
        <v>1578726160285913</v>
      </c>
      <c r="C329" t="s">
        <v>40</v>
      </c>
      <c r="D329">
        <v>5.5505519999999997</v>
      </c>
      <c r="E329">
        <v>0.56608719999999901</v>
      </c>
      <c r="F329" t="s">
        <v>41</v>
      </c>
      <c r="G329">
        <v>-188.02600000000001</v>
      </c>
      <c r="H329" s="1">
        <v>-1.9521330000000002E-6</v>
      </c>
      <c r="I329">
        <v>333.36709999999999</v>
      </c>
      <c r="J329">
        <v>-185.7122</v>
      </c>
      <c r="K329">
        <v>1.0927439999999999</v>
      </c>
      <c r="L329">
        <v>346.1182</v>
      </c>
      <c r="M329">
        <v>4.4196199999999998E-2</v>
      </c>
      <c r="N329">
        <v>0</v>
      </c>
      <c r="O329">
        <v>-0.99889329999999998</v>
      </c>
      <c r="P329">
        <v>-3.9019910000000001E-3</v>
      </c>
      <c r="Q329">
        <v>8.2846729999999993E-2</v>
      </c>
      <c r="R329">
        <v>-0.99655519999999997</v>
      </c>
      <c r="S329">
        <v>-0.53741459999999996</v>
      </c>
      <c r="T329">
        <v>-0.25421969999999999</v>
      </c>
      <c r="U329">
        <v>-3.036835</v>
      </c>
      <c r="V329">
        <v>5.0660549999999999E-2</v>
      </c>
      <c r="W329">
        <v>9.7506159999999995E-2</v>
      </c>
      <c r="X329">
        <v>0.99394470000000001</v>
      </c>
      <c r="Y329">
        <v>0.21702859999999999</v>
      </c>
      <c r="Z329">
        <v>8.1673120000000002E-2</v>
      </c>
      <c r="AA329">
        <v>0.97274260000000001</v>
      </c>
      <c r="AB329">
        <v>30</v>
      </c>
      <c r="AC329">
        <v>-2.3137999999999801</v>
      </c>
      <c r="AD329">
        <v>-1.0927459521330001</v>
      </c>
      <c r="AE329">
        <v>-12.751099999999999</v>
      </c>
      <c r="AF329">
        <v>2.8548634017333598</v>
      </c>
      <c r="AG329">
        <v>-1.0927459521330001</v>
      </c>
      <c r="AH329">
        <v>12.5471518713286</v>
      </c>
      <c r="AI329">
        <v>94.8539524009188</v>
      </c>
      <c r="AJ329">
        <v>77.181674932106503</v>
      </c>
      <c r="AK329">
        <v>12.9141534310479</v>
      </c>
      <c r="AL329">
        <v>84.404417958613706</v>
      </c>
      <c r="AM329">
        <v>87.082205812223904</v>
      </c>
      <c r="AN329">
        <v>1.0000000046111599</v>
      </c>
    </row>
    <row r="330" spans="1:40" x14ac:dyDescent="0.3">
      <c r="A330" t="str">
        <f>"20200111150240319"</f>
        <v>20200111150240319</v>
      </c>
      <c r="B330" t="str">
        <f>"1578726160316167"</f>
        <v>1578726160316167</v>
      </c>
      <c r="C330" t="s">
        <v>40</v>
      </c>
      <c r="D330">
        <v>5.6229120000000004</v>
      </c>
      <c r="E330">
        <v>0.56492050000000005</v>
      </c>
      <c r="F330" t="s">
        <v>41</v>
      </c>
      <c r="G330">
        <v>-187.9898</v>
      </c>
      <c r="H330" s="1">
        <v>-2.115596E-6</v>
      </c>
      <c r="I330">
        <v>333.73309999999998</v>
      </c>
      <c r="J330">
        <v>-185.71109999999999</v>
      </c>
      <c r="K330">
        <v>1.093172</v>
      </c>
      <c r="L330">
        <v>345.80630000000002</v>
      </c>
      <c r="M330">
        <v>3.1386629999999999E-2</v>
      </c>
      <c r="N330">
        <v>0</v>
      </c>
      <c r="O330">
        <v>-0.99937889999999996</v>
      </c>
      <c r="P330">
        <v>-1.406282E-2</v>
      </c>
      <c r="Q330">
        <v>8.2898650000000004E-2</v>
      </c>
      <c r="R330">
        <v>-0.99645870000000003</v>
      </c>
      <c r="S330">
        <v>-0.55726619999999905</v>
      </c>
      <c r="T330">
        <v>-0.26737430000000001</v>
      </c>
      <c r="U330">
        <v>-3.0303960000000001</v>
      </c>
      <c r="V330">
        <v>4.7948900000000003E-2</v>
      </c>
      <c r="W330">
        <v>9.7597740000000002E-2</v>
      </c>
      <c r="X330">
        <v>0.99407020000000001</v>
      </c>
      <c r="Y330">
        <v>0.21096999999999999</v>
      </c>
      <c r="Z330">
        <v>8.6118420000000001E-2</v>
      </c>
      <c r="AA330">
        <v>0.97369159999999999</v>
      </c>
      <c r="AB330">
        <v>30</v>
      </c>
      <c r="AC330">
        <v>-2.2787000000000099</v>
      </c>
      <c r="AD330">
        <v>-1.093174115596</v>
      </c>
      <c r="AE330">
        <v>-12.0732</v>
      </c>
      <c r="AF330">
        <v>2.6356972935389198</v>
      </c>
      <c r="AG330">
        <v>-1.093174115596</v>
      </c>
      <c r="AH330">
        <v>11.901502303011901</v>
      </c>
      <c r="AI330">
        <v>95.124518792344901</v>
      </c>
      <c r="AJ330">
        <v>77.512859127296593</v>
      </c>
      <c r="AK330">
        <v>12.2387780002244</v>
      </c>
      <c r="AL330">
        <v>84.399145577981699</v>
      </c>
      <c r="AM330">
        <v>87.238482789967605</v>
      </c>
      <c r="AN330">
        <v>0.99999998919617805</v>
      </c>
    </row>
    <row r="331" spans="1:40" x14ac:dyDescent="0.3">
      <c r="A331" t="str">
        <f>"20200111150240341"</f>
        <v>20200111150240341</v>
      </c>
      <c r="B331" t="str">
        <f>"1578726160336663"</f>
        <v>1578726160336663</v>
      </c>
      <c r="C331" t="s">
        <v>40</v>
      </c>
      <c r="D331">
        <v>5.54495</v>
      </c>
      <c r="E331">
        <v>0.56395729999999999</v>
      </c>
      <c r="F331" t="s">
        <v>41</v>
      </c>
      <c r="G331">
        <v>-188.0641</v>
      </c>
      <c r="H331" s="1">
        <v>-2.0199540000000001E-6</v>
      </c>
      <c r="I331">
        <v>333.54090000000002</v>
      </c>
      <c r="J331">
        <v>-185.7133</v>
      </c>
      <c r="K331">
        <v>1.0936859999999999</v>
      </c>
      <c r="L331">
        <v>345.49939999999998</v>
      </c>
      <c r="M331">
        <v>1.9435520000000001E-2</v>
      </c>
      <c r="N331">
        <v>0</v>
      </c>
      <c r="O331">
        <v>-0.99968429999999997</v>
      </c>
      <c r="P331">
        <v>-2.2899360000000001E-2</v>
      </c>
      <c r="Q331">
        <v>8.3356589999999994E-2</v>
      </c>
      <c r="R331">
        <v>-0.9962567</v>
      </c>
      <c r="S331">
        <v>-0.58029169999999997</v>
      </c>
      <c r="T331">
        <v>-0.26960220000000001</v>
      </c>
      <c r="U331">
        <v>-3.0249329999999999</v>
      </c>
      <c r="V331">
        <v>4.4767590000000003E-2</v>
      </c>
      <c r="W331">
        <v>9.8097909999999996E-2</v>
      </c>
      <c r="X331">
        <v>0.99416939999999998</v>
      </c>
      <c r="Y331">
        <v>0.2067398</v>
      </c>
      <c r="Z331">
        <v>8.7003339999999998E-2</v>
      </c>
      <c r="AA331">
        <v>0.97451989999999999</v>
      </c>
      <c r="AB331">
        <v>30</v>
      </c>
      <c r="AC331">
        <v>-2.3507999999999898</v>
      </c>
      <c r="AD331">
        <v>-1.093688019954</v>
      </c>
      <c r="AE331">
        <v>-11.9584999999999</v>
      </c>
      <c r="AF331">
        <v>2.5621713835304201</v>
      </c>
      <c r="AG331">
        <v>-1.093688019954</v>
      </c>
      <c r="AH331">
        <v>11.815394407391199</v>
      </c>
      <c r="AI331">
        <v>95.169029962656694</v>
      </c>
      <c r="AJ331">
        <v>77.764830096179594</v>
      </c>
      <c r="AK331">
        <v>12.139374806215701</v>
      </c>
      <c r="AL331">
        <v>84.370350203882595</v>
      </c>
      <c r="AM331">
        <v>87.421704609901894</v>
      </c>
      <c r="AN331">
        <v>1.00000006647856</v>
      </c>
    </row>
    <row r="332" spans="1:40" x14ac:dyDescent="0.3">
      <c r="A332" t="str">
        <f>"20200111150240364"</f>
        <v>20200111150240364</v>
      </c>
      <c r="B332" t="str">
        <f>"1578726160356183"</f>
        <v>1578726160356183</v>
      </c>
      <c r="C332" t="s">
        <v>40</v>
      </c>
      <c r="D332">
        <v>5.5792650000000004</v>
      </c>
      <c r="E332">
        <v>0.54635630000000002</v>
      </c>
      <c r="F332" t="s">
        <v>41</v>
      </c>
      <c r="G332">
        <v>-188.1671</v>
      </c>
      <c r="H332" s="1">
        <v>-1.825633E-6</v>
      </c>
      <c r="I332">
        <v>333.13049999999998</v>
      </c>
      <c r="J332">
        <v>-185.71879999999999</v>
      </c>
      <c r="K332">
        <v>1.0943080000000001</v>
      </c>
      <c r="L332">
        <v>345.18299999999999</v>
      </c>
      <c r="M332">
        <v>7.8936869999999999E-3</v>
      </c>
      <c r="N332">
        <v>0</v>
      </c>
      <c r="O332">
        <v>-0.99984390000000001</v>
      </c>
      <c r="P332">
        <v>-2.922344E-2</v>
      </c>
      <c r="Q332">
        <v>8.4409289999999998E-2</v>
      </c>
      <c r="R332">
        <v>-0.99600290000000002</v>
      </c>
      <c r="S332">
        <v>-0.59907529999999998</v>
      </c>
      <c r="T332">
        <v>-0.26702199999999998</v>
      </c>
      <c r="U332">
        <v>-3.0198360000000002</v>
      </c>
      <c r="V332">
        <v>3.9474420000000003E-2</v>
      </c>
      <c r="W332">
        <v>9.9230120000000005E-2</v>
      </c>
      <c r="X332">
        <v>0.99428119999999998</v>
      </c>
      <c r="Y332">
        <v>0.2015989</v>
      </c>
      <c r="Z332">
        <v>8.6335800000000004E-2</v>
      </c>
      <c r="AA332">
        <v>0.97565570000000001</v>
      </c>
      <c r="AB332">
        <v>30</v>
      </c>
      <c r="AC332">
        <v>-2.4483000000000099</v>
      </c>
      <c r="AD332">
        <v>-1.0943098256329999</v>
      </c>
      <c r="AE332">
        <v>-12.0525</v>
      </c>
      <c r="AF332">
        <v>2.52339630975542</v>
      </c>
      <c r="AG332">
        <v>-1.0943098256329999</v>
      </c>
      <c r="AH332">
        <v>11.9382794982105</v>
      </c>
      <c r="AI332">
        <v>95.124715986456707</v>
      </c>
      <c r="AJ332">
        <v>78.065051863541598</v>
      </c>
      <c r="AK332">
        <v>12.2510228270115</v>
      </c>
      <c r="AL332">
        <v>84.305160761315506</v>
      </c>
      <c r="AM332">
        <v>87.7264676471153</v>
      </c>
      <c r="AN332">
        <v>0.99999997561149501</v>
      </c>
    </row>
    <row r="333" spans="1:40" x14ac:dyDescent="0.3">
      <c r="A333" t="str">
        <f>"20200111150240386"</f>
        <v>20200111150240386</v>
      </c>
      <c r="B333" t="str">
        <f>"1578726160376679"</f>
        <v>1578726160376679</v>
      </c>
      <c r="C333" t="s">
        <v>40</v>
      </c>
      <c r="D333">
        <v>5.5759919999999896</v>
      </c>
      <c r="E333">
        <v>0.54462429999999995</v>
      </c>
      <c r="F333" t="s">
        <v>41</v>
      </c>
      <c r="G333">
        <v>-188.91929999999999</v>
      </c>
      <c r="H333" s="1">
        <v>-2.415985E-6</v>
      </c>
      <c r="I333">
        <v>324.8177</v>
      </c>
      <c r="J333">
        <v>-185.72649999999999</v>
      </c>
      <c r="K333">
        <v>1.0949899999999999</v>
      </c>
      <c r="L333">
        <v>344.8818</v>
      </c>
      <c r="M333">
        <v>-2.2608569999999998E-3</v>
      </c>
      <c r="N333">
        <v>0</v>
      </c>
      <c r="O333">
        <v>-0.99987420000000005</v>
      </c>
      <c r="P333">
        <v>-3.0319450000000001E-2</v>
      </c>
      <c r="Q333">
        <v>8.7718089999999999E-2</v>
      </c>
      <c r="R333">
        <v>-0.99568380000000001</v>
      </c>
      <c r="S333">
        <v>-0.47332760000000001</v>
      </c>
      <c r="T333">
        <v>-0.16183919999999999</v>
      </c>
      <c r="U333">
        <v>-3.0118710000000002</v>
      </c>
      <c r="V333">
        <v>3.0372409999999999E-2</v>
      </c>
      <c r="W333">
        <v>0.1026885</v>
      </c>
      <c r="X333">
        <v>0.99424979999999996</v>
      </c>
      <c r="Y333">
        <v>0.15279619999999999</v>
      </c>
      <c r="Z333">
        <v>5.3016750000000001E-2</v>
      </c>
      <c r="AA333">
        <v>0.98683460000000001</v>
      </c>
      <c r="AB333">
        <v>30</v>
      </c>
      <c r="AC333">
        <v>-3.1928000000000001</v>
      </c>
      <c r="AD333">
        <v>-1.094992415985</v>
      </c>
      <c r="AE333">
        <v>-20.0641</v>
      </c>
      <c r="AF333">
        <v>3.13830789900465</v>
      </c>
      <c r="AG333">
        <v>-1.094992415985</v>
      </c>
      <c r="AH333">
        <v>20.013133084643599</v>
      </c>
      <c r="AI333">
        <v>93.094005946366593</v>
      </c>
      <c r="AJ333">
        <v>81.087887044378405</v>
      </c>
      <c r="AK333">
        <v>20.287273861307099</v>
      </c>
      <c r="AL333">
        <v>84.105992805540097</v>
      </c>
      <c r="AM333">
        <v>88.250268798693597</v>
      </c>
      <c r="AN333">
        <v>1.0000000380607399</v>
      </c>
    </row>
    <row r="334" spans="1:40" x14ac:dyDescent="0.3">
      <c r="A334" t="str">
        <f>"20200111150240410"</f>
        <v>20200111150240410</v>
      </c>
      <c r="B334" t="str">
        <f>"1578726160406935"</f>
        <v>1578726160406935</v>
      </c>
      <c r="C334" t="s">
        <v>40</v>
      </c>
      <c r="D334">
        <v>5.5629400000000002</v>
      </c>
      <c r="E334">
        <v>0.54229899999999998</v>
      </c>
      <c r="F334" t="s">
        <v>41</v>
      </c>
      <c r="G334">
        <v>-188.7038</v>
      </c>
      <c r="H334" s="1">
        <v>-2.7551390000000001E-6</v>
      </c>
      <c r="I334">
        <v>325.51909999999998</v>
      </c>
      <c r="J334">
        <v>-185.73699999999999</v>
      </c>
      <c r="K334">
        <v>1.095783</v>
      </c>
      <c r="L334">
        <v>344.5677</v>
      </c>
      <c r="M334">
        <v>-1.189346E-2</v>
      </c>
      <c r="N334">
        <v>0</v>
      </c>
      <c r="O334">
        <v>-0.99980820000000004</v>
      </c>
      <c r="P334">
        <v>-3.078728E-2</v>
      </c>
      <c r="Q334">
        <v>9.2643749999999997E-2</v>
      </c>
      <c r="R334">
        <v>-0.99522379999999999</v>
      </c>
      <c r="S334">
        <v>-0.46342470000000002</v>
      </c>
      <c r="T334">
        <v>-0.1704406</v>
      </c>
      <c r="U334">
        <v>-3.0138850000000001</v>
      </c>
      <c r="V334">
        <v>2.11626E-2</v>
      </c>
      <c r="W334">
        <v>0.10773050000000001</v>
      </c>
      <c r="X334">
        <v>0.99395480000000003</v>
      </c>
      <c r="Y334">
        <v>0.1399725</v>
      </c>
      <c r="Z334">
        <v>5.585056E-2</v>
      </c>
      <c r="AA334">
        <v>0.98857899999999999</v>
      </c>
      <c r="AB334">
        <v>30</v>
      </c>
      <c r="AC334">
        <v>-2.9668000000000001</v>
      </c>
      <c r="AD334">
        <v>-1.095785755139</v>
      </c>
      <c r="AE334">
        <v>-19.0486</v>
      </c>
      <c r="AF334">
        <v>2.7311848849437799</v>
      </c>
      <c r="AG334">
        <v>-1.095785755139</v>
      </c>
      <c r="AH334">
        <v>19.0210880030466</v>
      </c>
      <c r="AI334">
        <v>93.2637087108684</v>
      </c>
      <c r="AJ334">
        <v>81.828908885774993</v>
      </c>
      <c r="AK334">
        <v>19.2473869945131</v>
      </c>
      <c r="AL334">
        <v>83.815494267832406</v>
      </c>
      <c r="AM334">
        <v>88.780282068789703</v>
      </c>
      <c r="AN334">
        <v>0.99999993035602197</v>
      </c>
    </row>
    <row r="335" spans="1:40" x14ac:dyDescent="0.3">
      <c r="A335" t="str">
        <f>"20200111150240431"</f>
        <v>20200111150240431</v>
      </c>
      <c r="B335" t="str">
        <f>"1578726160426455"</f>
        <v>1578726160426455</v>
      </c>
      <c r="C335" t="s">
        <v>40</v>
      </c>
      <c r="D335">
        <v>5.6313389999999997</v>
      </c>
      <c r="E335">
        <v>0.54113259999999996</v>
      </c>
      <c r="F335" t="s">
        <v>42</v>
      </c>
      <c r="G335">
        <v>-185.88460000000001</v>
      </c>
      <c r="H335">
        <v>1.03874</v>
      </c>
      <c r="I335">
        <v>343.57389999999998</v>
      </c>
      <c r="J335">
        <v>-185.74870000000001</v>
      </c>
      <c r="K335">
        <v>1.096563</v>
      </c>
      <c r="L335">
        <v>344.27670000000001</v>
      </c>
      <c r="M335">
        <v>-1.9853019999999999E-2</v>
      </c>
      <c r="N335">
        <v>0</v>
      </c>
      <c r="O335">
        <v>-0.99968330000000005</v>
      </c>
      <c r="P335">
        <v>-3.1645769999999997E-2</v>
      </c>
      <c r="Q335">
        <v>9.7476530000000006E-2</v>
      </c>
      <c r="R335">
        <v>-0.99473480000000003</v>
      </c>
      <c r="S335">
        <v>-0.44708249999999999</v>
      </c>
      <c r="T335">
        <v>-0.17315539999999999</v>
      </c>
      <c r="U335">
        <v>-3.016724</v>
      </c>
      <c r="V335">
        <v>1.3999289999999999E-2</v>
      </c>
      <c r="W335">
        <v>0.1126149</v>
      </c>
      <c r="X335">
        <v>0.99354010000000004</v>
      </c>
      <c r="Y335">
        <v>0.12669420000000001</v>
      </c>
      <c r="Z335">
        <v>5.6747550000000001E-2</v>
      </c>
      <c r="AA335">
        <v>0.99031729999999996</v>
      </c>
      <c r="AB335">
        <v>30</v>
      </c>
      <c r="AC335">
        <v>-0.135899999999992</v>
      </c>
      <c r="AD335">
        <v>-5.7822999999999902E-2</v>
      </c>
      <c r="AE335">
        <v>-0.70280000000002396</v>
      </c>
      <c r="AF335">
        <v>0.121128448365755</v>
      </c>
      <c r="AG335">
        <v>-5.7822999999999902E-2</v>
      </c>
      <c r="AH335">
        <v>0.70078701235032603</v>
      </c>
      <c r="AI335">
        <v>94.6482610694421</v>
      </c>
      <c r="AJ335">
        <v>80.193528782447302</v>
      </c>
      <c r="AK335">
        <v>0.71352507805359699</v>
      </c>
      <c r="AL335">
        <v>83.533924919524296</v>
      </c>
      <c r="AM335">
        <v>89.192738010937305</v>
      </c>
      <c r="AN335">
        <v>1.00000001306526</v>
      </c>
    </row>
    <row r="336" spans="1:40" x14ac:dyDescent="0.3">
      <c r="A336" t="str">
        <f>"20200111150240453"</f>
        <v>20200111150240453</v>
      </c>
      <c r="B336" t="str">
        <f>"1578726160445975"</f>
        <v>1578726160445975</v>
      </c>
      <c r="C336" t="s">
        <v>40</v>
      </c>
      <c r="D336">
        <v>5.6168690000000003</v>
      </c>
      <c r="E336">
        <v>0.5402882</v>
      </c>
      <c r="F336" t="s">
        <v>41</v>
      </c>
      <c r="G336">
        <v>-188.702</v>
      </c>
      <c r="H336" s="1">
        <v>-2.132957E-6</v>
      </c>
      <c r="I336">
        <v>324.06810000000002</v>
      </c>
      <c r="J336">
        <v>-185.7629</v>
      </c>
      <c r="K336">
        <v>1.0973269999999999</v>
      </c>
      <c r="L336">
        <v>343.96480000000003</v>
      </c>
      <c r="M336">
        <v>-2.754593E-2</v>
      </c>
      <c r="N336">
        <v>0</v>
      </c>
      <c r="O336">
        <v>-0.99950269999999997</v>
      </c>
      <c r="P336">
        <v>-3.4058209999999998E-2</v>
      </c>
      <c r="Q336">
        <v>0.1004811</v>
      </c>
      <c r="R336">
        <v>-0.99435609999999997</v>
      </c>
      <c r="S336">
        <v>-0.44103999999999999</v>
      </c>
      <c r="T336">
        <v>-0.16375719999999999</v>
      </c>
      <c r="U336">
        <v>-3.0178829999999999</v>
      </c>
      <c r="V336">
        <v>8.6132029999999998E-3</v>
      </c>
      <c r="W336">
        <v>0.1156145</v>
      </c>
      <c r="X336">
        <v>0.99325680000000005</v>
      </c>
      <c r="Y336">
        <v>0.117083199999999</v>
      </c>
      <c r="Z336">
        <v>5.3681220000000002E-2</v>
      </c>
      <c r="AA336">
        <v>0.9916703</v>
      </c>
      <c r="AB336">
        <v>30</v>
      </c>
      <c r="AC336">
        <v>-2.9390999999999901</v>
      </c>
      <c r="AD336">
        <v>-1.0973291329570001</v>
      </c>
      <c r="AE336">
        <v>-19.896699999999999</v>
      </c>
      <c r="AF336">
        <v>2.38275401365925</v>
      </c>
      <c r="AG336">
        <v>-1.0973291329570001</v>
      </c>
      <c r="AH336">
        <v>19.910849080334099</v>
      </c>
      <c r="AI336">
        <v>93.132197096396993</v>
      </c>
      <c r="AJ336">
        <v>83.175802105519395</v>
      </c>
      <c r="AK336">
        <v>20.082917094274102</v>
      </c>
      <c r="AL336">
        <v>83.360930175738403</v>
      </c>
      <c r="AM336">
        <v>89.503161910925201</v>
      </c>
      <c r="AN336">
        <v>0.99999998531120404</v>
      </c>
    </row>
    <row r="337" spans="1:40" x14ac:dyDescent="0.3">
      <c r="A337" t="str">
        <f>"20200111150240475"</f>
        <v>20200111150240475</v>
      </c>
      <c r="B337" t="str">
        <f>"1578726160466471"</f>
        <v>1578726160466471</v>
      </c>
      <c r="C337" t="s">
        <v>40</v>
      </c>
      <c r="D337">
        <v>5.6046459999999998</v>
      </c>
      <c r="E337">
        <v>0.53994909999999996</v>
      </c>
      <c r="F337" t="s">
        <v>41</v>
      </c>
      <c r="G337">
        <v>-188.8407</v>
      </c>
      <c r="H337" s="1">
        <v>-1.6289599999999999E-6</v>
      </c>
      <c r="I337">
        <v>322.95060000000001</v>
      </c>
      <c r="J337">
        <v>-185.77799999999999</v>
      </c>
      <c r="K337">
        <v>1.0979920000000001</v>
      </c>
      <c r="L337">
        <v>343.6671</v>
      </c>
      <c r="M337">
        <v>-3.4105150000000001E-2</v>
      </c>
      <c r="N337">
        <v>0</v>
      </c>
      <c r="O337">
        <v>-0.99930200000000002</v>
      </c>
      <c r="P337">
        <v>-3.7088759999999998E-2</v>
      </c>
      <c r="Q337">
        <v>0.1028515</v>
      </c>
      <c r="R337">
        <v>-0.99400529999999998</v>
      </c>
      <c r="S337">
        <v>-0.44198609999999999</v>
      </c>
      <c r="T337">
        <v>-0.1575838</v>
      </c>
      <c r="U337">
        <v>-3.017792</v>
      </c>
      <c r="V337">
        <v>4.982345E-3</v>
      </c>
      <c r="W337">
        <v>0.11794739999999999</v>
      </c>
      <c r="X337">
        <v>0.99300739999999998</v>
      </c>
      <c r="Y337">
        <v>0.11088720000000001</v>
      </c>
      <c r="Z337">
        <v>5.1666169999999997E-2</v>
      </c>
      <c r="AA337">
        <v>0.99248910000000001</v>
      </c>
      <c r="AB337">
        <v>30</v>
      </c>
      <c r="AC337">
        <v>-3.0627</v>
      </c>
      <c r="AD337">
        <v>-1.0979936289600001</v>
      </c>
      <c r="AE337">
        <v>-20.7165</v>
      </c>
      <c r="AF337">
        <v>2.3478421709727799</v>
      </c>
      <c r="AG337">
        <v>-1.0979936289600001</v>
      </c>
      <c r="AH337">
        <v>20.751864178848901</v>
      </c>
      <c r="AI337">
        <v>93.009565022915595</v>
      </c>
      <c r="AJ337">
        <v>83.545069569272897</v>
      </c>
      <c r="AK337">
        <v>20.913101629515101</v>
      </c>
      <c r="AL337">
        <v>83.226344409963801</v>
      </c>
      <c r="AM337">
        <v>89.712524856204098</v>
      </c>
      <c r="AN337">
        <v>1.0000000546915999</v>
      </c>
    </row>
    <row r="338" spans="1:40" x14ac:dyDescent="0.3">
      <c r="A338" t="str">
        <f>"20200111150240498"</f>
        <v>20200111150240498</v>
      </c>
      <c r="B338" t="str">
        <f>"1578726160485993"</f>
        <v>1578726160485993</v>
      </c>
      <c r="C338" t="s">
        <v>40</v>
      </c>
      <c r="D338">
        <v>5.777825</v>
      </c>
      <c r="E338">
        <v>0.53960129999999995</v>
      </c>
      <c r="F338" t="s">
        <v>41</v>
      </c>
      <c r="G338">
        <v>-188.92500000000001</v>
      </c>
      <c r="H338" s="1">
        <v>-1.4267390000000001E-6</v>
      </c>
      <c r="I338">
        <v>322.51409999999998</v>
      </c>
      <c r="J338">
        <v>-185.79509999999999</v>
      </c>
      <c r="K338">
        <v>1.098638</v>
      </c>
      <c r="L338">
        <v>343.35840000000002</v>
      </c>
      <c r="M338">
        <v>-4.0068409999999999E-2</v>
      </c>
      <c r="N338">
        <v>0</v>
      </c>
      <c r="O338">
        <v>-0.99908209999999997</v>
      </c>
      <c r="P338">
        <v>-4.1486130000000003E-2</v>
      </c>
      <c r="Q338">
        <v>0.10477110000000001</v>
      </c>
      <c r="R338">
        <v>-0.99363089999999998</v>
      </c>
      <c r="S338">
        <v>-0.44892880000000002</v>
      </c>
      <c r="T338">
        <v>-0.1566321</v>
      </c>
      <c r="U338">
        <v>-3.0175480000000001</v>
      </c>
      <c r="V338">
        <v>3.3007499999999999E-3</v>
      </c>
      <c r="W338">
        <v>0.1197915</v>
      </c>
      <c r="X338">
        <v>0.99279360000000005</v>
      </c>
      <c r="Y338">
        <v>0.1072041</v>
      </c>
      <c r="Z338">
        <v>5.134387E-2</v>
      </c>
      <c r="AA338">
        <v>0.99291039999999997</v>
      </c>
      <c r="AB338">
        <v>30</v>
      </c>
      <c r="AC338">
        <v>-3.1299000000000201</v>
      </c>
      <c r="AD338">
        <v>-1.0986394267389901</v>
      </c>
      <c r="AE338">
        <v>-20.8443</v>
      </c>
      <c r="AF338">
        <v>2.28588190579991</v>
      </c>
      <c r="AG338">
        <v>-1.0986394267389901</v>
      </c>
      <c r="AH338">
        <v>20.896211264350701</v>
      </c>
      <c r="AI338">
        <v>92.991797520695798</v>
      </c>
      <c r="AJ338">
        <v>83.757113486145798</v>
      </c>
      <c r="AK338">
        <v>21.049558424860798</v>
      </c>
      <c r="AL338">
        <v>83.119930496544697</v>
      </c>
      <c r="AM338">
        <v>89.809508897507698</v>
      </c>
      <c r="AN338">
        <v>1.00000001531188</v>
      </c>
    </row>
    <row r="339" spans="1:40" x14ac:dyDescent="0.3">
      <c r="A339" t="str">
        <f>"20200111150240520"</f>
        <v>20200111150240520</v>
      </c>
      <c r="B339" t="str">
        <f>"1578726160516246"</f>
        <v>1578726160516246</v>
      </c>
      <c r="C339" t="s">
        <v>40</v>
      </c>
      <c r="D339">
        <v>5.5211990000000002</v>
      </c>
      <c r="E339">
        <v>0.53925559999999995</v>
      </c>
      <c r="F339" t="s">
        <v>41</v>
      </c>
      <c r="G339">
        <v>-189.0677</v>
      </c>
      <c r="H339" s="1">
        <v>-1.1351970000000001E-6</v>
      </c>
      <c r="I339">
        <v>321.89350000000002</v>
      </c>
      <c r="J339">
        <v>-185.81219999999999</v>
      </c>
      <c r="K339">
        <v>1.099262</v>
      </c>
      <c r="L339">
        <v>343.06689999999998</v>
      </c>
      <c r="M339">
        <v>-4.4948719999999998E-2</v>
      </c>
      <c r="N339">
        <v>0</v>
      </c>
      <c r="O339">
        <v>-0.99887590000000004</v>
      </c>
      <c r="P339">
        <v>-4.3650649999999999E-2</v>
      </c>
      <c r="Q339">
        <v>0.107458</v>
      </c>
      <c r="R339">
        <v>-0.99325110000000005</v>
      </c>
      <c r="S339">
        <v>-0.45986939999999998</v>
      </c>
      <c r="T339">
        <v>-0.15438299999999999</v>
      </c>
      <c r="U339">
        <v>-3.0162960000000001</v>
      </c>
      <c r="V339">
        <v>4.799103E-4</v>
      </c>
      <c r="W339">
        <v>0.122417899999999</v>
      </c>
      <c r="X339">
        <v>0.99247850000000004</v>
      </c>
      <c r="Y339">
        <v>0.10593420000000001</v>
      </c>
      <c r="Z339">
        <v>5.060336E-2</v>
      </c>
      <c r="AA339">
        <v>0.99308470000000004</v>
      </c>
      <c r="AB339">
        <v>30</v>
      </c>
      <c r="AC339">
        <v>-3.2555000000000098</v>
      </c>
      <c r="AD339">
        <v>-1.0992631351969999</v>
      </c>
      <c r="AE339">
        <v>-21.173399999999901</v>
      </c>
      <c r="AF339">
        <v>2.2943425181970998</v>
      </c>
      <c r="AG339">
        <v>-1.0992631351969999</v>
      </c>
      <c r="AH339">
        <v>21.242407901389399</v>
      </c>
      <c r="AI339">
        <v>92.945230515894195</v>
      </c>
      <c r="AJ339">
        <v>83.835514403854802</v>
      </c>
      <c r="AK339">
        <v>21.394211377852301</v>
      </c>
      <c r="AL339">
        <v>82.968332720007197</v>
      </c>
      <c r="AM339">
        <v>89.972294782615606</v>
      </c>
      <c r="AN339">
        <v>0.99999997275827701</v>
      </c>
    </row>
    <row r="340" spans="1:40" x14ac:dyDescent="0.3">
      <c r="A340" t="str">
        <f>"20200111150240541"</f>
        <v>20200111150240541</v>
      </c>
      <c r="B340" t="str">
        <f>"1578726160536743"</f>
        <v>1578726160536743</v>
      </c>
      <c r="C340" t="s">
        <v>40</v>
      </c>
      <c r="D340">
        <v>5.6239990000000004</v>
      </c>
      <c r="E340">
        <v>0.53858660000000003</v>
      </c>
      <c r="F340" t="s">
        <v>41</v>
      </c>
      <c r="G340">
        <v>-188.98179999999999</v>
      </c>
      <c r="H340" s="1">
        <v>-1.4238010000000001E-6</v>
      </c>
      <c r="I340">
        <v>322.53070000000002</v>
      </c>
      <c r="J340">
        <v>-185.8304</v>
      </c>
      <c r="K340">
        <v>1.099898</v>
      </c>
      <c r="L340">
        <v>342.77300000000002</v>
      </c>
      <c r="M340">
        <v>-4.9183190000000002E-2</v>
      </c>
      <c r="N340">
        <v>0</v>
      </c>
      <c r="O340">
        <v>-0.99867779999999995</v>
      </c>
      <c r="P340">
        <v>-4.5647970000000003E-2</v>
      </c>
      <c r="Q340">
        <v>0.109257199999999</v>
      </c>
      <c r="R340">
        <v>-0.99296499999999999</v>
      </c>
      <c r="S340">
        <v>-0.46569820000000001</v>
      </c>
      <c r="T340">
        <v>-0.16151489999999999</v>
      </c>
      <c r="U340">
        <v>-3.017395</v>
      </c>
      <c r="V340">
        <v>-1.8919449999999999E-3</v>
      </c>
      <c r="W340">
        <v>0.12414989999999999</v>
      </c>
      <c r="X340">
        <v>0.99226159999999997</v>
      </c>
      <c r="Y340">
        <v>0.1035205</v>
      </c>
      <c r="Z340">
        <v>5.2898800000000003E-2</v>
      </c>
      <c r="AA340">
        <v>0.99321959999999998</v>
      </c>
      <c r="AB340">
        <v>30</v>
      </c>
      <c r="AC340">
        <v>-3.15139999999999</v>
      </c>
      <c r="AD340">
        <v>-1.099899423801</v>
      </c>
      <c r="AE340">
        <v>-20.2423</v>
      </c>
      <c r="AF340">
        <v>2.1457077635002499</v>
      </c>
      <c r="AG340">
        <v>-1.099899423801</v>
      </c>
      <c r="AH340">
        <v>20.314251988348499</v>
      </c>
      <c r="AI340">
        <v>93.082097235734494</v>
      </c>
      <c r="AJ340">
        <v>83.970448436970102</v>
      </c>
      <c r="AK340">
        <v>20.456849082763</v>
      </c>
      <c r="AL340">
        <v>82.868333258001996</v>
      </c>
      <c r="AM340">
        <v>90.109245719281802</v>
      </c>
      <c r="AN340">
        <v>0.99999992998022402</v>
      </c>
    </row>
    <row r="341" spans="1:40" x14ac:dyDescent="0.3">
      <c r="A341" t="str">
        <f>"20200111150240566"</f>
        <v>20200111150240566</v>
      </c>
      <c r="B341" t="str">
        <f>"1578726160556263"</f>
        <v>1578726160556263</v>
      </c>
      <c r="C341" t="s">
        <v>40</v>
      </c>
      <c r="D341">
        <v>5.6254819999999999</v>
      </c>
      <c r="E341">
        <v>0.52766469999999999</v>
      </c>
      <c r="F341" t="s">
        <v>41</v>
      </c>
      <c r="G341">
        <v>-189.02979999999999</v>
      </c>
      <c r="H341" s="1">
        <v>-1.2284500000000001E-6</v>
      </c>
      <c r="I341">
        <v>322.09519999999998</v>
      </c>
      <c r="J341">
        <v>-185.8509</v>
      </c>
      <c r="K341">
        <v>1.1005990000000001</v>
      </c>
      <c r="L341">
        <v>342.4504</v>
      </c>
      <c r="M341">
        <v>-5.3104459999999999E-2</v>
      </c>
      <c r="N341">
        <v>0</v>
      </c>
      <c r="O341">
        <v>-0.99847830000000004</v>
      </c>
      <c r="P341">
        <v>-4.659576E-2</v>
      </c>
      <c r="Q341">
        <v>0.11068740000000001</v>
      </c>
      <c r="R341">
        <v>-0.99276240000000004</v>
      </c>
      <c r="S341">
        <v>-0.46688839999999998</v>
      </c>
      <c r="T341">
        <v>-0.16050639999999999</v>
      </c>
      <c r="U341">
        <v>-3.017487</v>
      </c>
      <c r="V341">
        <v>-5.0332320000000003E-3</v>
      </c>
      <c r="W341">
        <v>0.12551199999999901</v>
      </c>
      <c r="X341">
        <v>0.9920793</v>
      </c>
      <c r="Y341">
        <v>9.9995020000000004E-2</v>
      </c>
      <c r="Z341">
        <v>5.2559939999999999E-2</v>
      </c>
      <c r="AA341">
        <v>0.9935988</v>
      </c>
      <c r="AB341">
        <v>30</v>
      </c>
      <c r="AC341">
        <v>-3.1788999999999898</v>
      </c>
      <c r="AD341">
        <v>-1.1006002284499901</v>
      </c>
      <c r="AE341">
        <v>-20.3552</v>
      </c>
      <c r="AF341">
        <v>2.0873848411642002</v>
      </c>
      <c r="AG341">
        <v>-1.1006002284499901</v>
      </c>
      <c r="AH341">
        <v>20.436978416590101</v>
      </c>
      <c r="AI341">
        <v>93.066669567072594</v>
      </c>
      <c r="AJ341">
        <v>84.168167335320803</v>
      </c>
      <c r="AK341">
        <v>20.5727631381435</v>
      </c>
      <c r="AL341">
        <v>82.789675669946405</v>
      </c>
      <c r="AM341">
        <v>90.290682888620793</v>
      </c>
      <c r="AN341">
        <v>0.99999996652842704</v>
      </c>
    </row>
    <row r="342" spans="1:40" x14ac:dyDescent="0.3">
      <c r="A342" t="str">
        <f>"20200111150240587"</f>
        <v>20200111150240587</v>
      </c>
      <c r="B342" t="str">
        <f>"1578726160576776"</f>
        <v>1578726160576776</v>
      </c>
      <c r="C342" t="s">
        <v>40</v>
      </c>
      <c r="D342">
        <v>5.5739530000000004</v>
      </c>
      <c r="E342">
        <v>0.52867869999999995</v>
      </c>
      <c r="F342" t="s">
        <v>42</v>
      </c>
      <c r="G342">
        <v>-185.9479</v>
      </c>
      <c r="H342">
        <v>1.0295160000000001</v>
      </c>
      <c r="I342">
        <v>341.6936</v>
      </c>
      <c r="J342">
        <v>-185.86969999999999</v>
      </c>
      <c r="K342">
        <v>1.1012029999999999</v>
      </c>
      <c r="L342">
        <v>342.16160000000002</v>
      </c>
      <c r="M342">
        <v>-5.5958040000000001E-2</v>
      </c>
      <c r="N342">
        <v>0</v>
      </c>
      <c r="O342">
        <v>-0.99832339999999997</v>
      </c>
      <c r="P342">
        <v>-4.6605750000000001E-2</v>
      </c>
      <c r="Q342">
        <v>0.1099222</v>
      </c>
      <c r="R342">
        <v>-0.99284700000000004</v>
      </c>
      <c r="S342">
        <v>-0.38920589999999999</v>
      </c>
      <c r="T342">
        <v>-0.28508329999999998</v>
      </c>
      <c r="U342">
        <v>-3.035431</v>
      </c>
      <c r="V342">
        <v>-8.0592649999999995E-3</v>
      </c>
      <c r="W342">
        <v>0.1246902</v>
      </c>
      <c r="X342">
        <v>0.99216300000000002</v>
      </c>
      <c r="Y342">
        <v>7.0921440000000002E-2</v>
      </c>
      <c r="Z342">
        <v>9.2794299999999996E-2</v>
      </c>
      <c r="AA342">
        <v>0.99315629999999999</v>
      </c>
      <c r="AB342">
        <v>30</v>
      </c>
      <c r="AC342">
        <v>-7.8200000000009595E-2</v>
      </c>
      <c r="AD342">
        <v>-7.1687000000000195E-2</v>
      </c>
      <c r="AE342">
        <v>-0.46800000000001701</v>
      </c>
      <c r="AF342">
        <v>5.0728287886784601E-2</v>
      </c>
      <c r="AG342">
        <v>-7.1687000000000195E-2</v>
      </c>
      <c r="AH342">
        <v>0.46111747538763598</v>
      </c>
      <c r="AI342">
        <v>98.7845087282641</v>
      </c>
      <c r="AJ342">
        <v>83.722042784264602</v>
      </c>
      <c r="AK342">
        <v>0.46940570008127502</v>
      </c>
      <c r="AL342">
        <v>82.837134478335997</v>
      </c>
      <c r="AM342">
        <v>90.465399047237497</v>
      </c>
      <c r="AN342">
        <v>1.0000000081486899</v>
      </c>
    </row>
    <row r="343" spans="1:40" x14ac:dyDescent="0.3">
      <c r="A343" t="str">
        <f>"20200111150243372"</f>
        <v>20200111150243372</v>
      </c>
      <c r="B343" t="str">
        <f>"1578726163366206"</f>
        <v>1578726163366206</v>
      </c>
      <c r="C343" t="s">
        <v>40</v>
      </c>
      <c r="D343">
        <v>5.5680670000000001</v>
      </c>
      <c r="E343">
        <v>0.84172089999999999</v>
      </c>
      <c r="F343" t="s">
        <v>44</v>
      </c>
      <c r="G343">
        <v>0</v>
      </c>
      <c r="H343">
        <v>0</v>
      </c>
      <c r="I343">
        <v>0</v>
      </c>
      <c r="J343">
        <v>-189.64189999999999</v>
      </c>
      <c r="K343">
        <v>1.097747</v>
      </c>
      <c r="L343">
        <v>308.108</v>
      </c>
      <c r="M343">
        <v>-0.23416100000000001</v>
      </c>
      <c r="N343">
        <v>0</v>
      </c>
      <c r="O343">
        <v>-0.97208799999999995</v>
      </c>
      <c r="P343">
        <v>-0.2939408</v>
      </c>
      <c r="Q343">
        <v>8.0826629999999997E-2</v>
      </c>
      <c r="R343">
        <v>-0.95240009999999997</v>
      </c>
      <c r="S343">
        <v>-3.4664760000000001</v>
      </c>
      <c r="T343">
        <v>1.7183200000000001</v>
      </c>
      <c r="U343">
        <v>-1.9760439999999999</v>
      </c>
      <c r="V343">
        <v>6.4267080000000004E-2</v>
      </c>
      <c r="W343">
        <v>9.4324649999999996E-2</v>
      </c>
      <c r="X343">
        <v>0.99346489999999998</v>
      </c>
      <c r="Y343">
        <v>0.64734639999999999</v>
      </c>
      <c r="Z343">
        <v>-0.42257679999999997</v>
      </c>
      <c r="AA343">
        <v>0.63432759999999999</v>
      </c>
      <c r="AB343">
        <v>25</v>
      </c>
      <c r="AC343">
        <v>-3.4664760000000001</v>
      </c>
      <c r="AD343">
        <v>1.7183200000000001</v>
      </c>
      <c r="AE343">
        <v>-1.9760439999999999</v>
      </c>
      <c r="AF343">
        <v>2.4524966678956601</v>
      </c>
      <c r="AG343">
        <v>1.7183200000000001</v>
      </c>
      <c r="AH343">
        <v>2.30535977623392</v>
      </c>
      <c r="AI343">
        <v>62.955453801702198</v>
      </c>
      <c r="AJ343">
        <v>43.228690362129903</v>
      </c>
      <c r="AK343">
        <v>3.7791595925968302</v>
      </c>
      <c r="AL343">
        <v>84.587549179086693</v>
      </c>
      <c r="AM343">
        <v>86.298702786189807</v>
      </c>
      <c r="AN343">
        <v>0.99999995235067796</v>
      </c>
    </row>
    <row r="344" spans="1:40" x14ac:dyDescent="0.3">
      <c r="A344" t="str">
        <f>"20200111150243414"</f>
        <v>20200111150243414</v>
      </c>
      <c r="B344" t="str">
        <f>"1578726163406222"</f>
        <v>1578726163406222</v>
      </c>
      <c r="C344" t="s">
        <v>40</v>
      </c>
      <c r="D344">
        <v>5.5900089999999896</v>
      </c>
      <c r="E344">
        <v>0.83627960000000001</v>
      </c>
      <c r="F344" t="s">
        <v>44</v>
      </c>
      <c r="G344">
        <v>0</v>
      </c>
      <c r="H344">
        <v>0</v>
      </c>
      <c r="I344">
        <v>0</v>
      </c>
      <c r="J344">
        <v>-189.77510000000001</v>
      </c>
      <c r="K344">
        <v>1.0977730000000001</v>
      </c>
      <c r="L344">
        <v>307.65120000000002</v>
      </c>
      <c r="M344">
        <v>-0.25177129999999998</v>
      </c>
      <c r="N344">
        <v>0</v>
      </c>
      <c r="O344">
        <v>-0.96767619999999999</v>
      </c>
      <c r="P344">
        <v>-0.3139941</v>
      </c>
      <c r="Q344">
        <v>8.1018409999999999E-2</v>
      </c>
      <c r="R344">
        <v>-0.94596199999999997</v>
      </c>
      <c r="S344">
        <v>-3.4478</v>
      </c>
      <c r="T344">
        <v>1.7123200000000001</v>
      </c>
      <c r="U344">
        <v>-1.9405209999999999</v>
      </c>
      <c r="V344">
        <v>6.7222249999999997E-2</v>
      </c>
      <c r="W344">
        <v>9.4487950000000001E-2</v>
      </c>
      <c r="X344">
        <v>0.99325379999999996</v>
      </c>
      <c r="Y344">
        <v>0.63716719999999905</v>
      </c>
      <c r="Z344">
        <v>-0.42476009999999997</v>
      </c>
      <c r="AA344">
        <v>0.64311499999999999</v>
      </c>
      <c r="AB344">
        <v>25</v>
      </c>
      <c r="AC344">
        <v>-3.4478</v>
      </c>
      <c r="AD344">
        <v>1.7123200000000001</v>
      </c>
      <c r="AE344">
        <v>-1.9405209999999999</v>
      </c>
      <c r="AF344">
        <v>2.3987652875767198</v>
      </c>
      <c r="AG344">
        <v>1.7123200000000001</v>
      </c>
      <c r="AH344">
        <v>2.3129040834962802</v>
      </c>
      <c r="AI344">
        <v>62.802741242892701</v>
      </c>
      <c r="AJ344">
        <v>43.956009052710201</v>
      </c>
      <c r="AK344">
        <v>3.7464169531349198</v>
      </c>
      <c r="AL344">
        <v>84.578150829817702</v>
      </c>
      <c r="AM344">
        <v>86.128193272805404</v>
      </c>
      <c r="AN344">
        <v>0.99999995740235104</v>
      </c>
    </row>
    <row r="345" spans="1:40" x14ac:dyDescent="0.3">
      <c r="A345" t="str">
        <f>"20200111150243436"</f>
        <v>20200111150243436</v>
      </c>
      <c r="B345" t="str">
        <f>"1578726163426719"</f>
        <v>1578726163426719</v>
      </c>
      <c r="C345" t="s">
        <v>40</v>
      </c>
      <c r="D345">
        <v>5.6252399999999998</v>
      </c>
      <c r="E345">
        <v>0.83627960000000001</v>
      </c>
      <c r="F345" t="s">
        <v>44</v>
      </c>
      <c r="G345">
        <v>0</v>
      </c>
      <c r="H345">
        <v>0</v>
      </c>
      <c r="I345">
        <v>0</v>
      </c>
      <c r="J345">
        <v>-189.852</v>
      </c>
      <c r="K345">
        <v>1.0977859999999999</v>
      </c>
      <c r="L345">
        <v>307.40109999999999</v>
      </c>
      <c r="M345">
        <v>-0.26141019999999998</v>
      </c>
      <c r="N345">
        <v>0</v>
      </c>
      <c r="O345">
        <v>-0.96511690000000006</v>
      </c>
      <c r="P345">
        <v>-0.32337670000000002</v>
      </c>
      <c r="Q345">
        <v>8.143976E-2</v>
      </c>
      <c r="R345">
        <v>-0.94275940000000003</v>
      </c>
      <c r="S345">
        <v>-3.4514469999999999</v>
      </c>
      <c r="T345">
        <v>1.7024360000000001</v>
      </c>
      <c r="U345">
        <v>-1.8799440000000001</v>
      </c>
      <c r="V345">
        <v>6.7194219999999999E-2</v>
      </c>
      <c r="W345">
        <v>9.491898E-2</v>
      </c>
      <c r="X345">
        <v>0.99321470000000001</v>
      </c>
      <c r="Y345">
        <v>0.63865760000000005</v>
      </c>
      <c r="Z345">
        <v>-0.42581200000000002</v>
      </c>
      <c r="AA345">
        <v>0.64093730000000004</v>
      </c>
      <c r="AB345">
        <v>25</v>
      </c>
      <c r="AC345">
        <v>-3.4514469999999999</v>
      </c>
      <c r="AD345">
        <v>1.7024360000000001</v>
      </c>
      <c r="AE345">
        <v>-1.8799440000000001</v>
      </c>
      <c r="AF345">
        <v>2.3912437957836898</v>
      </c>
      <c r="AG345">
        <v>1.7024360000000001</v>
      </c>
      <c r="AH345">
        <v>2.2876617938521102</v>
      </c>
      <c r="AI345">
        <v>62.776877382119601</v>
      </c>
      <c r="AJ345">
        <v>43.731788411722398</v>
      </c>
      <c r="AK345">
        <v>3.7215227673656202</v>
      </c>
      <c r="AL345">
        <v>84.553343681467894</v>
      </c>
      <c r="AM345">
        <v>86.129650916735798</v>
      </c>
      <c r="AN345">
        <v>1.0000000581308599</v>
      </c>
    </row>
    <row r="346" spans="1:40" x14ac:dyDescent="0.3">
      <c r="A346" t="str">
        <f>"20200111150243458"</f>
        <v>20200111150243458</v>
      </c>
      <c r="B346" t="str">
        <f>"1578726163446238"</f>
        <v>1578726163446238</v>
      </c>
      <c r="C346" t="s">
        <v>40</v>
      </c>
      <c r="D346">
        <v>5.6174429999999997</v>
      </c>
      <c r="E346">
        <v>0.83627960000000001</v>
      </c>
      <c r="F346" t="s">
        <v>44</v>
      </c>
      <c r="G346">
        <v>0</v>
      </c>
      <c r="H346">
        <v>0</v>
      </c>
      <c r="I346">
        <v>0</v>
      </c>
      <c r="J346">
        <v>-189.92930000000001</v>
      </c>
      <c r="K346">
        <v>1.097815</v>
      </c>
      <c r="L346">
        <v>307.15769999999998</v>
      </c>
      <c r="M346">
        <v>-0.2707755</v>
      </c>
      <c r="N346">
        <v>0</v>
      </c>
      <c r="O346">
        <v>-0.96253149999999998</v>
      </c>
      <c r="P346">
        <v>-0.33204929999999999</v>
      </c>
      <c r="Q346">
        <v>8.1034149999999999E-2</v>
      </c>
      <c r="R346">
        <v>-0.93977500000000003</v>
      </c>
      <c r="S346">
        <v>-3.4725649999999999</v>
      </c>
      <c r="T346">
        <v>1.6982680000000001</v>
      </c>
      <c r="U346">
        <v>-1.84436</v>
      </c>
      <c r="V346">
        <v>6.6672029999999993E-2</v>
      </c>
      <c r="W346">
        <v>9.4531610000000002E-2</v>
      </c>
      <c r="X346">
        <v>0.99328680000000003</v>
      </c>
      <c r="Y346">
        <v>0.63878029999999997</v>
      </c>
      <c r="Z346">
        <v>-0.42531619999999998</v>
      </c>
      <c r="AA346">
        <v>0.64114419999999905</v>
      </c>
      <c r="AB346">
        <v>25</v>
      </c>
      <c r="AC346">
        <v>-3.4725649999999999</v>
      </c>
      <c r="AD346">
        <v>1.6982680000000001</v>
      </c>
      <c r="AE346">
        <v>-1.84436</v>
      </c>
      <c r="AF346">
        <v>2.3963190661612201</v>
      </c>
      <c r="AG346">
        <v>1.6982680000000001</v>
      </c>
      <c r="AH346">
        <v>2.2888483905368902</v>
      </c>
      <c r="AI346">
        <v>62.865502460754797</v>
      </c>
      <c r="AJ346">
        <v>43.685951667879301</v>
      </c>
      <c r="AK346">
        <v>3.72361198589959</v>
      </c>
      <c r="AL346">
        <v>84.575638421617398</v>
      </c>
      <c r="AM346">
        <v>86.159916337619094</v>
      </c>
      <c r="AN346">
        <v>1.0000000259638699</v>
      </c>
    </row>
    <row r="347" spans="1:40" x14ac:dyDescent="0.3">
      <c r="A347" t="str">
        <f>"20200111150243479"</f>
        <v>20200111150243479</v>
      </c>
      <c r="B347" t="str">
        <f>"1578726163476495"</f>
        <v>1578726163476495</v>
      </c>
      <c r="C347" t="s">
        <v>40</v>
      </c>
      <c r="D347">
        <v>5.5744949999999998</v>
      </c>
      <c r="E347">
        <v>0.83627960000000001</v>
      </c>
      <c r="F347" t="s">
        <v>44</v>
      </c>
      <c r="G347">
        <v>0</v>
      </c>
      <c r="H347">
        <v>0</v>
      </c>
      <c r="I347">
        <v>0</v>
      </c>
      <c r="J347">
        <v>-190.0034</v>
      </c>
      <c r="K347">
        <v>1.0978410000000001</v>
      </c>
      <c r="L347">
        <v>306.93189999999998</v>
      </c>
      <c r="M347">
        <v>-0.27945700000000001</v>
      </c>
      <c r="N347">
        <v>0</v>
      </c>
      <c r="O347">
        <v>-0.96004679999999998</v>
      </c>
      <c r="P347">
        <v>-0.34093210000000002</v>
      </c>
      <c r="Q347">
        <v>8.0929470000000003E-2</v>
      </c>
      <c r="R347">
        <v>-0.93659840000000005</v>
      </c>
      <c r="S347">
        <v>-3.4914550000000002</v>
      </c>
      <c r="T347">
        <v>1.6934720000000001</v>
      </c>
      <c r="U347">
        <v>-1.812592</v>
      </c>
      <c r="V347">
        <v>6.7096240000000001E-2</v>
      </c>
      <c r="W347">
        <v>9.4425770000000006E-2</v>
      </c>
      <c r="X347">
        <v>0.99326829999999999</v>
      </c>
      <c r="Y347">
        <v>0.63875930000000003</v>
      </c>
      <c r="Z347">
        <v>-0.42457329999999999</v>
      </c>
      <c r="AA347">
        <v>0.64165729999999999</v>
      </c>
      <c r="AB347">
        <v>25</v>
      </c>
      <c r="AC347">
        <v>-3.4914550000000002</v>
      </c>
      <c r="AD347">
        <v>1.6934720000000001</v>
      </c>
      <c r="AE347">
        <v>-1.812592</v>
      </c>
      <c r="AF347">
        <v>2.40082122415915</v>
      </c>
      <c r="AG347">
        <v>1.6934720000000001</v>
      </c>
      <c r="AH347">
        <v>2.2915269572602699</v>
      </c>
      <c r="AI347">
        <v>62.9669454132802</v>
      </c>
      <c r="AJ347">
        <v>43.6657068251819</v>
      </c>
      <c r="AK347">
        <v>3.72597447133063</v>
      </c>
      <c r="AL347">
        <v>84.581729841731203</v>
      </c>
      <c r="AM347">
        <v>86.135485315469197</v>
      </c>
      <c r="AN347">
        <v>1.00000002362356</v>
      </c>
    </row>
    <row r="348" spans="1:40" x14ac:dyDescent="0.3">
      <c r="A348" t="str">
        <f>"20200111150243504"</f>
        <v>20200111150243504</v>
      </c>
      <c r="B348" t="str">
        <f>"1578726163496991"</f>
        <v>1578726163496991</v>
      </c>
      <c r="C348" t="s">
        <v>40</v>
      </c>
      <c r="D348">
        <v>5.4783999999999997</v>
      </c>
      <c r="E348">
        <v>0.60337410000000002</v>
      </c>
      <c r="F348" t="s">
        <v>44</v>
      </c>
      <c r="G348">
        <v>0</v>
      </c>
      <c r="H348">
        <v>0</v>
      </c>
      <c r="I348">
        <v>0</v>
      </c>
      <c r="J348">
        <v>-190.09309999999999</v>
      </c>
      <c r="K348">
        <v>1.097879</v>
      </c>
      <c r="L348">
        <v>306.66680000000002</v>
      </c>
      <c r="M348">
        <v>-0.2896263</v>
      </c>
      <c r="N348">
        <v>0</v>
      </c>
      <c r="O348">
        <v>-0.95702790000000004</v>
      </c>
      <c r="P348">
        <v>-0.35017900000000002</v>
      </c>
      <c r="Q348">
        <v>8.0113219999999999E-2</v>
      </c>
      <c r="R348">
        <v>-0.93325069999999999</v>
      </c>
      <c r="S348">
        <v>-3.510529</v>
      </c>
      <c r="T348">
        <v>1.6895519999999999</v>
      </c>
      <c r="U348">
        <v>-1.7792049999999999</v>
      </c>
      <c r="V348">
        <v>6.6341250000000004E-2</v>
      </c>
      <c r="W348">
        <v>9.3628699999999995E-2</v>
      </c>
      <c r="X348">
        <v>0.99339440000000001</v>
      </c>
      <c r="Y348">
        <v>0.63779350000000001</v>
      </c>
      <c r="Z348">
        <v>-0.42398530000000001</v>
      </c>
      <c r="AA348">
        <v>0.64300539999999995</v>
      </c>
      <c r="AB348">
        <v>25</v>
      </c>
      <c r="AC348">
        <v>-3.510529</v>
      </c>
      <c r="AD348">
        <v>1.6895519999999999</v>
      </c>
      <c r="AE348">
        <v>-1.7792049999999999</v>
      </c>
      <c r="AF348">
        <v>2.4020020299812002</v>
      </c>
      <c r="AG348">
        <v>1.6895519999999999</v>
      </c>
      <c r="AH348">
        <v>2.29654446441124</v>
      </c>
      <c r="AI348">
        <v>63.050783179965997</v>
      </c>
      <c r="AJ348">
        <v>43.714228089681797</v>
      </c>
      <c r="AK348">
        <v>3.7280445530808399</v>
      </c>
      <c r="AL348">
        <v>84.627601499983896</v>
      </c>
      <c r="AM348">
        <v>86.179324225048504</v>
      </c>
      <c r="AN348">
        <v>0.99999996443330497</v>
      </c>
    </row>
    <row r="349" spans="1:40" x14ac:dyDescent="0.3">
      <c r="A349" t="str">
        <f>"20200111150243527"</f>
        <v>20200111150243527</v>
      </c>
      <c r="B349" t="str">
        <f>"1578726163516510"</f>
        <v>1578726163516510</v>
      </c>
      <c r="C349" t="s">
        <v>40</v>
      </c>
      <c r="D349">
        <v>4.7118359999999999</v>
      </c>
      <c r="E349">
        <v>0.60640909999999904</v>
      </c>
      <c r="F349" t="s">
        <v>52</v>
      </c>
      <c r="G349">
        <v>-232.83709999999999</v>
      </c>
      <c r="H349">
        <v>1.85772</v>
      </c>
      <c r="I349">
        <v>247.5599</v>
      </c>
      <c r="J349">
        <v>-190.1773</v>
      </c>
      <c r="K349">
        <v>1.0979129999999999</v>
      </c>
      <c r="L349">
        <v>306.42630000000003</v>
      </c>
      <c r="M349">
        <v>-0.29883759999999998</v>
      </c>
      <c r="N349">
        <v>0</v>
      </c>
      <c r="O349">
        <v>-0.95419180000000003</v>
      </c>
      <c r="P349">
        <v>-0.35715669999999999</v>
      </c>
      <c r="Q349">
        <v>8.0220609999999998E-2</v>
      </c>
      <c r="R349">
        <v>-0.93059360000000002</v>
      </c>
      <c r="S349">
        <v>-1.826935</v>
      </c>
      <c r="T349">
        <v>3.2476430000000001E-2</v>
      </c>
      <c r="U349">
        <v>-2.5263059999999999</v>
      </c>
      <c r="V349">
        <v>6.4198169999999999E-2</v>
      </c>
      <c r="W349">
        <v>9.3776810000000002E-2</v>
      </c>
      <c r="X349">
        <v>0.99352130000000005</v>
      </c>
      <c r="Y349">
        <v>0.31699680000000002</v>
      </c>
      <c r="Z349">
        <v>-1.0446739999999999E-2</v>
      </c>
      <c r="AA349">
        <v>0.94836909999999996</v>
      </c>
      <c r="AB349">
        <v>25</v>
      </c>
      <c r="AC349">
        <v>-42.659799999999898</v>
      </c>
      <c r="AD349">
        <v>0.75980700000000001</v>
      </c>
      <c r="AE349">
        <v>-58.866399999999999</v>
      </c>
      <c r="AF349">
        <v>23.114087578786599</v>
      </c>
      <c r="AG349">
        <v>0.75980700000000001</v>
      </c>
      <c r="AH349">
        <v>68.918039120395207</v>
      </c>
      <c r="AI349">
        <v>89.401132888774896</v>
      </c>
      <c r="AJ349">
        <v>71.459311476469495</v>
      </c>
      <c r="AK349">
        <v>72.694803579605207</v>
      </c>
      <c r="AL349">
        <v>84.619078297140803</v>
      </c>
      <c r="AM349">
        <v>86.302869773674303</v>
      </c>
      <c r="AN349">
        <v>1.0000000343394</v>
      </c>
    </row>
    <row r="350" spans="1:40" x14ac:dyDescent="0.3">
      <c r="A350" t="str">
        <f>"20200111150243549"</f>
        <v>20200111150243549</v>
      </c>
      <c r="B350" t="str">
        <f>"1578726163546766"</f>
        <v>1578726163546766</v>
      </c>
      <c r="C350" t="s">
        <v>40</v>
      </c>
      <c r="D350">
        <v>5.4747979999999998</v>
      </c>
      <c r="E350">
        <v>0.60447790000000001</v>
      </c>
      <c r="F350" t="s">
        <v>43</v>
      </c>
      <c r="G350">
        <v>-227.8544</v>
      </c>
      <c r="H350">
        <v>-0.05</v>
      </c>
      <c r="I350">
        <v>255.83670000000001</v>
      </c>
      <c r="J350">
        <v>-190.26150000000001</v>
      </c>
      <c r="K350">
        <v>1.0979429999999999</v>
      </c>
      <c r="L350">
        <v>306.19260000000003</v>
      </c>
      <c r="M350">
        <v>-0.30776589999999998</v>
      </c>
      <c r="N350">
        <v>0</v>
      </c>
      <c r="O350">
        <v>-0.95134940000000001</v>
      </c>
      <c r="P350">
        <v>-0.36494130000000002</v>
      </c>
      <c r="Q350">
        <v>8.1702129999999998E-2</v>
      </c>
      <c r="R350">
        <v>-0.92743869999999895</v>
      </c>
      <c r="S350">
        <v>-1.8700559999999999</v>
      </c>
      <c r="T350">
        <v>-5.6975249999999998E-2</v>
      </c>
      <c r="U350">
        <v>-2.5109560000000002</v>
      </c>
      <c r="V350">
        <v>6.3265929999999998E-2</v>
      </c>
      <c r="W350">
        <v>9.5275929999999995E-2</v>
      </c>
      <c r="X350">
        <v>0.99343840000000005</v>
      </c>
      <c r="Y350">
        <v>0.32134610000000002</v>
      </c>
      <c r="Z350">
        <v>1.823644E-2</v>
      </c>
      <c r="AA350">
        <v>0.94678620000000002</v>
      </c>
      <c r="AB350">
        <v>25</v>
      </c>
      <c r="AC350">
        <v>-37.592899999999901</v>
      </c>
      <c r="AD350">
        <v>-1.1479429999999999</v>
      </c>
      <c r="AE350">
        <v>-50.355899999999998</v>
      </c>
      <c r="AF350">
        <v>20.261566224581301</v>
      </c>
      <c r="AG350">
        <v>-1.1479429999999999</v>
      </c>
      <c r="AH350">
        <v>59.462404103191801</v>
      </c>
      <c r="AI350">
        <v>91.046885302511697</v>
      </c>
      <c r="AJ350">
        <v>71.183670633007296</v>
      </c>
      <c r="AK350">
        <v>62.8301387929044</v>
      </c>
      <c r="AL350">
        <v>84.532798348085095</v>
      </c>
      <c r="AM350">
        <v>86.356107945392196</v>
      </c>
      <c r="AN350">
        <v>0.99999996766534405</v>
      </c>
    </row>
    <row r="351" spans="1:40" x14ac:dyDescent="0.3">
      <c r="A351" t="str">
        <f>"20200111150243569"</f>
        <v>20200111150243569</v>
      </c>
      <c r="B351" t="str">
        <f>"1578726163566897"</f>
        <v>1578726163566897</v>
      </c>
      <c r="C351" t="s">
        <v>40</v>
      </c>
      <c r="D351">
        <v>5.4872529999999999</v>
      </c>
      <c r="E351">
        <v>0.60291729999999999</v>
      </c>
      <c r="F351" t="s">
        <v>53</v>
      </c>
      <c r="G351">
        <v>-199.97290000000001</v>
      </c>
      <c r="H351">
        <v>2.728877E-2</v>
      </c>
      <c r="I351">
        <v>293.20370000000003</v>
      </c>
      <c r="J351">
        <v>-190.3425</v>
      </c>
      <c r="K351">
        <v>1.097977</v>
      </c>
      <c r="L351">
        <v>305.9742</v>
      </c>
      <c r="M351">
        <v>-0.31607439999999998</v>
      </c>
      <c r="N351">
        <v>0</v>
      </c>
      <c r="O351">
        <v>-0.94862170000000001</v>
      </c>
      <c r="P351">
        <v>-0.37376959999999998</v>
      </c>
      <c r="Q351">
        <v>8.2027699999999995E-2</v>
      </c>
      <c r="R351">
        <v>-0.92388780000000004</v>
      </c>
      <c r="S351">
        <v>-1.879211</v>
      </c>
      <c r="T351">
        <v>-0.20717720000000001</v>
      </c>
      <c r="U351">
        <v>-2.5134280000000002</v>
      </c>
      <c r="V351">
        <v>6.4056059999999998E-2</v>
      </c>
      <c r="W351">
        <v>9.5590620000000001E-2</v>
      </c>
      <c r="X351">
        <v>0.9933575</v>
      </c>
      <c r="Y351">
        <v>0.31357770000000001</v>
      </c>
      <c r="Z351">
        <v>6.5855919999999998E-2</v>
      </c>
      <c r="AA351">
        <v>0.94727609999999995</v>
      </c>
      <c r="AB351">
        <v>25</v>
      </c>
      <c r="AC351">
        <v>-9.6303999999999998</v>
      </c>
      <c r="AD351">
        <v>-1.07068823</v>
      </c>
      <c r="AE351">
        <v>-12.770499999999901</v>
      </c>
      <c r="AF351">
        <v>5.0769737200614298</v>
      </c>
      <c r="AG351">
        <v>-1.07068823</v>
      </c>
      <c r="AH351">
        <v>15.092288918202099</v>
      </c>
      <c r="AI351">
        <v>93.846787335375694</v>
      </c>
      <c r="AJ351">
        <v>71.407307056151296</v>
      </c>
      <c r="AK351">
        <v>15.9592988640022</v>
      </c>
      <c r="AL351">
        <v>84.514685082856801</v>
      </c>
      <c r="AM351">
        <v>86.310424557679298</v>
      </c>
      <c r="AN351">
        <v>0.99999993413047605</v>
      </c>
    </row>
    <row r="352" spans="1:40" x14ac:dyDescent="0.3">
      <c r="A352" t="str">
        <f>"20200111150243591"</f>
        <v>20200111150243591</v>
      </c>
      <c r="B352" t="str">
        <f>"1578726163586417"</f>
        <v>1578726163586417</v>
      </c>
      <c r="C352" t="s">
        <v>40</v>
      </c>
      <c r="D352">
        <v>4.6799119999999998</v>
      </c>
      <c r="E352">
        <v>0.60355590000000003</v>
      </c>
      <c r="F352" t="s">
        <v>53</v>
      </c>
      <c r="G352">
        <v>-199.97149999999999</v>
      </c>
      <c r="H352">
        <v>3.5989180000000003E-2</v>
      </c>
      <c r="I352">
        <v>293.22230000000002</v>
      </c>
      <c r="J352">
        <v>-190.4299</v>
      </c>
      <c r="K352">
        <v>1.098033</v>
      </c>
      <c r="L352">
        <v>305.74509999999998</v>
      </c>
      <c r="M352">
        <v>-0.32472430000000002</v>
      </c>
      <c r="N352">
        <v>0</v>
      </c>
      <c r="O352">
        <v>-0.94569559999999997</v>
      </c>
      <c r="P352">
        <v>-0.38252150000000001</v>
      </c>
      <c r="Q352">
        <v>7.9210119999999995E-2</v>
      </c>
      <c r="R352">
        <v>-0.92054510000000001</v>
      </c>
      <c r="S352">
        <v>-1.888855</v>
      </c>
      <c r="T352">
        <v>-0.20832339999999999</v>
      </c>
      <c r="U352">
        <v>-2.501465</v>
      </c>
      <c r="V352">
        <v>6.4273209999999997E-2</v>
      </c>
      <c r="W352">
        <v>9.2776040000000004E-2</v>
      </c>
      <c r="X352">
        <v>0.9936104</v>
      </c>
      <c r="Y352">
        <v>0.30938949999999998</v>
      </c>
      <c r="Z352">
        <v>6.6148090000000007E-2</v>
      </c>
      <c r="AA352">
        <v>0.94863189999999997</v>
      </c>
      <c r="AB352">
        <v>25</v>
      </c>
      <c r="AC352">
        <v>-9.5415999999999794</v>
      </c>
      <c r="AD352">
        <v>-1.06204382</v>
      </c>
      <c r="AE352">
        <v>-12.522799999999901</v>
      </c>
      <c r="AF352">
        <v>4.9350642914553999</v>
      </c>
      <c r="AG352">
        <v>-1.06204382</v>
      </c>
      <c r="AH352">
        <v>14.875053691943201</v>
      </c>
      <c r="AI352">
        <v>93.876750929624905</v>
      </c>
      <c r="AJ352">
        <v>71.645816091274298</v>
      </c>
      <c r="AK352">
        <v>15.708278676372901</v>
      </c>
      <c r="AL352">
        <v>84.676669270280698</v>
      </c>
      <c r="AM352">
        <v>86.298891272850796</v>
      </c>
      <c r="AN352">
        <v>1.0000000330549701</v>
      </c>
    </row>
    <row r="353" spans="1:40" x14ac:dyDescent="0.3">
      <c r="A353" t="str">
        <f>"20200111150243615"</f>
        <v>20200111150243615</v>
      </c>
      <c r="B353" t="str">
        <f>"1578726163606912"</f>
        <v>1578726163606912</v>
      </c>
      <c r="C353" t="s">
        <v>40</v>
      </c>
      <c r="D353">
        <v>5.5544399999999996</v>
      </c>
      <c r="E353">
        <v>0.6009198</v>
      </c>
      <c r="F353" t="s">
        <v>53</v>
      </c>
      <c r="G353">
        <v>-199.95849999999999</v>
      </c>
      <c r="H353">
        <v>4.7332180000000001E-2</v>
      </c>
      <c r="I353">
        <v>293.40039999999999</v>
      </c>
      <c r="J353">
        <v>-190.52850000000001</v>
      </c>
      <c r="K353">
        <v>1.098101</v>
      </c>
      <c r="L353">
        <v>305.49329999999998</v>
      </c>
      <c r="M353">
        <v>-0.33414739999999998</v>
      </c>
      <c r="N353">
        <v>0</v>
      </c>
      <c r="O353">
        <v>-0.94240749999999995</v>
      </c>
      <c r="P353">
        <v>-0.38923669999999999</v>
      </c>
      <c r="Q353">
        <v>7.603095E-2</v>
      </c>
      <c r="R353">
        <v>-0.91799459999999999</v>
      </c>
      <c r="S353">
        <v>-1.9152070000000001</v>
      </c>
      <c r="T353">
        <v>-0.2111855</v>
      </c>
      <c r="U353">
        <v>-2.4812319999999999</v>
      </c>
      <c r="V353">
        <v>6.1453069999999999E-2</v>
      </c>
      <c r="W353">
        <v>8.9648190000000003E-2</v>
      </c>
      <c r="X353">
        <v>0.99407579999999995</v>
      </c>
      <c r="Y353">
        <v>0.30991950000000001</v>
      </c>
      <c r="Z353">
        <v>6.6941490000000006E-2</v>
      </c>
      <c r="AA353">
        <v>0.9484032</v>
      </c>
      <c r="AB353">
        <v>25</v>
      </c>
      <c r="AC353">
        <v>-9.4299999999999695</v>
      </c>
      <c r="AD353">
        <v>-1.05076882</v>
      </c>
      <c r="AE353">
        <v>-12.092899999999901</v>
      </c>
      <c r="AF353">
        <v>4.8239603326415903</v>
      </c>
      <c r="AG353">
        <v>-1.05076882</v>
      </c>
      <c r="AH353">
        <v>14.4810138425159</v>
      </c>
      <c r="AI353">
        <v>93.938173092464694</v>
      </c>
      <c r="AJ353">
        <v>71.575892402420493</v>
      </c>
      <c r="AK353">
        <v>15.2994924854101</v>
      </c>
      <c r="AL353">
        <v>84.856631883600599</v>
      </c>
      <c r="AM353">
        <v>86.462516752728106</v>
      </c>
      <c r="AN353">
        <v>0.99999998696417003</v>
      </c>
    </row>
    <row r="354" spans="1:40" x14ac:dyDescent="0.3">
      <c r="A354" t="str">
        <f>"20200111150243637"</f>
        <v>20200111150243637</v>
      </c>
      <c r="B354" t="str">
        <f>"1578726163626435"</f>
        <v>1578726163626435</v>
      </c>
      <c r="C354" t="s">
        <v>40</v>
      </c>
      <c r="D354">
        <v>5.5120380000000004</v>
      </c>
      <c r="E354">
        <v>0.60626040000000003</v>
      </c>
      <c r="F354" t="s">
        <v>54</v>
      </c>
      <c r="G354">
        <v>-232.9879</v>
      </c>
      <c r="H354">
        <v>4.2774359999999998</v>
      </c>
      <c r="I354">
        <v>251.10730000000001</v>
      </c>
      <c r="J354">
        <v>-190.61959999999999</v>
      </c>
      <c r="K354">
        <v>1.098185</v>
      </c>
      <c r="L354">
        <v>305.267</v>
      </c>
      <c r="M354">
        <v>-0.34252569999999999</v>
      </c>
      <c r="N354">
        <v>0</v>
      </c>
      <c r="O354">
        <v>-0.93939499999999998</v>
      </c>
      <c r="P354">
        <v>-0.39301459999999999</v>
      </c>
      <c r="Q354">
        <v>7.3744599999999993E-2</v>
      </c>
      <c r="R354">
        <v>-0.91657040000000001</v>
      </c>
      <c r="S354">
        <v>-1.909851</v>
      </c>
      <c r="T354">
        <v>0.14300869999999999</v>
      </c>
      <c r="U354">
        <v>-2.4463200000000001</v>
      </c>
      <c r="V354">
        <v>5.6571059999999999E-2</v>
      </c>
      <c r="W354">
        <v>8.7442939999999997E-2</v>
      </c>
      <c r="X354">
        <v>0.9945619</v>
      </c>
      <c r="Y354">
        <v>0.3074482</v>
      </c>
      <c r="Z354">
        <v>-4.5733709999999997E-2</v>
      </c>
      <c r="AA354">
        <v>0.95046509999999995</v>
      </c>
      <c r="AB354">
        <v>25</v>
      </c>
      <c r="AC354">
        <v>-42.368299999999998</v>
      </c>
      <c r="AD354">
        <v>3.1792509999999998</v>
      </c>
      <c r="AE354">
        <v>-54.159700000000001</v>
      </c>
      <c r="AF354">
        <v>21.206413071398</v>
      </c>
      <c r="AG354">
        <v>3.1792509999999998</v>
      </c>
      <c r="AH354">
        <v>65.257055985226202</v>
      </c>
      <c r="AI354">
        <v>87.347168176156103</v>
      </c>
      <c r="AJ354">
        <v>71.9975299887913</v>
      </c>
      <c r="AK354">
        <v>68.689904266454704</v>
      </c>
      <c r="AL354">
        <v>84.983481557549993</v>
      </c>
      <c r="AM354">
        <v>86.744502117921897</v>
      </c>
      <c r="AN354">
        <v>0.99999996275848801</v>
      </c>
    </row>
    <row r="355" spans="1:40" x14ac:dyDescent="0.3">
      <c r="A355" t="str">
        <f>"20200111150243660"</f>
        <v>20200111150243660</v>
      </c>
      <c r="B355" t="str">
        <f>"1578726163657016"</f>
        <v>1578726163657016</v>
      </c>
      <c r="C355" t="s">
        <v>40</v>
      </c>
      <c r="D355">
        <v>5.5354559999999999</v>
      </c>
      <c r="E355">
        <v>0.60159269999999998</v>
      </c>
      <c r="F355" t="s">
        <v>53</v>
      </c>
      <c r="G355">
        <v>-197.78020000000001</v>
      </c>
      <c r="H355" s="1">
        <v>5.8197049999999897E-7</v>
      </c>
      <c r="I355">
        <v>296.31180000000001</v>
      </c>
      <c r="J355">
        <v>-190.7184</v>
      </c>
      <c r="K355">
        <v>1.0983179999999999</v>
      </c>
      <c r="L355">
        <v>305.02719999999999</v>
      </c>
      <c r="M355">
        <v>-0.3512498</v>
      </c>
      <c r="N355">
        <v>0</v>
      </c>
      <c r="O355">
        <v>-0.93616820000000001</v>
      </c>
      <c r="P355">
        <v>-0.39785530000000002</v>
      </c>
      <c r="Q355">
        <v>7.2885160000000004E-2</v>
      </c>
      <c r="R355">
        <v>-0.91454860000000004</v>
      </c>
      <c r="S355">
        <v>-1.9633940000000001</v>
      </c>
      <c r="T355">
        <v>-0.30111470000000001</v>
      </c>
      <c r="U355">
        <v>-2.455444</v>
      </c>
      <c r="V355">
        <v>5.2509269999999997E-2</v>
      </c>
      <c r="W355">
        <v>8.6648219999999998E-2</v>
      </c>
      <c r="X355">
        <v>0.99485420000000002</v>
      </c>
      <c r="Y355">
        <v>0.3073958</v>
      </c>
      <c r="Z355">
        <v>9.4580899999999996E-2</v>
      </c>
      <c r="AA355">
        <v>0.94686970000000004</v>
      </c>
      <c r="AB355">
        <v>25</v>
      </c>
      <c r="AC355">
        <v>-7.0617999999999999</v>
      </c>
      <c r="AD355">
        <v>-1.0983174180294999</v>
      </c>
      <c r="AE355">
        <v>-8.7153999999999794</v>
      </c>
      <c r="AF355">
        <v>3.51641587051515</v>
      </c>
      <c r="AG355">
        <v>-1.0983174180294999</v>
      </c>
      <c r="AH355">
        <v>10.5396247369513</v>
      </c>
      <c r="AI355">
        <v>95.645446608486395</v>
      </c>
      <c r="AJ355">
        <v>71.5493589745669</v>
      </c>
      <c r="AK355">
        <v>11.1649080301144</v>
      </c>
      <c r="AL355">
        <v>85.029189380594801</v>
      </c>
      <c r="AM355">
        <v>86.978682456057697</v>
      </c>
      <c r="AN355">
        <v>1.00000000836137</v>
      </c>
    </row>
    <row r="356" spans="1:40" x14ac:dyDescent="0.3">
      <c r="A356" t="str">
        <f>"20200111150243681"</f>
        <v>20200111150243681</v>
      </c>
      <c r="B356" t="str">
        <f>"1578726163676537"</f>
        <v>1578726163676537</v>
      </c>
      <c r="C356" t="s">
        <v>40</v>
      </c>
      <c r="D356">
        <v>8.9889039999999998</v>
      </c>
      <c r="E356">
        <v>0.59580349999999904</v>
      </c>
      <c r="F356" t="s">
        <v>53</v>
      </c>
      <c r="G356">
        <v>-198.34819999999999</v>
      </c>
      <c r="H356" s="1">
        <v>7.5542409999999997E-7</v>
      </c>
      <c r="I356">
        <v>295.37419999999997</v>
      </c>
      <c r="J356">
        <v>-190.8109</v>
      </c>
      <c r="K356">
        <v>1.0984659999999999</v>
      </c>
      <c r="L356">
        <v>304.80790000000002</v>
      </c>
      <c r="M356">
        <v>-0.35904920000000001</v>
      </c>
      <c r="N356">
        <v>0</v>
      </c>
      <c r="O356">
        <v>-0.93320510000000001</v>
      </c>
      <c r="P356">
        <v>-0.40220440000000002</v>
      </c>
      <c r="Q356">
        <v>7.4059929999999996E-2</v>
      </c>
      <c r="R356">
        <v>-0.91254979999999997</v>
      </c>
      <c r="S356">
        <v>-1.94249</v>
      </c>
      <c r="T356">
        <v>-0.27962340000000002</v>
      </c>
      <c r="U356">
        <v>-2.4575809999999998</v>
      </c>
      <c r="V356">
        <v>4.8959780000000001E-2</v>
      </c>
      <c r="W356">
        <v>8.7873290000000007E-2</v>
      </c>
      <c r="X356">
        <v>0.99492780000000003</v>
      </c>
      <c r="Y356">
        <v>0.29448990000000003</v>
      </c>
      <c r="Z356">
        <v>8.7820990000000002E-2</v>
      </c>
      <c r="AA356">
        <v>0.95161079999999998</v>
      </c>
      <c r="AB356">
        <v>25</v>
      </c>
      <c r="AC356">
        <v>-7.5372999999999797</v>
      </c>
      <c r="AD356">
        <v>-1.0984652445759</v>
      </c>
      <c r="AE356">
        <v>-9.4337000000000408</v>
      </c>
      <c r="AF356">
        <v>3.61713690592584</v>
      </c>
      <c r="AG356">
        <v>-1.0984652445759</v>
      </c>
      <c r="AH356">
        <v>11.4165794013716</v>
      </c>
      <c r="AI356">
        <v>95.240679648550895</v>
      </c>
      <c r="AJ356">
        <v>72.420135628985093</v>
      </c>
      <c r="AK356">
        <v>12.0261627511677</v>
      </c>
      <c r="AL356">
        <v>84.958729482743095</v>
      </c>
      <c r="AM356">
        <v>87.182782780530502</v>
      </c>
      <c r="AN356">
        <v>1.0000000511829501</v>
      </c>
    </row>
    <row r="357" spans="1:40" x14ac:dyDescent="0.3">
      <c r="A357" t="str">
        <f>"20200111150243703"</f>
        <v>20200111150243703</v>
      </c>
      <c r="B357" t="str">
        <f>"1578726163697033"</f>
        <v>1578726163697033</v>
      </c>
      <c r="C357" t="s">
        <v>40</v>
      </c>
      <c r="D357">
        <v>5.5862179999999997</v>
      </c>
      <c r="E357">
        <v>0.59574090000000002</v>
      </c>
      <c r="F357" t="s">
        <v>54</v>
      </c>
      <c r="G357">
        <v>-232.9879</v>
      </c>
      <c r="H357">
        <v>4.0849390000000003</v>
      </c>
      <c r="I357">
        <v>250.93170000000001</v>
      </c>
      <c r="J357">
        <v>-190.9083</v>
      </c>
      <c r="K357">
        <v>1.0986629999999999</v>
      </c>
      <c r="L357">
        <v>304.58150000000001</v>
      </c>
      <c r="M357">
        <v>-0.36686249999999998</v>
      </c>
      <c r="N357">
        <v>0</v>
      </c>
      <c r="O357">
        <v>-0.93016169999999998</v>
      </c>
      <c r="P357">
        <v>-0.406613</v>
      </c>
      <c r="Q357">
        <v>7.7074649999999995E-2</v>
      </c>
      <c r="R357">
        <v>-0.91034360000000003</v>
      </c>
      <c r="S357">
        <v>-1.9070279999999999</v>
      </c>
      <c r="T357">
        <v>0.13503309999999999</v>
      </c>
      <c r="U357">
        <v>-2.4360050000000002</v>
      </c>
      <c r="V357">
        <v>4.5516510000000003E-2</v>
      </c>
      <c r="W357">
        <v>9.0930410000000003E-2</v>
      </c>
      <c r="X357">
        <v>0.99481649999999999</v>
      </c>
      <c r="Y357">
        <v>0.28393210000000002</v>
      </c>
      <c r="Z357">
        <v>-4.2888450000000002E-2</v>
      </c>
      <c r="AA357">
        <v>0.95788470000000003</v>
      </c>
      <c r="AB357">
        <v>25</v>
      </c>
      <c r="AC357">
        <v>-42.079599999999999</v>
      </c>
      <c r="AD357">
        <v>2.9862759999999899</v>
      </c>
      <c r="AE357">
        <v>-53.649799999999999</v>
      </c>
      <c r="AF357">
        <v>19.423528072724899</v>
      </c>
      <c r="AG357">
        <v>2.9862759999999899</v>
      </c>
      <c r="AH357">
        <v>65.222203529377197</v>
      </c>
      <c r="AI357">
        <v>87.487379801216903</v>
      </c>
      <c r="AJ357">
        <v>73.416181383281398</v>
      </c>
      <c r="AK357">
        <v>68.118478552941994</v>
      </c>
      <c r="AL357">
        <v>84.782864752922904</v>
      </c>
      <c r="AM357">
        <v>87.380334554905801</v>
      </c>
      <c r="AN357">
        <v>0.99999998040879801</v>
      </c>
    </row>
    <row r="358" spans="1:40" x14ac:dyDescent="0.3">
      <c r="A358" t="str">
        <f>"20200111150243726"</f>
        <v>20200111150243726</v>
      </c>
      <c r="B358" t="str">
        <f>"1578726163716553"</f>
        <v>1578726163716553</v>
      </c>
      <c r="C358" t="s">
        <v>40</v>
      </c>
      <c r="D358">
        <v>5.5403849999999997</v>
      </c>
      <c r="E358">
        <v>0.59515709999999999</v>
      </c>
      <c r="F358" t="s">
        <v>54</v>
      </c>
      <c r="G358">
        <v>-232.988</v>
      </c>
      <c r="H358">
        <v>4.3101940000000001</v>
      </c>
      <c r="I358">
        <v>251.35810000000001</v>
      </c>
      <c r="J358">
        <v>-191.01079999999999</v>
      </c>
      <c r="K358">
        <v>1.0989139999999999</v>
      </c>
      <c r="L358">
        <v>304.34789999999998</v>
      </c>
      <c r="M358">
        <v>-0.3746099</v>
      </c>
      <c r="N358">
        <v>0</v>
      </c>
      <c r="O358">
        <v>-0.92706920000000004</v>
      </c>
      <c r="P358">
        <v>-0.41311199999999998</v>
      </c>
      <c r="Q358">
        <v>7.8707230000000003E-2</v>
      </c>
      <c r="R358">
        <v>-0.90727279999999999</v>
      </c>
      <c r="S358">
        <v>-1.9182429999999999</v>
      </c>
      <c r="T358">
        <v>0.1464009</v>
      </c>
      <c r="U358">
        <v>-2.4262389999999998</v>
      </c>
      <c r="V358">
        <v>4.4347699999999997E-2</v>
      </c>
      <c r="W358">
        <v>9.2571410000000007E-2</v>
      </c>
      <c r="X358">
        <v>0.99471799999999999</v>
      </c>
      <c r="Y358">
        <v>0.28042679999999998</v>
      </c>
      <c r="Z358">
        <v>-4.6377099999999997E-2</v>
      </c>
      <c r="AA358">
        <v>0.95875440000000001</v>
      </c>
      <c r="AB358">
        <v>25</v>
      </c>
      <c r="AC358">
        <v>-41.977200000000003</v>
      </c>
      <c r="AD358">
        <v>3.2112799999999999</v>
      </c>
      <c r="AE358">
        <v>-52.989799999999903</v>
      </c>
      <c r="AF358">
        <v>19.024340008374701</v>
      </c>
      <c r="AG358">
        <v>3.2112799999999999</v>
      </c>
      <c r="AH358">
        <v>64.711078442231795</v>
      </c>
      <c r="AI358">
        <v>87.274202565812402</v>
      </c>
      <c r="AJ358">
        <v>73.617248241699897</v>
      </c>
      <c r="AK358">
        <v>67.526006139481694</v>
      </c>
      <c r="AL358">
        <v>84.688444426660496</v>
      </c>
      <c r="AM358">
        <v>87.447261897559699</v>
      </c>
      <c r="AN358">
        <v>1.00000004198433</v>
      </c>
    </row>
    <row r="359" spans="1:40" x14ac:dyDescent="0.3">
      <c r="A359" t="str">
        <f>"20200111150243748"</f>
        <v>20200111150243748</v>
      </c>
      <c r="B359" t="str">
        <f>"1578726163746808"</f>
        <v>1578726163746808</v>
      </c>
      <c r="C359" t="s">
        <v>40</v>
      </c>
      <c r="D359">
        <v>5.5538790000000002</v>
      </c>
      <c r="E359">
        <v>0.59464019999999995</v>
      </c>
      <c r="F359" t="s">
        <v>53</v>
      </c>
      <c r="G359">
        <v>-199.69210000000001</v>
      </c>
      <c r="H359" s="1">
        <v>1.119216E-6</v>
      </c>
      <c r="I359">
        <v>293.39510000000001</v>
      </c>
      <c r="J359">
        <v>-191.11109999999999</v>
      </c>
      <c r="K359">
        <v>1.099213</v>
      </c>
      <c r="L359">
        <v>304.12310000000002</v>
      </c>
      <c r="M359">
        <v>-0.38168079999999999</v>
      </c>
      <c r="N359">
        <v>0</v>
      </c>
      <c r="O359">
        <v>-0.92418100000000003</v>
      </c>
      <c r="P359">
        <v>-0.42189349999999998</v>
      </c>
      <c r="Q359">
        <v>7.7149759999999998E-2</v>
      </c>
      <c r="R359">
        <v>-0.90335730000000003</v>
      </c>
      <c r="S359">
        <v>-1.9381870000000001</v>
      </c>
      <c r="T359">
        <v>-0.2453427</v>
      </c>
      <c r="U359">
        <v>-2.4453130000000001</v>
      </c>
      <c r="V359">
        <v>4.6262240000000003E-2</v>
      </c>
      <c r="W359">
        <v>9.0984049999999997E-2</v>
      </c>
      <c r="X359">
        <v>0.99477720000000003</v>
      </c>
      <c r="Y359">
        <v>0.27302149999999997</v>
      </c>
      <c r="Z359">
        <v>7.6639139999999994E-2</v>
      </c>
      <c r="AA359">
        <v>0.95895030000000003</v>
      </c>
      <c r="AB359">
        <v>25</v>
      </c>
      <c r="AC359">
        <v>-8.5810000000000102</v>
      </c>
      <c r="AD359">
        <v>-1.0992118807839999</v>
      </c>
      <c r="AE359">
        <v>-10.728</v>
      </c>
      <c r="AF359">
        <v>3.8117230718381001</v>
      </c>
      <c r="AG359">
        <v>-1.0992118807839999</v>
      </c>
      <c r="AH359">
        <v>13.1072800104059</v>
      </c>
      <c r="AI359">
        <v>94.603906773468296</v>
      </c>
      <c r="AJ359">
        <v>73.785061213199697</v>
      </c>
      <c r="AK359">
        <v>13.6944619757925</v>
      </c>
      <c r="AL359">
        <v>84.779778638213003</v>
      </c>
      <c r="AM359">
        <v>87.337370905836096</v>
      </c>
      <c r="AN359">
        <v>0.99999998492203002</v>
      </c>
    </row>
    <row r="360" spans="1:40" x14ac:dyDescent="0.3">
      <c r="A360" t="str">
        <f>"20200111150243769"</f>
        <v>20200111150243769</v>
      </c>
      <c r="B360" t="str">
        <f>"1578726163766981"</f>
        <v>1578726163766981</v>
      </c>
      <c r="C360" t="s">
        <v>40</v>
      </c>
      <c r="D360">
        <v>5.631672</v>
      </c>
      <c r="E360">
        <v>0.5954315</v>
      </c>
      <c r="F360" t="s">
        <v>53</v>
      </c>
      <c r="G360">
        <v>-199.63</v>
      </c>
      <c r="H360" s="1">
        <v>1.097879E-6</v>
      </c>
      <c r="I360">
        <v>293.54750000000001</v>
      </c>
      <c r="J360">
        <v>-191.20660000000001</v>
      </c>
      <c r="K360">
        <v>1.099556</v>
      </c>
      <c r="L360">
        <v>303.91230000000002</v>
      </c>
      <c r="M360">
        <v>-0.3878644</v>
      </c>
      <c r="N360">
        <v>0</v>
      </c>
      <c r="O360">
        <v>-0.92160370000000003</v>
      </c>
      <c r="P360">
        <v>-0.42984830000000002</v>
      </c>
      <c r="Q360">
        <v>7.5578759999999995E-2</v>
      </c>
      <c r="R360">
        <v>-0.8997328</v>
      </c>
      <c r="S360">
        <v>-1.9564360000000001</v>
      </c>
      <c r="T360">
        <v>-0.25244339999999998</v>
      </c>
      <c r="U360">
        <v>-2.4287719999999999</v>
      </c>
      <c r="V360">
        <v>4.8231360000000001E-2</v>
      </c>
      <c r="W360">
        <v>8.9386980000000005E-2</v>
      </c>
      <c r="X360">
        <v>0.9948285</v>
      </c>
      <c r="Y360">
        <v>0.2740204</v>
      </c>
      <c r="Z360">
        <v>7.8761609999999996E-2</v>
      </c>
      <c r="AA360">
        <v>0.95849329999999999</v>
      </c>
      <c r="AB360">
        <v>25</v>
      </c>
      <c r="AC360">
        <v>-8.4233999999999796</v>
      </c>
      <c r="AD360">
        <v>-1.099554902121</v>
      </c>
      <c r="AE360">
        <v>-10.364800000000001</v>
      </c>
      <c r="AF360">
        <v>3.7180886613981099</v>
      </c>
      <c r="AG360">
        <v>-1.099554902121</v>
      </c>
      <c r="AH360">
        <v>12.7343976740407</v>
      </c>
      <c r="AI360">
        <v>94.738110010503803</v>
      </c>
      <c r="AJ360">
        <v>73.723669282074795</v>
      </c>
      <c r="AK360">
        <v>13.311577231771199</v>
      </c>
      <c r="AL360">
        <v>84.871658614062397</v>
      </c>
      <c r="AM360">
        <v>87.224354510022295</v>
      </c>
      <c r="AN360">
        <v>1.0000000203466</v>
      </c>
    </row>
    <row r="361" spans="1:40" x14ac:dyDescent="0.3">
      <c r="A361" t="str">
        <f>"20200111150243792"</f>
        <v>20200111150243792</v>
      </c>
      <c r="B361" t="str">
        <f>"1578726163786502"</f>
        <v>1578726163786502</v>
      </c>
      <c r="C361" t="s">
        <v>40</v>
      </c>
      <c r="D361">
        <v>10.29903</v>
      </c>
      <c r="E361">
        <v>0.59380529999999998</v>
      </c>
      <c r="F361" t="s">
        <v>54</v>
      </c>
      <c r="G361">
        <v>-233.3014</v>
      </c>
      <c r="H361">
        <v>4.1915649999999998</v>
      </c>
      <c r="I361">
        <v>253.3021</v>
      </c>
      <c r="J361">
        <v>-191.31200000000001</v>
      </c>
      <c r="K361">
        <v>1.0999890000000001</v>
      </c>
      <c r="L361">
        <v>303.68270000000001</v>
      </c>
      <c r="M361">
        <v>-0.39401619999999998</v>
      </c>
      <c r="N361">
        <v>0</v>
      </c>
      <c r="O361">
        <v>-0.918991</v>
      </c>
      <c r="P361">
        <v>-0.4348977</v>
      </c>
      <c r="Q361">
        <v>7.7074669999999998E-2</v>
      </c>
      <c r="R361">
        <v>-0.89717549999999902</v>
      </c>
      <c r="S361">
        <v>-1.977371</v>
      </c>
      <c r="T361">
        <v>0.14524519999999999</v>
      </c>
      <c r="U361">
        <v>-2.37738</v>
      </c>
      <c r="V361">
        <v>4.7141299999999997E-2</v>
      </c>
      <c r="W361">
        <v>9.0893370000000001E-2</v>
      </c>
      <c r="X361">
        <v>0.99474419999999997</v>
      </c>
      <c r="Y361">
        <v>0.28404089999999999</v>
      </c>
      <c r="Z361">
        <v>-4.5809349999999999E-2</v>
      </c>
      <c r="AA361">
        <v>0.95771719999999905</v>
      </c>
      <c r="AB361">
        <v>25</v>
      </c>
      <c r="AC361">
        <v>-41.989399999999897</v>
      </c>
      <c r="AD361">
        <v>3.0915759999999999</v>
      </c>
      <c r="AE361">
        <v>-50.380600000000001</v>
      </c>
      <c r="AF361">
        <v>18.697498385210402</v>
      </c>
      <c r="AG361">
        <v>3.0915759999999999</v>
      </c>
      <c r="AH361">
        <v>62.710971647675997</v>
      </c>
      <c r="AI361">
        <v>87.295150386164195</v>
      </c>
      <c r="AJ361">
        <v>73.397863913230495</v>
      </c>
      <c r="AK361">
        <v>65.511985567713893</v>
      </c>
      <c r="AL361">
        <v>84.784995733717096</v>
      </c>
      <c r="AM361">
        <v>87.286761519711703</v>
      </c>
      <c r="AN361">
        <v>0.99999996515464196</v>
      </c>
    </row>
    <row r="362" spans="1:40" x14ac:dyDescent="0.3">
      <c r="A362" t="str">
        <f>"20200111150243815"</f>
        <v>20200111150243815</v>
      </c>
      <c r="B362" t="str">
        <f>"1578726163806997"</f>
        <v>1578726163806997</v>
      </c>
      <c r="C362" t="s">
        <v>40</v>
      </c>
      <c r="D362">
        <v>5.5476570000000001</v>
      </c>
      <c r="E362">
        <v>0.59341929999999998</v>
      </c>
      <c r="F362" t="s">
        <v>54</v>
      </c>
      <c r="G362">
        <v>-233.3013</v>
      </c>
      <c r="H362">
        <v>4.0758330000000003</v>
      </c>
      <c r="I362">
        <v>253.3503</v>
      </c>
      <c r="J362">
        <v>-191.41919999999999</v>
      </c>
      <c r="K362">
        <v>1.1004320000000001</v>
      </c>
      <c r="L362">
        <v>303.45150000000001</v>
      </c>
      <c r="M362">
        <v>-0.39966889999999999</v>
      </c>
      <c r="N362">
        <v>0</v>
      </c>
      <c r="O362">
        <v>-0.91654749999999996</v>
      </c>
      <c r="P362">
        <v>-0.4402643</v>
      </c>
      <c r="Q362">
        <v>7.8085070000000006E-2</v>
      </c>
      <c r="R362">
        <v>-0.89446669999999995</v>
      </c>
      <c r="S362">
        <v>-1.9791559999999999</v>
      </c>
      <c r="T362">
        <v>0.1402659</v>
      </c>
      <c r="U362">
        <v>-2.3724059999999998</v>
      </c>
      <c r="V362">
        <v>4.6920099999999999E-2</v>
      </c>
      <c r="W362">
        <v>9.1903819999999997E-2</v>
      </c>
      <c r="X362">
        <v>0.99466189999999999</v>
      </c>
      <c r="Y362">
        <v>0.27959440000000002</v>
      </c>
      <c r="Z362">
        <v>-4.416366E-2</v>
      </c>
      <c r="AA362">
        <v>0.95910189999999995</v>
      </c>
      <c r="AB362">
        <v>24</v>
      </c>
      <c r="AC362">
        <v>-41.882100000000001</v>
      </c>
      <c r="AD362">
        <v>2.97540099999999</v>
      </c>
      <c r="AE362">
        <v>-50.101199999999999</v>
      </c>
      <c r="AF362">
        <v>18.326880668398001</v>
      </c>
      <c r="AG362">
        <v>2.97540099999999</v>
      </c>
      <c r="AH362">
        <v>62.5357094122894</v>
      </c>
      <c r="AI362">
        <v>87.385753880833803</v>
      </c>
      <c r="AJ362">
        <v>73.666109814306296</v>
      </c>
      <c r="AK362">
        <v>65.233752903254</v>
      </c>
      <c r="AL362">
        <v>84.726858323414007</v>
      </c>
      <c r="AM362">
        <v>87.299250777629894</v>
      </c>
      <c r="AN362">
        <v>1.0000000516131</v>
      </c>
    </row>
    <row r="363" spans="1:40" x14ac:dyDescent="0.3">
      <c r="A363" t="str">
        <f>"20200111150243838"</f>
        <v>20200111150243838</v>
      </c>
      <c r="B363" t="str">
        <f>"1578726163826517"</f>
        <v>1578726163826517</v>
      </c>
      <c r="C363" t="s">
        <v>40</v>
      </c>
      <c r="D363">
        <v>5.5995269999999904</v>
      </c>
      <c r="E363">
        <v>0.59224949999999998</v>
      </c>
      <c r="F363" t="s">
        <v>54</v>
      </c>
      <c r="G363">
        <v>-233.3004</v>
      </c>
      <c r="H363">
        <v>1.2342900000000001</v>
      </c>
      <c r="I363">
        <v>253.55699999999999</v>
      </c>
      <c r="J363">
        <v>-191.5241</v>
      </c>
      <c r="K363">
        <v>1.100881</v>
      </c>
      <c r="L363">
        <v>303.22710000000001</v>
      </c>
      <c r="M363">
        <v>-0.40454220000000002</v>
      </c>
      <c r="N363">
        <v>0</v>
      </c>
      <c r="O363">
        <v>-0.91440790000000005</v>
      </c>
      <c r="P363">
        <v>-0.44656449999999998</v>
      </c>
      <c r="Q363">
        <v>7.8293909999999994E-2</v>
      </c>
      <c r="R363">
        <v>-0.8913198</v>
      </c>
      <c r="S363">
        <v>-1.9918979999999999</v>
      </c>
      <c r="T363">
        <v>6.3664910000000002E-3</v>
      </c>
      <c r="U363">
        <v>-2.3730159999999998</v>
      </c>
      <c r="V363">
        <v>4.8554439999999997E-2</v>
      </c>
      <c r="W363">
        <v>9.2098520000000003E-2</v>
      </c>
      <c r="X363">
        <v>0.99456540000000004</v>
      </c>
      <c r="Y363">
        <v>0.27806599999999998</v>
      </c>
      <c r="Z363">
        <v>-1.9971170000000001E-3</v>
      </c>
      <c r="AA363">
        <v>0.96055990000000002</v>
      </c>
      <c r="AB363">
        <v>24</v>
      </c>
      <c r="AC363">
        <v>-41.7762999999999</v>
      </c>
      <c r="AD363">
        <v>0.133408999999999</v>
      </c>
      <c r="AE363">
        <v>-49.670099999999898</v>
      </c>
      <c r="AF363">
        <v>18.1086960979876</v>
      </c>
      <c r="AG363">
        <v>0.133408999999999</v>
      </c>
      <c r="AH363">
        <v>62.325096114115603</v>
      </c>
      <c r="AI363">
        <v>89.882227115303905</v>
      </c>
      <c r="AJ363">
        <v>73.798659013986907</v>
      </c>
      <c r="AK363">
        <v>64.902698541465199</v>
      </c>
      <c r="AL363">
        <v>84.715655064780805</v>
      </c>
      <c r="AM363">
        <v>87.205053086593907</v>
      </c>
      <c r="AN363">
        <v>1.0000000029535301</v>
      </c>
    </row>
    <row r="364" spans="1:40" x14ac:dyDescent="0.3">
      <c r="A364" t="str">
        <f>"20200111150243861"</f>
        <v>20200111150243861</v>
      </c>
      <c r="B364" t="str">
        <f>"1578726163856778"</f>
        <v>1578726163856778</v>
      </c>
      <c r="C364" t="s">
        <v>40</v>
      </c>
      <c r="D364">
        <v>5.5395719999999997</v>
      </c>
      <c r="E364">
        <v>0.59157299999999902</v>
      </c>
      <c r="F364" t="s">
        <v>54</v>
      </c>
      <c r="G364">
        <v>-233.30019999999999</v>
      </c>
      <c r="H364">
        <v>0.8085753</v>
      </c>
      <c r="I364">
        <v>253.83340000000001</v>
      </c>
      <c r="J364">
        <v>-191.6362</v>
      </c>
      <c r="K364">
        <v>1.1014409999999999</v>
      </c>
      <c r="L364">
        <v>302.98860000000002</v>
      </c>
      <c r="M364">
        <v>-0.40890189999999998</v>
      </c>
      <c r="N364">
        <v>0</v>
      </c>
      <c r="O364">
        <v>-0.91246749999999999</v>
      </c>
      <c r="P364">
        <v>-0.45293339999999999</v>
      </c>
      <c r="Q364">
        <v>7.9354640000000004E-2</v>
      </c>
      <c r="R364">
        <v>-0.88800619999999997</v>
      </c>
      <c r="S364">
        <v>-2.0001829999999998</v>
      </c>
      <c r="T364">
        <v>-1.399505E-2</v>
      </c>
      <c r="U364">
        <v>-2.3648989999999999</v>
      </c>
      <c r="V364">
        <v>5.0853740000000001E-2</v>
      </c>
      <c r="W364">
        <v>9.3148250000000002E-2</v>
      </c>
      <c r="X364">
        <v>0.99435269999999998</v>
      </c>
      <c r="Y364">
        <v>0.277063</v>
      </c>
      <c r="Z364">
        <v>4.3843739999999999E-3</v>
      </c>
      <c r="AA364">
        <v>0.96084179999999997</v>
      </c>
      <c r="AB364">
        <v>24</v>
      </c>
      <c r="AC364">
        <v>-41.663999999999902</v>
      </c>
      <c r="AD364">
        <v>-0.29286569999999901</v>
      </c>
      <c r="AE364">
        <v>-49.155200000000001</v>
      </c>
      <c r="AF364">
        <v>17.918833693930601</v>
      </c>
      <c r="AG364">
        <v>-0.29286569999999901</v>
      </c>
      <c r="AH364">
        <v>61.893993624324303</v>
      </c>
      <c r="AI364">
        <v>90.260412628045202</v>
      </c>
      <c r="AJ364">
        <v>73.853823709440803</v>
      </c>
      <c r="AK364">
        <v>64.436300468267703</v>
      </c>
      <c r="AL364">
        <v>84.655250257308793</v>
      </c>
      <c r="AM364">
        <v>87.072298059457097</v>
      </c>
      <c r="AN364">
        <v>0.99999999567367004</v>
      </c>
    </row>
    <row r="365" spans="1:40" x14ac:dyDescent="0.3">
      <c r="A365" t="str">
        <f>"20200111150244430"</f>
        <v>20200111150244430</v>
      </c>
      <c r="B365" t="str">
        <f>"1578726164426399"</f>
        <v>1578726164426399</v>
      </c>
      <c r="C365" t="s">
        <v>40</v>
      </c>
      <c r="D365">
        <v>5.6580120000000003</v>
      </c>
      <c r="E365">
        <v>0.5311285</v>
      </c>
      <c r="F365" t="s">
        <v>43</v>
      </c>
      <c r="G365">
        <v>-219.29480000000001</v>
      </c>
      <c r="H365">
        <v>-0.05</v>
      </c>
      <c r="I365">
        <v>270.58240000000001</v>
      </c>
      <c r="J365">
        <v>-193.95070000000001</v>
      </c>
      <c r="K365">
        <v>1.105229</v>
      </c>
      <c r="L365">
        <v>297.39609999999999</v>
      </c>
      <c r="M365">
        <v>-0.3557787</v>
      </c>
      <c r="N365">
        <v>0</v>
      </c>
      <c r="O365">
        <v>-0.93446790000000002</v>
      </c>
      <c r="P365">
        <v>-0.44361460000000003</v>
      </c>
      <c r="Q365">
        <v>7.7103309999999994E-2</v>
      </c>
      <c r="R365">
        <v>-0.89289499999999999</v>
      </c>
      <c r="S365">
        <v>-2.0133359999999998</v>
      </c>
      <c r="T365">
        <v>-8.3816050000000003E-2</v>
      </c>
      <c r="U365">
        <v>-2.3589169999999999</v>
      </c>
      <c r="V365">
        <v>9.6696210000000005E-2</v>
      </c>
      <c r="W365">
        <v>9.1022510000000001E-2</v>
      </c>
      <c r="X365">
        <v>0.9911432</v>
      </c>
      <c r="Y365">
        <v>0.33582040000000002</v>
      </c>
      <c r="Z365">
        <v>2.6911620000000001E-2</v>
      </c>
      <c r="AA365">
        <v>0.94154159999999998</v>
      </c>
      <c r="AB365">
        <v>24</v>
      </c>
      <c r="AC365">
        <v>-25.344100000000001</v>
      </c>
      <c r="AD365">
        <v>-1.1552290000000001</v>
      </c>
      <c r="AE365">
        <v>-26.813699999999901</v>
      </c>
      <c r="AF365">
        <v>14.131003928912101</v>
      </c>
      <c r="AG365">
        <v>-1.1552290000000001</v>
      </c>
      <c r="AH365">
        <v>34.043317292218603</v>
      </c>
      <c r="AI365">
        <v>91.795136762179098</v>
      </c>
      <c r="AJ365">
        <v>67.457203708462899</v>
      </c>
      <c r="AK365">
        <v>36.877734181210798</v>
      </c>
      <c r="AL365">
        <v>84.777566194423102</v>
      </c>
      <c r="AM365">
        <v>84.427841567661702</v>
      </c>
      <c r="AN365">
        <v>1.00000004863065</v>
      </c>
    </row>
    <row r="366" spans="1:40" x14ac:dyDescent="0.3">
      <c r="A366" t="str">
        <f>"20200111150244452"</f>
        <v>20200111150244452</v>
      </c>
      <c r="B366" t="str">
        <f>"1578726164446895"</f>
        <v>1578726164446895</v>
      </c>
      <c r="C366" t="s">
        <v>40</v>
      </c>
      <c r="D366">
        <v>5.769495</v>
      </c>
      <c r="E366">
        <v>0.53332599999999997</v>
      </c>
      <c r="F366" t="s">
        <v>42</v>
      </c>
      <c r="G366">
        <v>-194.4136</v>
      </c>
      <c r="H366">
        <v>0.97884079999999996</v>
      </c>
      <c r="I366">
        <v>296.61799999999999</v>
      </c>
      <c r="J366">
        <v>-194.03290000000001</v>
      </c>
      <c r="K366">
        <v>1.1047039999999999</v>
      </c>
      <c r="L366">
        <v>297.17680000000001</v>
      </c>
      <c r="M366">
        <v>-0.35524850000000002</v>
      </c>
      <c r="N366">
        <v>0</v>
      </c>
      <c r="O366">
        <v>-0.93466959999999999</v>
      </c>
      <c r="P366">
        <v>-0.44162190000000001</v>
      </c>
      <c r="Q366">
        <v>7.5135220000000003E-2</v>
      </c>
      <c r="R366">
        <v>-0.894049599999999</v>
      </c>
      <c r="S366">
        <v>-1.5597989999999999</v>
      </c>
      <c r="T366">
        <v>-0.42584689999999997</v>
      </c>
      <c r="U366">
        <v>-2.621613</v>
      </c>
      <c r="V366">
        <v>9.5102229999999996E-2</v>
      </c>
      <c r="W366">
        <v>8.8927249999999999E-2</v>
      </c>
      <c r="X366">
        <v>0.99148749999999997</v>
      </c>
      <c r="Y366">
        <v>0.167761299999999</v>
      </c>
      <c r="Z366">
        <v>0.13348759999999901</v>
      </c>
      <c r="AA366">
        <v>0.97674830000000001</v>
      </c>
      <c r="AB366">
        <v>24</v>
      </c>
      <c r="AC366">
        <v>-0.38069999999998999</v>
      </c>
      <c r="AD366">
        <v>-0.12586319999999901</v>
      </c>
      <c r="AE366">
        <v>-0.55880000000001895</v>
      </c>
      <c r="AF366">
        <v>0.15206198074166299</v>
      </c>
      <c r="AG366">
        <v>-0.12586319999999901</v>
      </c>
      <c r="AH366">
        <v>0.63557674505661599</v>
      </c>
      <c r="AI366">
        <v>100.901371651549</v>
      </c>
      <c r="AJ366">
        <v>76.544884244654895</v>
      </c>
      <c r="AK366">
        <v>0.665523996530614</v>
      </c>
      <c r="AL366">
        <v>84.8981042960134</v>
      </c>
      <c r="AM366">
        <v>84.521023028519096</v>
      </c>
      <c r="AN366">
        <v>0.99999997629989201</v>
      </c>
    </row>
    <row r="367" spans="1:40" x14ac:dyDescent="0.3">
      <c r="A367" t="str">
        <f>"20200111150244520"</f>
        <v>20200111150244520</v>
      </c>
      <c r="B367" t="str">
        <f>"1578726164516699"</f>
        <v>1578726164516699</v>
      </c>
      <c r="C367" t="s">
        <v>40</v>
      </c>
      <c r="D367">
        <v>5.659097</v>
      </c>
      <c r="E367">
        <v>0.53843030000000003</v>
      </c>
      <c r="F367" t="s">
        <v>42</v>
      </c>
      <c r="G367">
        <v>-194.49449999999999</v>
      </c>
      <c r="H367">
        <v>1.0085280000000001</v>
      </c>
      <c r="I367">
        <v>296.40879999999999</v>
      </c>
      <c r="J367">
        <v>-194.28550000000001</v>
      </c>
      <c r="K367">
        <v>1.1032390000000001</v>
      </c>
      <c r="L367">
        <v>296.5172</v>
      </c>
      <c r="M367">
        <v>-0.3576995</v>
      </c>
      <c r="N367">
        <v>0</v>
      </c>
      <c r="O367">
        <v>-0.93373419999999896</v>
      </c>
      <c r="P367">
        <v>-0.4400058</v>
      </c>
      <c r="Q367">
        <v>7.9531829999999998E-2</v>
      </c>
      <c r="R367">
        <v>-0.89446599999999998</v>
      </c>
      <c r="S367">
        <v>-1.5675049999999999</v>
      </c>
      <c r="T367">
        <v>-0.32673079999999999</v>
      </c>
      <c r="U367">
        <v>-2.6087039999999999</v>
      </c>
      <c r="V367">
        <v>9.1180849999999994E-2</v>
      </c>
      <c r="W367">
        <v>9.2985399999999996E-2</v>
      </c>
      <c r="X367">
        <v>0.99148360000000002</v>
      </c>
      <c r="Y367">
        <v>0.17140820000000001</v>
      </c>
      <c r="Z367">
        <v>0.10302360000000001</v>
      </c>
      <c r="AA367">
        <v>0.97979859999999996</v>
      </c>
      <c r="AB367">
        <v>23</v>
      </c>
      <c r="AC367">
        <v>-0.20899999999997401</v>
      </c>
      <c r="AD367">
        <v>-9.4710999999999698E-2</v>
      </c>
      <c r="AE367">
        <v>-0.108400000000017</v>
      </c>
      <c r="AF367">
        <v>0.134607958987501</v>
      </c>
      <c r="AG367">
        <v>-9.4710999999999698E-2</v>
      </c>
      <c r="AH367">
        <v>0.15147973369464299</v>
      </c>
      <c r="AI367">
        <v>115.050051716779</v>
      </c>
      <c r="AJ367">
        <v>48.375059995832103</v>
      </c>
      <c r="AK367">
        <v>0.223686356007649</v>
      </c>
      <c r="AL367">
        <v>84.664621466768196</v>
      </c>
      <c r="AM367">
        <v>84.745627409825104</v>
      </c>
      <c r="AN367">
        <v>0.99999998054442096</v>
      </c>
    </row>
    <row r="368" spans="1:40" x14ac:dyDescent="0.3">
      <c r="A368" t="str">
        <f>"20200111150244541"</f>
        <v>20200111150244541</v>
      </c>
      <c r="B368" t="str">
        <f>"1578726164536219"</f>
        <v>1578726164536219</v>
      </c>
      <c r="C368" t="s">
        <v>40</v>
      </c>
      <c r="D368">
        <v>5.807531</v>
      </c>
      <c r="E368">
        <v>0.54006259999999995</v>
      </c>
      <c r="F368" t="s">
        <v>42</v>
      </c>
      <c r="G368">
        <v>-194.7174</v>
      </c>
      <c r="H368">
        <v>1.0142009999999999</v>
      </c>
      <c r="I368">
        <v>295.81799999999998</v>
      </c>
      <c r="J368">
        <v>-194.36840000000001</v>
      </c>
      <c r="K368">
        <v>1.102743</v>
      </c>
      <c r="L368">
        <v>296.3066</v>
      </c>
      <c r="M368">
        <v>-0.35998219999999997</v>
      </c>
      <c r="N368">
        <v>0</v>
      </c>
      <c r="O368">
        <v>-0.93285660000000004</v>
      </c>
      <c r="P368">
        <v>-0.4425501</v>
      </c>
      <c r="Q368">
        <v>7.6298190000000002E-2</v>
      </c>
      <c r="R368">
        <v>-0.89349249999999902</v>
      </c>
      <c r="S368">
        <v>-1.6027070000000001</v>
      </c>
      <c r="T368">
        <v>-0.33052799999999999</v>
      </c>
      <c r="U368">
        <v>-2.5950009999999999</v>
      </c>
      <c r="V368">
        <v>9.1579010000000002E-2</v>
      </c>
      <c r="W368">
        <v>8.9651049999999996E-2</v>
      </c>
      <c r="X368">
        <v>0.99175400000000002</v>
      </c>
      <c r="Y368">
        <v>0.18088850000000001</v>
      </c>
      <c r="Z368">
        <v>0.10410079999999999</v>
      </c>
      <c r="AA368">
        <v>0.97797869999999998</v>
      </c>
      <c r="AB368">
        <v>23</v>
      </c>
      <c r="AC368">
        <v>-0.34899999999998899</v>
      </c>
      <c r="AD368">
        <v>-8.8541999999999899E-2</v>
      </c>
      <c r="AE368">
        <v>-0.48860000000001902</v>
      </c>
      <c r="AF368">
        <v>0.14650817935221899</v>
      </c>
      <c r="AG368">
        <v>-8.8541999999999899E-2</v>
      </c>
      <c r="AH368">
        <v>0.56910800821873297</v>
      </c>
      <c r="AI368">
        <v>98.5681830537265</v>
      </c>
      <c r="AJ368">
        <v>75.563540864386297</v>
      </c>
      <c r="AK368">
        <v>0.59429643899302997</v>
      </c>
      <c r="AL368">
        <v>84.8564674800501</v>
      </c>
      <c r="AM368">
        <v>84.724243065121499</v>
      </c>
      <c r="AN368">
        <v>1.0000000111773399</v>
      </c>
    </row>
    <row r="369" spans="1:40" x14ac:dyDescent="0.3">
      <c r="A369" t="str">
        <f>"20200111150244565"</f>
        <v>20200111150244565</v>
      </c>
      <c r="B369" t="str">
        <f>"1578726164556717"</f>
        <v>1578726164556717</v>
      </c>
      <c r="C369" t="s">
        <v>40</v>
      </c>
      <c r="D369">
        <v>5.6714260000000003</v>
      </c>
      <c r="E369">
        <v>0.54153499999999999</v>
      </c>
      <c r="F369" t="s">
        <v>42</v>
      </c>
      <c r="G369">
        <v>-194.79759999999999</v>
      </c>
      <c r="H369">
        <v>1.015722</v>
      </c>
      <c r="I369">
        <v>295.62369999999999</v>
      </c>
      <c r="J369">
        <v>-194.45849999999999</v>
      </c>
      <c r="K369">
        <v>1.102196</v>
      </c>
      <c r="L369">
        <v>296.0822</v>
      </c>
      <c r="M369">
        <v>-0.36321239999999999</v>
      </c>
      <c r="N369">
        <v>0</v>
      </c>
      <c r="O369">
        <v>-0.93160319999999996</v>
      </c>
      <c r="P369">
        <v>-0.44546740000000001</v>
      </c>
      <c r="Q369">
        <v>7.6071650000000005E-2</v>
      </c>
      <c r="R369">
        <v>-0.89206049999999903</v>
      </c>
      <c r="S369">
        <v>-1.622147</v>
      </c>
      <c r="T369">
        <v>-0.32898290000000002</v>
      </c>
      <c r="U369">
        <v>-2.5822449999999999</v>
      </c>
      <c r="V369">
        <v>9.150026E-2</v>
      </c>
      <c r="W369">
        <v>8.9320499999999997E-2</v>
      </c>
      <c r="X369">
        <v>0.99179110000000004</v>
      </c>
      <c r="Y369">
        <v>0.1849605</v>
      </c>
      <c r="Z369">
        <v>0.1036175</v>
      </c>
      <c r="AA369">
        <v>0.97726820000000003</v>
      </c>
      <c r="AB369">
        <v>23</v>
      </c>
      <c r="AC369">
        <v>-0.33910000000000201</v>
      </c>
      <c r="AD369">
        <v>-8.6473999999999898E-2</v>
      </c>
      <c r="AE369">
        <v>-0.45850000000001501</v>
      </c>
      <c r="AF369">
        <v>0.14603036422322199</v>
      </c>
      <c r="AG369">
        <v>-8.6473999999999898E-2</v>
      </c>
      <c r="AH369">
        <v>0.53798804411326995</v>
      </c>
      <c r="AI369">
        <v>98.817606702884802</v>
      </c>
      <c r="AJ369">
        <v>74.813663011954901</v>
      </c>
      <c r="AK369">
        <v>0.56412211050444405</v>
      </c>
      <c r="AL369">
        <v>84.875482921110503</v>
      </c>
      <c r="AM369">
        <v>84.728950262363895</v>
      </c>
      <c r="AN369">
        <v>1.0000000176697601</v>
      </c>
    </row>
    <row r="370" spans="1:40" x14ac:dyDescent="0.3">
      <c r="A370" t="str">
        <f>"20200111150244587"</f>
        <v>20200111150244587</v>
      </c>
      <c r="B370" t="str">
        <f>"1578726164576235"</f>
        <v>1578726164576235</v>
      </c>
      <c r="C370" t="s">
        <v>40</v>
      </c>
      <c r="D370">
        <v>5.6386529999999997</v>
      </c>
      <c r="E370">
        <v>0.54262969999999999</v>
      </c>
      <c r="F370" t="s">
        <v>42</v>
      </c>
      <c r="G370">
        <v>-194.87729999999999</v>
      </c>
      <c r="H370">
        <v>1.0212410000000001</v>
      </c>
      <c r="I370">
        <v>295.42739999999998</v>
      </c>
      <c r="J370">
        <v>-194.5513</v>
      </c>
      <c r="K370">
        <v>1.101639</v>
      </c>
      <c r="L370">
        <v>295.85579999999999</v>
      </c>
      <c r="M370">
        <v>-0.36726490000000001</v>
      </c>
      <c r="N370">
        <v>0</v>
      </c>
      <c r="O370">
        <v>-0.93001279999999997</v>
      </c>
      <c r="P370">
        <v>-0.44942959999999899</v>
      </c>
      <c r="Q370">
        <v>8.1367729999999999E-2</v>
      </c>
      <c r="R370">
        <v>-0.88960269999999997</v>
      </c>
      <c r="S370">
        <v>-1.64305099999999</v>
      </c>
      <c r="T370">
        <v>-0.31753629999999999</v>
      </c>
      <c r="U370">
        <v>-2.5695800000000002</v>
      </c>
      <c r="V370">
        <v>9.1930419999999999E-2</v>
      </c>
      <c r="W370">
        <v>9.4508830000000002E-2</v>
      </c>
      <c r="X370">
        <v>0.9912704</v>
      </c>
      <c r="Y370">
        <v>0.18872369999999999</v>
      </c>
      <c r="Z370">
        <v>9.9981269999999997E-2</v>
      </c>
      <c r="AA370">
        <v>0.9769274</v>
      </c>
      <c r="AB370">
        <v>23</v>
      </c>
      <c r="AC370">
        <v>-0.32599999999999302</v>
      </c>
      <c r="AD370">
        <v>-8.03979999999999E-2</v>
      </c>
      <c r="AE370">
        <v>-0.42840000000001</v>
      </c>
      <c r="AF370">
        <v>0.14267957731015499</v>
      </c>
      <c r="AG370">
        <v>-8.03979999999999E-2</v>
      </c>
      <c r="AH370">
        <v>0.50688995055030905</v>
      </c>
      <c r="AI370">
        <v>98.680725817644102</v>
      </c>
      <c r="AJ370">
        <v>74.279130543405003</v>
      </c>
      <c r="AK370">
        <v>0.53269008077333202</v>
      </c>
      <c r="AL370">
        <v>84.576949693296896</v>
      </c>
      <c r="AM370">
        <v>84.701544701612406</v>
      </c>
      <c r="AN370">
        <v>1.0000000634927499</v>
      </c>
    </row>
    <row r="371" spans="1:40" x14ac:dyDescent="0.3">
      <c r="A371" t="str">
        <f>"20200111150244608"</f>
        <v>20200111150244608</v>
      </c>
      <c r="B371" t="str">
        <f>"1578726164596731"</f>
        <v>1578726164596731</v>
      </c>
      <c r="C371" t="s">
        <v>40</v>
      </c>
      <c r="D371">
        <v>5.6261130000000001</v>
      </c>
      <c r="E371">
        <v>0.54393369999999996</v>
      </c>
      <c r="F371" t="s">
        <v>42</v>
      </c>
      <c r="G371">
        <v>-194.9589</v>
      </c>
      <c r="H371">
        <v>1.0271319999999999</v>
      </c>
      <c r="I371">
        <v>295.23039999999997</v>
      </c>
      <c r="J371">
        <v>-194.63480000000001</v>
      </c>
      <c r="K371">
        <v>1.1011610000000001</v>
      </c>
      <c r="L371">
        <v>295.65710000000001</v>
      </c>
      <c r="M371">
        <v>-0.3715212</v>
      </c>
      <c r="N371">
        <v>0</v>
      </c>
      <c r="O371">
        <v>-0.92832009999999998</v>
      </c>
      <c r="P371">
        <v>-0.45418190000000003</v>
      </c>
      <c r="Q371">
        <v>8.7960029999999995E-2</v>
      </c>
      <c r="R371">
        <v>-0.88655609999999996</v>
      </c>
      <c r="S371">
        <v>-1.6663509999999999</v>
      </c>
      <c r="T371">
        <v>-0.30456220000000001</v>
      </c>
      <c r="U371">
        <v>-2.5582579999999999</v>
      </c>
      <c r="V371">
        <v>9.3098390000000003E-2</v>
      </c>
      <c r="W371">
        <v>0.1010035</v>
      </c>
      <c r="X371">
        <v>0.99052050000000003</v>
      </c>
      <c r="Y371">
        <v>0.19269610000000001</v>
      </c>
      <c r="Z371">
        <v>9.5785220000000004E-2</v>
      </c>
      <c r="AA371">
        <v>0.97657229999999995</v>
      </c>
      <c r="AB371">
        <v>23</v>
      </c>
      <c r="AC371">
        <v>-0.32409999999998701</v>
      </c>
      <c r="AD371">
        <v>-7.4029000000000095E-2</v>
      </c>
      <c r="AE371">
        <v>-0.42670000000003899</v>
      </c>
      <c r="AF371">
        <v>0.13968794390512099</v>
      </c>
      <c r="AG371">
        <v>-7.4029000000000095E-2</v>
      </c>
      <c r="AH371">
        <v>0.50689881450938301</v>
      </c>
      <c r="AI371">
        <v>98.0142651411619</v>
      </c>
      <c r="AJ371">
        <v>74.593197696292805</v>
      </c>
      <c r="AK371">
        <v>0.53097968196952605</v>
      </c>
      <c r="AL371">
        <v>84.203040259005505</v>
      </c>
      <c r="AM371">
        <v>84.630580305252096</v>
      </c>
      <c r="AN371">
        <v>0.99999993907654405</v>
      </c>
    </row>
    <row r="372" spans="1:40" x14ac:dyDescent="0.3">
      <c r="A372" t="str">
        <f>"20200111150244630"</f>
        <v>20200111150244630</v>
      </c>
      <c r="B372" t="str">
        <f>"1578726164626987"</f>
        <v>1578726164626987</v>
      </c>
      <c r="C372" t="s">
        <v>40</v>
      </c>
      <c r="D372">
        <v>5.628228</v>
      </c>
      <c r="E372">
        <v>0.54557080000000002</v>
      </c>
      <c r="F372" t="s">
        <v>42</v>
      </c>
      <c r="G372">
        <v>-195.0472</v>
      </c>
      <c r="H372">
        <v>1.0301709999999999</v>
      </c>
      <c r="I372">
        <v>295.03719999999998</v>
      </c>
      <c r="J372">
        <v>-194.72649999999999</v>
      </c>
      <c r="K372">
        <v>1.100676</v>
      </c>
      <c r="L372">
        <v>295.44420000000002</v>
      </c>
      <c r="M372">
        <v>-0.37681740000000002</v>
      </c>
      <c r="N372">
        <v>0</v>
      </c>
      <c r="O372">
        <v>-0.92618219999999996</v>
      </c>
      <c r="P372">
        <v>-0.46017750000000002</v>
      </c>
      <c r="Q372">
        <v>9.2063640000000002E-2</v>
      </c>
      <c r="R372">
        <v>-0.88304110000000002</v>
      </c>
      <c r="S372">
        <v>-1.69278</v>
      </c>
      <c r="T372">
        <v>-0.29135529999999998</v>
      </c>
      <c r="U372">
        <v>-2.5456240000000001</v>
      </c>
      <c r="V372">
        <v>9.4477080000000005E-2</v>
      </c>
      <c r="W372">
        <v>0.1050133</v>
      </c>
      <c r="X372">
        <v>0.98997290000000004</v>
      </c>
      <c r="Y372">
        <v>0.1966058</v>
      </c>
      <c r="Z372">
        <v>9.1467480000000004E-2</v>
      </c>
      <c r="AA372">
        <v>0.97620680000000004</v>
      </c>
      <c r="AB372">
        <v>23</v>
      </c>
      <c r="AC372">
        <v>-0.32070000000001597</v>
      </c>
      <c r="AD372">
        <v>-7.0504999999999998E-2</v>
      </c>
      <c r="AE372">
        <v>-0.407000000000039</v>
      </c>
      <c r="AF372">
        <v>0.14106431101240199</v>
      </c>
      <c r="AG372">
        <v>-7.0504999999999998E-2</v>
      </c>
      <c r="AH372">
        <v>0.488800445225962</v>
      </c>
      <c r="AI372">
        <v>97.890090126824703</v>
      </c>
      <c r="AJ372">
        <v>73.902238521609206</v>
      </c>
      <c r="AK372">
        <v>0.513610718462439</v>
      </c>
      <c r="AL372">
        <v>83.972067334732898</v>
      </c>
      <c r="AM372">
        <v>84.548544194172706</v>
      </c>
      <c r="AN372">
        <v>1.0000000272783101</v>
      </c>
    </row>
    <row r="373" spans="1:40" x14ac:dyDescent="0.3">
      <c r="A373" t="str">
        <f>"20200111150244653"</f>
        <v>20200111150244653</v>
      </c>
      <c r="B373" t="str">
        <f>"1578726164646507"</f>
        <v>1578726164646507</v>
      </c>
      <c r="C373" t="s">
        <v>40</v>
      </c>
      <c r="D373">
        <v>5.689838</v>
      </c>
      <c r="E373">
        <v>0.54612159999999998</v>
      </c>
      <c r="F373" t="s">
        <v>53</v>
      </c>
      <c r="G373">
        <v>-201.3854</v>
      </c>
      <c r="H373" s="1">
        <v>2.7382450000000001E-6</v>
      </c>
      <c r="I373">
        <v>285.68130000000002</v>
      </c>
      <c r="J373">
        <v>-194.822</v>
      </c>
      <c r="K373">
        <v>1.100212</v>
      </c>
      <c r="L373">
        <v>295.22840000000002</v>
      </c>
      <c r="M373">
        <v>-0.38291609999999998</v>
      </c>
      <c r="N373">
        <v>0</v>
      </c>
      <c r="O373">
        <v>-0.92367670000000002</v>
      </c>
      <c r="P373">
        <v>-0.46754050000000003</v>
      </c>
      <c r="Q373">
        <v>9.4040799999999994E-2</v>
      </c>
      <c r="R373">
        <v>-0.87895509999999999</v>
      </c>
      <c r="S373">
        <v>-1.7244870000000001</v>
      </c>
      <c r="T373">
        <v>-0.28504879999999999</v>
      </c>
      <c r="U373">
        <v>-2.5283509999999998</v>
      </c>
      <c r="V373">
        <v>9.645049E-2</v>
      </c>
      <c r="W373">
        <v>0.10690470000000001</v>
      </c>
      <c r="X373">
        <v>0.98958000000000002</v>
      </c>
      <c r="Y373">
        <v>0.20172670000000001</v>
      </c>
      <c r="Z373">
        <v>8.9323879999999994E-2</v>
      </c>
      <c r="AA373">
        <v>0.97536020000000001</v>
      </c>
      <c r="AB373">
        <v>23</v>
      </c>
      <c r="AC373">
        <v>-6.5633999999999997</v>
      </c>
      <c r="AD373">
        <v>-1.1002092617549999</v>
      </c>
      <c r="AE373">
        <v>-9.5471000000000004</v>
      </c>
      <c r="AF373">
        <v>2.3854457473862798</v>
      </c>
      <c r="AG373">
        <v>-1.1002092617549999</v>
      </c>
      <c r="AH373">
        <v>11.2314925355413</v>
      </c>
      <c r="AI373">
        <v>95.473381768810199</v>
      </c>
      <c r="AJ373">
        <v>78.009184519631901</v>
      </c>
      <c r="AK373">
        <v>11.534610370935599</v>
      </c>
      <c r="AL373">
        <v>83.863084052802407</v>
      </c>
      <c r="AM373">
        <v>84.433187724130605</v>
      </c>
      <c r="AN373">
        <v>0.99999994415166304</v>
      </c>
    </row>
    <row r="374" spans="1:40" x14ac:dyDescent="0.3">
      <c r="A374" t="str">
        <f>"20200111150244676"</f>
        <v>20200111150244676</v>
      </c>
      <c r="B374" t="str">
        <f>"1578726164667004"</f>
        <v>1578726164667004</v>
      </c>
      <c r="C374" t="s">
        <v>40</v>
      </c>
      <c r="D374">
        <v>5.6614950000000004</v>
      </c>
      <c r="E374">
        <v>0.54681059999999904</v>
      </c>
      <c r="F374" t="s">
        <v>53</v>
      </c>
      <c r="G374">
        <v>-201.63570000000001</v>
      </c>
      <c r="H374" s="1">
        <v>2.8687729999999998E-6</v>
      </c>
      <c r="I374">
        <v>285.45800000000003</v>
      </c>
      <c r="J374">
        <v>-194.92339999999999</v>
      </c>
      <c r="K374">
        <v>1.09981</v>
      </c>
      <c r="L374">
        <v>295.00540000000001</v>
      </c>
      <c r="M374">
        <v>-0.38985170000000002</v>
      </c>
      <c r="N374">
        <v>0</v>
      </c>
      <c r="O374">
        <v>-0.92077019999999998</v>
      </c>
      <c r="P374">
        <v>-0.47563430000000001</v>
      </c>
      <c r="Q374">
        <v>9.5465110000000006E-2</v>
      </c>
      <c r="R374">
        <v>-0.8744478</v>
      </c>
      <c r="S374">
        <v>-1.7516020000000001</v>
      </c>
      <c r="T374">
        <v>-0.28282950000000001</v>
      </c>
      <c r="U374">
        <v>-2.5116580000000002</v>
      </c>
      <c r="V374">
        <v>9.8333459999999998E-2</v>
      </c>
      <c r="W374">
        <v>0.1082601</v>
      </c>
      <c r="X374">
        <v>0.98924730000000005</v>
      </c>
      <c r="Y374">
        <v>0.204537</v>
      </c>
      <c r="Z374">
        <v>8.8437230000000006E-2</v>
      </c>
      <c r="AA374">
        <v>0.97485560000000004</v>
      </c>
      <c r="AB374">
        <v>23</v>
      </c>
      <c r="AC374">
        <v>-6.7123000000000204</v>
      </c>
      <c r="AD374">
        <v>-1.0998071312269999</v>
      </c>
      <c r="AE374">
        <v>-9.5474000000000299</v>
      </c>
      <c r="AF374">
        <v>2.4370173637298298</v>
      </c>
      <c r="AG374">
        <v>-1.0998071312269999</v>
      </c>
      <c r="AH374">
        <v>11.3084685100172</v>
      </c>
      <c r="AI374">
        <v>95.430932627923596</v>
      </c>
      <c r="AJ374">
        <v>77.838535204668304</v>
      </c>
      <c r="AK374">
        <v>11.6202448080524</v>
      </c>
      <c r="AL374">
        <v>83.784972152309294</v>
      </c>
      <c r="AM374">
        <v>84.323315307962901</v>
      </c>
      <c r="AN374">
        <v>0.99999996958243498</v>
      </c>
    </row>
    <row r="375" spans="1:40" x14ac:dyDescent="0.3">
      <c r="A375" t="str">
        <f>"20200111150244699"</f>
        <v>20200111150244699</v>
      </c>
      <c r="B375" t="str">
        <f>"1578726164696283"</f>
        <v>1578726164696283</v>
      </c>
      <c r="C375" t="s">
        <v>40</v>
      </c>
      <c r="D375">
        <v>5.6726340000000004</v>
      </c>
      <c r="E375">
        <v>0.54739249999999995</v>
      </c>
      <c r="F375" t="s">
        <v>53</v>
      </c>
      <c r="G375">
        <v>-201.89150000000001</v>
      </c>
      <c r="H375" s="1">
        <v>2.9995599999999998E-6</v>
      </c>
      <c r="I375">
        <v>285.25970000000001</v>
      </c>
      <c r="J375">
        <v>-195.0205</v>
      </c>
      <c r="K375">
        <v>1.099494</v>
      </c>
      <c r="L375">
        <v>294.79750000000001</v>
      </c>
      <c r="M375">
        <v>-0.3968566</v>
      </c>
      <c r="N375">
        <v>0</v>
      </c>
      <c r="O375">
        <v>-0.91777209999999998</v>
      </c>
      <c r="P375">
        <v>-0.48391040000000002</v>
      </c>
      <c r="Q375">
        <v>9.8250939999999995E-2</v>
      </c>
      <c r="R375">
        <v>-0.86958519999999995</v>
      </c>
      <c r="S375">
        <v>-1.7819210000000001</v>
      </c>
      <c r="T375">
        <v>-0.28124700000000002</v>
      </c>
      <c r="U375">
        <v>-2.4922179999999998</v>
      </c>
      <c r="V375">
        <v>0.1004332</v>
      </c>
      <c r="W375">
        <v>0.1109835</v>
      </c>
      <c r="X375">
        <v>0.98873449999999996</v>
      </c>
      <c r="Y375">
        <v>0.2085621</v>
      </c>
      <c r="Z375">
        <v>8.7769189999999997E-2</v>
      </c>
      <c r="AA375">
        <v>0.97406289999999995</v>
      </c>
      <c r="AB375">
        <v>23</v>
      </c>
      <c r="AC375">
        <v>-6.8710000000000004</v>
      </c>
      <c r="AD375">
        <v>-1.09949100044</v>
      </c>
      <c r="AE375">
        <v>-9.5378000000000007</v>
      </c>
      <c r="AF375">
        <v>2.4992593922637898</v>
      </c>
      <c r="AG375">
        <v>-1.09949100044</v>
      </c>
      <c r="AH375">
        <v>11.381896733871701</v>
      </c>
      <c r="AI375">
        <v>95.390020651504699</v>
      </c>
      <c r="AJ375">
        <v>77.615428693294803</v>
      </c>
      <c r="AK375">
        <v>11.704817436867</v>
      </c>
      <c r="AL375">
        <v>83.627987116796305</v>
      </c>
      <c r="AM375">
        <v>84.199930486816697</v>
      </c>
      <c r="AN375">
        <v>1.0000000382123599</v>
      </c>
    </row>
    <row r="376" spans="1:40" x14ac:dyDescent="0.3">
      <c r="A376" t="str">
        <f>"20200111150244719"</f>
        <v>20200111150244719</v>
      </c>
      <c r="B376" t="str">
        <f>"1578726164716779"</f>
        <v>1578726164716779</v>
      </c>
      <c r="C376" t="s">
        <v>40</v>
      </c>
      <c r="D376">
        <v>5.6726330000000003</v>
      </c>
      <c r="E376">
        <v>0.54770090000000005</v>
      </c>
      <c r="F376" t="s">
        <v>53</v>
      </c>
      <c r="G376">
        <v>-202.1421</v>
      </c>
      <c r="H376" s="1">
        <v>3.1256880000000001E-6</v>
      </c>
      <c r="I376">
        <v>285.08789999999999</v>
      </c>
      <c r="J376">
        <v>-195.11590000000001</v>
      </c>
      <c r="K376">
        <v>1.099205</v>
      </c>
      <c r="L376">
        <v>294.59840000000003</v>
      </c>
      <c r="M376">
        <v>-0.40405639999999998</v>
      </c>
      <c r="N376">
        <v>0</v>
      </c>
      <c r="O376">
        <v>-0.91462399999999999</v>
      </c>
      <c r="P376">
        <v>-0.49379299999999998</v>
      </c>
      <c r="Q376">
        <v>0.1001905</v>
      </c>
      <c r="R376">
        <v>-0.86378840000000001</v>
      </c>
      <c r="S376">
        <v>-1.813431</v>
      </c>
      <c r="T376">
        <v>-0.27997169999999999</v>
      </c>
      <c r="U376">
        <v>-2.4724119999999998</v>
      </c>
      <c r="V376">
        <v>0.1041391</v>
      </c>
      <c r="W376">
        <v>0.11284139999999999</v>
      </c>
      <c r="X376">
        <v>0.98814060000000004</v>
      </c>
      <c r="Y376">
        <v>0.2127076</v>
      </c>
      <c r="Z376">
        <v>8.7168099999999998E-2</v>
      </c>
      <c r="AA376">
        <v>0.97321999999999997</v>
      </c>
      <c r="AB376">
        <v>23</v>
      </c>
      <c r="AC376">
        <v>-7.0261999999999798</v>
      </c>
      <c r="AD376">
        <v>-1.099201874312</v>
      </c>
      <c r="AE376">
        <v>-9.5105000000000306</v>
      </c>
      <c r="AF376">
        <v>2.5616759104061</v>
      </c>
      <c r="AG376">
        <v>-1.099201874312</v>
      </c>
      <c r="AH376">
        <v>11.4398160029653</v>
      </c>
      <c r="AI376">
        <v>95.356596581348995</v>
      </c>
      <c r="AJ376">
        <v>77.3781829828593</v>
      </c>
      <c r="AK376">
        <v>11.7745411125932</v>
      </c>
      <c r="AL376">
        <v>83.520864021581303</v>
      </c>
      <c r="AM376">
        <v>83.983865780321295</v>
      </c>
      <c r="AN376">
        <v>0.99999998953556501</v>
      </c>
    </row>
    <row r="377" spans="1:40" x14ac:dyDescent="0.3">
      <c r="A377" t="str">
        <f>"20200111150244743"</f>
        <v>20200111150244743</v>
      </c>
      <c r="B377" t="str">
        <f>"1578726164736299"</f>
        <v>1578726164736299</v>
      </c>
      <c r="C377" t="s">
        <v>40</v>
      </c>
      <c r="D377">
        <v>5.6587319999999997</v>
      </c>
      <c r="E377">
        <v>0.54793749999999997</v>
      </c>
      <c r="F377" t="s">
        <v>53</v>
      </c>
      <c r="G377">
        <v>-202.3844</v>
      </c>
      <c r="H377" s="1">
        <v>3.2456910000000001E-6</v>
      </c>
      <c r="I377">
        <v>284.9443</v>
      </c>
      <c r="J377">
        <v>-195.2226</v>
      </c>
      <c r="K377">
        <v>1.098876</v>
      </c>
      <c r="L377">
        <v>294.38200000000001</v>
      </c>
      <c r="M377">
        <v>-0.41242839999999997</v>
      </c>
      <c r="N377">
        <v>0</v>
      </c>
      <c r="O377">
        <v>-0.91087859999999998</v>
      </c>
      <c r="P377">
        <v>-0.50409870000000001</v>
      </c>
      <c r="Q377">
        <v>0.100674</v>
      </c>
      <c r="R377">
        <v>-0.85775820000000003</v>
      </c>
      <c r="S377">
        <v>-1.8450930000000001</v>
      </c>
      <c r="T377">
        <v>-0.27903</v>
      </c>
      <c r="U377">
        <v>-2.450653</v>
      </c>
      <c r="V377">
        <v>0.10703169999999999</v>
      </c>
      <c r="W377">
        <v>0.11325639999999899</v>
      </c>
      <c r="X377">
        <v>0.987784</v>
      </c>
      <c r="Y377">
        <v>0.2159527</v>
      </c>
      <c r="Z377">
        <v>8.6643739999999997E-2</v>
      </c>
      <c r="AA377">
        <v>0.97255190000000002</v>
      </c>
      <c r="AB377">
        <v>23</v>
      </c>
      <c r="AC377">
        <v>-7.1618000000000004</v>
      </c>
      <c r="AD377">
        <v>-1.098872754309</v>
      </c>
      <c r="AE377">
        <v>-9.4376999999999995</v>
      </c>
      <c r="AF377">
        <v>2.6089770784912498</v>
      </c>
      <c r="AG377">
        <v>-1.098872754309</v>
      </c>
      <c r="AH377">
        <v>11.452971993449401</v>
      </c>
      <c r="AI377">
        <v>95.344462419845897</v>
      </c>
      <c r="AJ377">
        <v>77.167057805964205</v>
      </c>
      <c r="AK377">
        <v>11.7976629130092</v>
      </c>
      <c r="AL377">
        <v>83.4969330186359</v>
      </c>
      <c r="AM377">
        <v>83.815821921089693</v>
      </c>
      <c r="AN377">
        <v>1.00000001380092</v>
      </c>
    </row>
    <row r="378" spans="1:40" x14ac:dyDescent="0.3">
      <c r="A378" t="str">
        <f>"20200111150244765"</f>
        <v>20200111150244765</v>
      </c>
      <c r="B378" t="str">
        <f>"1578726164756796"</f>
        <v>1578726164756796</v>
      </c>
      <c r="C378" t="s">
        <v>40</v>
      </c>
      <c r="D378">
        <v>5.551139</v>
      </c>
      <c r="E378">
        <v>0.54813330000000005</v>
      </c>
      <c r="F378" t="s">
        <v>53</v>
      </c>
      <c r="G378">
        <v>-202.4948</v>
      </c>
      <c r="H378" s="1">
        <v>3.2919970000000001E-6</v>
      </c>
      <c r="I378">
        <v>284.97480000000002</v>
      </c>
      <c r="J378">
        <v>-195.32749999999999</v>
      </c>
      <c r="K378">
        <v>1.098535</v>
      </c>
      <c r="L378">
        <v>294.17520000000002</v>
      </c>
      <c r="M378">
        <v>-0.4209561</v>
      </c>
      <c r="N378">
        <v>0</v>
      </c>
      <c r="O378">
        <v>-0.90696810000000005</v>
      </c>
      <c r="P378">
        <v>-0.51339190000000001</v>
      </c>
      <c r="Q378">
        <v>0.1019543</v>
      </c>
      <c r="R378">
        <v>-0.85207649999999902</v>
      </c>
      <c r="S378">
        <v>-1.8768009999999999</v>
      </c>
      <c r="T378">
        <v>-0.28359400000000001</v>
      </c>
      <c r="U378">
        <v>-2.4277950000000001</v>
      </c>
      <c r="V378">
        <v>0.10867839999999999</v>
      </c>
      <c r="W378">
        <v>0.11448999999999999</v>
      </c>
      <c r="X378">
        <v>0.9874619</v>
      </c>
      <c r="Y378">
        <v>0.21910370000000001</v>
      </c>
      <c r="Z378">
        <v>8.7810959999999993E-2</v>
      </c>
      <c r="AA378">
        <v>0.9717422</v>
      </c>
      <c r="AB378">
        <v>23</v>
      </c>
      <c r="AC378">
        <v>-7.1673000000000098</v>
      </c>
      <c r="AD378">
        <v>-1.0985317080029999</v>
      </c>
      <c r="AE378">
        <v>-9.2004000000000001</v>
      </c>
      <c r="AF378">
        <v>2.60470766887101</v>
      </c>
      <c r="AG378">
        <v>-1.0985317080029999</v>
      </c>
      <c r="AH378">
        <v>11.262825927412599</v>
      </c>
      <c r="AI378">
        <v>95.4283984555085</v>
      </c>
      <c r="AJ378">
        <v>76.978367483815205</v>
      </c>
      <c r="AK378">
        <v>11.612171279522199</v>
      </c>
      <c r="AL378">
        <v>83.425789950300498</v>
      </c>
      <c r="AM378">
        <v>83.719399862735997</v>
      </c>
      <c r="AN378">
        <v>0.99999997933908402</v>
      </c>
    </row>
    <row r="379" spans="1:40" x14ac:dyDescent="0.3">
      <c r="A379" t="str">
        <f>"20200111150244899"</f>
        <v>20200111150244899</v>
      </c>
      <c r="B379" t="str">
        <f>"1578726164896363"</f>
        <v>1578726164896363</v>
      </c>
      <c r="C379" t="s">
        <v>40</v>
      </c>
      <c r="D379">
        <v>5.7966100000000003</v>
      </c>
      <c r="E379">
        <v>0.80630570000000001</v>
      </c>
      <c r="F379" t="s">
        <v>53</v>
      </c>
      <c r="G379">
        <v>-202.7988</v>
      </c>
      <c r="H379" s="1">
        <v>3.4465750000000001E-6</v>
      </c>
      <c r="I379">
        <v>284.74849999999998</v>
      </c>
      <c r="J379">
        <v>-196.0164</v>
      </c>
      <c r="K379">
        <v>1.0968209999999901</v>
      </c>
      <c r="L379">
        <v>292.96120000000002</v>
      </c>
      <c r="M379">
        <v>-0.48142420000000002</v>
      </c>
      <c r="N379">
        <v>0</v>
      </c>
      <c r="O379">
        <v>-0.87636259999999999</v>
      </c>
      <c r="P379">
        <v>-0.5698261</v>
      </c>
      <c r="Q379">
        <v>0.1054795</v>
      </c>
      <c r="R379">
        <v>-0.81496780000000002</v>
      </c>
      <c r="S379">
        <v>-1.9065399999999999</v>
      </c>
      <c r="T379">
        <v>-0.2803274</v>
      </c>
      <c r="U379">
        <v>-2.405548</v>
      </c>
      <c r="V379">
        <v>0.10934049999999999</v>
      </c>
      <c r="W379">
        <v>0.11802310000000001</v>
      </c>
      <c r="X379">
        <v>0.98697270000000004</v>
      </c>
      <c r="Y379">
        <v>0.1646077</v>
      </c>
      <c r="Z379">
        <v>8.3389539999999998E-2</v>
      </c>
      <c r="AA379">
        <v>0.98282780000000003</v>
      </c>
      <c r="AB379">
        <v>23</v>
      </c>
      <c r="AC379">
        <v>-6.7823999999999902</v>
      </c>
      <c r="AD379">
        <v>-1.09681755342499</v>
      </c>
      <c r="AE379">
        <v>-8.2127000000000407</v>
      </c>
      <c r="AF379">
        <v>1.9693842471930301</v>
      </c>
      <c r="AG379">
        <v>-1.09681755342499</v>
      </c>
      <c r="AH379">
        <v>10.3538705365577</v>
      </c>
      <c r="AI379">
        <v>95.9412308317293</v>
      </c>
      <c r="AJ379">
        <v>79.230556481021907</v>
      </c>
      <c r="AK379">
        <v>10.5964200627566</v>
      </c>
      <c r="AL379">
        <v>83.221975925156599</v>
      </c>
      <c r="AM379">
        <v>83.678338705989901</v>
      </c>
      <c r="AN379">
        <v>0.99999995380957396</v>
      </c>
    </row>
    <row r="380" spans="1:40" x14ac:dyDescent="0.3">
      <c r="A380" t="str">
        <f>"20200111150244965"</f>
        <v>20200111150244965</v>
      </c>
      <c r="B380" t="str">
        <f>"1578726164956876"</f>
        <v>1578726164956876</v>
      </c>
      <c r="C380" t="s">
        <v>40</v>
      </c>
      <c r="D380">
        <v>5.3873899999999999</v>
      </c>
      <c r="E380">
        <v>0.80118449999999997</v>
      </c>
      <c r="F380" t="s">
        <v>55</v>
      </c>
      <c r="G380">
        <v>-352.55</v>
      </c>
      <c r="H380">
        <v>75.899609999999996</v>
      </c>
      <c r="I380">
        <v>252.5385</v>
      </c>
      <c r="J380">
        <v>-196.3946</v>
      </c>
      <c r="K380">
        <v>1.096158</v>
      </c>
      <c r="L380">
        <v>292.38459999999998</v>
      </c>
      <c r="M380">
        <v>-0.51589940000000001</v>
      </c>
      <c r="N380">
        <v>0</v>
      </c>
      <c r="O380">
        <v>-0.85651639999999996</v>
      </c>
      <c r="P380">
        <v>-0.59946829999999995</v>
      </c>
      <c r="Q380">
        <v>0.1107662</v>
      </c>
      <c r="R380">
        <v>-0.79269709999999904</v>
      </c>
      <c r="S380">
        <v>-3.6114809999999999</v>
      </c>
      <c r="T380">
        <v>1.7258230000000001</v>
      </c>
      <c r="U380">
        <v>-0.93261719999999904</v>
      </c>
      <c r="V380">
        <v>0.1071324</v>
      </c>
      <c r="W380">
        <v>0.1234368</v>
      </c>
      <c r="X380">
        <v>0.9865526</v>
      </c>
      <c r="Y380">
        <v>0.58835590000000004</v>
      </c>
      <c r="Z380">
        <v>-0.44329109999999999</v>
      </c>
      <c r="AA380">
        <v>0.67626200000000003</v>
      </c>
      <c r="AB380">
        <v>23</v>
      </c>
      <c r="AC380">
        <v>-156.15539999999999</v>
      </c>
      <c r="AD380">
        <v>74.803451999999993</v>
      </c>
      <c r="AE380">
        <v>-39.8460999999999</v>
      </c>
      <c r="AF380">
        <v>93.139599610534901</v>
      </c>
      <c r="AG380">
        <v>74.803451999999993</v>
      </c>
      <c r="AH380">
        <v>94.370757650769093</v>
      </c>
      <c r="AI380">
        <v>60.570062750509898</v>
      </c>
      <c r="AJ380">
        <v>45.376187998442198</v>
      </c>
      <c r="AK380">
        <v>152.237910345312</v>
      </c>
      <c r="AL380">
        <v>82.909508190645695</v>
      </c>
      <c r="AM380">
        <v>83.802382613861397</v>
      </c>
      <c r="AN380">
        <v>1.0000000136453799</v>
      </c>
    </row>
    <row r="381" spans="1:40" x14ac:dyDescent="0.3">
      <c r="A381" t="str">
        <f>"20200111150244989"</f>
        <v>20200111150244989</v>
      </c>
      <c r="B381" t="str">
        <f>"1578726164986155"</f>
        <v>1578726164986155</v>
      </c>
      <c r="C381" t="s">
        <v>40</v>
      </c>
      <c r="D381">
        <v>5.3738960000000002</v>
      </c>
      <c r="E381">
        <v>0.80118449999999997</v>
      </c>
      <c r="F381" t="s">
        <v>55</v>
      </c>
      <c r="G381">
        <v>-352.55</v>
      </c>
      <c r="H381">
        <v>76.028840000000002</v>
      </c>
      <c r="I381">
        <v>257.24470000000002</v>
      </c>
      <c r="J381">
        <v>-196.52979999999999</v>
      </c>
      <c r="K381">
        <v>1.0959110000000001</v>
      </c>
      <c r="L381">
        <v>292.19170000000003</v>
      </c>
      <c r="M381">
        <v>-0.52822760000000002</v>
      </c>
      <c r="N381">
        <v>0</v>
      </c>
      <c r="O381">
        <v>-0.84896700000000003</v>
      </c>
      <c r="P381">
        <v>-0.60943130000000001</v>
      </c>
      <c r="Q381">
        <v>0.1111661</v>
      </c>
      <c r="R381">
        <v>-0.78500669999999995</v>
      </c>
      <c r="S381">
        <v>-3.6100620000000001</v>
      </c>
      <c r="T381">
        <v>1.73232599999999</v>
      </c>
      <c r="U381">
        <v>-0.81237789999999999</v>
      </c>
      <c r="V381">
        <v>0.1054397</v>
      </c>
      <c r="W381">
        <v>0.12391000000000001</v>
      </c>
      <c r="X381">
        <v>0.98667559999999999</v>
      </c>
      <c r="Y381">
        <v>0.59586879999999998</v>
      </c>
      <c r="Z381">
        <v>-0.4483492</v>
      </c>
      <c r="AA381">
        <v>0.66627569999999903</v>
      </c>
      <c r="AB381">
        <v>23</v>
      </c>
      <c r="AC381">
        <v>-156.02019999999999</v>
      </c>
      <c r="AD381">
        <v>74.932929000000001</v>
      </c>
      <c r="AE381">
        <v>-34.946999999999903</v>
      </c>
      <c r="AF381">
        <v>93.477263675619199</v>
      </c>
      <c r="AG381">
        <v>74.932929000000001</v>
      </c>
      <c r="AH381">
        <v>91.908590348559997</v>
      </c>
      <c r="AI381">
        <v>60.247524610667497</v>
      </c>
      <c r="AJ381">
        <v>44.515193774900297</v>
      </c>
      <c r="AK381">
        <v>150.99712465030399</v>
      </c>
      <c r="AL381">
        <v>82.882185827751798</v>
      </c>
      <c r="AM381">
        <v>83.900315946832094</v>
      </c>
      <c r="AN381">
        <v>0.99999997903572402</v>
      </c>
    </row>
    <row r="382" spans="1:40" x14ac:dyDescent="0.3">
      <c r="A382" t="str">
        <f>"20200111150245010"</f>
        <v>20200111150245010</v>
      </c>
      <c r="B382" t="str">
        <f>"1578726165006651"</f>
        <v>1578726165006651</v>
      </c>
      <c r="C382" t="s">
        <v>40</v>
      </c>
      <c r="D382">
        <v>5.4160059999999897</v>
      </c>
      <c r="E382">
        <v>0.80118449999999997</v>
      </c>
      <c r="F382" t="s">
        <v>55</v>
      </c>
      <c r="G382">
        <v>-352.55</v>
      </c>
      <c r="H382">
        <v>75.594499999999996</v>
      </c>
      <c r="I382">
        <v>259.24099999999999</v>
      </c>
      <c r="J382">
        <v>-196.66079999999999</v>
      </c>
      <c r="K382">
        <v>1.0957030000000001</v>
      </c>
      <c r="L382">
        <v>292.01159999999999</v>
      </c>
      <c r="M382">
        <v>-0.54014619999999902</v>
      </c>
      <c r="N382">
        <v>0</v>
      </c>
      <c r="O382">
        <v>-0.84143269999999903</v>
      </c>
      <c r="P382">
        <v>-0.61983920000000003</v>
      </c>
      <c r="Q382">
        <v>0.1117783</v>
      </c>
      <c r="R382">
        <v>-0.77672759999999996</v>
      </c>
      <c r="S382">
        <v>-3.6218720000000002</v>
      </c>
      <c r="T382">
        <v>1.7294210000000001</v>
      </c>
      <c r="U382">
        <v>-0.76492309999999997</v>
      </c>
      <c r="V382">
        <v>0.10480440000000001</v>
      </c>
      <c r="W382">
        <v>0.1245724</v>
      </c>
      <c r="X382">
        <v>0.98665990000000003</v>
      </c>
      <c r="Y382">
        <v>0.59506729999999997</v>
      </c>
      <c r="Z382">
        <v>-0.44630110000000001</v>
      </c>
      <c r="AA382">
        <v>0.66836379999999995</v>
      </c>
      <c r="AB382">
        <v>22</v>
      </c>
      <c r="AC382">
        <v>-155.88919999999999</v>
      </c>
      <c r="AD382">
        <v>74.498796999999996</v>
      </c>
      <c r="AE382">
        <v>-32.770600000000002</v>
      </c>
      <c r="AF382">
        <v>93.116286611666894</v>
      </c>
      <c r="AG382">
        <v>74.498796999999996</v>
      </c>
      <c r="AH382">
        <v>91.727665210200698</v>
      </c>
      <c r="AI382">
        <v>60.318454558787401</v>
      </c>
      <c r="AJ382">
        <v>44.5695793766279</v>
      </c>
      <c r="AK382">
        <v>150.448257390067</v>
      </c>
      <c r="AL382">
        <v>82.843936912711797</v>
      </c>
      <c r="AM382">
        <v>83.936697690966099</v>
      </c>
      <c r="AN382">
        <v>1.00000000168456</v>
      </c>
    </row>
    <row r="383" spans="1:40" x14ac:dyDescent="0.3">
      <c r="A383" t="str">
        <f>"20200111150245032"</f>
        <v>20200111150245032</v>
      </c>
      <c r="B383" t="str">
        <f>"1578726165027148"</f>
        <v>1578726165027148</v>
      </c>
      <c r="C383" t="s">
        <v>40</v>
      </c>
      <c r="D383">
        <v>5.4219989999999996</v>
      </c>
      <c r="E383">
        <v>0.80118449999999997</v>
      </c>
      <c r="F383" t="s">
        <v>55</v>
      </c>
      <c r="G383">
        <v>-352.55</v>
      </c>
      <c r="H383">
        <v>75.172319999999999</v>
      </c>
      <c r="I383">
        <v>261.36759999999998</v>
      </c>
      <c r="J383">
        <v>-196.79490000000001</v>
      </c>
      <c r="K383">
        <v>1.0955220000000001</v>
      </c>
      <c r="L383">
        <v>291.83339999999998</v>
      </c>
      <c r="M383">
        <v>-0.55227159999999997</v>
      </c>
      <c r="N383">
        <v>0</v>
      </c>
      <c r="O383">
        <v>-0.83352280000000001</v>
      </c>
      <c r="P383">
        <v>-0.63082669999999996</v>
      </c>
      <c r="Q383">
        <v>0.1130027</v>
      </c>
      <c r="R383">
        <v>-0.76765130000000004</v>
      </c>
      <c r="S383">
        <v>-3.6335299999999999</v>
      </c>
      <c r="T383">
        <v>1.7266109999999999</v>
      </c>
      <c r="U383">
        <v>-0.71426389999999995</v>
      </c>
      <c r="V383">
        <v>0.10474550000000001</v>
      </c>
      <c r="W383">
        <v>0.12583839999999999</v>
      </c>
      <c r="X383">
        <v>0.98650550000000004</v>
      </c>
      <c r="Y383">
        <v>0.59455360000000002</v>
      </c>
      <c r="Z383">
        <v>-0.44421729999999998</v>
      </c>
      <c r="AA383">
        <v>0.67020669999999904</v>
      </c>
      <c r="AB383">
        <v>22</v>
      </c>
      <c r="AC383">
        <v>-155.7551</v>
      </c>
      <c r="AD383">
        <v>74.076797999999997</v>
      </c>
      <c r="AE383">
        <v>-30.465800000000002</v>
      </c>
      <c r="AF383">
        <v>92.796811890156206</v>
      </c>
      <c r="AG383">
        <v>74.076797999999997</v>
      </c>
      <c r="AH383">
        <v>91.493572384187402</v>
      </c>
      <c r="AI383">
        <v>60.384422610550502</v>
      </c>
      <c r="AJ383">
        <v>44.594830305409097</v>
      </c>
      <c r="AK383">
        <v>149.89894624889899</v>
      </c>
      <c r="AL383">
        <v>82.770825198345804</v>
      </c>
      <c r="AM383">
        <v>83.939138508641406</v>
      </c>
      <c r="AN383">
        <v>1.0000000121075201</v>
      </c>
    </row>
    <row r="384" spans="1:40" x14ac:dyDescent="0.3">
      <c r="A384" t="str">
        <f>"20200111150245055"</f>
        <v>20200111150245055</v>
      </c>
      <c r="B384" t="str">
        <f>"1578726165046667"</f>
        <v>1578726165046667</v>
      </c>
      <c r="C384" t="s">
        <v>40</v>
      </c>
      <c r="D384">
        <v>5.5178070000000004</v>
      </c>
      <c r="E384">
        <v>0.64585369999999998</v>
      </c>
      <c r="F384" t="s">
        <v>55</v>
      </c>
      <c r="G384">
        <v>-352.55</v>
      </c>
      <c r="H384">
        <v>74.889099999999999</v>
      </c>
      <c r="I384">
        <v>263.65350000000001</v>
      </c>
      <c r="J384">
        <v>-196.94130000000001</v>
      </c>
      <c r="K384">
        <v>1.0953679999999999</v>
      </c>
      <c r="L384">
        <v>291.64550000000003</v>
      </c>
      <c r="M384">
        <v>-0.56537519999999997</v>
      </c>
      <c r="N384">
        <v>0</v>
      </c>
      <c r="O384">
        <v>-0.82468899999999901</v>
      </c>
      <c r="P384">
        <v>-0.64286699999999997</v>
      </c>
      <c r="Q384">
        <v>0.1131424</v>
      </c>
      <c r="R384">
        <v>-0.75757589999999997</v>
      </c>
      <c r="S384">
        <v>-3.6440730000000001</v>
      </c>
      <c r="T384">
        <v>1.7264900000000001</v>
      </c>
      <c r="U384">
        <v>-0.65930180000000005</v>
      </c>
      <c r="V384">
        <v>0.10479860000000001</v>
      </c>
      <c r="W384">
        <v>0.12602569999999999</v>
      </c>
      <c r="X384">
        <v>0.98647589999999996</v>
      </c>
      <c r="Y384">
        <v>0.59350249999999904</v>
      </c>
      <c r="Z384">
        <v>-0.44253520000000002</v>
      </c>
      <c r="AA384">
        <v>0.67224790000000001</v>
      </c>
      <c r="AB384">
        <v>22</v>
      </c>
      <c r="AC384">
        <v>-155.6087</v>
      </c>
      <c r="AD384">
        <v>73.793731999999906</v>
      </c>
      <c r="AE384">
        <v>-27.992000000000001</v>
      </c>
      <c r="AF384">
        <v>92.389903394808201</v>
      </c>
      <c r="AG384">
        <v>73.793731999999906</v>
      </c>
      <c r="AH384">
        <v>91.206679980728694</v>
      </c>
      <c r="AI384">
        <v>60.3857152213074</v>
      </c>
      <c r="AJ384">
        <v>44.6307514658372</v>
      </c>
      <c r="AK384">
        <v>149.33207158844601</v>
      </c>
      <c r="AL384">
        <v>82.760007217041704</v>
      </c>
      <c r="AM384">
        <v>83.935908287019203</v>
      </c>
      <c r="AN384">
        <v>0.99999996245162903</v>
      </c>
    </row>
    <row r="385" spans="1:40" x14ac:dyDescent="0.3">
      <c r="A385" t="str">
        <f>"20200111150245077"</f>
        <v>20200111150245077</v>
      </c>
      <c r="B385" t="str">
        <f>"1578726165067166"</f>
        <v>1578726165067166</v>
      </c>
      <c r="C385" t="s">
        <v>40</v>
      </c>
      <c r="D385">
        <v>5.5955659999999998</v>
      </c>
      <c r="E385">
        <v>0.64357399999999998</v>
      </c>
      <c r="F385" t="s">
        <v>53</v>
      </c>
      <c r="G385">
        <v>-209.2475</v>
      </c>
      <c r="H385" s="1">
        <v>6.2935960000000001E-6</v>
      </c>
      <c r="I385">
        <v>284.8938</v>
      </c>
      <c r="J385">
        <v>-197.08750000000001</v>
      </c>
      <c r="K385">
        <v>1.095243</v>
      </c>
      <c r="L385">
        <v>291.46440000000001</v>
      </c>
      <c r="M385">
        <v>-0.57827969999999995</v>
      </c>
      <c r="N385">
        <v>0</v>
      </c>
      <c r="O385">
        <v>-0.81569069999999899</v>
      </c>
      <c r="P385">
        <v>-0.65525789999999995</v>
      </c>
      <c r="Q385">
        <v>0.1151585</v>
      </c>
      <c r="R385">
        <v>-0.74657620000000002</v>
      </c>
      <c r="S385">
        <v>-2.86145</v>
      </c>
      <c r="T385">
        <v>-0.25469589999999998</v>
      </c>
      <c r="U385">
        <v>-1.5699160000000001</v>
      </c>
      <c r="V385">
        <v>0.1057941</v>
      </c>
      <c r="W385">
        <v>0.12806419999999999</v>
      </c>
      <c r="X385">
        <v>0.98610710000000001</v>
      </c>
      <c r="Y385">
        <v>0.43419720000000001</v>
      </c>
      <c r="Z385">
        <v>7.3804069999999999E-2</v>
      </c>
      <c r="AA385">
        <v>0.89778939999999996</v>
      </c>
      <c r="AB385">
        <v>22</v>
      </c>
      <c r="AC385">
        <v>-12.159999999999901</v>
      </c>
      <c r="AD385">
        <v>-1.0952367064040001</v>
      </c>
      <c r="AE385">
        <v>-6.5706000000000104</v>
      </c>
      <c r="AF385">
        <v>6.08170518020275</v>
      </c>
      <c r="AG385">
        <v>-1.0952367064040001</v>
      </c>
      <c r="AH385">
        <v>12.315622920713199</v>
      </c>
      <c r="AI385">
        <v>94.559013005640196</v>
      </c>
      <c r="AJ385">
        <v>63.718902842433998</v>
      </c>
      <c r="AK385">
        <v>13.779014814824601</v>
      </c>
      <c r="AL385">
        <v>82.642256037527602</v>
      </c>
      <c r="AM385">
        <v>83.876467789631903</v>
      </c>
      <c r="AN385">
        <v>1.00000002179342</v>
      </c>
    </row>
    <row r="386" spans="1:40" x14ac:dyDescent="0.3">
      <c r="A386" t="str">
        <f>"20200111150245101"</f>
        <v>20200111150245101</v>
      </c>
      <c r="B386" t="str">
        <f>"1578726165096444"</f>
        <v>1578726165096444</v>
      </c>
      <c r="C386" t="s">
        <v>40</v>
      </c>
      <c r="D386">
        <v>5.5502890000000003</v>
      </c>
      <c r="E386">
        <v>0.64016090000000003</v>
      </c>
      <c r="F386" t="s">
        <v>56</v>
      </c>
      <c r="G386">
        <v>-211.3083</v>
      </c>
      <c r="H386" s="1">
        <v>-8.4059139999999998E-7</v>
      </c>
      <c r="I386">
        <v>283.87619999999998</v>
      </c>
      <c r="J386">
        <v>-197.23779999999999</v>
      </c>
      <c r="K386">
        <v>1.095146</v>
      </c>
      <c r="L386">
        <v>291.28449999999998</v>
      </c>
      <c r="M386">
        <v>-0.59132769999999901</v>
      </c>
      <c r="N386">
        <v>0</v>
      </c>
      <c r="O386">
        <v>-0.80628029999999995</v>
      </c>
      <c r="P386">
        <v>-0.6683422</v>
      </c>
      <c r="Q386">
        <v>0.1196596</v>
      </c>
      <c r="R386">
        <v>-0.73416680000000001</v>
      </c>
      <c r="S386">
        <v>-2.8714140000000001</v>
      </c>
      <c r="T386">
        <v>-0.2211486</v>
      </c>
      <c r="U386">
        <v>-1.5321959999999999</v>
      </c>
      <c r="V386">
        <v>0.1079112</v>
      </c>
      <c r="W386">
        <v>0.13255410000000001</v>
      </c>
      <c r="X386">
        <v>0.98528400000000005</v>
      </c>
      <c r="Y386">
        <v>0.4308652</v>
      </c>
      <c r="Z386">
        <v>6.3785869999999995E-2</v>
      </c>
      <c r="AA386">
        <v>0.90015919999999905</v>
      </c>
      <c r="AB386">
        <v>22</v>
      </c>
      <c r="AC386">
        <v>-14.070499999999999</v>
      </c>
      <c r="AD386">
        <v>-1.0951468405914</v>
      </c>
      <c r="AE386">
        <v>-7.4082999999999899</v>
      </c>
      <c r="AF386">
        <v>6.9320033224223003</v>
      </c>
      <c r="AG386">
        <v>-1.0951468405914</v>
      </c>
      <c r="AH386">
        <v>14.2277009530314</v>
      </c>
      <c r="AI386">
        <v>93.958372009145805</v>
      </c>
      <c r="AJ386">
        <v>64.023785871373306</v>
      </c>
      <c r="AK386">
        <v>15.8644095721657</v>
      </c>
      <c r="AL386">
        <v>82.3827908866852</v>
      </c>
      <c r="AM386">
        <v>83.749709675582196</v>
      </c>
      <c r="AN386">
        <v>0.99999998858412398</v>
      </c>
    </row>
    <row r="387" spans="1:40" x14ac:dyDescent="0.3">
      <c r="A387" t="str">
        <f>"20200111150245123"</f>
        <v>20200111150245123</v>
      </c>
      <c r="B387" t="str">
        <f>"1578726165116940"</f>
        <v>1578726165116940</v>
      </c>
      <c r="C387" t="s">
        <v>40</v>
      </c>
      <c r="D387">
        <v>5.547059</v>
      </c>
      <c r="E387">
        <v>0.63797630000000005</v>
      </c>
      <c r="F387" t="s">
        <v>56</v>
      </c>
      <c r="G387">
        <v>-213.84780000000001</v>
      </c>
      <c r="H387" s="1">
        <v>5.1080399999999899E-7</v>
      </c>
      <c r="I387">
        <v>282.63580000000002</v>
      </c>
      <c r="J387">
        <v>-197.3931</v>
      </c>
      <c r="K387">
        <v>1.0950789999999999</v>
      </c>
      <c r="L387">
        <v>291.10469999999998</v>
      </c>
      <c r="M387">
        <v>-0.60456269999999901</v>
      </c>
      <c r="N387">
        <v>0</v>
      </c>
      <c r="O387">
        <v>-0.79640319999999998</v>
      </c>
      <c r="P387">
        <v>-0.68199690000000002</v>
      </c>
      <c r="Q387">
        <v>0.12248339999999899</v>
      </c>
      <c r="R387">
        <v>-0.72102580000000005</v>
      </c>
      <c r="S387">
        <v>-2.8770600000000002</v>
      </c>
      <c r="T387">
        <v>-0.18969269999999999</v>
      </c>
      <c r="U387">
        <v>-1.4980469999999999</v>
      </c>
      <c r="V387">
        <v>0.1105008</v>
      </c>
      <c r="W387">
        <v>0.1353577</v>
      </c>
      <c r="X387">
        <v>0.98461560000000004</v>
      </c>
      <c r="Y387">
        <v>0.42563839999999997</v>
      </c>
      <c r="Z387">
        <v>5.4413070000000001E-2</v>
      </c>
      <c r="AA387">
        <v>0.9032559</v>
      </c>
      <c r="AB387">
        <v>22</v>
      </c>
      <c r="AC387">
        <v>-16.454699999999999</v>
      </c>
      <c r="AD387">
        <v>-1.0950784891959999</v>
      </c>
      <c r="AE387">
        <v>-8.4688999999999606</v>
      </c>
      <c r="AF387">
        <v>7.9577124600479801</v>
      </c>
      <c r="AG387">
        <v>-1.0950784891959999</v>
      </c>
      <c r="AH387">
        <v>16.6363570643197</v>
      </c>
      <c r="AI387">
        <v>93.398278750821802</v>
      </c>
      <c r="AJ387">
        <v>64.436688646895107</v>
      </c>
      <c r="AK387">
        <v>18.4741105568264</v>
      </c>
      <c r="AL387">
        <v>82.220695604709405</v>
      </c>
      <c r="AM387">
        <v>83.596640164424201</v>
      </c>
      <c r="AN387">
        <v>1.0000000067566399</v>
      </c>
    </row>
    <row r="388" spans="1:40" x14ac:dyDescent="0.3">
      <c r="A388" t="str">
        <f>"20200111150245146"</f>
        <v>20200111150245146</v>
      </c>
      <c r="B388" t="str">
        <f>"1578726165136460"</f>
        <v>1578726165136460</v>
      </c>
      <c r="C388" t="s">
        <v>40</v>
      </c>
      <c r="D388">
        <v>5.6044269999999896</v>
      </c>
      <c r="E388">
        <v>0.63704899999999998</v>
      </c>
      <c r="F388" t="s">
        <v>56</v>
      </c>
      <c r="G388">
        <v>-215.4171</v>
      </c>
      <c r="H388" s="1">
        <v>1.3459380000000001E-6</v>
      </c>
      <c r="I388">
        <v>282.0446</v>
      </c>
      <c r="J388">
        <v>-197.5395</v>
      </c>
      <c r="K388">
        <v>1.095037</v>
      </c>
      <c r="L388">
        <v>290.94110000000001</v>
      </c>
      <c r="M388">
        <v>-0.61675139999999995</v>
      </c>
      <c r="N388">
        <v>0</v>
      </c>
      <c r="O388">
        <v>-0.7870009</v>
      </c>
      <c r="P388">
        <v>-0.69589279999999998</v>
      </c>
      <c r="Q388">
        <v>0.1227245</v>
      </c>
      <c r="R388">
        <v>-0.70758209999999999</v>
      </c>
      <c r="S388">
        <v>-2.8930509999999998</v>
      </c>
      <c r="T388">
        <v>-0.17577219999999999</v>
      </c>
      <c r="U388">
        <v>-1.4542539999999999</v>
      </c>
      <c r="V388">
        <v>0.11454350000000001</v>
      </c>
      <c r="W388">
        <v>0.13554140000000001</v>
      </c>
      <c r="X388">
        <v>0.98412820000000001</v>
      </c>
      <c r="Y388">
        <v>0.42484189999999999</v>
      </c>
      <c r="Z388">
        <v>5.0140560000000001E-2</v>
      </c>
      <c r="AA388">
        <v>0.90387790000000001</v>
      </c>
      <c r="AB388">
        <v>22</v>
      </c>
      <c r="AC388">
        <v>-17.877600000000001</v>
      </c>
      <c r="AD388">
        <v>-1.0950356540620001</v>
      </c>
      <c r="AE388">
        <v>-8.8964999999999996</v>
      </c>
      <c r="AF388">
        <v>8.5580848070364706</v>
      </c>
      <c r="AG388">
        <v>-1.0950356540620001</v>
      </c>
      <c r="AH388">
        <v>17.975762753334902</v>
      </c>
      <c r="AI388">
        <v>93.148210441142695</v>
      </c>
      <c r="AJ388">
        <v>64.541337687778693</v>
      </c>
      <c r="AK388">
        <v>19.939106429634201</v>
      </c>
      <c r="AL388">
        <v>82.210072411180505</v>
      </c>
      <c r="AM388">
        <v>83.361167386858796</v>
      </c>
      <c r="AN388">
        <v>0.99999999927072403</v>
      </c>
    </row>
    <row r="389" spans="1:40" x14ac:dyDescent="0.3">
      <c r="A389" t="str">
        <f>"20200111150245346"</f>
        <v>20200111150245346</v>
      </c>
      <c r="B389" t="str">
        <f>"1578726165336539"</f>
        <v>1578726165336539</v>
      </c>
      <c r="C389" t="s">
        <v>40</v>
      </c>
      <c r="D389">
        <v>5.3420560000000004</v>
      </c>
      <c r="E389">
        <v>0.6396887</v>
      </c>
      <c r="F389" t="s">
        <v>56</v>
      </c>
      <c r="G389">
        <v>-215.9632</v>
      </c>
      <c r="H389" s="1">
        <v>1.6365149999999999E-6</v>
      </c>
      <c r="I389">
        <v>282.07589999999999</v>
      </c>
      <c r="J389">
        <v>-199.00819999999999</v>
      </c>
      <c r="K389">
        <v>1.095445</v>
      </c>
      <c r="L389">
        <v>289.54410000000001</v>
      </c>
      <c r="M389">
        <v>-0.72286269999999997</v>
      </c>
      <c r="N389">
        <v>0</v>
      </c>
      <c r="O389">
        <v>-0.69080900000000001</v>
      </c>
      <c r="P389">
        <v>-0.80326019999999998</v>
      </c>
      <c r="Q389">
        <v>0.1273532</v>
      </c>
      <c r="R389">
        <v>-0.58185439999999999</v>
      </c>
      <c r="S389">
        <v>-2.9152070000000001</v>
      </c>
      <c r="T389">
        <v>-0.1732688</v>
      </c>
      <c r="U389">
        <v>-1.4027400000000001</v>
      </c>
      <c r="V389">
        <v>0.1375535</v>
      </c>
      <c r="W389">
        <v>0.1398356</v>
      </c>
      <c r="X389">
        <v>0.98057380000000005</v>
      </c>
      <c r="Y389">
        <v>0.30792730000000001</v>
      </c>
      <c r="Z389">
        <v>4.3071529999999997E-2</v>
      </c>
      <c r="AA389">
        <v>0.95043440000000001</v>
      </c>
      <c r="AB389">
        <v>22</v>
      </c>
      <c r="AC389">
        <v>-16.954999999999998</v>
      </c>
      <c r="AD389">
        <v>-1.095443363485</v>
      </c>
      <c r="AE389">
        <v>-7.4682000000000199</v>
      </c>
      <c r="AF389">
        <v>6.29298010830958</v>
      </c>
      <c r="AG389">
        <v>-1.095443363485</v>
      </c>
      <c r="AH389">
        <v>17.356755817378701</v>
      </c>
      <c r="AI389">
        <v>93.395600440075896</v>
      </c>
      <c r="AJ389">
        <v>70.071046229170804</v>
      </c>
      <c r="AK389">
        <v>18.494825419838101</v>
      </c>
      <c r="AL389">
        <v>81.961666504801997</v>
      </c>
      <c r="AM389">
        <v>82.014735591581299</v>
      </c>
      <c r="AN389">
        <v>0.999999968818024</v>
      </c>
    </row>
    <row r="390" spans="1:40" x14ac:dyDescent="0.3">
      <c r="A390" t="str">
        <f>"20200111150245369"</f>
        <v>20200111150245369</v>
      </c>
      <c r="B390" t="str">
        <f>"1578726165366795"</f>
        <v>1578726165366795</v>
      </c>
      <c r="C390" t="s">
        <v>40</v>
      </c>
      <c r="D390">
        <v>5.9895459999999998</v>
      </c>
      <c r="E390">
        <v>0.64247509999999997</v>
      </c>
      <c r="F390" t="s">
        <v>56</v>
      </c>
      <c r="G390">
        <v>-219.45330000000001</v>
      </c>
      <c r="H390" s="1">
        <v>3.4938089999999999E-6</v>
      </c>
      <c r="I390">
        <v>283.70089999999999</v>
      </c>
      <c r="J390">
        <v>-199.185</v>
      </c>
      <c r="K390">
        <v>1.0954870000000001</v>
      </c>
      <c r="L390">
        <v>289.4008</v>
      </c>
      <c r="M390">
        <v>-0.73384059999999995</v>
      </c>
      <c r="N390">
        <v>0</v>
      </c>
      <c r="O390">
        <v>-0.67913599999999996</v>
      </c>
      <c r="P390">
        <v>-0.81183209999999995</v>
      </c>
      <c r="Q390">
        <v>0.1267886</v>
      </c>
      <c r="R390">
        <v>-0.56995909999999905</v>
      </c>
      <c r="S390">
        <v>-3.1161349999999999</v>
      </c>
      <c r="T390">
        <v>-0.166961</v>
      </c>
      <c r="U390">
        <v>-0.89059449999999996</v>
      </c>
      <c r="V390">
        <v>0.13631219999999999</v>
      </c>
      <c r="W390">
        <v>0.13931379999999999</v>
      </c>
      <c r="X390">
        <v>0.98082139999999995</v>
      </c>
      <c r="Y390">
        <v>0.45009379999999999</v>
      </c>
      <c r="Z390">
        <v>4.3945789999999998E-2</v>
      </c>
      <c r="AA390">
        <v>0.89189929999999995</v>
      </c>
      <c r="AB390">
        <v>22</v>
      </c>
      <c r="AC390">
        <v>-20.2683</v>
      </c>
      <c r="AD390">
        <v>-1.095483506191</v>
      </c>
      <c r="AE390">
        <v>-5.6999000000000102</v>
      </c>
      <c r="AF390">
        <v>9.5574490453971404</v>
      </c>
      <c r="AG390">
        <v>-1.095483506191</v>
      </c>
      <c r="AH390">
        <v>18.6964583805145</v>
      </c>
      <c r="AI390">
        <v>92.986507991202004</v>
      </c>
      <c r="AJ390">
        <v>62.924320327917897</v>
      </c>
      <c r="AK390">
        <v>21.026232956523799</v>
      </c>
      <c r="AL390">
        <v>81.991859109750493</v>
      </c>
      <c r="AM390">
        <v>82.087851017556602</v>
      </c>
      <c r="AN390">
        <v>0.99999998471861895</v>
      </c>
    </row>
    <row r="391" spans="1:40" x14ac:dyDescent="0.3">
      <c r="A391" t="str">
        <f>"20200111150245391"</f>
        <v>20200111150245391</v>
      </c>
      <c r="B391" t="str">
        <f>"1578726165386315"</f>
        <v>1578726165386315</v>
      </c>
      <c r="C391" t="s">
        <v>40</v>
      </c>
      <c r="D391">
        <v>5.721546</v>
      </c>
      <c r="E391">
        <v>0.64201339999999996</v>
      </c>
      <c r="F391" t="s">
        <v>56</v>
      </c>
      <c r="G391">
        <v>-218.94200000000001</v>
      </c>
      <c r="H391" s="1">
        <v>3.2217150000000002E-6</v>
      </c>
      <c r="I391">
        <v>284.20589999999999</v>
      </c>
      <c r="J391">
        <v>-199.35579999999999</v>
      </c>
      <c r="K391">
        <v>1.0955159999999999</v>
      </c>
      <c r="L391">
        <v>289.267</v>
      </c>
      <c r="M391">
        <v>-0.74412730000000005</v>
      </c>
      <c r="N391">
        <v>0</v>
      </c>
      <c r="O391">
        <v>-0.66784929999999998</v>
      </c>
      <c r="P391">
        <v>-0.81911769999999995</v>
      </c>
      <c r="Q391">
        <v>0.12557460000000001</v>
      </c>
      <c r="R391">
        <v>-0.55971249999999995</v>
      </c>
      <c r="S391">
        <v>-3.1424409999999998</v>
      </c>
      <c r="T391">
        <v>-0.17424149999999999</v>
      </c>
      <c r="U391">
        <v>-0.82626339999999998</v>
      </c>
      <c r="V391">
        <v>0.133736299999999</v>
      </c>
      <c r="W391">
        <v>0.1381743</v>
      </c>
      <c r="X391">
        <v>0.98133709999999996</v>
      </c>
      <c r="Y391">
        <v>0.4553159</v>
      </c>
      <c r="Z391">
        <v>4.5391609999999999E-2</v>
      </c>
      <c r="AA391">
        <v>0.88917209999999902</v>
      </c>
      <c r="AB391">
        <v>22</v>
      </c>
      <c r="AC391">
        <v>-19.586200000000002</v>
      </c>
      <c r="AD391">
        <v>-1.095512778285</v>
      </c>
      <c r="AE391">
        <v>-5.0610999999999997</v>
      </c>
      <c r="AF391">
        <v>9.2884605549403005</v>
      </c>
      <c r="AG391">
        <v>-1.095512778285</v>
      </c>
      <c r="AH391">
        <v>17.904432005919301</v>
      </c>
      <c r="AI391">
        <v>93.108848275323595</v>
      </c>
      <c r="AJ391">
        <v>62.580620274745897</v>
      </c>
      <c r="AK391">
        <v>20.2001072567116</v>
      </c>
      <c r="AL391">
        <v>82.057785553044198</v>
      </c>
      <c r="AM391">
        <v>82.239556905948803</v>
      </c>
      <c r="AN391">
        <v>1.00000001947729</v>
      </c>
    </row>
    <row r="392" spans="1:40" x14ac:dyDescent="0.3">
      <c r="A392" t="str">
        <f>"20200111150245435"</f>
        <v>20200111150245435</v>
      </c>
      <c r="B392" t="str">
        <f>"1578726165426331"</f>
        <v>1578726165426331</v>
      </c>
      <c r="C392" t="s">
        <v>40</v>
      </c>
      <c r="D392">
        <v>5.9173980000000004</v>
      </c>
      <c r="E392">
        <v>0.64515929999999999</v>
      </c>
      <c r="F392" t="s">
        <v>56</v>
      </c>
      <c r="G392">
        <v>-219.50210000000001</v>
      </c>
      <c r="H392" s="1">
        <v>3.5197310000000002E-6</v>
      </c>
      <c r="I392">
        <v>284.23110000000003</v>
      </c>
      <c r="J392">
        <v>-199.71270000000001</v>
      </c>
      <c r="K392">
        <v>1.0955809999999999</v>
      </c>
      <c r="L392">
        <v>289.00060000000002</v>
      </c>
      <c r="M392">
        <v>-0.76469830000000005</v>
      </c>
      <c r="N392">
        <v>0</v>
      </c>
      <c r="O392">
        <v>-0.64419320000000002</v>
      </c>
      <c r="P392">
        <v>-0.83521509999999999</v>
      </c>
      <c r="Q392">
        <v>0.1217908</v>
      </c>
      <c r="R392">
        <v>-0.53626779999999996</v>
      </c>
      <c r="S392">
        <v>-3.150604</v>
      </c>
      <c r="T392">
        <v>-0.17132359999999999</v>
      </c>
      <c r="U392">
        <v>-0.78753660000000003</v>
      </c>
      <c r="V392">
        <v>0.1310336</v>
      </c>
      <c r="W392">
        <v>0.1344756</v>
      </c>
      <c r="X392">
        <v>0.98221510000000001</v>
      </c>
      <c r="Y392">
        <v>0.43824750000000001</v>
      </c>
      <c r="Z392">
        <v>4.326493E-2</v>
      </c>
      <c r="AA392">
        <v>0.89781250000000001</v>
      </c>
      <c r="AB392">
        <v>22</v>
      </c>
      <c r="AC392">
        <v>-19.789400000000001</v>
      </c>
      <c r="AD392">
        <v>-1.0955774802689999</v>
      </c>
      <c r="AE392">
        <v>-4.7694999999999901</v>
      </c>
      <c r="AF392">
        <v>9.0758239349137906</v>
      </c>
      <c r="AG392">
        <v>-1.0955774802689999</v>
      </c>
      <c r="AH392">
        <v>18.155101566372601</v>
      </c>
      <c r="AI392">
        <v>93.089636054750201</v>
      </c>
      <c r="AJ392">
        <v>63.439308804355697</v>
      </c>
      <c r="AK392">
        <v>20.3267947054653</v>
      </c>
      <c r="AL392">
        <v>82.271702496539007</v>
      </c>
      <c r="AM392">
        <v>82.401253730247205</v>
      </c>
      <c r="AN392">
        <v>0.99999999699616404</v>
      </c>
    </row>
    <row r="393" spans="1:40" x14ac:dyDescent="0.3">
      <c r="A393" t="str">
        <f>"20200111150245458"</f>
        <v>20200111150245458</v>
      </c>
      <c r="B393" t="str">
        <f>"1578726165446827"</f>
        <v>1578726165446827</v>
      </c>
      <c r="C393" t="s">
        <v>40</v>
      </c>
      <c r="D393">
        <v>5.7860180000000003</v>
      </c>
      <c r="E393">
        <v>0.64622740000000001</v>
      </c>
      <c r="F393" t="s">
        <v>56</v>
      </c>
      <c r="G393">
        <v>-217.55510000000001</v>
      </c>
      <c r="H393" s="1">
        <v>2.483631E-6</v>
      </c>
      <c r="I393">
        <v>285.2167</v>
      </c>
      <c r="J393">
        <v>-199.8989</v>
      </c>
      <c r="K393">
        <v>1.095618</v>
      </c>
      <c r="L393">
        <v>288.86829999999998</v>
      </c>
      <c r="M393">
        <v>-0.77496549999999997</v>
      </c>
      <c r="N393">
        <v>0</v>
      </c>
      <c r="O393">
        <v>-0.63180449999999999</v>
      </c>
      <c r="P393">
        <v>-0.84304849999999998</v>
      </c>
      <c r="Q393">
        <v>0.1207887</v>
      </c>
      <c r="R393">
        <v>-0.52409859999999997</v>
      </c>
      <c r="S393">
        <v>-3.1865389999999998</v>
      </c>
      <c r="T393">
        <v>-0.195664</v>
      </c>
      <c r="U393">
        <v>-0.67578130000000003</v>
      </c>
      <c r="V393">
        <v>0.12952629999999901</v>
      </c>
      <c r="W393">
        <v>0.13351679999999999</v>
      </c>
      <c r="X393">
        <v>0.98254580000000002</v>
      </c>
      <c r="Y393">
        <v>0.45558650000000001</v>
      </c>
      <c r="Z393">
        <v>4.9126179999999998E-2</v>
      </c>
      <c r="AA393">
        <v>0.88883500000000004</v>
      </c>
      <c r="AB393">
        <v>22</v>
      </c>
      <c r="AC393">
        <v>-17.656199999999998</v>
      </c>
      <c r="AD393">
        <v>-1.095615516369</v>
      </c>
      <c r="AE393">
        <v>-3.65159999999997</v>
      </c>
      <c r="AF393">
        <v>8.2958167937228193</v>
      </c>
      <c r="AG393">
        <v>-1.095615516369</v>
      </c>
      <c r="AH393">
        <v>15.933219709921699</v>
      </c>
      <c r="AI393">
        <v>93.490211192138901</v>
      </c>
      <c r="AJ393">
        <v>62.495734722893502</v>
      </c>
      <c r="AK393">
        <v>17.996900843182999</v>
      </c>
      <c r="AL393">
        <v>82.327137820836896</v>
      </c>
      <c r="AM393">
        <v>82.490158851861693</v>
      </c>
      <c r="AN393">
        <v>1.00000002368578</v>
      </c>
    </row>
    <row r="394" spans="1:40" x14ac:dyDescent="0.3">
      <c r="A394" t="str">
        <f>"20200111150245480"</f>
        <v>20200111150245480</v>
      </c>
      <c r="B394" t="str">
        <f>"1578726165477083"</f>
        <v>1578726165477083</v>
      </c>
      <c r="C394" t="s">
        <v>40</v>
      </c>
      <c r="D394">
        <v>5.5009129999999997</v>
      </c>
      <c r="E394">
        <v>0.64757039999999999</v>
      </c>
      <c r="F394" t="s">
        <v>56</v>
      </c>
      <c r="G394">
        <v>-217.17939999999999</v>
      </c>
      <c r="H394" s="1">
        <v>2.2837030000000001E-6</v>
      </c>
      <c r="I394">
        <v>285.51620000000003</v>
      </c>
      <c r="J394">
        <v>-200.08260000000001</v>
      </c>
      <c r="K394">
        <v>1.0956549999999901</v>
      </c>
      <c r="L394">
        <v>288.74209999999999</v>
      </c>
      <c r="M394">
        <v>-0.78478709999999996</v>
      </c>
      <c r="N394">
        <v>0</v>
      </c>
      <c r="O394">
        <v>-0.61956279999999997</v>
      </c>
      <c r="P394">
        <v>-0.85018459999999996</v>
      </c>
      <c r="Q394">
        <v>0.1205633</v>
      </c>
      <c r="R394">
        <v>-0.51249469999999997</v>
      </c>
      <c r="S394">
        <v>-3.201508</v>
      </c>
      <c r="T394">
        <v>-0.20298250000000001</v>
      </c>
      <c r="U394">
        <v>-0.62103269999999899</v>
      </c>
      <c r="V394">
        <v>0.1275705</v>
      </c>
      <c r="W394">
        <v>0.1333424</v>
      </c>
      <c r="X394">
        <v>0.98282530000000001</v>
      </c>
      <c r="Y394">
        <v>0.45695360000000002</v>
      </c>
      <c r="Z394">
        <v>5.0327360000000002E-2</v>
      </c>
      <c r="AA394">
        <v>0.88806559999999901</v>
      </c>
      <c r="AB394">
        <v>22</v>
      </c>
      <c r="AC394">
        <v>-17.096799999999899</v>
      </c>
      <c r="AD394">
        <v>-1.09565271629699</v>
      </c>
      <c r="AE394">
        <v>-3.2258999999999598</v>
      </c>
      <c r="AF394">
        <v>8.0300639065911792</v>
      </c>
      <c r="AG394">
        <v>-1.09565271629699</v>
      </c>
      <c r="AH394">
        <v>15.357030046794801</v>
      </c>
      <c r="AI394">
        <v>93.617641672605302</v>
      </c>
      <c r="AJ394">
        <v>62.395304378046802</v>
      </c>
      <c r="AK394">
        <v>17.3643529414956</v>
      </c>
      <c r="AL394">
        <v>82.337220171008198</v>
      </c>
      <c r="AM394">
        <v>82.604369712835805</v>
      </c>
      <c r="AN394">
        <v>0.99999999921405003</v>
      </c>
    </row>
    <row r="395" spans="1:40" x14ac:dyDescent="0.3">
      <c r="A395" t="str">
        <f>"20200111150245502"</f>
        <v>20200111150245502</v>
      </c>
      <c r="B395" t="str">
        <f>"1578726165496603"</f>
        <v>1578726165496603</v>
      </c>
      <c r="C395" t="s">
        <v>40</v>
      </c>
      <c r="D395">
        <v>5.5919879999999997</v>
      </c>
      <c r="E395">
        <v>0.64912950000000003</v>
      </c>
      <c r="F395" t="s">
        <v>56</v>
      </c>
      <c r="G395">
        <v>-217.3108</v>
      </c>
      <c r="H395" s="1">
        <v>2.3536350000000001E-6</v>
      </c>
      <c r="I395">
        <v>285.70949999999999</v>
      </c>
      <c r="J395">
        <v>-200.26220000000001</v>
      </c>
      <c r="K395">
        <v>1.095682</v>
      </c>
      <c r="L395">
        <v>288.62290000000002</v>
      </c>
      <c r="M395">
        <v>-0.79410829999999999</v>
      </c>
      <c r="N395">
        <v>0</v>
      </c>
      <c r="O395">
        <v>-0.6075701</v>
      </c>
      <c r="P395">
        <v>-0.85716749999999997</v>
      </c>
      <c r="Q395">
        <v>0.1200855</v>
      </c>
      <c r="R395">
        <v>-0.50084300000000004</v>
      </c>
      <c r="S395">
        <v>-3.21637</v>
      </c>
      <c r="T395">
        <v>-0.20455010000000001</v>
      </c>
      <c r="U395">
        <v>-0.5661621</v>
      </c>
      <c r="V395">
        <v>0.1260715</v>
      </c>
      <c r="W395">
        <v>0.13290479999999999</v>
      </c>
      <c r="X395">
        <v>0.98307800000000001</v>
      </c>
      <c r="Y395">
        <v>0.45886060000000001</v>
      </c>
      <c r="Z395">
        <v>5.0091339999999998E-2</v>
      </c>
      <c r="AA395">
        <v>0.88709519999999997</v>
      </c>
      <c r="AB395">
        <v>22</v>
      </c>
      <c r="AC395">
        <v>-17.048599999999901</v>
      </c>
      <c r="AD395">
        <v>-1.095679646365</v>
      </c>
      <c r="AE395">
        <v>-2.9134000000000202</v>
      </c>
      <c r="AF395">
        <v>8.0135129127325406</v>
      </c>
      <c r="AG395">
        <v>-1.095679646365</v>
      </c>
      <c r="AH395">
        <v>15.249249857944699</v>
      </c>
      <c r="AI395">
        <v>93.639333446661496</v>
      </c>
      <c r="AJ395">
        <v>62.277979342921903</v>
      </c>
      <c r="AK395">
        <v>17.261417216440201</v>
      </c>
      <c r="AL395">
        <v>82.362518217116005</v>
      </c>
      <c r="AM395">
        <v>82.692184338226397</v>
      </c>
      <c r="AN395">
        <v>1.00000003152964</v>
      </c>
    </row>
    <row r="396" spans="1:40" x14ac:dyDescent="0.3">
      <c r="A396" t="str">
        <f>"20200111150245525"</f>
        <v>20200111150245525</v>
      </c>
      <c r="B396" t="str">
        <f>"1578726165517100"</f>
        <v>1578726165517100</v>
      </c>
      <c r="C396" t="s">
        <v>40</v>
      </c>
      <c r="D396">
        <v>5.5280009999999997</v>
      </c>
      <c r="E396">
        <v>0.65033669999999899</v>
      </c>
      <c r="F396" t="s">
        <v>56</v>
      </c>
      <c r="G396">
        <v>-217.88390000000001</v>
      </c>
      <c r="H396" s="1">
        <v>2.658645E-6</v>
      </c>
      <c r="I396">
        <v>285.8408</v>
      </c>
      <c r="J396">
        <v>-200.45779999999999</v>
      </c>
      <c r="K396">
        <v>1.0957049999999999</v>
      </c>
      <c r="L396">
        <v>288.49720000000002</v>
      </c>
      <c r="M396">
        <v>-0.80395039999999995</v>
      </c>
      <c r="N396">
        <v>0</v>
      </c>
      <c r="O396">
        <v>-0.59448559999999995</v>
      </c>
      <c r="P396">
        <v>-0.86510830000000005</v>
      </c>
      <c r="Q396">
        <v>0.1203936</v>
      </c>
      <c r="R396">
        <v>-0.48692229999999997</v>
      </c>
      <c r="S396">
        <v>-3.230057</v>
      </c>
      <c r="T396">
        <v>-0.20083760000000001</v>
      </c>
      <c r="U396">
        <v>-0.50994870000000003</v>
      </c>
      <c r="V396">
        <v>0.12583269999999999</v>
      </c>
      <c r="W396">
        <v>0.13322039999999999</v>
      </c>
      <c r="X396">
        <v>0.98306579999999999</v>
      </c>
      <c r="Y396">
        <v>0.46007710000000002</v>
      </c>
      <c r="Z396">
        <v>4.8500889999999998E-2</v>
      </c>
      <c r="AA396">
        <v>0.88655329999999999</v>
      </c>
      <c r="AB396">
        <v>22</v>
      </c>
      <c r="AC396">
        <v>-17.426100000000002</v>
      </c>
      <c r="AD396">
        <v>-1.095702341355</v>
      </c>
      <c r="AE396">
        <v>-2.6564000000000099</v>
      </c>
      <c r="AF396">
        <v>8.1933255164395202</v>
      </c>
      <c r="AG396">
        <v>-1.095702341355</v>
      </c>
      <c r="AH396">
        <v>15.530858204783</v>
      </c>
      <c r="AI396">
        <v>93.570580938020001</v>
      </c>
      <c r="AJ396">
        <v>62.1860506211166</v>
      </c>
      <c r="AK396">
        <v>17.593712036300499</v>
      </c>
      <c r="AL396">
        <v>82.344272842805495</v>
      </c>
      <c r="AM396">
        <v>82.705787772976393</v>
      </c>
      <c r="AN396">
        <v>0.99999995524754304</v>
      </c>
    </row>
    <row r="397" spans="1:40" x14ac:dyDescent="0.3">
      <c r="A397" t="str">
        <f>"20200111150245560"</f>
        <v>20200111150245560</v>
      </c>
      <c r="B397" t="str">
        <f>"1578726165557117"</f>
        <v>1578726165557117</v>
      </c>
      <c r="C397" t="s">
        <v>40</v>
      </c>
      <c r="D397">
        <v>5.5198029999999996</v>
      </c>
      <c r="E397">
        <v>0.65130219999999905</v>
      </c>
      <c r="F397" t="s">
        <v>56</v>
      </c>
      <c r="G397">
        <v>-218.31200000000001</v>
      </c>
      <c r="H397" s="1">
        <v>2.8864379999999998E-6</v>
      </c>
      <c r="I397">
        <v>286.02370000000002</v>
      </c>
      <c r="J397">
        <v>-200.7422</v>
      </c>
      <c r="K397">
        <v>1.0957479999999999</v>
      </c>
      <c r="L397">
        <v>288.3227</v>
      </c>
      <c r="M397">
        <v>-0.81765880000000002</v>
      </c>
      <c r="N397">
        <v>0</v>
      </c>
      <c r="O397">
        <v>-0.57548599999999905</v>
      </c>
      <c r="P397">
        <v>-0.87666089999999997</v>
      </c>
      <c r="Q397">
        <v>0.11761919999999999</v>
      </c>
      <c r="R397">
        <v>-0.46651029999999999</v>
      </c>
      <c r="S397">
        <v>-3.2426300000000001</v>
      </c>
      <c r="T397">
        <v>-0.1989988</v>
      </c>
      <c r="U397">
        <v>-0.44921879999999997</v>
      </c>
      <c r="V397">
        <v>0.1259728</v>
      </c>
      <c r="W397">
        <v>0.1304525</v>
      </c>
      <c r="X397">
        <v>0.98341909999999999</v>
      </c>
      <c r="Y397">
        <v>0.45613419999999999</v>
      </c>
      <c r="Z397">
        <v>4.6939130000000003E-2</v>
      </c>
      <c r="AA397">
        <v>0.88867220000000002</v>
      </c>
      <c r="AB397">
        <v>21</v>
      </c>
      <c r="AC397">
        <v>-17.569800000000001</v>
      </c>
      <c r="AD397">
        <v>-1.095745113562</v>
      </c>
      <c r="AE397">
        <v>-2.2989999999999702</v>
      </c>
      <c r="AF397">
        <v>8.2010448411766106</v>
      </c>
      <c r="AG397">
        <v>-1.095745113562</v>
      </c>
      <c r="AH397">
        <v>15.631331540373701</v>
      </c>
      <c r="AI397">
        <v>93.552054224519694</v>
      </c>
      <c r="AJ397">
        <v>62.316058149977799</v>
      </c>
      <c r="AK397">
        <v>17.686048726778001</v>
      </c>
      <c r="AL397">
        <v>82.504259146014405</v>
      </c>
      <c r="AM397">
        <v>82.700349210792197</v>
      </c>
      <c r="AN397">
        <v>1.00000006367044</v>
      </c>
    </row>
    <row r="398" spans="1:40" x14ac:dyDescent="0.3">
      <c r="A398" t="str">
        <f>"20200111150245581"</f>
        <v>20200111150245581</v>
      </c>
      <c r="B398" t="str">
        <f>"1578726165576635"</f>
        <v>1578726165576635</v>
      </c>
      <c r="C398" t="s">
        <v>40</v>
      </c>
      <c r="D398">
        <v>5.5622819999999997</v>
      </c>
      <c r="E398">
        <v>0.65139720000000001</v>
      </c>
      <c r="F398" t="s">
        <v>56</v>
      </c>
      <c r="G398">
        <v>-217.69569999999999</v>
      </c>
      <c r="H398" s="1">
        <v>2.55848E-6</v>
      </c>
      <c r="I398">
        <v>286.4151</v>
      </c>
      <c r="J398">
        <v>-200.92500000000001</v>
      </c>
      <c r="K398">
        <v>1.095785</v>
      </c>
      <c r="L398">
        <v>288.21510000000001</v>
      </c>
      <c r="M398">
        <v>-0.82610759999999905</v>
      </c>
      <c r="N398">
        <v>0</v>
      </c>
      <c r="O398">
        <v>-0.56329110000000004</v>
      </c>
      <c r="P398">
        <v>-0.88266339999999999</v>
      </c>
      <c r="Q398">
        <v>0.1130569</v>
      </c>
      <c r="R398">
        <v>-0.4562061</v>
      </c>
      <c r="S398">
        <v>-3.2554020000000001</v>
      </c>
      <c r="T398">
        <v>-0.21040490000000001</v>
      </c>
      <c r="U398">
        <v>-0.36630249999999998</v>
      </c>
      <c r="V398">
        <v>0.1231146</v>
      </c>
      <c r="W398">
        <v>0.12596940000000001</v>
      </c>
      <c r="X398">
        <v>0.98436500000000005</v>
      </c>
      <c r="Y398">
        <v>0.46546789999999999</v>
      </c>
      <c r="Z398">
        <v>4.9233319999999997E-2</v>
      </c>
      <c r="AA398">
        <v>0.88369439999999999</v>
      </c>
      <c r="AB398">
        <v>21</v>
      </c>
      <c r="AC398">
        <v>-16.770699999999898</v>
      </c>
      <c r="AD398">
        <v>-1.0957824415199999</v>
      </c>
      <c r="AE398">
        <v>-1.80000000000001</v>
      </c>
      <c r="AF398">
        <v>7.92732712014723</v>
      </c>
      <c r="AG398">
        <v>-1.0957824415199999</v>
      </c>
      <c r="AH398">
        <v>14.8076839253968</v>
      </c>
      <c r="AI398">
        <v>93.732696579124294</v>
      </c>
      <c r="AJ398">
        <v>61.837529224055601</v>
      </c>
      <c r="AK398">
        <v>16.831837619921998</v>
      </c>
      <c r="AL398">
        <v>82.763258966445306</v>
      </c>
      <c r="AM398">
        <v>82.871030703572103</v>
      </c>
      <c r="AN398">
        <v>0.99999997384725903</v>
      </c>
    </row>
    <row r="399" spans="1:40" x14ac:dyDescent="0.3">
      <c r="A399" t="str">
        <f>"20200111150245602"</f>
        <v>20200111150245602</v>
      </c>
      <c r="B399" t="str">
        <f>"1578726165597132"</f>
        <v>1578726165597132</v>
      </c>
      <c r="C399" t="s">
        <v>40</v>
      </c>
      <c r="D399">
        <v>5.6499969999999999</v>
      </c>
      <c r="E399">
        <v>0.65099810000000002</v>
      </c>
      <c r="F399" t="s">
        <v>56</v>
      </c>
      <c r="G399">
        <v>-216.97499999999999</v>
      </c>
      <c r="H399" s="1">
        <v>2.1749370000000001E-6</v>
      </c>
      <c r="I399">
        <v>286.61259999999999</v>
      </c>
      <c r="J399">
        <v>-201.108</v>
      </c>
      <c r="K399">
        <v>1.095831</v>
      </c>
      <c r="L399">
        <v>288.11099999999999</v>
      </c>
      <c r="M399">
        <v>-0.83428169999999902</v>
      </c>
      <c r="N399">
        <v>0</v>
      </c>
      <c r="O399">
        <v>-0.55111269999999901</v>
      </c>
      <c r="P399">
        <v>-0.88835109999999995</v>
      </c>
      <c r="Q399">
        <v>0.1069238</v>
      </c>
      <c r="R399">
        <v>-0.4465422</v>
      </c>
      <c r="S399">
        <v>-3.259109</v>
      </c>
      <c r="T399">
        <v>-0.2225104</v>
      </c>
      <c r="U399">
        <v>-0.3254089</v>
      </c>
      <c r="V399">
        <v>0.1196777</v>
      </c>
      <c r="W399">
        <v>0.1199297</v>
      </c>
      <c r="X399">
        <v>0.98554249999999999</v>
      </c>
      <c r="Y399">
        <v>0.46336359999999899</v>
      </c>
      <c r="Z399">
        <v>5.1309210000000001E-2</v>
      </c>
      <c r="AA399">
        <v>0.88468159999999896</v>
      </c>
      <c r="AB399">
        <v>21</v>
      </c>
      <c r="AC399">
        <v>-15.8669999999999</v>
      </c>
      <c r="AD399">
        <v>-1.0958288250629999</v>
      </c>
      <c r="AE399">
        <v>-1.4984</v>
      </c>
      <c r="AF399">
        <v>7.4600819100477898</v>
      </c>
      <c r="AG399">
        <v>-1.0958288250629999</v>
      </c>
      <c r="AH399">
        <v>13.9989039698524</v>
      </c>
      <c r="AI399">
        <v>93.951859363498698</v>
      </c>
      <c r="AJ399">
        <v>61.946636098507199</v>
      </c>
      <c r="AK399">
        <v>15.9004080222997</v>
      </c>
      <c r="AL399">
        <v>83.111954282647304</v>
      </c>
      <c r="AM399">
        <v>83.076282838227399</v>
      </c>
      <c r="AN399">
        <v>0.999999952062813</v>
      </c>
    </row>
    <row r="400" spans="1:40" x14ac:dyDescent="0.3">
      <c r="A400" t="str">
        <f>"20200111150245626"</f>
        <v>20200111150245626</v>
      </c>
      <c r="B400" t="str">
        <f>"1578726165616652"</f>
        <v>1578726165616652</v>
      </c>
      <c r="C400" t="s">
        <v>40</v>
      </c>
      <c r="D400">
        <v>5.7247640000000004</v>
      </c>
      <c r="E400">
        <v>0.65026039999999996</v>
      </c>
      <c r="F400" t="s">
        <v>56</v>
      </c>
      <c r="G400">
        <v>-216.13329999999999</v>
      </c>
      <c r="H400" s="1">
        <v>1.727049E-6</v>
      </c>
      <c r="I400">
        <v>286.77289999999999</v>
      </c>
      <c r="J400">
        <v>-201.31049999999999</v>
      </c>
      <c r="K400">
        <v>1.0959159999999999</v>
      </c>
      <c r="L400">
        <v>287.99970000000002</v>
      </c>
      <c r="M400">
        <v>-0.8429989</v>
      </c>
      <c r="N400">
        <v>0</v>
      </c>
      <c r="O400">
        <v>-0.53768459999999996</v>
      </c>
      <c r="P400">
        <v>-0.89394609999999997</v>
      </c>
      <c r="Q400">
        <v>0.1025001</v>
      </c>
      <c r="R400">
        <v>-0.43629630000000003</v>
      </c>
      <c r="S400">
        <v>-3.2597200000000002</v>
      </c>
      <c r="T400">
        <v>-0.23773900000000001</v>
      </c>
      <c r="U400">
        <v>-0.29031370000000001</v>
      </c>
      <c r="V400">
        <v>0.1153798</v>
      </c>
      <c r="W400">
        <v>0.115615</v>
      </c>
      <c r="X400">
        <v>0.98657019999999995</v>
      </c>
      <c r="Y400">
        <v>0.458366</v>
      </c>
      <c r="Z400">
        <v>5.3855899999999998E-2</v>
      </c>
      <c r="AA400">
        <v>0.88713030000000004</v>
      </c>
      <c r="AB400">
        <v>21</v>
      </c>
      <c r="AC400">
        <v>-14.822800000000001</v>
      </c>
      <c r="AD400">
        <v>-1.0959142729510001</v>
      </c>
      <c r="AE400">
        <v>-1.2268000000000201</v>
      </c>
      <c r="AF400">
        <v>6.8992043958115996</v>
      </c>
      <c r="AG400">
        <v>-1.0959142729510001</v>
      </c>
      <c r="AH400">
        <v>13.0858236828528</v>
      </c>
      <c r="AI400">
        <v>94.236872802049803</v>
      </c>
      <c r="AJ400">
        <v>62.200574736319801</v>
      </c>
      <c r="AK400">
        <v>14.8337059040401</v>
      </c>
      <c r="AL400">
        <v>83.360901719170798</v>
      </c>
      <c r="AM400">
        <v>83.329535882954303</v>
      </c>
      <c r="AN400">
        <v>1.00000004300053</v>
      </c>
    </row>
    <row r="401" spans="1:40" x14ac:dyDescent="0.3">
      <c r="A401" t="str">
        <f>"20200111150245647"</f>
        <v>20200111150245647</v>
      </c>
      <c r="B401" t="str">
        <f>"1578726165636171"</f>
        <v>1578726165636171</v>
      </c>
      <c r="C401" t="s">
        <v>40</v>
      </c>
      <c r="D401">
        <v>5.6348180000000001</v>
      </c>
      <c r="E401">
        <v>0.64965810000000002</v>
      </c>
      <c r="F401" t="s">
        <v>56</v>
      </c>
      <c r="G401">
        <v>-215.70480000000001</v>
      </c>
      <c r="H401" s="1">
        <v>1.4990510000000001E-6</v>
      </c>
      <c r="I401">
        <v>286.86919999999998</v>
      </c>
      <c r="J401">
        <v>-201.49950000000001</v>
      </c>
      <c r="K401">
        <v>1.09602</v>
      </c>
      <c r="L401">
        <v>287.89940000000001</v>
      </c>
      <c r="M401">
        <v>-0.85081489999999904</v>
      </c>
      <c r="N401">
        <v>0</v>
      </c>
      <c r="O401">
        <v>-0.52523030000000004</v>
      </c>
      <c r="P401">
        <v>-0.89821819999999897</v>
      </c>
      <c r="Q401">
        <v>0.100813</v>
      </c>
      <c r="R401">
        <v>-0.42783330000000003</v>
      </c>
      <c r="S401">
        <v>-3.25943</v>
      </c>
      <c r="T401">
        <v>-0.2481573</v>
      </c>
      <c r="U401">
        <v>-0.25598140000000003</v>
      </c>
      <c r="V401">
        <v>0.11021599999999999</v>
      </c>
      <c r="W401">
        <v>0.1140499</v>
      </c>
      <c r="X401">
        <v>0.98734239999999995</v>
      </c>
      <c r="Y401">
        <v>0.45439239999999997</v>
      </c>
      <c r="Z401">
        <v>5.5311390000000002E-2</v>
      </c>
      <c r="AA401">
        <v>0.88908279999999995</v>
      </c>
      <c r="AB401">
        <v>21</v>
      </c>
      <c r="AC401">
        <v>-14.2052999999999</v>
      </c>
      <c r="AD401">
        <v>-1.096018500949</v>
      </c>
      <c r="AE401">
        <v>-1.03020000000003</v>
      </c>
      <c r="AF401">
        <v>6.5465903963051897</v>
      </c>
      <c r="AG401">
        <v>-1.096018500949</v>
      </c>
      <c r="AH401">
        <v>12.5543886705647</v>
      </c>
      <c r="AI401">
        <v>94.426393758961098</v>
      </c>
      <c r="AJ401">
        <v>62.459836660440203</v>
      </c>
      <c r="AK401">
        <v>14.201118873631801</v>
      </c>
      <c r="AL401">
        <v>83.451172091511395</v>
      </c>
      <c r="AM401">
        <v>83.630501505054298</v>
      </c>
      <c r="AN401">
        <v>0.999999980591884</v>
      </c>
    </row>
    <row r="402" spans="1:40" x14ac:dyDescent="0.3">
      <c r="A402" t="str">
        <f>"20200111150245670"</f>
        <v>20200111150245670</v>
      </c>
      <c r="B402" t="str">
        <f>"1578726165666427"</f>
        <v>1578726165666427</v>
      </c>
      <c r="C402" t="s">
        <v>40</v>
      </c>
      <c r="D402">
        <v>5.5685129999999896</v>
      </c>
      <c r="E402">
        <v>0.64835849999999995</v>
      </c>
      <c r="F402" t="s">
        <v>56</v>
      </c>
      <c r="G402">
        <v>-216.05430000000001</v>
      </c>
      <c r="H402" s="1">
        <v>1.685003E-6</v>
      </c>
      <c r="I402">
        <v>286.88400000000001</v>
      </c>
      <c r="J402">
        <v>-201.69370000000001</v>
      </c>
      <c r="K402">
        <v>1.0961479999999999</v>
      </c>
      <c r="L402">
        <v>287.8</v>
      </c>
      <c r="M402">
        <v>-0.85852399999999995</v>
      </c>
      <c r="N402">
        <v>0</v>
      </c>
      <c r="O402">
        <v>-0.51253320000000002</v>
      </c>
      <c r="P402">
        <v>-0.90219369999999999</v>
      </c>
      <c r="Q402">
        <v>0.1041513</v>
      </c>
      <c r="R402">
        <v>-0.4185681</v>
      </c>
      <c r="S402">
        <v>-3.259201</v>
      </c>
      <c r="T402">
        <v>-0.2454276</v>
      </c>
      <c r="U402">
        <v>-0.22738649999999999</v>
      </c>
      <c r="V402">
        <v>0.10554090000000001</v>
      </c>
      <c r="W402">
        <v>0.1174871</v>
      </c>
      <c r="X402">
        <v>0.98745019999999994</v>
      </c>
      <c r="Y402">
        <v>0.44901839999999998</v>
      </c>
      <c r="Z402">
        <v>5.3725769999999999E-2</v>
      </c>
      <c r="AA402">
        <v>0.89190579999999997</v>
      </c>
      <c r="AB402">
        <v>21</v>
      </c>
      <c r="AC402">
        <v>-14.3606</v>
      </c>
      <c r="AD402">
        <v>-1.0961463149970001</v>
      </c>
      <c r="AE402">
        <v>-0.91599999999999604</v>
      </c>
      <c r="AF402">
        <v>6.5367551921742999</v>
      </c>
      <c r="AG402">
        <v>-1.0961463149970001</v>
      </c>
      <c r="AH402">
        <v>12.726130683009901</v>
      </c>
      <c r="AI402">
        <v>94.3812902141878</v>
      </c>
      <c r="AJ402">
        <v>62.812778759548401</v>
      </c>
      <c r="AK402">
        <v>14.348697060965</v>
      </c>
      <c r="AL402">
        <v>83.252901930598298</v>
      </c>
      <c r="AM402">
        <v>83.899259016595707</v>
      </c>
      <c r="AN402">
        <v>0.99999999885962898</v>
      </c>
    </row>
    <row r="403" spans="1:40" x14ac:dyDescent="0.3">
      <c r="A403" t="str">
        <f>"20200111150245691"</f>
        <v>20200111150245691</v>
      </c>
      <c r="B403" t="str">
        <f>"1578726165686924"</f>
        <v>1578726165686924</v>
      </c>
      <c r="C403" t="s">
        <v>40</v>
      </c>
      <c r="D403">
        <v>5.6324180000000004</v>
      </c>
      <c r="E403">
        <v>0.64735529999999997</v>
      </c>
      <c r="F403" t="s">
        <v>56</v>
      </c>
      <c r="G403">
        <v>-217.0916</v>
      </c>
      <c r="H403" s="1">
        <v>2.2370259999999998E-6</v>
      </c>
      <c r="I403">
        <v>286.83839999999998</v>
      </c>
      <c r="J403">
        <v>-201.88050000000001</v>
      </c>
      <c r="K403">
        <v>1.096282</v>
      </c>
      <c r="L403">
        <v>287.70780000000002</v>
      </c>
      <c r="M403">
        <v>-0.86563129999999999</v>
      </c>
      <c r="N403">
        <v>0</v>
      </c>
      <c r="O403">
        <v>-0.50043760000000004</v>
      </c>
      <c r="P403">
        <v>-0.90734340000000002</v>
      </c>
      <c r="Q403">
        <v>0.1086071</v>
      </c>
      <c r="R403">
        <v>-0.40611960000000003</v>
      </c>
      <c r="S403">
        <v>-3.2576139999999998</v>
      </c>
      <c r="T403">
        <v>-0.23190259999999999</v>
      </c>
      <c r="U403">
        <v>-0.20343020000000001</v>
      </c>
      <c r="V403">
        <v>0.1050605</v>
      </c>
      <c r="W403">
        <v>0.1219423</v>
      </c>
      <c r="X403">
        <v>0.98696119999999998</v>
      </c>
      <c r="Y403">
        <v>0.44329770000000002</v>
      </c>
      <c r="Z403">
        <v>4.9876120000000003E-2</v>
      </c>
      <c r="AA403">
        <v>0.89498580000000005</v>
      </c>
      <c r="AB403">
        <v>21</v>
      </c>
      <c r="AC403">
        <v>-15.211099999999901</v>
      </c>
      <c r="AD403">
        <v>-1.096279762974</v>
      </c>
      <c r="AE403">
        <v>-0.86940000000004103</v>
      </c>
      <c r="AF403">
        <v>6.8251299293982797</v>
      </c>
      <c r="AG403">
        <v>-1.096279762974</v>
      </c>
      <c r="AH403">
        <v>13.5338797511883</v>
      </c>
      <c r="AI403">
        <v>94.136778931332003</v>
      </c>
      <c r="AJ403">
        <v>63.2382095395497</v>
      </c>
      <c r="AK403">
        <v>15.1970434292825</v>
      </c>
      <c r="AL403">
        <v>82.995788637247102</v>
      </c>
      <c r="AM403">
        <v>83.923833792455397</v>
      </c>
      <c r="AN403">
        <v>1.00000002174748</v>
      </c>
    </row>
    <row r="404" spans="1:40" x14ac:dyDescent="0.3">
      <c r="A404" t="str">
        <f>"20200111150245716"</f>
        <v>20200111150245716</v>
      </c>
      <c r="B404" t="str">
        <f>"1578726165706444"</f>
        <v>1578726165706444</v>
      </c>
      <c r="C404" t="s">
        <v>40</v>
      </c>
      <c r="D404">
        <v>5.7403659999999999</v>
      </c>
      <c r="E404">
        <v>0.6459705</v>
      </c>
      <c r="F404" t="s">
        <v>56</v>
      </c>
      <c r="G404">
        <v>-217.81139999999999</v>
      </c>
      <c r="H404" s="1">
        <v>2.620066E-6</v>
      </c>
      <c r="I404">
        <v>286.87799999999999</v>
      </c>
      <c r="J404">
        <v>-202.09710000000001</v>
      </c>
      <c r="K404">
        <v>1.096422</v>
      </c>
      <c r="L404">
        <v>287.6046</v>
      </c>
      <c r="M404">
        <v>-0.87351889999999999</v>
      </c>
      <c r="N404">
        <v>0</v>
      </c>
      <c r="O404">
        <v>-0.48653980000000002</v>
      </c>
      <c r="P404">
        <v>-0.91469739999999999</v>
      </c>
      <c r="Q404">
        <v>0.1108788</v>
      </c>
      <c r="R404">
        <v>-0.38863180000000003</v>
      </c>
      <c r="S404">
        <v>-3.2572480000000001</v>
      </c>
      <c r="T404">
        <v>-0.22414609999999999</v>
      </c>
      <c r="U404">
        <v>-0.1696472</v>
      </c>
      <c r="V404">
        <v>0.1081018</v>
      </c>
      <c r="W404">
        <v>0.1241362</v>
      </c>
      <c r="X404">
        <v>0.98635910000000004</v>
      </c>
      <c r="Y404">
        <v>0.43841039999999998</v>
      </c>
      <c r="Z404">
        <v>4.7246629999999998E-2</v>
      </c>
      <c r="AA404">
        <v>0.8975322</v>
      </c>
      <c r="AB404">
        <v>21</v>
      </c>
      <c r="AC404">
        <v>-15.7142999999999</v>
      </c>
      <c r="AD404">
        <v>-1.0964193799339901</v>
      </c>
      <c r="AE404">
        <v>-0.72660000000001901</v>
      </c>
      <c r="AF404">
        <v>6.9778912733132001</v>
      </c>
      <c r="AG404">
        <v>-1.0964193799339901</v>
      </c>
      <c r="AH404">
        <v>14.013898129186501</v>
      </c>
      <c r="AI404">
        <v>94.006236202166704</v>
      </c>
      <c r="AJ404">
        <v>63.530069781265397</v>
      </c>
      <c r="AK404">
        <v>15.6933885077153</v>
      </c>
      <c r="AL404">
        <v>82.8691250805674</v>
      </c>
      <c r="AM404">
        <v>83.745528037625306</v>
      </c>
      <c r="AN404">
        <v>1.0000000347332401</v>
      </c>
    </row>
    <row r="405" spans="1:40" x14ac:dyDescent="0.3">
      <c r="A405" t="str">
        <f>"20200111150245737"</f>
        <v>20200111150245737</v>
      </c>
      <c r="B405" t="str">
        <f>"1578726165726940"</f>
        <v>1578726165726940</v>
      </c>
      <c r="C405" t="s">
        <v>40</v>
      </c>
      <c r="D405">
        <v>5.6270629999999997</v>
      </c>
      <c r="E405">
        <v>0.6448895</v>
      </c>
      <c r="F405" t="s">
        <v>56</v>
      </c>
      <c r="G405">
        <v>-217.9462</v>
      </c>
      <c r="H405" s="1">
        <v>2.691755E-6</v>
      </c>
      <c r="I405">
        <v>287.01920000000001</v>
      </c>
      <c r="J405">
        <v>-202.29159999999999</v>
      </c>
      <c r="K405">
        <v>1.0965370000000001</v>
      </c>
      <c r="L405">
        <v>287.51530000000002</v>
      </c>
      <c r="M405">
        <v>-0.88028399999999996</v>
      </c>
      <c r="N405">
        <v>0</v>
      </c>
      <c r="O405">
        <v>-0.474192</v>
      </c>
      <c r="P405">
        <v>-0.92092549999999995</v>
      </c>
      <c r="Q405">
        <v>0.1087099</v>
      </c>
      <c r="R405">
        <v>-0.37427080000000001</v>
      </c>
      <c r="S405">
        <v>-3.2559659999999999</v>
      </c>
      <c r="T405">
        <v>-0.22524459999999999</v>
      </c>
      <c r="U405">
        <v>-0.1202698</v>
      </c>
      <c r="V405">
        <v>0.1096881</v>
      </c>
      <c r="W405">
        <v>0.1219291</v>
      </c>
      <c r="X405">
        <v>0.98645930000000004</v>
      </c>
      <c r="Y405">
        <v>0.43932929999999998</v>
      </c>
      <c r="Z405">
        <v>4.6816730000000001E-2</v>
      </c>
      <c r="AA405">
        <v>0.89710529999999999</v>
      </c>
      <c r="AB405">
        <v>21</v>
      </c>
      <c r="AC405">
        <v>-15.6546</v>
      </c>
      <c r="AD405">
        <v>-1.0965343082449901</v>
      </c>
      <c r="AE405">
        <v>-0.49610000000001198</v>
      </c>
      <c r="AF405">
        <v>6.9533413586140398</v>
      </c>
      <c r="AG405">
        <v>-1.0965343082449901</v>
      </c>
      <c r="AH405">
        <v>13.949066306616601</v>
      </c>
      <c r="AI405">
        <v>94.024328175314494</v>
      </c>
      <c r="AJ405">
        <v>63.504627356386102</v>
      </c>
      <c r="AK405">
        <v>15.624589414283999</v>
      </c>
      <c r="AL405">
        <v>82.9965509504528</v>
      </c>
      <c r="AM405">
        <v>83.655131683426703</v>
      </c>
      <c r="AN405">
        <v>1.0000000676324501</v>
      </c>
    </row>
    <row r="406" spans="1:40" x14ac:dyDescent="0.3">
      <c r="A406" t="str">
        <f>"20200111150245760"</f>
        <v>20200111150245760</v>
      </c>
      <c r="B406" t="str">
        <f>"1578726165756219"</f>
        <v>1578726165756219</v>
      </c>
      <c r="C406" t="s">
        <v>40</v>
      </c>
      <c r="D406">
        <v>5.5424259999999999</v>
      </c>
      <c r="E406">
        <v>0.6434685</v>
      </c>
      <c r="F406" t="s">
        <v>56</v>
      </c>
      <c r="G406">
        <v>-217.82130000000001</v>
      </c>
      <c r="H406" s="1">
        <v>2.6253160000000001E-6</v>
      </c>
      <c r="I406">
        <v>287.15120000000002</v>
      </c>
      <c r="J406">
        <v>-202.49529999999999</v>
      </c>
      <c r="K406">
        <v>1.0966499999999999</v>
      </c>
      <c r="L406">
        <v>287.42500000000001</v>
      </c>
      <c r="M406">
        <v>-0.8870401</v>
      </c>
      <c r="N406">
        <v>0</v>
      </c>
      <c r="O406">
        <v>-0.4614318</v>
      </c>
      <c r="P406">
        <v>-0.92767200000000005</v>
      </c>
      <c r="Q406">
        <v>0.1034789</v>
      </c>
      <c r="R406">
        <v>-0.35877160000000002</v>
      </c>
      <c r="S406">
        <v>-3.253708</v>
      </c>
      <c r="T406">
        <v>-0.229741</v>
      </c>
      <c r="U406">
        <v>-7.6293949999999999E-2</v>
      </c>
      <c r="V406">
        <v>0.1121204</v>
      </c>
      <c r="W406">
        <v>0.1166484</v>
      </c>
      <c r="X406">
        <v>0.98682429999999999</v>
      </c>
      <c r="Y406">
        <v>0.4383997</v>
      </c>
      <c r="Z406">
        <v>4.6978529999999998E-2</v>
      </c>
      <c r="AA406">
        <v>0.89755149999999995</v>
      </c>
      <c r="AB406">
        <v>21</v>
      </c>
      <c r="AC406">
        <v>-15.326000000000001</v>
      </c>
      <c r="AD406">
        <v>-1.096647374684</v>
      </c>
      <c r="AE406">
        <v>-0.27379999999999399</v>
      </c>
      <c r="AF406">
        <v>6.79507352541959</v>
      </c>
      <c r="AG406">
        <v>-1.096647374684</v>
      </c>
      <c r="AH406">
        <v>13.6528857362545</v>
      </c>
      <c r="AI406">
        <v>94.113029829872204</v>
      </c>
      <c r="AJ406">
        <v>63.540361396449697</v>
      </c>
      <c r="AK406">
        <v>15.289766139725</v>
      </c>
      <c r="AL406">
        <v>83.301288729247204</v>
      </c>
      <c r="AM406">
        <v>83.517999637199395</v>
      </c>
      <c r="AN406">
        <v>1.0000000161946001</v>
      </c>
    </row>
    <row r="407" spans="1:40" x14ac:dyDescent="0.3">
      <c r="A407" t="str">
        <f>"20200111150245780"</f>
        <v>20200111150245780</v>
      </c>
      <c r="B407" t="str">
        <f>"1578726165776249"</f>
        <v>1578726165776249</v>
      </c>
      <c r="C407" t="s">
        <v>40</v>
      </c>
      <c r="D407">
        <v>5.5513680000000001</v>
      </c>
      <c r="E407">
        <v>0.64287249999999996</v>
      </c>
      <c r="F407" t="s">
        <v>56</v>
      </c>
      <c r="G407">
        <v>-216.95500000000001</v>
      </c>
      <c r="H407" s="1">
        <v>2.1643300000000002E-6</v>
      </c>
      <c r="I407">
        <v>287.28930000000003</v>
      </c>
      <c r="J407">
        <v>-202.6703</v>
      </c>
      <c r="K407">
        <v>1.096762</v>
      </c>
      <c r="L407">
        <v>287.35000000000002</v>
      </c>
      <c r="M407">
        <v>-0.892567</v>
      </c>
      <c r="N407">
        <v>0</v>
      </c>
      <c r="O407">
        <v>-0.45064929999999997</v>
      </c>
      <c r="P407">
        <v>-0.93351989999999996</v>
      </c>
      <c r="Q407">
        <v>9.7968449999999999E-2</v>
      </c>
      <c r="R407">
        <v>-0.34488089999999999</v>
      </c>
      <c r="S407">
        <v>-3.249603</v>
      </c>
      <c r="T407">
        <v>-0.24645520000000001</v>
      </c>
      <c r="U407">
        <v>-3.048706E-2</v>
      </c>
      <c r="V407">
        <v>0.11501790000000001</v>
      </c>
      <c r="W407">
        <v>0.1110801</v>
      </c>
      <c r="X407">
        <v>0.98713329999999999</v>
      </c>
      <c r="Y407">
        <v>0.43982789999999999</v>
      </c>
      <c r="Z407">
        <v>4.9799660000000003E-2</v>
      </c>
      <c r="AA407">
        <v>0.89670030000000001</v>
      </c>
      <c r="AB407">
        <v>21</v>
      </c>
      <c r="AC407">
        <v>-14.284700000000001</v>
      </c>
      <c r="AD407">
        <v>-1.0967598356699999</v>
      </c>
      <c r="AE407">
        <v>-6.0699999999996999E-2</v>
      </c>
      <c r="AF407">
        <v>6.3465632572541404</v>
      </c>
      <c r="AG407">
        <v>-1.0967598356699999</v>
      </c>
      <c r="AH407">
        <v>12.7040472131506</v>
      </c>
      <c r="AI407">
        <v>94.416217729378303</v>
      </c>
      <c r="AJ407">
        <v>63.454653331252999</v>
      </c>
      <c r="AK407">
        <v>14.243404189639</v>
      </c>
      <c r="AL407">
        <v>83.622417850185897</v>
      </c>
      <c r="AM407">
        <v>83.354030103562394</v>
      </c>
      <c r="AN407">
        <v>1.0000000289526501</v>
      </c>
    </row>
    <row r="408" spans="1:40" x14ac:dyDescent="0.3">
      <c r="A408" t="str">
        <f>"20200111150245802"</f>
        <v>20200111150245802</v>
      </c>
      <c r="B408" t="str">
        <f>"1578726165796745"</f>
        <v>1578726165796745</v>
      </c>
      <c r="C408" t="s">
        <v>40</v>
      </c>
      <c r="D408">
        <v>5.5941879999999999</v>
      </c>
      <c r="E408">
        <v>0.61056009999999905</v>
      </c>
      <c r="F408" t="s">
        <v>56</v>
      </c>
      <c r="G408">
        <v>-216.13480000000001</v>
      </c>
      <c r="H408" s="1">
        <v>1.727846E-6</v>
      </c>
      <c r="I408">
        <v>287.40809999999999</v>
      </c>
      <c r="J408">
        <v>-202.87200000000001</v>
      </c>
      <c r="K408">
        <v>1.0969249999999999</v>
      </c>
      <c r="L408">
        <v>287.2663</v>
      </c>
      <c r="M408">
        <v>-0.8986248</v>
      </c>
      <c r="N408">
        <v>0</v>
      </c>
      <c r="O408">
        <v>-0.43844729999999998</v>
      </c>
      <c r="P408">
        <v>-0.93943569999999998</v>
      </c>
      <c r="Q408">
        <v>9.1350700000000007E-2</v>
      </c>
      <c r="R408">
        <v>-0.33032669999999997</v>
      </c>
      <c r="S408">
        <v>-3.2465519999999999</v>
      </c>
      <c r="T408">
        <v>-0.26444980000000001</v>
      </c>
      <c r="U408">
        <v>1.400757E-2</v>
      </c>
      <c r="V408">
        <v>0.11702890000000001</v>
      </c>
      <c r="W408">
        <v>0.1044262</v>
      </c>
      <c r="X408">
        <v>0.98762309999999998</v>
      </c>
      <c r="Y408">
        <v>0.43954110000000002</v>
      </c>
      <c r="Z408">
        <v>5.2586849999999997E-2</v>
      </c>
      <c r="AA408">
        <v>0.89668179999999997</v>
      </c>
      <c r="AB408">
        <v>21</v>
      </c>
      <c r="AC408">
        <v>-13.2628</v>
      </c>
      <c r="AD408">
        <v>-1.0969232721540001</v>
      </c>
      <c r="AE408">
        <v>0.14179999999998899</v>
      </c>
      <c r="AF408">
        <v>5.90279651756292</v>
      </c>
      <c r="AG408">
        <v>-1.0969232721540001</v>
      </c>
      <c r="AH408">
        <v>11.776966881621201</v>
      </c>
      <c r="AI408">
        <v>94.759906443793199</v>
      </c>
      <c r="AJ408">
        <v>63.379268601541398</v>
      </c>
      <c r="AK408">
        <v>13.21904672522</v>
      </c>
      <c r="AL408">
        <v>84.005891443080998</v>
      </c>
      <c r="AM408">
        <v>83.242219073662596</v>
      </c>
      <c r="AN408">
        <v>0.99999999116762905</v>
      </c>
    </row>
    <row r="409" spans="1:40" x14ac:dyDescent="0.3">
      <c r="A409" t="str">
        <f>"20200111150245826"</f>
        <v>20200111150245826</v>
      </c>
      <c r="B409" t="str">
        <f>"1578726165816265"</f>
        <v>1578726165816265</v>
      </c>
      <c r="C409" t="s">
        <v>40</v>
      </c>
      <c r="D409">
        <v>5.6805960000000004</v>
      </c>
      <c r="E409">
        <v>0.60544940000000003</v>
      </c>
      <c r="F409" t="s">
        <v>56</v>
      </c>
      <c r="G409">
        <v>-213.55609999999999</v>
      </c>
      <c r="H409" s="1">
        <v>3.5557029999999998E-7</v>
      </c>
      <c r="I409">
        <v>286.66750000000002</v>
      </c>
      <c r="J409">
        <v>-203.0763</v>
      </c>
      <c r="K409">
        <v>1.0971420000000001</v>
      </c>
      <c r="L409">
        <v>287.18430000000001</v>
      </c>
      <c r="M409">
        <v>-0.90442429999999996</v>
      </c>
      <c r="N409">
        <v>0</v>
      </c>
      <c r="O409">
        <v>-0.42635830000000002</v>
      </c>
      <c r="P409">
        <v>-0.94400640000000002</v>
      </c>
      <c r="Q409">
        <v>8.5781049999999998E-2</v>
      </c>
      <c r="R409">
        <v>-0.31858049999999999</v>
      </c>
      <c r="S409">
        <v>-3.1626590000000001</v>
      </c>
      <c r="T409">
        <v>-0.32470769999999999</v>
      </c>
      <c r="U409">
        <v>-0.17724609999999999</v>
      </c>
      <c r="V409">
        <v>0.1161653</v>
      </c>
      <c r="W409">
        <v>9.8879930000000005E-2</v>
      </c>
      <c r="X409">
        <v>0.9882957</v>
      </c>
      <c r="Y409">
        <v>0.37108479999999999</v>
      </c>
      <c r="Z409">
        <v>6.1390119999999999E-2</v>
      </c>
      <c r="AA409">
        <v>0.92656749999999999</v>
      </c>
      <c r="AB409">
        <v>21</v>
      </c>
      <c r="AC409">
        <v>-10.4797999999999</v>
      </c>
      <c r="AD409">
        <v>-1.0971416444297</v>
      </c>
      <c r="AE409">
        <v>-0.51679999999998905</v>
      </c>
      <c r="AF409">
        <v>3.9579393142719401</v>
      </c>
      <c r="AG409">
        <v>-1.0971416444297</v>
      </c>
      <c r="AH409">
        <v>9.5947632778531293</v>
      </c>
      <c r="AI409">
        <v>96.034172559396595</v>
      </c>
      <c r="AJ409">
        <v>67.583344944982102</v>
      </c>
      <c r="AK409">
        <v>10.4368810360873</v>
      </c>
      <c r="AL409">
        <v>84.325324498227999</v>
      </c>
      <c r="AM409">
        <v>83.296155021609295</v>
      </c>
      <c r="AN409">
        <v>1.0000000040596899</v>
      </c>
    </row>
    <row r="410" spans="1:40" x14ac:dyDescent="0.3">
      <c r="A410" t="str">
        <f>"20200111150245848"</f>
        <v>20200111150245848</v>
      </c>
      <c r="B410" t="str">
        <f>"1578726165836760"</f>
        <v>1578726165836760</v>
      </c>
      <c r="C410" t="s">
        <v>40</v>
      </c>
      <c r="D410">
        <v>5.6538009999999996</v>
      </c>
      <c r="E410">
        <v>0.60153140000000005</v>
      </c>
      <c r="F410" t="s">
        <v>56</v>
      </c>
      <c r="G410">
        <v>-213.70910000000001</v>
      </c>
      <c r="H410" s="1">
        <v>4.3699450000000002E-7</v>
      </c>
      <c r="I410">
        <v>286.60109999999997</v>
      </c>
      <c r="J410">
        <v>-203.2783</v>
      </c>
      <c r="K410">
        <v>1.0973889999999999</v>
      </c>
      <c r="L410">
        <v>287.10579999999999</v>
      </c>
      <c r="M410">
        <v>-0.90982370000000001</v>
      </c>
      <c r="N410">
        <v>0</v>
      </c>
      <c r="O410">
        <v>-0.41471429999999998</v>
      </c>
      <c r="P410">
        <v>-0.94805329999999999</v>
      </c>
      <c r="Q410">
        <v>8.5087540000000003E-2</v>
      </c>
      <c r="R410">
        <v>-0.3065215</v>
      </c>
      <c r="S410">
        <v>-3.1491850000000001</v>
      </c>
      <c r="T410">
        <v>-0.32494970000000001</v>
      </c>
      <c r="U410">
        <v>-0.17272950000000001</v>
      </c>
      <c r="V410">
        <v>0.1160258</v>
      </c>
      <c r="W410">
        <v>9.8190459999999993E-2</v>
      </c>
      <c r="X410">
        <v>0.98838079999999995</v>
      </c>
      <c r="Y410">
        <v>0.36033009999999999</v>
      </c>
      <c r="Z410">
        <v>6.0051550000000002E-2</v>
      </c>
      <c r="AA410">
        <v>0.93088990000000005</v>
      </c>
      <c r="AB410">
        <v>21</v>
      </c>
      <c r="AC410">
        <v>-10.4308</v>
      </c>
      <c r="AD410">
        <v>-1.0973885630055</v>
      </c>
      <c r="AE410">
        <v>-0.50470000000001303</v>
      </c>
      <c r="AF410">
        <v>3.8248282904577402</v>
      </c>
      <c r="AG410">
        <v>-1.0973885630055</v>
      </c>
      <c r="AH410">
        <v>9.5946751379501496</v>
      </c>
      <c r="AI410">
        <v>96.064583290078005</v>
      </c>
      <c r="AJ410">
        <v>68.265760326508101</v>
      </c>
      <c r="AK410">
        <v>10.3870767837972</v>
      </c>
      <c r="AL410">
        <v>84.365021262092498</v>
      </c>
      <c r="AM410">
        <v>83.304703641513498</v>
      </c>
      <c r="AN410">
        <v>0.99999997925464501</v>
      </c>
    </row>
    <row r="411" spans="1:40" x14ac:dyDescent="0.3">
      <c r="A411" t="str">
        <f>"20200111150245871"</f>
        <v>20200111150245871</v>
      </c>
      <c r="B411" t="str">
        <f>"1578726165867017"</f>
        <v>1578726165867017</v>
      </c>
      <c r="C411" t="s">
        <v>40</v>
      </c>
      <c r="D411">
        <v>5.6388959999999999</v>
      </c>
      <c r="E411">
        <v>0.59660809999999997</v>
      </c>
      <c r="F411" t="s">
        <v>56</v>
      </c>
      <c r="G411">
        <v>-214.3433</v>
      </c>
      <c r="H411" s="1">
        <v>7.7449519999999895E-7</v>
      </c>
      <c r="I411">
        <v>286.53179999999998</v>
      </c>
      <c r="J411">
        <v>-203.4872</v>
      </c>
      <c r="K411">
        <v>1.0976790000000001</v>
      </c>
      <c r="L411">
        <v>287.0274</v>
      </c>
      <c r="M411">
        <v>-0.91504359999999996</v>
      </c>
      <c r="N411">
        <v>0</v>
      </c>
      <c r="O411">
        <v>-0.40306890000000001</v>
      </c>
      <c r="P411">
        <v>-0.95256160000000001</v>
      </c>
      <c r="Q411">
        <v>8.6950319999999998E-2</v>
      </c>
      <c r="R411">
        <v>-0.2916609</v>
      </c>
      <c r="S411">
        <v>-3.1396790000000001</v>
      </c>
      <c r="T411">
        <v>-0.31138189999999999</v>
      </c>
      <c r="U411">
        <v>-0.1628723</v>
      </c>
      <c r="V411">
        <v>0.11875860000000001</v>
      </c>
      <c r="W411">
        <v>0.1000021</v>
      </c>
      <c r="X411">
        <v>0.98787440000000004</v>
      </c>
      <c r="Y411">
        <v>0.35157820000000001</v>
      </c>
      <c r="Z411">
        <v>5.6246940000000002E-2</v>
      </c>
      <c r="AA411">
        <v>0.9344673</v>
      </c>
      <c r="AB411">
        <v>21</v>
      </c>
      <c r="AC411">
        <v>-10.8560999999999</v>
      </c>
      <c r="AD411">
        <v>-1.0976782255048001</v>
      </c>
      <c r="AE411">
        <v>-0.49560000000002402</v>
      </c>
      <c r="AF411">
        <v>3.8830966007900201</v>
      </c>
      <c r="AG411">
        <v>-1.0976782255048001</v>
      </c>
      <c r="AH411">
        <v>10.032381334489701</v>
      </c>
      <c r="AI411">
        <v>95.826123033349404</v>
      </c>
      <c r="AJ411">
        <v>68.840756006816093</v>
      </c>
      <c r="AK411">
        <v>10.8135106204429</v>
      </c>
      <c r="AL411">
        <v>84.260708178662298</v>
      </c>
      <c r="AM411">
        <v>83.145010049175596</v>
      </c>
      <c r="AN411">
        <v>0.99999992762686196</v>
      </c>
    </row>
    <row r="412" spans="1:40" x14ac:dyDescent="0.3">
      <c r="A412" t="str">
        <f>"20200111150245892"</f>
        <v>20200111150245892</v>
      </c>
      <c r="B412" t="str">
        <f>"1578726165886537"</f>
        <v>1578726165886537</v>
      </c>
      <c r="C412" t="s">
        <v>40</v>
      </c>
      <c r="D412">
        <v>5.6396420000000003</v>
      </c>
      <c r="E412">
        <v>0.59388109999999905</v>
      </c>
      <c r="F412" t="s">
        <v>56</v>
      </c>
      <c r="G412">
        <v>-214.99690000000001</v>
      </c>
      <c r="H412" s="1">
        <v>1.122292E-6</v>
      </c>
      <c r="I412">
        <v>286.45639999999997</v>
      </c>
      <c r="J412">
        <v>-203.67840000000001</v>
      </c>
      <c r="K412">
        <v>1.097966</v>
      </c>
      <c r="L412">
        <v>286.9579</v>
      </c>
      <c r="M412">
        <v>-0.91950770000000004</v>
      </c>
      <c r="N412">
        <v>0</v>
      </c>
      <c r="O412">
        <v>-0.39278160000000001</v>
      </c>
      <c r="P412">
        <v>-0.95585909999999996</v>
      </c>
      <c r="Q412">
        <v>8.8403430000000005E-2</v>
      </c>
      <c r="R412">
        <v>-0.2802114</v>
      </c>
      <c r="S412">
        <v>-3.129089</v>
      </c>
      <c r="T412">
        <v>-0.29842289999999999</v>
      </c>
      <c r="U412">
        <v>-0.15524289999999999</v>
      </c>
      <c r="V412">
        <v>0.11943230000000001</v>
      </c>
      <c r="W412">
        <v>0.1014447</v>
      </c>
      <c r="X412">
        <v>0.98764620000000003</v>
      </c>
      <c r="Y412">
        <v>0.34353309999999998</v>
      </c>
      <c r="Z412">
        <v>5.2816870000000002E-2</v>
      </c>
      <c r="AA412">
        <v>0.93765419999999999</v>
      </c>
      <c r="AB412">
        <v>21</v>
      </c>
      <c r="AC412">
        <v>-11.3185</v>
      </c>
      <c r="AD412">
        <v>-1.097964877708</v>
      </c>
      <c r="AE412">
        <v>-0.50150000000002104</v>
      </c>
      <c r="AF412">
        <v>3.94794199649305</v>
      </c>
      <c r="AG412">
        <v>-1.097964877708</v>
      </c>
      <c r="AH412">
        <v>10.506959143193299</v>
      </c>
      <c r="AI412">
        <v>95.586972498834299</v>
      </c>
      <c r="AJ412">
        <v>69.406519032060899</v>
      </c>
      <c r="AK412">
        <v>11.2777641098352</v>
      </c>
      <c r="AL412">
        <v>84.177631547792302</v>
      </c>
      <c r="AM412">
        <v>83.104918413389598</v>
      </c>
      <c r="AN412">
        <v>1.0000000589078999</v>
      </c>
    </row>
    <row r="413" spans="1:40" x14ac:dyDescent="0.3">
      <c r="A413" t="str">
        <f>"20200111150245915"</f>
        <v>20200111150245915</v>
      </c>
      <c r="B413" t="str">
        <f>"1578726165907032"</f>
        <v>1578726165907032</v>
      </c>
      <c r="C413" t="s">
        <v>40</v>
      </c>
      <c r="D413">
        <v>5.6505219999999996</v>
      </c>
      <c r="E413">
        <v>0.5913081</v>
      </c>
      <c r="F413" t="s">
        <v>56</v>
      </c>
      <c r="G413">
        <v>-215.4982</v>
      </c>
      <c r="H413" s="1">
        <v>1.389069E-6</v>
      </c>
      <c r="I413">
        <v>286.42570000000001</v>
      </c>
      <c r="J413">
        <v>-203.8871</v>
      </c>
      <c r="K413">
        <v>1.098247</v>
      </c>
      <c r="L413">
        <v>286.88409999999999</v>
      </c>
      <c r="M413">
        <v>-0.92407720000000004</v>
      </c>
      <c r="N413">
        <v>0</v>
      </c>
      <c r="O413">
        <v>-0.38191059999999999</v>
      </c>
      <c r="P413">
        <v>-0.95846659999999995</v>
      </c>
      <c r="Q413">
        <v>8.7244989999999994E-2</v>
      </c>
      <c r="R413">
        <v>-0.27153249999999901</v>
      </c>
      <c r="S413">
        <v>-3.124161</v>
      </c>
      <c r="T413">
        <v>-0.29021049999999998</v>
      </c>
      <c r="U413">
        <v>-0.14065549999999999</v>
      </c>
      <c r="V413">
        <v>0.11668580000000001</v>
      </c>
      <c r="W413">
        <v>0.1003304</v>
      </c>
      <c r="X413">
        <v>0.98808819999999997</v>
      </c>
      <c r="Y413">
        <v>0.33698990000000001</v>
      </c>
      <c r="Z413">
        <v>5.0222950000000002E-2</v>
      </c>
      <c r="AA413">
        <v>0.9401678</v>
      </c>
      <c r="AB413">
        <v>21</v>
      </c>
      <c r="AC413">
        <v>-11.611099999999899</v>
      </c>
      <c r="AD413">
        <v>-1.0982456109309999</v>
      </c>
      <c r="AE413">
        <v>-0.45839999999998299</v>
      </c>
      <c r="AF413">
        <v>3.9757441535201701</v>
      </c>
      <c r="AG413">
        <v>-1.0982456109309999</v>
      </c>
      <c r="AH413">
        <v>10.8092962993548</v>
      </c>
      <c r="AI413">
        <v>95.447052042094498</v>
      </c>
      <c r="AJ413">
        <v>69.806081143143203</v>
      </c>
      <c r="AK413">
        <v>11.569510425399301</v>
      </c>
      <c r="AL413">
        <v>84.2418034728111</v>
      </c>
      <c r="AM413">
        <v>83.264991346722496</v>
      </c>
      <c r="AN413">
        <v>1.0000000280325101</v>
      </c>
    </row>
    <row r="414" spans="1:40" x14ac:dyDescent="0.3">
      <c r="A414" t="str">
        <f>"20200111150245938"</f>
        <v>20200111150245938</v>
      </c>
      <c r="B414" t="str">
        <f>"1578726165926552"</f>
        <v>1578726165926552</v>
      </c>
      <c r="C414" t="s">
        <v>40</v>
      </c>
      <c r="D414">
        <v>5.6860589999999904</v>
      </c>
      <c r="E414">
        <v>0.59020479999999997</v>
      </c>
      <c r="F414" t="s">
        <v>56</v>
      </c>
      <c r="G414">
        <v>-215.7508</v>
      </c>
      <c r="H414" s="1">
        <v>1.52351E-6</v>
      </c>
      <c r="I414">
        <v>286.38920000000002</v>
      </c>
      <c r="J414">
        <v>-204.09100000000001</v>
      </c>
      <c r="K414">
        <v>1.098503</v>
      </c>
      <c r="L414">
        <v>286.81420000000003</v>
      </c>
      <c r="M414">
        <v>-0.9282492</v>
      </c>
      <c r="N414">
        <v>0</v>
      </c>
      <c r="O414">
        <v>-0.37165900000000002</v>
      </c>
      <c r="P414">
        <v>-0.96050749999999996</v>
      </c>
      <c r="Q414">
        <v>8.5713460000000005E-2</v>
      </c>
      <c r="R414">
        <v>-0.26472390000000001</v>
      </c>
      <c r="S414">
        <v>-3.1194459999999999</v>
      </c>
      <c r="T414">
        <v>-0.28877380000000002</v>
      </c>
      <c r="U414">
        <v>-0.13012699999999999</v>
      </c>
      <c r="V414">
        <v>0.1127175</v>
      </c>
      <c r="W414">
        <v>9.8857150000000005E-2</v>
      </c>
      <c r="X414">
        <v>0.9886971</v>
      </c>
      <c r="Y414">
        <v>0.32976159999999999</v>
      </c>
      <c r="Z414">
        <v>4.8840219999999997E-2</v>
      </c>
      <c r="AA414">
        <v>0.94279999999999997</v>
      </c>
      <c r="AB414">
        <v>21</v>
      </c>
      <c r="AC414">
        <v>-11.659800000000001</v>
      </c>
      <c r="AD414">
        <v>-1.0985014764899901</v>
      </c>
      <c r="AE414">
        <v>-0.42500000000001098</v>
      </c>
      <c r="AF414">
        <v>3.9047899152396899</v>
      </c>
      <c r="AG414">
        <v>-1.0985014764899901</v>
      </c>
      <c r="AH414">
        <v>10.885884452468501</v>
      </c>
      <c r="AI414">
        <v>95.425947613420107</v>
      </c>
      <c r="AJ414">
        <v>70.266981774252699</v>
      </c>
      <c r="AK414">
        <v>11.6170809624666</v>
      </c>
      <c r="AL414">
        <v>84.326635889978604</v>
      </c>
      <c r="AM414">
        <v>83.496012938762803</v>
      </c>
      <c r="AN414">
        <v>0.99999996323038998</v>
      </c>
    </row>
    <row r="415" spans="1:40" x14ac:dyDescent="0.3">
      <c r="A415" t="str">
        <f>"20200111150245959"</f>
        <v>20200111150245959</v>
      </c>
      <c r="B415" t="str">
        <f>"1578726165956809"</f>
        <v>1578726165956809</v>
      </c>
      <c r="C415" t="s">
        <v>40</v>
      </c>
      <c r="D415">
        <v>5.6397009999999996</v>
      </c>
      <c r="E415">
        <v>0.56967709999999905</v>
      </c>
      <c r="F415" t="s">
        <v>56</v>
      </c>
      <c r="G415">
        <v>-215.75360000000001</v>
      </c>
      <c r="H415" s="1">
        <v>1.525008E-6</v>
      </c>
      <c r="I415">
        <v>286.38220000000001</v>
      </c>
      <c r="J415">
        <v>-204.28489999999999</v>
      </c>
      <c r="K415">
        <v>1.098754</v>
      </c>
      <c r="L415">
        <v>286.74959999999999</v>
      </c>
      <c r="M415">
        <v>-0.93194339999999998</v>
      </c>
      <c r="N415">
        <v>0</v>
      </c>
      <c r="O415">
        <v>-0.3622997</v>
      </c>
      <c r="P415">
        <v>-0.96250219999999997</v>
      </c>
      <c r="Q415">
        <v>8.624366E-2</v>
      </c>
      <c r="R415">
        <v>-0.25720019999999999</v>
      </c>
      <c r="S415">
        <v>-3.1177220000000001</v>
      </c>
      <c r="T415">
        <v>-0.293659</v>
      </c>
      <c r="U415">
        <v>-0.1154785</v>
      </c>
      <c r="V415">
        <v>0.1104286</v>
      </c>
      <c r="W415">
        <v>9.9413249999999995E-2</v>
      </c>
      <c r="X415">
        <v>0.98889959999999999</v>
      </c>
      <c r="Y415">
        <v>0.32462279999999999</v>
      </c>
      <c r="Z415">
        <v>4.8634499999999997E-2</v>
      </c>
      <c r="AA415">
        <v>0.9445924</v>
      </c>
      <c r="AB415">
        <v>21</v>
      </c>
      <c r="AC415">
        <v>-11.4687</v>
      </c>
      <c r="AD415">
        <v>-1.0987524749919999</v>
      </c>
      <c r="AE415">
        <v>-0.36739999999997502</v>
      </c>
      <c r="AF415">
        <v>3.7784855985506201</v>
      </c>
      <c r="AG415">
        <v>-1.0987524749919999</v>
      </c>
      <c r="AH415">
        <v>10.7241504074915</v>
      </c>
      <c r="AI415">
        <v>95.519543201723707</v>
      </c>
      <c r="AJ415">
        <v>70.590892947540794</v>
      </c>
      <c r="AK415">
        <v>11.4232925368414</v>
      </c>
      <c r="AL415">
        <v>84.2946158667812</v>
      </c>
      <c r="AM415">
        <v>83.628282789480195</v>
      </c>
      <c r="AN415">
        <v>0.99999994442683904</v>
      </c>
    </row>
    <row r="416" spans="1:40" x14ac:dyDescent="0.3">
      <c r="A416" t="str">
        <f>"20200111150246184"</f>
        <v>20200111150246184</v>
      </c>
      <c r="B416" t="str">
        <f>"1578726166176409"</f>
        <v>1578726166176409</v>
      </c>
      <c r="C416" t="s">
        <v>40</v>
      </c>
      <c r="D416">
        <v>5.6634399999999996</v>
      </c>
      <c r="E416">
        <v>0.57504009999999905</v>
      </c>
      <c r="F416" t="s">
        <v>56</v>
      </c>
      <c r="G416">
        <v>-215.99379999999999</v>
      </c>
      <c r="H416" s="1">
        <v>1.6528049999999901E-6</v>
      </c>
      <c r="I416">
        <v>285.80090000000001</v>
      </c>
      <c r="J416">
        <v>-206.3065</v>
      </c>
      <c r="K416">
        <v>1.102484</v>
      </c>
      <c r="L416">
        <v>286.14620000000002</v>
      </c>
      <c r="M416">
        <v>-0.95599029999999996</v>
      </c>
      <c r="N416">
        <v>0</v>
      </c>
      <c r="O416">
        <v>-0.29306359999999998</v>
      </c>
      <c r="P416">
        <v>-0.97205430000000004</v>
      </c>
      <c r="Q416">
        <v>9.3789259999999999E-2</v>
      </c>
      <c r="R416">
        <v>-0.21520819999999999</v>
      </c>
      <c r="S416">
        <v>-3.0761409999999998</v>
      </c>
      <c r="T416">
        <v>-0.28866130000000001</v>
      </c>
      <c r="U416">
        <v>-0.24923709999999999</v>
      </c>
      <c r="V416">
        <v>7.9678890000000002E-2</v>
      </c>
      <c r="W416">
        <v>0.1072935</v>
      </c>
      <c r="X416">
        <v>0.99102939999999995</v>
      </c>
      <c r="Y416">
        <v>0.21275759999999999</v>
      </c>
      <c r="Z416">
        <v>3.6954239999999999E-2</v>
      </c>
      <c r="AA416">
        <v>0.976406</v>
      </c>
      <c r="AB416">
        <v>21</v>
      </c>
      <c r="AC416">
        <v>-9.6872999999999898</v>
      </c>
      <c r="AD416">
        <v>-1.102482347195</v>
      </c>
      <c r="AE416">
        <v>-0.34530000000000799</v>
      </c>
      <c r="AF416">
        <v>2.4770951163720998</v>
      </c>
      <c r="AG416">
        <v>-1.102482347195</v>
      </c>
      <c r="AH416">
        <v>9.2435083331184504</v>
      </c>
      <c r="AI416">
        <v>96.571843656039604</v>
      </c>
      <c r="AJ416">
        <v>74.998238874614401</v>
      </c>
      <c r="AK416">
        <v>9.6329597656100105</v>
      </c>
      <c r="AL416">
        <v>83.8406785963343</v>
      </c>
      <c r="AM416">
        <v>85.403299646373696</v>
      </c>
      <c r="AN416">
        <v>0.99999994615911902</v>
      </c>
    </row>
    <row r="417" spans="1:40" x14ac:dyDescent="0.3">
      <c r="A417" t="str">
        <f>"20200111150246207"</f>
        <v>20200111150246207</v>
      </c>
      <c r="B417" t="str">
        <f>"1578726166196905"</f>
        <v>1578726166196905</v>
      </c>
      <c r="C417" t="s">
        <v>40</v>
      </c>
      <c r="D417">
        <v>5.6583930000000002</v>
      </c>
      <c r="E417">
        <v>0.57818059999999905</v>
      </c>
      <c r="F417" t="s">
        <v>56</v>
      </c>
      <c r="G417">
        <v>-224.26070000000001</v>
      </c>
      <c r="H417" s="1">
        <v>7.3053879999999996E-7</v>
      </c>
      <c r="I417">
        <v>285.7165</v>
      </c>
      <c r="J417">
        <v>-206.51509999999999</v>
      </c>
      <c r="K417">
        <v>1.103057</v>
      </c>
      <c r="L417">
        <v>286.08749999999998</v>
      </c>
      <c r="M417">
        <v>-0.95706809999999998</v>
      </c>
      <c r="N417">
        <v>0</v>
      </c>
      <c r="O417">
        <v>-0.2895277</v>
      </c>
      <c r="P417">
        <v>-0.97230950000000005</v>
      </c>
      <c r="Q417">
        <v>9.9923509999999993E-2</v>
      </c>
      <c r="R417">
        <v>-0.21125659999999999</v>
      </c>
      <c r="S417">
        <v>-3.0881810000000001</v>
      </c>
      <c r="T417">
        <v>-0.18963140000000001</v>
      </c>
      <c r="U417">
        <v>-7.3913569999999998E-2</v>
      </c>
      <c r="V417">
        <v>7.9744679999999998E-2</v>
      </c>
      <c r="W417">
        <v>0.113454399999999</v>
      </c>
      <c r="X417">
        <v>0.99033769999999999</v>
      </c>
      <c r="Y417">
        <v>0.26553929999999998</v>
      </c>
      <c r="Z417">
        <v>2.5695140000000002E-2</v>
      </c>
      <c r="AA417">
        <v>0.96375759999999999</v>
      </c>
      <c r="AB417">
        <v>21</v>
      </c>
      <c r="AC417">
        <v>-17.7456</v>
      </c>
      <c r="AD417">
        <v>-1.1030562694611901</v>
      </c>
      <c r="AE417">
        <v>-0.37099999999998001</v>
      </c>
      <c r="AF417">
        <v>4.7648330625290001</v>
      </c>
      <c r="AG417">
        <v>-1.1030562694611901</v>
      </c>
      <c r="AH417">
        <v>17.0270633166725</v>
      </c>
      <c r="AI417">
        <v>93.569819892324702</v>
      </c>
      <c r="AJ417">
        <v>74.366318214099806</v>
      </c>
      <c r="AK417">
        <v>17.715565258758801</v>
      </c>
      <c r="AL417">
        <v>83.485514359220204</v>
      </c>
      <c r="AM417">
        <v>85.396321094173999</v>
      </c>
      <c r="AN417">
        <v>0.99999993745447402</v>
      </c>
    </row>
    <row r="418" spans="1:40" x14ac:dyDescent="0.3">
      <c r="A418" t="str">
        <f>"20200111150246228"</f>
        <v>20200111150246228</v>
      </c>
      <c r="B418" t="str">
        <f>"1578726166216424"</f>
        <v>1578726166216424</v>
      </c>
      <c r="C418" t="s">
        <v>40</v>
      </c>
      <c r="D418">
        <v>5.664498</v>
      </c>
      <c r="E418">
        <v>0.57971859999999997</v>
      </c>
      <c r="F418" t="s">
        <v>56</v>
      </c>
      <c r="G418">
        <v>-226.55439999999999</v>
      </c>
      <c r="H418" s="1">
        <v>1.9511569999999999E-6</v>
      </c>
      <c r="I418">
        <v>285.8424</v>
      </c>
      <c r="J418">
        <v>-206.7045</v>
      </c>
      <c r="K418">
        <v>1.103596</v>
      </c>
      <c r="L418">
        <v>286.03379999999999</v>
      </c>
      <c r="M418">
        <v>-0.95780759999999998</v>
      </c>
      <c r="N418">
        <v>0</v>
      </c>
      <c r="O418">
        <v>-0.2870743</v>
      </c>
      <c r="P418">
        <v>-0.97271490000000005</v>
      </c>
      <c r="Q418">
        <v>0.1035684</v>
      </c>
      <c r="R418">
        <v>-0.20760509999999999</v>
      </c>
      <c r="S418">
        <v>-3.0947269999999998</v>
      </c>
      <c r="T418">
        <v>-0.17034759999999999</v>
      </c>
      <c r="U418">
        <v>-3.7841800000000002E-2</v>
      </c>
      <c r="V418">
        <v>8.0682959999999998E-2</v>
      </c>
      <c r="W418">
        <v>0.1171362</v>
      </c>
      <c r="X418">
        <v>0.98983299999999996</v>
      </c>
      <c r="Y418">
        <v>0.27452840000000001</v>
      </c>
      <c r="Z418">
        <v>2.3163670000000001E-2</v>
      </c>
      <c r="AA418">
        <v>0.96130000000000004</v>
      </c>
      <c r="AB418">
        <v>21</v>
      </c>
      <c r="AC418">
        <v>-19.849899999999899</v>
      </c>
      <c r="AD418">
        <v>-1.1035940488429901</v>
      </c>
      <c r="AE418">
        <v>-0.191399999999987</v>
      </c>
      <c r="AF418">
        <v>5.49860916988988</v>
      </c>
      <c r="AG418">
        <v>-1.1035940488429901</v>
      </c>
      <c r="AH418">
        <v>19.010414723490602</v>
      </c>
      <c r="AI418">
        <v>93.1918619190225</v>
      </c>
      <c r="AJ418">
        <v>73.867913520637003</v>
      </c>
      <c r="AK418">
        <v>19.820405913778501</v>
      </c>
      <c r="AL418">
        <v>83.273146806097301</v>
      </c>
      <c r="AM418">
        <v>85.340026526689897</v>
      </c>
      <c r="AN418">
        <v>0.99999999863690003</v>
      </c>
    </row>
    <row r="419" spans="1:40" x14ac:dyDescent="0.3">
      <c r="A419" t="str">
        <f>"20200111150246249"</f>
        <v>20200111150246249</v>
      </c>
      <c r="B419" t="str">
        <f>"1578726166246681"</f>
        <v>1578726166246681</v>
      </c>
      <c r="C419" t="s">
        <v>40</v>
      </c>
      <c r="D419">
        <v>5.6110170000000004</v>
      </c>
      <c r="E419">
        <v>0.57970290000000002</v>
      </c>
      <c r="F419" t="s">
        <v>56</v>
      </c>
      <c r="G419">
        <v>-227.48410000000001</v>
      </c>
      <c r="H419" s="1">
        <v>2.4458860000000002E-6</v>
      </c>
      <c r="I419">
        <v>285.93040000000002</v>
      </c>
      <c r="J419">
        <v>-206.88939999999999</v>
      </c>
      <c r="K419">
        <v>1.10409</v>
      </c>
      <c r="L419">
        <v>285.98090000000002</v>
      </c>
      <c r="M419">
        <v>-0.95830970000000004</v>
      </c>
      <c r="N419">
        <v>0</v>
      </c>
      <c r="O419">
        <v>-0.28539589999999998</v>
      </c>
      <c r="P419">
        <v>-0.97330150000000004</v>
      </c>
      <c r="Q419">
        <v>0.10291019999999899</v>
      </c>
      <c r="R419">
        <v>-0.20516690000000001</v>
      </c>
      <c r="S419">
        <v>-3.098373</v>
      </c>
      <c r="T419">
        <v>-0.16455249999999999</v>
      </c>
      <c r="U419">
        <v>-1.5411380000000001E-2</v>
      </c>
      <c r="V419">
        <v>8.1309839999999994E-2</v>
      </c>
      <c r="W419">
        <v>0.1165201</v>
      </c>
      <c r="X419">
        <v>0.98985449999999997</v>
      </c>
      <c r="Y419">
        <v>0.27986480000000002</v>
      </c>
      <c r="Z419">
        <v>2.2410630000000001E-2</v>
      </c>
      <c r="AA419">
        <v>0.95977780000000001</v>
      </c>
      <c r="AB419">
        <v>21</v>
      </c>
      <c r="AC419">
        <v>-20.5947</v>
      </c>
      <c r="AD419">
        <v>-1.1040875541140001</v>
      </c>
      <c r="AE419">
        <v>-5.0499999999999497E-2</v>
      </c>
      <c r="AF419">
        <v>5.8131000055167199</v>
      </c>
      <c r="AG419">
        <v>-1.1040875541140001</v>
      </c>
      <c r="AH419">
        <v>19.6958000177688</v>
      </c>
      <c r="AI419">
        <v>93.077498359674905</v>
      </c>
      <c r="AJ419">
        <v>73.556343499124296</v>
      </c>
      <c r="AK419">
        <v>20.565400053031599</v>
      </c>
      <c r="AL419">
        <v>83.308690661989999</v>
      </c>
      <c r="AM419">
        <v>85.30408292173</v>
      </c>
      <c r="AN419">
        <v>1.0000000774775299</v>
      </c>
    </row>
    <row r="420" spans="1:40" x14ac:dyDescent="0.3">
      <c r="A420" t="str">
        <f>"20200111150246273"</f>
        <v>20200111150246273</v>
      </c>
      <c r="B420" t="str">
        <f>"1578726166266804"</f>
        <v>1578726166266804</v>
      </c>
      <c r="C420" t="s">
        <v>40</v>
      </c>
      <c r="D420">
        <v>5.6310269999999996</v>
      </c>
      <c r="E420">
        <v>0.5797175</v>
      </c>
      <c r="F420" t="s">
        <v>56</v>
      </c>
      <c r="G420">
        <v>-232.04490000000001</v>
      </c>
      <c r="H420" s="1">
        <v>-5.0624919999999998E-7</v>
      </c>
      <c r="I420">
        <v>285.9348</v>
      </c>
      <c r="J420">
        <v>-207.10140000000001</v>
      </c>
      <c r="K420">
        <v>1.1045769999999999</v>
      </c>
      <c r="L420">
        <v>285.91969999999998</v>
      </c>
      <c r="M420">
        <v>-0.95861739999999995</v>
      </c>
      <c r="N420">
        <v>0</v>
      </c>
      <c r="O420">
        <v>-0.2843659</v>
      </c>
      <c r="P420">
        <v>-0.97353630000000002</v>
      </c>
      <c r="Q420">
        <v>0.10085180000000001</v>
      </c>
      <c r="R420">
        <v>-0.2050776</v>
      </c>
      <c r="S420">
        <v>-3.0954440000000001</v>
      </c>
      <c r="T420">
        <v>-0.13586099999999901</v>
      </c>
      <c r="U420">
        <v>-5.6762699999999998E-3</v>
      </c>
      <c r="V420">
        <v>8.0256229999999998E-2</v>
      </c>
      <c r="W420">
        <v>0.1144768</v>
      </c>
      <c r="X420">
        <v>0.99017880000000003</v>
      </c>
      <c r="Y420">
        <v>0.28209469999999998</v>
      </c>
      <c r="Z420">
        <v>1.853146E-2</v>
      </c>
      <c r="AA420">
        <v>0.95920749999999999</v>
      </c>
      <c r="AB420">
        <v>21</v>
      </c>
      <c r="AC420">
        <v>-24.9435</v>
      </c>
      <c r="AD420">
        <v>-1.1045775062492</v>
      </c>
      <c r="AE420">
        <v>1.5100000000018101E-2</v>
      </c>
      <c r="AF420">
        <v>7.0943147502304296</v>
      </c>
      <c r="AG420">
        <v>-1.1045775062492</v>
      </c>
      <c r="AH420">
        <v>23.862441086864099</v>
      </c>
      <c r="AI420">
        <v>92.540548073616407</v>
      </c>
      <c r="AJ420">
        <v>73.442762045986399</v>
      </c>
      <c r="AK420">
        <v>24.9191791170317</v>
      </c>
      <c r="AL420">
        <v>83.426551581908996</v>
      </c>
      <c r="AM420">
        <v>85.3661770918537</v>
      </c>
      <c r="AN420">
        <v>1.00000002808074</v>
      </c>
    </row>
    <row r="421" spans="1:40" x14ac:dyDescent="0.3">
      <c r="A421" t="str">
        <f>"20200111150246294"</f>
        <v>20200111150246294</v>
      </c>
      <c r="B421" t="str">
        <f>"1578726166286325"</f>
        <v>1578726166286325</v>
      </c>
      <c r="C421" t="s">
        <v>40</v>
      </c>
      <c r="D421">
        <v>5.6519170000000001</v>
      </c>
      <c r="E421">
        <v>0.5793007</v>
      </c>
      <c r="F421" t="s">
        <v>56</v>
      </c>
      <c r="G421">
        <v>-229.98660000000001</v>
      </c>
      <c r="H421" s="1">
        <v>-1.5998619999999999E-6</v>
      </c>
      <c r="I421">
        <v>285.89620000000002</v>
      </c>
      <c r="J421">
        <v>-207.28870000000001</v>
      </c>
      <c r="K421">
        <v>1.104889</v>
      </c>
      <c r="L421">
        <v>285.86500000000001</v>
      </c>
      <c r="M421">
        <v>-0.95872000000000002</v>
      </c>
      <c r="N421">
        <v>0</v>
      </c>
      <c r="O421">
        <v>-0.28402430000000001</v>
      </c>
      <c r="P421">
        <v>-0.97351929999999998</v>
      </c>
      <c r="Q421">
        <v>9.7867029999999994E-2</v>
      </c>
      <c r="R421">
        <v>-0.2065978</v>
      </c>
      <c r="S421">
        <v>-3.0963440000000002</v>
      </c>
      <c r="T421">
        <v>-0.149448</v>
      </c>
      <c r="U421">
        <v>-3.1738280000000001E-3</v>
      </c>
      <c r="V421">
        <v>7.8347970000000003E-2</v>
      </c>
      <c r="W421">
        <v>0.11146780000000001</v>
      </c>
      <c r="X421">
        <v>0.99067479999999997</v>
      </c>
      <c r="Y421">
        <v>0.28241539999999998</v>
      </c>
      <c r="Z421">
        <v>2.0368919999999999E-2</v>
      </c>
      <c r="AA421">
        <v>0.95907589999999998</v>
      </c>
      <c r="AB421">
        <v>21</v>
      </c>
      <c r="AC421">
        <v>-22.697900000000001</v>
      </c>
      <c r="AD421">
        <v>-1.104890599862</v>
      </c>
      <c r="AE421">
        <v>3.1200000000012499E-2</v>
      </c>
      <c r="AF421">
        <v>6.4619582000454301</v>
      </c>
      <c r="AG421">
        <v>-1.104890599862</v>
      </c>
      <c r="AH421">
        <v>21.702668462417499</v>
      </c>
      <c r="AI421">
        <v>92.793440262782795</v>
      </c>
      <c r="AJ421">
        <v>73.419127475849805</v>
      </c>
      <c r="AK421">
        <v>22.6712043219237</v>
      </c>
      <c r="AL421">
        <v>83.600065387334396</v>
      </c>
      <c r="AM421">
        <v>85.478148700928202</v>
      </c>
      <c r="AN421">
        <v>1.0000000170975001</v>
      </c>
    </row>
    <row r="422" spans="1:40" x14ac:dyDescent="0.3">
      <c r="A422" t="str">
        <f>"20200111150246316"</f>
        <v>20200111150246316</v>
      </c>
      <c r="B422" t="str">
        <f>"1578726166306819"</f>
        <v>1578726166306819</v>
      </c>
      <c r="C422" t="s">
        <v>40</v>
      </c>
      <c r="D422">
        <v>5.6955879999999999</v>
      </c>
      <c r="E422">
        <v>0.57887390000000005</v>
      </c>
      <c r="F422" t="s">
        <v>56</v>
      </c>
      <c r="G422">
        <v>-227.7491</v>
      </c>
      <c r="H422" s="1">
        <v>2.586894E-6</v>
      </c>
      <c r="I422">
        <v>285.8021</v>
      </c>
      <c r="J422">
        <v>-207.4881</v>
      </c>
      <c r="K422">
        <v>1.105118</v>
      </c>
      <c r="L422">
        <v>285.80619999999999</v>
      </c>
      <c r="M422">
        <v>-0.95867720000000001</v>
      </c>
      <c r="N422">
        <v>0</v>
      </c>
      <c r="O422">
        <v>-0.28417490000000001</v>
      </c>
      <c r="P422">
        <v>-0.97331009999999996</v>
      </c>
      <c r="Q422">
        <v>9.6638749999999995E-2</v>
      </c>
      <c r="R422">
        <v>-0.2081547</v>
      </c>
      <c r="S422">
        <v>-3.0964049999999999</v>
      </c>
      <c r="T422">
        <v>-0.16720989999999999</v>
      </c>
      <c r="U422">
        <v>-9.5214840000000002E-3</v>
      </c>
      <c r="V422">
        <v>7.6881950000000004E-2</v>
      </c>
      <c r="W422">
        <v>0.1101536</v>
      </c>
      <c r="X422">
        <v>0.99093659999999995</v>
      </c>
      <c r="Y422">
        <v>0.28043759999999901</v>
      </c>
      <c r="Z422">
        <v>2.2739269999999999E-2</v>
      </c>
      <c r="AA422">
        <v>0.95960290000000004</v>
      </c>
      <c r="AB422">
        <v>21</v>
      </c>
      <c r="AC422">
        <v>-20.260999999999999</v>
      </c>
      <c r="AD422">
        <v>-1.1051154131059999</v>
      </c>
      <c r="AE422">
        <v>-4.0999999999939904E-3</v>
      </c>
      <c r="AF422">
        <v>5.7371942019110698</v>
      </c>
      <c r="AG422">
        <v>-1.1051154131059999</v>
      </c>
      <c r="AH422">
        <v>19.3690742514489</v>
      </c>
      <c r="AI422">
        <v>93.131315465769603</v>
      </c>
      <c r="AJ422">
        <v>73.500508481759596</v>
      </c>
      <c r="AK422">
        <v>20.231107600546</v>
      </c>
      <c r="AL422">
        <v>83.675829975499497</v>
      </c>
      <c r="AM422">
        <v>85.563586555543196</v>
      </c>
      <c r="AN422">
        <v>0.99999999752416102</v>
      </c>
    </row>
    <row r="423" spans="1:40" x14ac:dyDescent="0.3">
      <c r="A423" t="str">
        <f>"20200111150246952"</f>
        <v>20200111150246952</v>
      </c>
      <c r="B423" t="str">
        <f>"1578726166946399"</f>
        <v>1578726166946399</v>
      </c>
      <c r="C423" t="s">
        <v>40</v>
      </c>
      <c r="D423">
        <v>5.5807390000000003</v>
      </c>
      <c r="E423">
        <v>0.57858690000000002</v>
      </c>
      <c r="F423" t="s">
        <v>56</v>
      </c>
      <c r="G423">
        <v>-226.89779999999999</v>
      </c>
      <c r="H423" s="1">
        <v>2.1338619999999998E-6</v>
      </c>
      <c r="I423">
        <v>285.7004</v>
      </c>
      <c r="J423">
        <v>-213.37190000000001</v>
      </c>
      <c r="K423">
        <v>1.100465</v>
      </c>
      <c r="L423">
        <v>284.04410000000001</v>
      </c>
      <c r="M423">
        <v>-0.96524699999999997</v>
      </c>
      <c r="N423">
        <v>0</v>
      </c>
      <c r="O423">
        <v>-0.26124049999999999</v>
      </c>
      <c r="P423">
        <v>-0.97838009999999997</v>
      </c>
      <c r="Q423">
        <v>0.11744019999999999</v>
      </c>
      <c r="R423">
        <v>-0.17023569999999999</v>
      </c>
      <c r="S423">
        <v>-3.0961460000000001</v>
      </c>
      <c r="T423">
        <v>-0.176283299999999</v>
      </c>
      <c r="U423">
        <v>-1.6876220000000001E-2</v>
      </c>
      <c r="V423">
        <v>9.229221E-2</v>
      </c>
      <c r="W423">
        <v>0.123779399999999</v>
      </c>
      <c r="X423">
        <v>0.98800849999999996</v>
      </c>
      <c r="Y423">
        <v>0.25515349999999998</v>
      </c>
      <c r="Z423">
        <v>2.198609E-2</v>
      </c>
      <c r="AA423">
        <v>0.96665049999999997</v>
      </c>
      <c r="AB423">
        <v>23</v>
      </c>
      <c r="AC423">
        <v>-13.525899999999901</v>
      </c>
      <c r="AD423">
        <v>-1.100462866138</v>
      </c>
      <c r="AE423">
        <v>1.6562999999999799</v>
      </c>
      <c r="AF423">
        <v>5.0991294669433298</v>
      </c>
      <c r="AG423">
        <v>-1.100462866138</v>
      </c>
      <c r="AH423">
        <v>12.5416757707186</v>
      </c>
      <c r="AI423">
        <v>94.646963730394802</v>
      </c>
      <c r="AJ423">
        <v>67.874579452852402</v>
      </c>
      <c r="AK423">
        <v>13.5832901381893</v>
      </c>
      <c r="AL423">
        <v>82.889726816167794</v>
      </c>
      <c r="AM423">
        <v>84.663352111005807</v>
      </c>
      <c r="AN423">
        <v>0.99999999398164696</v>
      </c>
    </row>
    <row r="424" spans="1:40" x14ac:dyDescent="0.3">
      <c r="A424" t="str">
        <f>"20200111150246977"</f>
        <v>20200111150246977</v>
      </c>
      <c r="B424" t="str">
        <f>"1578726166966894"</f>
        <v>1578726166966894</v>
      </c>
      <c r="C424" t="s">
        <v>40</v>
      </c>
      <c r="D424">
        <v>5.8396270000000001</v>
      </c>
      <c r="E424">
        <v>0.4882669</v>
      </c>
      <c r="F424" t="s">
        <v>56</v>
      </c>
      <c r="G424">
        <v>-241.12180000000001</v>
      </c>
      <c r="H424" s="1">
        <v>-9.3984540000000003E-7</v>
      </c>
      <c r="I424">
        <v>284.87860000000001</v>
      </c>
      <c r="J424">
        <v>-213.62629999999999</v>
      </c>
      <c r="K424">
        <v>1.1003019999999999</v>
      </c>
      <c r="L424">
        <v>283.98239999999998</v>
      </c>
      <c r="M424">
        <v>-0.96682129999999999</v>
      </c>
      <c r="N424">
        <v>0</v>
      </c>
      <c r="O424">
        <v>-0.25535469999999999</v>
      </c>
      <c r="P424">
        <v>-0.97890140000000003</v>
      </c>
      <c r="Q424">
        <v>0.11704730000000001</v>
      </c>
      <c r="R424">
        <v>-0.1674891</v>
      </c>
      <c r="S424">
        <v>-3.0972439999999999</v>
      </c>
      <c r="T424">
        <v>-0.12282650000000001</v>
      </c>
      <c r="U424">
        <v>9.3139650000000004E-2</v>
      </c>
      <c r="V424">
        <v>8.9095530000000006E-2</v>
      </c>
      <c r="W424">
        <v>0.12335069999999999</v>
      </c>
      <c r="X424">
        <v>0.98835550000000005</v>
      </c>
      <c r="Y424">
        <v>0.28388659999999999</v>
      </c>
      <c r="Z424">
        <v>1.5670429999999999E-2</v>
      </c>
      <c r="AA424">
        <v>0.95872979999999997</v>
      </c>
      <c r="AB424">
        <v>23</v>
      </c>
      <c r="AC424">
        <v>-27.4955</v>
      </c>
      <c r="AD424">
        <v>-1.1003029398453901</v>
      </c>
      <c r="AE424">
        <v>0.89620000000002098</v>
      </c>
      <c r="AF424">
        <v>7.8751718138994002</v>
      </c>
      <c r="AG424">
        <v>-1.1003029398453901</v>
      </c>
      <c r="AH424">
        <v>26.312959321144302</v>
      </c>
      <c r="AI424">
        <v>92.294059813566307</v>
      </c>
      <c r="AJ424">
        <v>73.338151669997103</v>
      </c>
      <c r="AK424">
        <v>27.488194300354898</v>
      </c>
      <c r="AL424">
        <v>82.914479261457402</v>
      </c>
      <c r="AM424">
        <v>84.848981564707103</v>
      </c>
      <c r="AN424">
        <v>1.0000000015183601</v>
      </c>
    </row>
    <row r="425" spans="1:40" x14ac:dyDescent="0.3">
      <c r="A425" t="str">
        <f>"20200111150246999"</f>
        <v>20200111150246999</v>
      </c>
      <c r="B425" t="str">
        <f>"1578726166997150"</f>
        <v>1578726166997150</v>
      </c>
      <c r="C425" t="s">
        <v>40</v>
      </c>
      <c r="D425">
        <v>5.7762929999999999</v>
      </c>
      <c r="E425">
        <v>0.487452</v>
      </c>
      <c r="F425" t="s">
        <v>42</v>
      </c>
      <c r="G425">
        <v>-214.45330000000001</v>
      </c>
      <c r="H425">
        <v>1.04652099999999</v>
      </c>
      <c r="I425">
        <v>283.81360000000001</v>
      </c>
      <c r="J425">
        <v>-213.84049999999999</v>
      </c>
      <c r="K425">
        <v>1.100185</v>
      </c>
      <c r="L425">
        <v>283.93180000000001</v>
      </c>
      <c r="M425">
        <v>-0.96815709999999999</v>
      </c>
      <c r="N425">
        <v>0</v>
      </c>
      <c r="O425">
        <v>-0.25024279999999999</v>
      </c>
      <c r="P425">
        <v>-0.97938320000000001</v>
      </c>
      <c r="Q425">
        <v>0.115828</v>
      </c>
      <c r="R425">
        <v>-0.16550719999999999</v>
      </c>
      <c r="S425">
        <v>-2.983673</v>
      </c>
      <c r="T425">
        <v>-0.19401589999999999</v>
      </c>
      <c r="U425">
        <v>-0.60910030000000004</v>
      </c>
      <c r="V425">
        <v>8.5927439999999994E-2</v>
      </c>
      <c r="W425">
        <v>0.122117</v>
      </c>
      <c r="X425">
        <v>0.98878909999999998</v>
      </c>
      <c r="Y425">
        <v>5.0942370000000001E-2</v>
      </c>
      <c r="Z425">
        <v>1.749732E-2</v>
      </c>
      <c r="AA425">
        <v>0.99854830000000006</v>
      </c>
      <c r="AB425">
        <v>23</v>
      </c>
      <c r="AC425">
        <v>-0.61280000000002099</v>
      </c>
      <c r="AD425">
        <v>-5.3664000000000101E-2</v>
      </c>
      <c r="AE425">
        <v>-0.118200000000001</v>
      </c>
      <c r="AF425">
        <v>3.8627993391709199E-2</v>
      </c>
      <c r="AG425">
        <v>-5.3664000000000101E-2</v>
      </c>
      <c r="AH425">
        <v>0.61830943902953805</v>
      </c>
      <c r="AI425">
        <v>94.950752422468497</v>
      </c>
      <c r="AJ425">
        <v>86.425174489906894</v>
      </c>
      <c r="AK425">
        <v>0.62183479249917495</v>
      </c>
      <c r="AL425">
        <v>82.9857034386675</v>
      </c>
      <c r="AM425">
        <v>85.033377557985901</v>
      </c>
      <c r="AN425">
        <v>0.99999998545638102</v>
      </c>
    </row>
    <row r="426" spans="1:40" x14ac:dyDescent="0.3">
      <c r="A426" t="str">
        <f>"20200111150247020"</f>
        <v>20200111150247020</v>
      </c>
      <c r="B426" t="str">
        <f>"1578726167016670"</f>
        <v>1578726167016670</v>
      </c>
      <c r="C426" t="s">
        <v>40</v>
      </c>
      <c r="D426">
        <v>5.84274</v>
      </c>
      <c r="E426">
        <v>0.48408610000000002</v>
      </c>
      <c r="F426" t="s">
        <v>42</v>
      </c>
      <c r="G426">
        <v>-214.65950000000001</v>
      </c>
      <c r="H426">
        <v>1.0500039999999999</v>
      </c>
      <c r="I426">
        <v>283.76459999999997</v>
      </c>
      <c r="J426">
        <v>-214.0581</v>
      </c>
      <c r="K426">
        <v>1.1000719999999999</v>
      </c>
      <c r="L426">
        <v>283.8818</v>
      </c>
      <c r="M426">
        <v>-0.96952139999999998</v>
      </c>
      <c r="N426">
        <v>0</v>
      </c>
      <c r="O426">
        <v>-0.24490429999999999</v>
      </c>
      <c r="P426">
        <v>-0.97994590000000004</v>
      </c>
      <c r="Q426">
        <v>0.1151312</v>
      </c>
      <c r="R426">
        <v>-0.1626396</v>
      </c>
      <c r="S426">
        <v>-2.9819789999999999</v>
      </c>
      <c r="T426">
        <v>-0.1828707</v>
      </c>
      <c r="U426">
        <v>-0.60833740000000003</v>
      </c>
      <c r="V426">
        <v>8.3413349999999997E-2</v>
      </c>
      <c r="W426">
        <v>0.1214056</v>
      </c>
      <c r="X426">
        <v>0.98909190000000002</v>
      </c>
      <c r="Y426">
        <v>4.5656919999999997E-2</v>
      </c>
      <c r="Z426">
        <v>1.6031500000000001E-2</v>
      </c>
      <c r="AA426">
        <v>0.99882850000000001</v>
      </c>
      <c r="AB426">
        <v>23</v>
      </c>
      <c r="AC426">
        <v>-0.60140000000001204</v>
      </c>
      <c r="AD426">
        <v>-5.0067999999999703E-2</v>
      </c>
      <c r="AE426">
        <v>-0.11720000000002501</v>
      </c>
      <c r="AF426">
        <v>3.3435122963501401E-2</v>
      </c>
      <c r="AG426">
        <v>-5.0067999999999703E-2</v>
      </c>
      <c r="AH426">
        <v>0.60773024980428403</v>
      </c>
      <c r="AI426">
        <v>94.7026105334551</v>
      </c>
      <c r="AJ426">
        <v>86.850967794192201</v>
      </c>
      <c r="AK426">
        <v>0.61070514047186597</v>
      </c>
      <c r="AL426">
        <v>83.026768939335398</v>
      </c>
      <c r="AM426">
        <v>85.179466248390796</v>
      </c>
      <c r="AN426">
        <v>0.99999994665759395</v>
      </c>
    </row>
    <row r="427" spans="1:40" x14ac:dyDescent="0.3">
      <c r="A427" t="str">
        <f>"20200111150247043"</f>
        <v>20200111150247043</v>
      </c>
      <c r="B427" t="str">
        <f>"1578726167037166"</f>
        <v>1578726167037166</v>
      </c>
      <c r="C427" t="s">
        <v>40</v>
      </c>
      <c r="D427">
        <v>5.719265</v>
      </c>
      <c r="E427">
        <v>0.49086689999999999</v>
      </c>
      <c r="F427" t="s">
        <v>56</v>
      </c>
      <c r="G427">
        <v>-234.35570000000001</v>
      </c>
      <c r="H427">
        <v>4.9975899999999997E-2</v>
      </c>
      <c r="I427">
        <v>279.61630000000002</v>
      </c>
      <c r="J427">
        <v>-214.28809999999999</v>
      </c>
      <c r="K427">
        <v>1.0999559999999999</v>
      </c>
      <c r="L427">
        <v>283.83049999999997</v>
      </c>
      <c r="M427">
        <v>-0.97096439999999995</v>
      </c>
      <c r="N427">
        <v>0</v>
      </c>
      <c r="O427">
        <v>-0.23911959999999999</v>
      </c>
      <c r="P427">
        <v>-0.98053100000000004</v>
      </c>
      <c r="Q427">
        <v>0.1151263</v>
      </c>
      <c r="R427">
        <v>-0.1590763</v>
      </c>
      <c r="S427">
        <v>-2.975708</v>
      </c>
      <c r="T427">
        <v>-0.15394840000000001</v>
      </c>
      <c r="U427">
        <v>-0.62533570000000005</v>
      </c>
      <c r="V427">
        <v>8.1138189999999999E-2</v>
      </c>
      <c r="W427">
        <v>0.121389</v>
      </c>
      <c r="X427">
        <v>0.98928320000000003</v>
      </c>
      <c r="Y427">
        <v>3.3984649999999998E-2</v>
      </c>
      <c r="Z427">
        <v>1.293361E-2</v>
      </c>
      <c r="AA427">
        <v>0.99933870000000002</v>
      </c>
      <c r="AB427">
        <v>23</v>
      </c>
      <c r="AC427">
        <v>-20.067599999999999</v>
      </c>
      <c r="AD427">
        <v>-1.0499801</v>
      </c>
      <c r="AE427">
        <v>-4.2141999999999404</v>
      </c>
      <c r="AF427">
        <v>0.70488776113626594</v>
      </c>
      <c r="AG427">
        <v>-1.0499801</v>
      </c>
      <c r="AH427">
        <v>20.439542799954999</v>
      </c>
      <c r="AI427">
        <v>92.938957404652697</v>
      </c>
      <c r="AJ427">
        <v>88.0248533669903</v>
      </c>
      <c r="AK427">
        <v>20.478628734302202</v>
      </c>
      <c r="AL427">
        <v>83.027727317227104</v>
      </c>
      <c r="AM427">
        <v>85.311258013995996</v>
      </c>
      <c r="AN427">
        <v>0.99999997249985695</v>
      </c>
    </row>
    <row r="428" spans="1:40" x14ac:dyDescent="0.3">
      <c r="A428" t="str">
        <f>"20200111150247065"</f>
        <v>20200111150247065</v>
      </c>
      <c r="B428" t="str">
        <f>"1578726167056686"</f>
        <v>1578726167056686</v>
      </c>
      <c r="C428" t="s">
        <v>40</v>
      </c>
      <c r="D428">
        <v>6.6782380000000003</v>
      </c>
      <c r="E428">
        <v>0.49084030000000001</v>
      </c>
      <c r="F428" t="s">
        <v>42</v>
      </c>
      <c r="G428">
        <v>-215.0069</v>
      </c>
      <c r="H428">
        <v>0.91574670000000002</v>
      </c>
      <c r="I428">
        <v>283.69459999999998</v>
      </c>
      <c r="J428">
        <v>-214.52340000000001</v>
      </c>
      <c r="K428">
        <v>1.0998410000000001</v>
      </c>
      <c r="L428">
        <v>283.77949999999998</v>
      </c>
      <c r="M428">
        <v>-0.97243069999999998</v>
      </c>
      <c r="N428">
        <v>0</v>
      </c>
      <c r="O428">
        <v>-0.23308470000000001</v>
      </c>
      <c r="P428">
        <v>-0.98124800000000001</v>
      </c>
      <c r="Q428">
        <v>0.11522250000000001</v>
      </c>
      <c r="R428">
        <v>-0.1545195</v>
      </c>
      <c r="S428">
        <v>-3.0578609999999999</v>
      </c>
      <c r="T428">
        <v>-0.78381599999999996</v>
      </c>
      <c r="U428">
        <v>-0.57781979999999999</v>
      </c>
      <c r="V428">
        <v>7.9614439999999995E-2</v>
      </c>
      <c r="W428">
        <v>0.12147089999999899</v>
      </c>
      <c r="X428">
        <v>0.98939699999999997</v>
      </c>
      <c r="Y428">
        <v>4.013854E-2</v>
      </c>
      <c r="Z428">
        <v>6.2602270000000002E-2</v>
      </c>
      <c r="AA428">
        <v>0.99723110000000004</v>
      </c>
      <c r="AB428">
        <v>23</v>
      </c>
      <c r="AC428">
        <v>-0.48349999999999199</v>
      </c>
      <c r="AD428">
        <v>-0.18409429999999999</v>
      </c>
      <c r="AE428">
        <v>-8.4900000000004597E-2</v>
      </c>
      <c r="AF428">
        <v>2.6421941040219402E-2</v>
      </c>
      <c r="AG428">
        <v>-0.18409429999999999</v>
      </c>
      <c r="AH428">
        <v>0.42955949207427802</v>
      </c>
      <c r="AI428">
        <v>113.159151223365</v>
      </c>
      <c r="AJ428">
        <v>86.480206189283905</v>
      </c>
      <c r="AK428">
        <v>0.46809207159696098</v>
      </c>
      <c r="AL428">
        <v>83.023000220139807</v>
      </c>
      <c r="AM428">
        <v>85.399456415953097</v>
      </c>
      <c r="AN428">
        <v>1.0000000311061601</v>
      </c>
    </row>
    <row r="429" spans="1:40" x14ac:dyDescent="0.3">
      <c r="A429" t="str">
        <f>"20200111150247087"</f>
        <v>20200111150247087</v>
      </c>
      <c r="B429" t="str">
        <f>"1578726167077185"</f>
        <v>1578726167077185</v>
      </c>
      <c r="C429" t="s">
        <v>40</v>
      </c>
      <c r="D429">
        <v>5.8348890000000004</v>
      </c>
      <c r="E429">
        <v>0.49136920000000001</v>
      </c>
      <c r="F429" t="s">
        <v>42</v>
      </c>
      <c r="G429">
        <v>-215.21690000000001</v>
      </c>
      <c r="H429">
        <v>0.92280669999999998</v>
      </c>
      <c r="I429">
        <v>283.65120000000002</v>
      </c>
      <c r="J429">
        <v>-214.75659999999999</v>
      </c>
      <c r="K429">
        <v>1.099742</v>
      </c>
      <c r="L429">
        <v>283.73070000000001</v>
      </c>
      <c r="M429">
        <v>-0.97386519999999999</v>
      </c>
      <c r="N429">
        <v>0</v>
      </c>
      <c r="O429">
        <v>-0.22701779999999999</v>
      </c>
      <c r="P429">
        <v>-0.98245709999999997</v>
      </c>
      <c r="Q429">
        <v>0.11372019999999999</v>
      </c>
      <c r="R429">
        <v>-0.14780389999999999</v>
      </c>
      <c r="S429">
        <v>-3.0598450000000001</v>
      </c>
      <c r="T429">
        <v>-0.78102329999999998</v>
      </c>
      <c r="U429">
        <v>-0.56640630000000003</v>
      </c>
      <c r="V429">
        <v>8.0263319999999999E-2</v>
      </c>
      <c r="W429">
        <v>0.11993910000000001</v>
      </c>
      <c r="X429">
        <v>0.98953139999999995</v>
      </c>
      <c r="Y429">
        <v>3.7928940000000001E-2</v>
      </c>
      <c r="Z429">
        <v>6.0633880000000001E-2</v>
      </c>
      <c r="AA429">
        <v>0.99743919999999997</v>
      </c>
      <c r="AB429">
        <v>23</v>
      </c>
      <c r="AC429">
        <v>-0.46030000000001697</v>
      </c>
      <c r="AD429">
        <v>-0.17693529999999999</v>
      </c>
      <c r="AE429">
        <v>-7.9499999999995893E-2</v>
      </c>
      <c r="AF429">
        <v>2.36775081488927E-2</v>
      </c>
      <c r="AG429">
        <v>-0.17693529999999999</v>
      </c>
      <c r="AH429">
        <v>0.40781730699605301</v>
      </c>
      <c r="AI429">
        <v>113.41887540038</v>
      </c>
      <c r="AJ429">
        <v>86.677188505877297</v>
      </c>
      <c r="AK429">
        <v>0.445176010880802</v>
      </c>
      <c r="AL429">
        <v>83.111412048477206</v>
      </c>
      <c r="AM429">
        <v>85.362750791277307</v>
      </c>
      <c r="AN429">
        <v>0.99999998991609595</v>
      </c>
    </row>
    <row r="430" spans="1:40" x14ac:dyDescent="0.3">
      <c r="A430" t="str">
        <f>"20200111150247109"</f>
        <v>20200111150247109</v>
      </c>
      <c r="B430" t="str">
        <f>"1578726167096702"</f>
        <v>1578726167096702</v>
      </c>
      <c r="C430" t="s">
        <v>40</v>
      </c>
      <c r="D430">
        <v>5.9678110000000002</v>
      </c>
      <c r="E430">
        <v>0.44509189999999998</v>
      </c>
      <c r="F430" t="s">
        <v>42</v>
      </c>
      <c r="G430">
        <v>-215.4315</v>
      </c>
      <c r="H430">
        <v>0.93656280000000003</v>
      </c>
      <c r="I430">
        <v>283.61130000000003</v>
      </c>
      <c r="J430">
        <v>-214.97499999999999</v>
      </c>
      <c r="K430">
        <v>1.099667</v>
      </c>
      <c r="L430">
        <v>283.68639999999999</v>
      </c>
      <c r="M430">
        <v>-0.97518369999999999</v>
      </c>
      <c r="N430">
        <v>0</v>
      </c>
      <c r="O430">
        <v>-0.2212856</v>
      </c>
      <c r="P430">
        <v>-0.98382670000000005</v>
      </c>
      <c r="Q430">
        <v>0.1105255</v>
      </c>
      <c r="R430">
        <v>-0.1409589</v>
      </c>
      <c r="S430">
        <v>-3.0577239999999999</v>
      </c>
      <c r="T430">
        <v>-0.73915180000000003</v>
      </c>
      <c r="U430">
        <v>-0.5409851</v>
      </c>
      <c r="V430">
        <v>8.1399920000000001E-2</v>
      </c>
      <c r="W430">
        <v>0.1167166</v>
      </c>
      <c r="X430">
        <v>0.98982389999999998</v>
      </c>
      <c r="Y430">
        <v>4.083374E-2</v>
      </c>
      <c r="Z430">
        <v>5.6592490000000002E-2</v>
      </c>
      <c r="AA430">
        <v>0.99756199999999995</v>
      </c>
      <c r="AB430">
        <v>23</v>
      </c>
      <c r="AC430">
        <v>-0.45650000000000501</v>
      </c>
      <c r="AD430">
        <v>-0.16310419999999901</v>
      </c>
      <c r="AE430">
        <v>-7.5099999999963502E-2</v>
      </c>
      <c r="AF430">
        <v>2.47099610441017E-2</v>
      </c>
      <c r="AG430">
        <v>-0.16310419999999901</v>
      </c>
      <c r="AH430">
        <v>0.41074773852421198</v>
      </c>
      <c r="AI430">
        <v>111.62210330745</v>
      </c>
      <c r="AJ430">
        <v>86.557321860900203</v>
      </c>
      <c r="AK430">
        <v>0.44263672117798297</v>
      </c>
      <c r="AL430">
        <v>83.297354390781393</v>
      </c>
      <c r="AM430">
        <v>85.298759122061497</v>
      </c>
      <c r="AN430">
        <v>1.00000003235138</v>
      </c>
    </row>
    <row r="431" spans="1:40" x14ac:dyDescent="0.3">
      <c r="A431" t="str">
        <f>"20200111150247133"</f>
        <v>20200111150247133</v>
      </c>
      <c r="B431" t="str">
        <f>"1578726167126958"</f>
        <v>1578726167126958</v>
      </c>
      <c r="C431" t="s">
        <v>40</v>
      </c>
      <c r="D431">
        <v>5.8057359999999996</v>
      </c>
      <c r="E431">
        <v>0.49458059999999998</v>
      </c>
      <c r="F431" t="s">
        <v>55</v>
      </c>
      <c r="G431">
        <v>-352.55</v>
      </c>
      <c r="H431">
        <v>39.950060000000001</v>
      </c>
      <c r="I431">
        <v>242.76589999999999</v>
      </c>
      <c r="J431">
        <v>-215.2218</v>
      </c>
      <c r="K431">
        <v>1.0996090000000001</v>
      </c>
      <c r="L431">
        <v>283.63810000000001</v>
      </c>
      <c r="M431">
        <v>-0.9766357</v>
      </c>
      <c r="N431">
        <v>0</v>
      </c>
      <c r="O431">
        <v>-0.2147867</v>
      </c>
      <c r="P431">
        <v>-0.98510160000000002</v>
      </c>
      <c r="Q431">
        <v>0.1083997</v>
      </c>
      <c r="R431">
        <v>-0.1335085</v>
      </c>
      <c r="S431">
        <v>-2.838333</v>
      </c>
      <c r="T431">
        <v>0.80153109999999905</v>
      </c>
      <c r="U431">
        <v>-0.8442383</v>
      </c>
      <c r="V431">
        <v>8.2340389999999999E-2</v>
      </c>
      <c r="W431">
        <v>0.1145687</v>
      </c>
      <c r="X431">
        <v>0.98999700000000002</v>
      </c>
      <c r="Y431">
        <v>-7.7340909999999999E-2</v>
      </c>
      <c r="Z431">
        <v>-4.7012819999999997E-2</v>
      </c>
      <c r="AA431">
        <v>0.99589570000000005</v>
      </c>
      <c r="AB431">
        <v>23</v>
      </c>
      <c r="AC431">
        <v>-137.32820000000001</v>
      </c>
      <c r="AD431">
        <v>38.850451</v>
      </c>
      <c r="AE431">
        <v>-40.872199999999999</v>
      </c>
      <c r="AF431">
        <v>-9.7075275600146007</v>
      </c>
      <c r="AG431">
        <v>38.850451</v>
      </c>
      <c r="AH431">
        <v>133.115176294652</v>
      </c>
      <c r="AI431">
        <v>73.770624006883594</v>
      </c>
      <c r="AJ431">
        <v>94.170955703952799</v>
      </c>
      <c r="AK431">
        <v>139.00807096779701</v>
      </c>
      <c r="AL431">
        <v>83.421250997915294</v>
      </c>
      <c r="AM431">
        <v>85.245517737137604</v>
      </c>
      <c r="AN431">
        <v>0.99999999342702095</v>
      </c>
    </row>
    <row r="432" spans="1:40" x14ac:dyDescent="0.3">
      <c r="A432" t="str">
        <f>"20200111150247156"</f>
        <v>20200111150247156</v>
      </c>
      <c r="B432" t="str">
        <f>"1578726167146479"</f>
        <v>1578726167146479</v>
      </c>
      <c r="C432" t="s">
        <v>40</v>
      </c>
      <c r="D432">
        <v>5.7981199999999999</v>
      </c>
      <c r="E432">
        <v>0.49484400000000001</v>
      </c>
      <c r="F432" t="s">
        <v>42</v>
      </c>
      <c r="G432">
        <v>-216.042</v>
      </c>
      <c r="H432">
        <v>0.88714839999999995</v>
      </c>
      <c r="I432">
        <v>283.51229999999998</v>
      </c>
      <c r="J432">
        <v>-215.46889999999999</v>
      </c>
      <c r="K432">
        <v>1.0995699999999999</v>
      </c>
      <c r="L432">
        <v>283.59140000000002</v>
      </c>
      <c r="M432">
        <v>-0.97804340000000001</v>
      </c>
      <c r="N432">
        <v>0</v>
      </c>
      <c r="O432">
        <v>-0.2082822</v>
      </c>
      <c r="P432">
        <v>-0.98620019999999997</v>
      </c>
      <c r="Q432">
        <v>0.10680199999999999</v>
      </c>
      <c r="R432">
        <v>-0.12650219999999901</v>
      </c>
      <c r="S432">
        <v>-3.0689540000000002</v>
      </c>
      <c r="T432">
        <v>-0.79472449999999994</v>
      </c>
      <c r="U432">
        <v>-0.47137449999999997</v>
      </c>
      <c r="V432">
        <v>8.2813520000000002E-2</v>
      </c>
      <c r="W432">
        <v>0.1129641</v>
      </c>
      <c r="X432">
        <v>0.99014190000000002</v>
      </c>
      <c r="Y432">
        <v>4.9229000000000002E-2</v>
      </c>
      <c r="Z432">
        <v>5.8501350000000001E-2</v>
      </c>
      <c r="AA432">
        <v>0.99707279999999998</v>
      </c>
      <c r="AB432">
        <v>24</v>
      </c>
      <c r="AC432">
        <v>-0.57310000000001005</v>
      </c>
      <c r="AD432">
        <v>-0.21242159999999999</v>
      </c>
      <c r="AE432">
        <v>-7.9100000000039403E-2</v>
      </c>
      <c r="AF432">
        <v>3.70142315903432E-2</v>
      </c>
      <c r="AG432">
        <v>-0.21242159999999999</v>
      </c>
      <c r="AH432">
        <v>0.50845790698438698</v>
      </c>
      <c r="AI432">
        <v>112.620202108855</v>
      </c>
      <c r="AJ432">
        <v>85.836381276173498</v>
      </c>
      <c r="AK432">
        <v>0.55228836006358795</v>
      </c>
      <c r="AL432">
        <v>83.513788491793406</v>
      </c>
      <c r="AM432">
        <v>85.219021194214207</v>
      </c>
      <c r="AN432">
        <v>0.99999997455960499</v>
      </c>
    </row>
    <row r="433" spans="1:40" x14ac:dyDescent="0.3">
      <c r="A433" t="str">
        <f>"20200111150247178"</f>
        <v>20200111150247178</v>
      </c>
      <c r="B433" t="str">
        <f>"1578726167166974"</f>
        <v>1578726167166974</v>
      </c>
      <c r="C433" t="s">
        <v>40</v>
      </c>
      <c r="D433">
        <v>5.8231849999999996</v>
      </c>
      <c r="E433">
        <v>0.49501889999999998</v>
      </c>
      <c r="F433" t="s">
        <v>42</v>
      </c>
      <c r="G433">
        <v>-216.25700000000001</v>
      </c>
      <c r="H433">
        <v>0.89450429999999903</v>
      </c>
      <c r="I433">
        <v>283.47660000000002</v>
      </c>
      <c r="J433">
        <v>-215.70519999999999</v>
      </c>
      <c r="K433">
        <v>1.099556</v>
      </c>
      <c r="L433">
        <v>283.54829999999998</v>
      </c>
      <c r="M433">
        <v>-0.97934180000000004</v>
      </c>
      <c r="N433">
        <v>0</v>
      </c>
      <c r="O433">
        <v>-0.20208950000000001</v>
      </c>
      <c r="P433">
        <v>-0.98705259999999995</v>
      </c>
      <c r="Q433">
        <v>0.1043422</v>
      </c>
      <c r="R433">
        <v>-0.1218205</v>
      </c>
      <c r="S433">
        <v>-3.071091</v>
      </c>
      <c r="T433">
        <v>-0.79894730000000003</v>
      </c>
      <c r="U433">
        <v>-0.44775389999999998</v>
      </c>
      <c r="V433">
        <v>8.1273360000000003E-2</v>
      </c>
      <c r="W433">
        <v>0.1105271</v>
      </c>
      <c r="X433">
        <v>0.99054450000000005</v>
      </c>
      <c r="Y433">
        <v>5.057847E-2</v>
      </c>
      <c r="Z433">
        <v>5.7437780000000001E-2</v>
      </c>
      <c r="AA433">
        <v>0.99706700000000004</v>
      </c>
      <c r="AB433">
        <v>24</v>
      </c>
      <c r="AC433">
        <v>-0.55180000000001395</v>
      </c>
      <c r="AD433">
        <v>-0.2050517</v>
      </c>
      <c r="AE433">
        <v>-7.1699999999964306E-2</v>
      </c>
      <c r="AF433">
        <v>3.6357888236626799E-2</v>
      </c>
      <c r="AG433">
        <v>-0.2050517</v>
      </c>
      <c r="AH433">
        <v>0.48855920377657402</v>
      </c>
      <c r="AI433">
        <v>112.711727113355</v>
      </c>
      <c r="AJ433">
        <v>85.743973974046995</v>
      </c>
      <c r="AK433">
        <v>0.53109150935099403</v>
      </c>
      <c r="AL433">
        <v>83.654298560509204</v>
      </c>
      <c r="AM433">
        <v>85.309435406120897</v>
      </c>
      <c r="AN433">
        <v>1.0000000026801701</v>
      </c>
    </row>
    <row r="434" spans="1:40" x14ac:dyDescent="0.3">
      <c r="A434" t="str">
        <f>"20200111150247200"</f>
        <v>20200111150247200</v>
      </c>
      <c r="B434" t="str">
        <f>"1578726167196255"</f>
        <v>1578726167196255</v>
      </c>
      <c r="C434" t="s">
        <v>40</v>
      </c>
      <c r="D434">
        <v>5.7560460000000004</v>
      </c>
      <c r="E434">
        <v>0.49320799999999998</v>
      </c>
      <c r="F434" t="s">
        <v>42</v>
      </c>
      <c r="G434">
        <v>-216.47149999999999</v>
      </c>
      <c r="H434">
        <v>0.89825669999999902</v>
      </c>
      <c r="I434">
        <v>283.44099999999997</v>
      </c>
      <c r="J434">
        <v>-215.93389999999999</v>
      </c>
      <c r="K434">
        <v>1.099559</v>
      </c>
      <c r="L434">
        <v>283.50790000000001</v>
      </c>
      <c r="M434">
        <v>-0.98054960000000002</v>
      </c>
      <c r="N434">
        <v>0</v>
      </c>
      <c r="O434">
        <v>-0.19614500000000001</v>
      </c>
      <c r="P434">
        <v>-0.98777700000000002</v>
      </c>
      <c r="Q434">
        <v>0.1015225</v>
      </c>
      <c r="R434">
        <v>-0.1182796</v>
      </c>
      <c r="S434">
        <v>-3.0714869999999999</v>
      </c>
      <c r="T434">
        <v>-0.80656729999999999</v>
      </c>
      <c r="U434">
        <v>-0.430481</v>
      </c>
      <c r="V434">
        <v>7.8840419999999994E-2</v>
      </c>
      <c r="W434">
        <v>0.1077429</v>
      </c>
      <c r="X434">
        <v>0.99104769999999998</v>
      </c>
      <c r="Y434">
        <v>5.0081609999999999E-2</v>
      </c>
      <c r="Z434">
        <v>5.6432110000000001E-2</v>
      </c>
      <c r="AA434">
        <v>0.99714959999999997</v>
      </c>
      <c r="AB434">
        <v>24</v>
      </c>
      <c r="AC434">
        <v>-0.53759999999999697</v>
      </c>
      <c r="AD434">
        <v>-0.20130229999999999</v>
      </c>
      <c r="AE434">
        <v>-6.6900000000032295E-2</v>
      </c>
      <c r="AF434">
        <v>3.5015164442083899E-2</v>
      </c>
      <c r="AG434">
        <v>-0.20130229999999999</v>
      </c>
      <c r="AH434">
        <v>0.47473186963317099</v>
      </c>
      <c r="AI434">
        <v>112.92277022520599</v>
      </c>
      <c r="AJ434">
        <v>85.7816295649517</v>
      </c>
      <c r="AK434">
        <v>0.51683558872392099</v>
      </c>
      <c r="AL434">
        <v>83.814779725326702</v>
      </c>
      <c r="AM434">
        <v>85.451550833256107</v>
      </c>
      <c r="AN434">
        <v>0.999999944000736</v>
      </c>
    </row>
    <row r="435" spans="1:40" x14ac:dyDescent="0.3">
      <c r="A435" t="str">
        <f>"20200111150247220"</f>
        <v>20200111150247220</v>
      </c>
      <c r="B435" t="str">
        <f>"1578726167216750"</f>
        <v>1578726167216750</v>
      </c>
      <c r="C435" t="s">
        <v>40</v>
      </c>
      <c r="D435">
        <v>5.7280949999999997</v>
      </c>
      <c r="E435">
        <v>0.48350520000000002</v>
      </c>
      <c r="F435" t="s">
        <v>42</v>
      </c>
      <c r="G435">
        <v>-216.7407</v>
      </c>
      <c r="H435">
        <v>1.018384</v>
      </c>
      <c r="I435">
        <v>283.39490000000001</v>
      </c>
      <c r="J435">
        <v>-216.15280000000001</v>
      </c>
      <c r="K435">
        <v>1.0995790000000001</v>
      </c>
      <c r="L435">
        <v>283.47059999999999</v>
      </c>
      <c r="M435">
        <v>-0.98165500000000006</v>
      </c>
      <c r="N435">
        <v>0</v>
      </c>
      <c r="O435">
        <v>-0.19053590000000001</v>
      </c>
      <c r="P435">
        <v>-0.98826009999999997</v>
      </c>
      <c r="Q435">
        <v>0.1007961</v>
      </c>
      <c r="R435">
        <v>-0.1148137</v>
      </c>
      <c r="S435">
        <v>-3.0177309999999999</v>
      </c>
      <c r="T435">
        <v>-0.3036432</v>
      </c>
      <c r="U435">
        <v>-0.42263790000000001</v>
      </c>
      <c r="V435">
        <v>7.6648250000000001E-2</v>
      </c>
      <c r="W435">
        <v>0.1070493</v>
      </c>
      <c r="X435">
        <v>0.99129489999999998</v>
      </c>
      <c r="Y435">
        <v>5.1360719999999999E-2</v>
      </c>
      <c r="Z435">
        <v>2.144592E-2</v>
      </c>
      <c r="AA435">
        <v>0.9984499</v>
      </c>
      <c r="AB435">
        <v>24</v>
      </c>
      <c r="AC435">
        <v>-0.58789999999998999</v>
      </c>
      <c r="AD435">
        <v>-8.11950000000001E-2</v>
      </c>
      <c r="AE435">
        <v>-7.5699999999983406E-2</v>
      </c>
      <c r="AF435">
        <v>3.7011251344440499E-2</v>
      </c>
      <c r="AG435">
        <v>-8.11950000000001E-2</v>
      </c>
      <c r="AH435">
        <v>0.58065810870878898</v>
      </c>
      <c r="AI435">
        <v>97.944294448169302</v>
      </c>
      <c r="AJ435">
        <v>86.352890632925096</v>
      </c>
      <c r="AK435">
        <v>0.58747451005158402</v>
      </c>
      <c r="AL435">
        <v>83.854751873497904</v>
      </c>
      <c r="AM435">
        <v>85.578610771971398</v>
      </c>
      <c r="AN435">
        <v>1.0000000428122799</v>
      </c>
    </row>
    <row r="436" spans="1:40" x14ac:dyDescent="0.3">
      <c r="A436" t="str">
        <f>"20200111150247244"</f>
        <v>20200111150247244</v>
      </c>
      <c r="B436" t="str">
        <f>"1578726167236271"</f>
        <v>1578726167236271</v>
      </c>
      <c r="C436" t="s">
        <v>40</v>
      </c>
      <c r="D436">
        <v>5.5836569999999996</v>
      </c>
      <c r="E436">
        <v>0.48429470000000002</v>
      </c>
      <c r="F436" t="s">
        <v>42</v>
      </c>
      <c r="G436">
        <v>-216.8991</v>
      </c>
      <c r="H436">
        <v>0.90419150000000004</v>
      </c>
      <c r="I436">
        <v>283.34820000000002</v>
      </c>
      <c r="J436">
        <v>-216.4068</v>
      </c>
      <c r="K436">
        <v>1.0996250000000001</v>
      </c>
      <c r="L436">
        <v>283.42860000000002</v>
      </c>
      <c r="M436">
        <v>-0.98287190000000002</v>
      </c>
      <c r="N436">
        <v>0</v>
      </c>
      <c r="O436">
        <v>-0.18415500000000001</v>
      </c>
      <c r="P436">
        <v>-0.98886569999999996</v>
      </c>
      <c r="Q436">
        <v>0.1010424</v>
      </c>
      <c r="R436">
        <v>-0.1092486</v>
      </c>
      <c r="S436">
        <v>-3.0589140000000001</v>
      </c>
      <c r="T436">
        <v>-0.80056309999999997</v>
      </c>
      <c r="U436">
        <v>-0.50228879999999998</v>
      </c>
      <c r="V436">
        <v>7.5771030000000003E-2</v>
      </c>
      <c r="W436">
        <v>0.10732</v>
      </c>
      <c r="X436">
        <v>0.99133300000000002</v>
      </c>
      <c r="Y436">
        <v>1.5997790000000001E-2</v>
      </c>
      <c r="Z436">
        <v>4.8765620000000003E-2</v>
      </c>
      <c r="AA436">
        <v>0.99868210000000002</v>
      </c>
      <c r="AB436">
        <v>24</v>
      </c>
      <c r="AC436">
        <v>-0.49230000000000002</v>
      </c>
      <c r="AD436">
        <v>-0.19543350000000001</v>
      </c>
      <c r="AE436">
        <v>-8.0399999999997293E-2</v>
      </c>
      <c r="AF436">
        <v>1.0088340910022E-2</v>
      </c>
      <c r="AG436">
        <v>-0.19543350000000001</v>
      </c>
      <c r="AH436">
        <v>0.43232471754131202</v>
      </c>
      <c r="AI436">
        <v>114.319616289428</v>
      </c>
      <c r="AJ436">
        <v>88.663239802059607</v>
      </c>
      <c r="AK436">
        <v>0.47455314659344799</v>
      </c>
      <c r="AL436">
        <v>83.839151613277295</v>
      </c>
      <c r="AM436">
        <v>85.629182572582593</v>
      </c>
      <c r="AN436">
        <v>0.99999997413813002</v>
      </c>
    </row>
    <row r="437" spans="1:40" x14ac:dyDescent="0.3">
      <c r="A437" t="str">
        <f>"20200111150247265"</f>
        <v>20200111150247265</v>
      </c>
      <c r="B437" t="str">
        <f>"1578726167256766"</f>
        <v>1578726167256766</v>
      </c>
      <c r="C437" t="s">
        <v>40</v>
      </c>
      <c r="D437">
        <v>5.5951529999999998</v>
      </c>
      <c r="E437">
        <v>0.46994829999999999</v>
      </c>
      <c r="F437" t="s">
        <v>42</v>
      </c>
      <c r="G437">
        <v>-217.11940000000001</v>
      </c>
      <c r="H437">
        <v>0.91391460000000002</v>
      </c>
      <c r="I437">
        <v>283.31689999999998</v>
      </c>
      <c r="J437">
        <v>-216.6413</v>
      </c>
      <c r="K437">
        <v>1.099701</v>
      </c>
      <c r="L437">
        <v>283.3913</v>
      </c>
      <c r="M437">
        <v>-0.98393010000000003</v>
      </c>
      <c r="N437">
        <v>0</v>
      </c>
      <c r="O437">
        <v>-0.1784142</v>
      </c>
      <c r="P437">
        <v>-0.98943419999999904</v>
      </c>
      <c r="Q437">
        <v>0.1013261</v>
      </c>
      <c r="R437">
        <v>-0.1036982</v>
      </c>
      <c r="S437">
        <v>-3.0621800000000001</v>
      </c>
      <c r="T437">
        <v>-0.79781309999999905</v>
      </c>
      <c r="U437">
        <v>-0.48083500000000001</v>
      </c>
      <c r="V437">
        <v>7.5524510000000003E-2</v>
      </c>
      <c r="W437">
        <v>0.10762770000000001</v>
      </c>
      <c r="X437">
        <v>0.99131849999999999</v>
      </c>
      <c r="Y437">
        <v>1.733736E-2</v>
      </c>
      <c r="Z437">
        <v>4.7323709999999998E-2</v>
      </c>
      <c r="AA437">
        <v>0.99872910000000004</v>
      </c>
      <c r="AB437">
        <v>24</v>
      </c>
      <c r="AC437">
        <v>-0.47810000000001202</v>
      </c>
      <c r="AD437">
        <v>-0.18578639999999999</v>
      </c>
      <c r="AE437">
        <v>-7.4400000000025501E-2</v>
      </c>
      <c r="AF437">
        <v>1.0541545713033401E-2</v>
      </c>
      <c r="AG437">
        <v>-0.18578639999999999</v>
      </c>
      <c r="AH437">
        <v>0.42155185354939101</v>
      </c>
      <c r="AI437">
        <v>113.777446432291</v>
      </c>
      <c r="AJ437">
        <v>88.567530364447506</v>
      </c>
      <c r="AK437">
        <v>0.46079678367139998</v>
      </c>
      <c r="AL437">
        <v>83.821419282714601</v>
      </c>
      <c r="AM437">
        <v>85.643284649301904</v>
      </c>
      <c r="AN437">
        <v>1.0000000209301301</v>
      </c>
    </row>
    <row r="438" spans="1:40" x14ac:dyDescent="0.3">
      <c r="A438" t="str">
        <f>"20200111150247287"</f>
        <v>20200111150247287</v>
      </c>
      <c r="B438" t="str">
        <f>"1578726167277278"</f>
        <v>1578726167277278</v>
      </c>
      <c r="C438" t="s">
        <v>40</v>
      </c>
      <c r="D438">
        <v>5.53078</v>
      </c>
      <c r="E438">
        <v>0.4710067</v>
      </c>
      <c r="F438" t="s">
        <v>42</v>
      </c>
      <c r="G438">
        <v>-217.37520000000001</v>
      </c>
      <c r="H438">
        <v>1.008926</v>
      </c>
      <c r="I438">
        <v>283.25299999999999</v>
      </c>
      <c r="J438">
        <v>-216.8852</v>
      </c>
      <c r="K438">
        <v>1.0998000000000001</v>
      </c>
      <c r="L438">
        <v>283.3537</v>
      </c>
      <c r="M438">
        <v>-0.98496410000000001</v>
      </c>
      <c r="N438">
        <v>0</v>
      </c>
      <c r="O438">
        <v>-0.1726144</v>
      </c>
      <c r="P438">
        <v>-0.9900506</v>
      </c>
      <c r="Q438">
        <v>0.1008019</v>
      </c>
      <c r="R438">
        <v>-9.8179169999999996E-2</v>
      </c>
      <c r="S438">
        <v>-3.0106199999999999</v>
      </c>
      <c r="T438">
        <v>-0.37208750000000002</v>
      </c>
      <c r="U438">
        <v>-0.56790160000000001</v>
      </c>
      <c r="V438">
        <v>7.5190019999999996E-2</v>
      </c>
      <c r="W438">
        <v>0.1071341</v>
      </c>
      <c r="X438">
        <v>0.99139739999999998</v>
      </c>
      <c r="Y438">
        <v>-1.4099769999999999E-2</v>
      </c>
      <c r="Z438">
        <v>2.0045199999999999E-2</v>
      </c>
      <c r="AA438">
        <v>0.99969969999999997</v>
      </c>
      <c r="AB438">
        <v>24</v>
      </c>
      <c r="AC438">
        <v>-0.49000000000000898</v>
      </c>
      <c r="AD438">
        <v>-9.0874000000000094E-2</v>
      </c>
      <c r="AE438">
        <v>-0.100700000000017</v>
      </c>
      <c r="AF438">
        <v>-1.41386114138947E-2</v>
      </c>
      <c r="AG438">
        <v>-9.0874000000000094E-2</v>
      </c>
      <c r="AH438">
        <v>0.48405313829246899</v>
      </c>
      <c r="AI438">
        <v>100.62826495196001</v>
      </c>
      <c r="AJ438">
        <v>91.673065291518995</v>
      </c>
      <c r="AK438">
        <v>0.49271231454013997</v>
      </c>
      <c r="AL438">
        <v>83.849865006907294</v>
      </c>
      <c r="AM438">
        <v>85.662850157491803</v>
      </c>
      <c r="AN438">
        <v>1.00000002960858</v>
      </c>
    </row>
    <row r="439" spans="1:40" x14ac:dyDescent="0.3">
      <c r="A439" t="str">
        <f>"20200111150247310"</f>
        <v>20200111150247310</v>
      </c>
      <c r="B439" t="str">
        <f>"1578726167306543"</f>
        <v>1578726167306543</v>
      </c>
      <c r="C439" t="s">
        <v>40</v>
      </c>
      <c r="D439">
        <v>5.3826869999999998</v>
      </c>
      <c r="E439">
        <v>0.46994019999999997</v>
      </c>
      <c r="F439" t="s">
        <v>42</v>
      </c>
      <c r="G439">
        <v>-217.5943</v>
      </c>
      <c r="H439">
        <v>1.0110980000000001</v>
      </c>
      <c r="I439">
        <v>283.22609999999997</v>
      </c>
      <c r="J439">
        <v>-217.12459999999999</v>
      </c>
      <c r="K439">
        <v>1.0999159999999999</v>
      </c>
      <c r="L439">
        <v>283.31810000000002</v>
      </c>
      <c r="M439">
        <v>-0.98590949999999999</v>
      </c>
      <c r="N439">
        <v>0</v>
      </c>
      <c r="O439">
        <v>-0.16712939999999901</v>
      </c>
      <c r="P439">
        <v>-0.99052439999999997</v>
      </c>
      <c r="Q439">
        <v>0.1012151</v>
      </c>
      <c r="R439">
        <v>-9.2829040000000002E-2</v>
      </c>
      <c r="S439">
        <v>-3.0147400000000002</v>
      </c>
      <c r="T439">
        <v>-0.37704910000000003</v>
      </c>
      <c r="U439">
        <v>-0.54244999999999999</v>
      </c>
      <c r="V439">
        <v>7.499393E-2</v>
      </c>
      <c r="W439">
        <v>0.1075769</v>
      </c>
      <c r="X439">
        <v>0.99136420000000003</v>
      </c>
      <c r="Y439">
        <v>-1.126456E-2</v>
      </c>
      <c r="Z439">
        <v>1.9812300000000001E-2</v>
      </c>
      <c r="AA439">
        <v>0.99974019999999997</v>
      </c>
      <c r="AB439">
        <v>24</v>
      </c>
      <c r="AC439">
        <v>-0.46970000000001699</v>
      </c>
      <c r="AD439">
        <v>-8.88179999999998E-2</v>
      </c>
      <c r="AE439">
        <v>-9.2000000000041299E-2</v>
      </c>
      <c r="AF439">
        <v>-1.1797059455177301E-2</v>
      </c>
      <c r="AG439">
        <v>-8.88179999999998E-2</v>
      </c>
      <c r="AH439">
        <v>0.462541597471821</v>
      </c>
      <c r="AI439">
        <v>100.866272093909</v>
      </c>
      <c r="AJ439">
        <v>91.461004191656002</v>
      </c>
      <c r="AK439">
        <v>0.47113961532392201</v>
      </c>
      <c r="AL439">
        <v>83.824346329819406</v>
      </c>
      <c r="AM439">
        <v>85.673973811090207</v>
      </c>
      <c r="AN439">
        <v>0.99999992799604398</v>
      </c>
    </row>
    <row r="440" spans="1:40" x14ac:dyDescent="0.3">
      <c r="A440" t="str">
        <f>"20200111150247332"</f>
        <v>20200111150247332</v>
      </c>
      <c r="B440" t="str">
        <f>"1578726167327038"</f>
        <v>1578726167327038</v>
      </c>
      <c r="C440" t="s">
        <v>40</v>
      </c>
      <c r="D440">
        <v>5.2906740000000001</v>
      </c>
      <c r="E440">
        <v>0.47329680000000002</v>
      </c>
      <c r="F440" t="s">
        <v>42</v>
      </c>
      <c r="G440">
        <v>-218.01740000000001</v>
      </c>
      <c r="H440">
        <v>0.9828694</v>
      </c>
      <c r="I440">
        <v>283.16000000000003</v>
      </c>
      <c r="J440">
        <v>-217.37219999999999</v>
      </c>
      <c r="K440">
        <v>1.1000529999999999</v>
      </c>
      <c r="L440">
        <v>283.2824</v>
      </c>
      <c r="M440">
        <v>-0.98681549999999996</v>
      </c>
      <c r="N440">
        <v>0</v>
      </c>
      <c r="O440">
        <v>-0.16169510000000001</v>
      </c>
      <c r="P440">
        <v>-0.99092610000000003</v>
      </c>
      <c r="Q440">
        <v>0.10238659999999999</v>
      </c>
      <c r="R440">
        <v>-8.7079089999999998E-2</v>
      </c>
      <c r="S440">
        <v>-3.019028</v>
      </c>
      <c r="T440">
        <v>-0.39575759999999899</v>
      </c>
      <c r="U440">
        <v>-0.53463749999999999</v>
      </c>
      <c r="V440">
        <v>7.5241039999999995E-2</v>
      </c>
      <c r="W440">
        <v>0.1087748</v>
      </c>
      <c r="X440">
        <v>0.99121479999999995</v>
      </c>
      <c r="Y440">
        <v>-1.4066800000000001E-2</v>
      </c>
      <c r="Z440">
        <v>1.9891320000000001E-2</v>
      </c>
      <c r="AA440">
        <v>0.99970320000000001</v>
      </c>
      <c r="AB440">
        <v>24</v>
      </c>
      <c r="AC440">
        <v>-0.64520000000001598</v>
      </c>
      <c r="AD440">
        <v>-0.1171836</v>
      </c>
      <c r="AE440">
        <v>-0.12239999999997001</v>
      </c>
      <c r="AF440">
        <v>-1.5952986577696501E-2</v>
      </c>
      <c r="AG440">
        <v>-0.1171836</v>
      </c>
      <c r="AH440">
        <v>0.63624247407693102</v>
      </c>
      <c r="AI440">
        <v>100.43261696552401</v>
      </c>
      <c r="AJ440">
        <v>91.436319266679206</v>
      </c>
      <c r="AK440">
        <v>0.64714061818838298</v>
      </c>
      <c r="AL440">
        <v>83.755306863032999</v>
      </c>
      <c r="AM440">
        <v>85.659121969006605</v>
      </c>
      <c r="AN440">
        <v>0.99999997547718</v>
      </c>
    </row>
    <row r="441" spans="1:40" x14ac:dyDescent="0.3">
      <c r="A441" t="str">
        <f>"20200111150247355"</f>
        <v>20200111150247355</v>
      </c>
      <c r="B441" t="str">
        <f>"1578726167346558"</f>
        <v>1578726167346558</v>
      </c>
      <c r="C441" t="s">
        <v>40</v>
      </c>
      <c r="D441">
        <v>5.2852540000000001</v>
      </c>
      <c r="E441">
        <v>0.47704200000000002</v>
      </c>
      <c r="F441" t="s">
        <v>42</v>
      </c>
      <c r="G441">
        <v>-218.2364</v>
      </c>
      <c r="H441">
        <v>0.97861980000000004</v>
      </c>
      <c r="I441">
        <v>283.1422</v>
      </c>
      <c r="J441">
        <v>-217.62350000000001</v>
      </c>
      <c r="K441">
        <v>1.100171</v>
      </c>
      <c r="L441">
        <v>283.24740000000003</v>
      </c>
      <c r="M441">
        <v>-0.98767099999999997</v>
      </c>
      <c r="N441">
        <v>0</v>
      </c>
      <c r="O441">
        <v>-0.15638369999999999</v>
      </c>
      <c r="P441">
        <v>-0.99133830000000001</v>
      </c>
      <c r="Q441">
        <v>0.102793</v>
      </c>
      <c r="R441">
        <v>-8.1746360000000004E-2</v>
      </c>
      <c r="S441">
        <v>-3.0282290000000001</v>
      </c>
      <c r="T441">
        <v>-0.42544100000000001</v>
      </c>
      <c r="U441">
        <v>-0.49179079999999997</v>
      </c>
      <c r="V441">
        <v>7.5205220000000003E-2</v>
      </c>
      <c r="W441">
        <v>0.1092086</v>
      </c>
      <c r="X441">
        <v>0.99116990000000005</v>
      </c>
      <c r="Y441">
        <v>-5.3908819999999996E-3</v>
      </c>
      <c r="Z441">
        <v>2.1213820000000001E-2</v>
      </c>
      <c r="AA441">
        <v>0.99976039999999999</v>
      </c>
      <c r="AB441">
        <v>24</v>
      </c>
      <c r="AC441">
        <v>-0.612899999999996</v>
      </c>
      <c r="AD441">
        <v>-0.121551199999999</v>
      </c>
      <c r="AE441">
        <v>-0.105200000000024</v>
      </c>
      <c r="AF441">
        <v>-7.7591759299048598E-3</v>
      </c>
      <c r="AG441">
        <v>-0.121551199999999</v>
      </c>
      <c r="AH441">
        <v>0.59892818185751195</v>
      </c>
      <c r="AI441">
        <v>101.47130739277399</v>
      </c>
      <c r="AJ441">
        <v>90.742231168848406</v>
      </c>
      <c r="AK441">
        <v>0.61118725940230101</v>
      </c>
      <c r="AL441">
        <v>83.730303509990705</v>
      </c>
      <c r="AM441">
        <v>85.660984839447195</v>
      </c>
      <c r="AN441">
        <v>1.0000000570476</v>
      </c>
    </row>
    <row r="442" spans="1:40" x14ac:dyDescent="0.3">
      <c r="A442" t="str">
        <f>"20200111150247377"</f>
        <v>20200111150247377</v>
      </c>
      <c r="B442" t="str">
        <f>"1578726167367054"</f>
        <v>1578726167367054</v>
      </c>
      <c r="C442" t="s">
        <v>40</v>
      </c>
      <c r="D442">
        <v>5.3294360000000003</v>
      </c>
      <c r="E442">
        <v>0.48081940000000001</v>
      </c>
      <c r="F442" t="s">
        <v>42</v>
      </c>
      <c r="G442">
        <v>-218.45679999999999</v>
      </c>
      <c r="H442">
        <v>0.97576739999999995</v>
      </c>
      <c r="I442">
        <v>283.12450000000001</v>
      </c>
      <c r="J442">
        <v>-217.87</v>
      </c>
      <c r="K442">
        <v>1.100284</v>
      </c>
      <c r="L442">
        <v>283.21409999999997</v>
      </c>
      <c r="M442">
        <v>-0.98844989999999999</v>
      </c>
      <c r="N442">
        <v>0</v>
      </c>
      <c r="O442">
        <v>-0.15138219999999999</v>
      </c>
      <c r="P442">
        <v>-0.99176850000000005</v>
      </c>
      <c r="Q442">
        <v>0.10193489999999999</v>
      </c>
      <c r="R442">
        <v>-7.7490859999999995E-2</v>
      </c>
      <c r="S442">
        <v>-3.0363310000000001</v>
      </c>
      <c r="T442">
        <v>-0.45328990000000002</v>
      </c>
      <c r="U442">
        <v>-0.44760129999999998</v>
      </c>
      <c r="V442">
        <v>7.44171E-2</v>
      </c>
      <c r="W442">
        <v>0.1083828</v>
      </c>
      <c r="X442">
        <v>0.99131999999999998</v>
      </c>
      <c r="Y442">
        <v>3.9431859999999996E-3</v>
      </c>
      <c r="Z442">
        <v>2.2521530000000001E-2</v>
      </c>
      <c r="AA442">
        <v>0.99973860000000003</v>
      </c>
      <c r="AB442">
        <v>25</v>
      </c>
      <c r="AC442">
        <v>-0.586799999999982</v>
      </c>
      <c r="AD442">
        <v>-0.12451659999999901</v>
      </c>
      <c r="AE442">
        <v>-8.9599999999961696E-2</v>
      </c>
      <c r="AF442">
        <v>2.5476080702635501E-4</v>
      </c>
      <c r="AG442">
        <v>-0.12451659999999901</v>
      </c>
      <c r="AH442">
        <v>0.56858280312144005</v>
      </c>
      <c r="AI442">
        <v>102.352463453901</v>
      </c>
      <c r="AJ442">
        <v>89.974327893895094</v>
      </c>
      <c r="AK442">
        <v>0.58205743065788895</v>
      </c>
      <c r="AL442">
        <v>83.7779007841051</v>
      </c>
      <c r="AM442">
        <v>85.706932700312095</v>
      </c>
      <c r="AN442">
        <v>1.00000003925412</v>
      </c>
    </row>
    <row r="443" spans="1:40" x14ac:dyDescent="0.3">
      <c r="A443" t="str">
        <f>"20200111150247399"</f>
        <v>20200111150247399</v>
      </c>
      <c r="B443" t="str">
        <f>"1578726167396335"</f>
        <v>1578726167396335</v>
      </c>
      <c r="C443" t="s">
        <v>40</v>
      </c>
      <c r="D443">
        <v>5.391</v>
      </c>
      <c r="E443">
        <v>0.48115980000000003</v>
      </c>
      <c r="F443" t="s">
        <v>42</v>
      </c>
      <c r="G443">
        <v>-218.67910000000001</v>
      </c>
      <c r="H443">
        <v>0.97583759999999997</v>
      </c>
      <c r="I443">
        <v>283.10660000000001</v>
      </c>
      <c r="J443">
        <v>-218.10890000000001</v>
      </c>
      <c r="K443">
        <v>1.1003989999999999</v>
      </c>
      <c r="L443">
        <v>283.18279999999999</v>
      </c>
      <c r="M443">
        <v>-0.98914729999999995</v>
      </c>
      <c r="N443">
        <v>0</v>
      </c>
      <c r="O443">
        <v>-0.14675550000000001</v>
      </c>
      <c r="P443">
        <v>-0.99201919999999999</v>
      </c>
      <c r="Q443">
        <v>0.1015199</v>
      </c>
      <c r="R443">
        <v>-7.4777850000000007E-2</v>
      </c>
      <c r="S443">
        <v>-3.0413359999999998</v>
      </c>
      <c r="T443">
        <v>-0.46763549999999998</v>
      </c>
      <c r="U443">
        <v>-0.40475460000000002</v>
      </c>
      <c r="V443">
        <v>7.2460709999999998E-2</v>
      </c>
      <c r="W443">
        <v>0.1080088</v>
      </c>
      <c r="X443">
        <v>0.99150570000000005</v>
      </c>
      <c r="Y443">
        <v>1.3155089999999999E-2</v>
      </c>
      <c r="Z443">
        <v>2.322335E-2</v>
      </c>
      <c r="AA443">
        <v>0.99964370000000002</v>
      </c>
      <c r="AB443">
        <v>25</v>
      </c>
      <c r="AC443">
        <v>-0.57019999999999904</v>
      </c>
      <c r="AD443">
        <v>-0.124561399999999</v>
      </c>
      <c r="AE443">
        <v>-7.6199999999971596E-2</v>
      </c>
      <c r="AF443">
        <v>7.9351400093431099E-3</v>
      </c>
      <c r="AG443">
        <v>-0.124561399999999</v>
      </c>
      <c r="AH443">
        <v>0.54944869744406999</v>
      </c>
      <c r="AI443">
        <v>102.771907812526</v>
      </c>
      <c r="AJ443">
        <v>89.172591673357601</v>
      </c>
      <c r="AK443">
        <v>0.56344687410608096</v>
      </c>
      <c r="AL443">
        <v>83.799455724359703</v>
      </c>
      <c r="AM443">
        <v>85.820170075313101</v>
      </c>
      <c r="AN443">
        <v>1.00000000425181</v>
      </c>
    </row>
    <row r="444" spans="1:40" x14ac:dyDescent="0.3">
      <c r="A444" t="str">
        <f>"20200111150247420"</f>
        <v>20200111150247420</v>
      </c>
      <c r="B444" t="str">
        <f>"1578726167416832"</f>
        <v>1578726167416832</v>
      </c>
      <c r="C444" t="s">
        <v>40</v>
      </c>
      <c r="D444">
        <v>5.3757140000000003</v>
      </c>
      <c r="E444">
        <v>0.48124709999999898</v>
      </c>
      <c r="F444" t="s">
        <v>42</v>
      </c>
      <c r="G444">
        <v>-218.89750000000001</v>
      </c>
      <c r="H444">
        <v>0.96824679999999996</v>
      </c>
      <c r="I444">
        <v>283.08080000000001</v>
      </c>
      <c r="J444">
        <v>-218.34960000000001</v>
      </c>
      <c r="K444">
        <v>1.1005400000000001</v>
      </c>
      <c r="L444">
        <v>283.15219999999999</v>
      </c>
      <c r="M444">
        <v>-0.98979320000000004</v>
      </c>
      <c r="N444">
        <v>0</v>
      </c>
      <c r="O444">
        <v>-0.14233390000000001</v>
      </c>
      <c r="P444">
        <v>-0.99215600000000004</v>
      </c>
      <c r="Q444">
        <v>0.101967</v>
      </c>
      <c r="R444">
        <v>-7.2316149999999996E-2</v>
      </c>
      <c r="S444">
        <v>-3.0466769999999999</v>
      </c>
      <c r="T444">
        <v>-0.51054299999999997</v>
      </c>
      <c r="U444">
        <v>-0.39419559999999998</v>
      </c>
      <c r="V444">
        <v>7.0449990000000004E-2</v>
      </c>
      <c r="W444">
        <v>0.1084952</v>
      </c>
      <c r="X444">
        <v>0.99159750000000002</v>
      </c>
      <c r="Y444">
        <v>1.2053690000000001E-2</v>
      </c>
      <c r="Z444">
        <v>2.4475219999999999E-2</v>
      </c>
      <c r="AA444">
        <v>0.99962779999999996</v>
      </c>
      <c r="AB444">
        <v>25</v>
      </c>
      <c r="AC444">
        <v>-0.54789999999999806</v>
      </c>
      <c r="AD444">
        <v>-0.1322932</v>
      </c>
      <c r="AE444">
        <v>-7.1399999999982797E-2</v>
      </c>
      <c r="AF444">
        <v>6.9171543425042498E-3</v>
      </c>
      <c r="AG444">
        <v>-0.1322932</v>
      </c>
      <c r="AH444">
        <v>0.52252925409787598</v>
      </c>
      <c r="AI444">
        <v>104.206325373863</v>
      </c>
      <c r="AJ444">
        <v>89.241572411925802</v>
      </c>
      <c r="AK444">
        <v>0.53906044111817397</v>
      </c>
      <c r="AL444">
        <v>83.771422327752504</v>
      </c>
      <c r="AM444">
        <v>85.936137425109294</v>
      </c>
      <c r="AN444">
        <v>1.0000000057601399</v>
      </c>
    </row>
    <row r="445" spans="1:40" x14ac:dyDescent="0.3">
      <c r="A445" t="str">
        <f>"20200111150247445"</f>
        <v>20200111150247445</v>
      </c>
      <c r="B445" t="str">
        <f>"1578726167436350"</f>
        <v>1578726167436350</v>
      </c>
      <c r="C445" t="s">
        <v>40</v>
      </c>
      <c r="D445">
        <v>5.3702370000000004</v>
      </c>
      <c r="E445">
        <v>0.48085470000000002</v>
      </c>
      <c r="F445" t="s">
        <v>42</v>
      </c>
      <c r="G445">
        <v>-219.12029999999999</v>
      </c>
      <c r="H445">
        <v>0.96868279999999995</v>
      </c>
      <c r="I445">
        <v>283.05470000000003</v>
      </c>
      <c r="J445">
        <v>-218.6189</v>
      </c>
      <c r="K445">
        <v>1.1007199999999999</v>
      </c>
      <c r="L445">
        <v>283.11880000000002</v>
      </c>
      <c r="M445">
        <v>-0.99045119999999998</v>
      </c>
      <c r="N445">
        <v>0</v>
      </c>
      <c r="O445">
        <v>-0.13768069999999999</v>
      </c>
      <c r="P445">
        <v>-0.99221159999999997</v>
      </c>
      <c r="Q445">
        <v>0.103437</v>
      </c>
      <c r="R445">
        <v>-6.940615E-2</v>
      </c>
      <c r="S445">
        <v>-3.0492249999999999</v>
      </c>
      <c r="T445">
        <v>-0.52167559999999902</v>
      </c>
      <c r="U445">
        <v>-0.38592530000000003</v>
      </c>
      <c r="V445">
        <v>6.863938E-2</v>
      </c>
      <c r="W445">
        <v>0.110006199999999</v>
      </c>
      <c r="X445">
        <v>0.99155800000000005</v>
      </c>
      <c r="Y445">
        <v>1.0131630000000001E-2</v>
      </c>
      <c r="Z445">
        <v>2.4045830000000001E-2</v>
      </c>
      <c r="AA445">
        <v>0.99965950000000003</v>
      </c>
      <c r="AB445">
        <v>25</v>
      </c>
      <c r="AC445">
        <v>-0.50139999999998897</v>
      </c>
      <c r="AD445">
        <v>-0.13203719999999899</v>
      </c>
      <c r="AE445">
        <v>-6.4099999999996202E-2</v>
      </c>
      <c r="AF445">
        <v>5.1911239904831197E-3</v>
      </c>
      <c r="AG445">
        <v>-0.13203719999999899</v>
      </c>
      <c r="AH445">
        <v>0.47316562590757599</v>
      </c>
      <c r="AI445">
        <v>105.590904859248</v>
      </c>
      <c r="AJ445">
        <v>89.371430326089097</v>
      </c>
      <c r="AK445">
        <v>0.49127027132998002</v>
      </c>
      <c r="AL445">
        <v>83.684327014785097</v>
      </c>
      <c r="AM445">
        <v>86.040087451915198</v>
      </c>
      <c r="AN445">
        <v>0.99999999794461203</v>
      </c>
    </row>
    <row r="446" spans="1:40" x14ac:dyDescent="0.3">
      <c r="A446" t="str">
        <f>"20200111150247466"</f>
        <v>20200111150247466</v>
      </c>
      <c r="B446" t="str">
        <f>"1578726167456846"</f>
        <v>1578726167456846</v>
      </c>
      <c r="C446" t="s">
        <v>40</v>
      </c>
      <c r="D446">
        <v>5.3829779999999996</v>
      </c>
      <c r="E446">
        <v>0.48026950000000002</v>
      </c>
      <c r="F446" t="s">
        <v>42</v>
      </c>
      <c r="G446">
        <v>-219.34700000000001</v>
      </c>
      <c r="H446">
        <v>0.9758464</v>
      </c>
      <c r="I446">
        <v>283.02800000000002</v>
      </c>
      <c r="J446">
        <v>-218.86179999999999</v>
      </c>
      <c r="K446">
        <v>1.100911</v>
      </c>
      <c r="L446">
        <v>283.08960000000002</v>
      </c>
      <c r="M446">
        <v>-0.99098620000000004</v>
      </c>
      <c r="N446">
        <v>0</v>
      </c>
      <c r="O446">
        <v>-0.13377649999999999</v>
      </c>
      <c r="P446">
        <v>-0.99224409999999996</v>
      </c>
      <c r="Q446">
        <v>0.1044988</v>
      </c>
      <c r="R446">
        <v>-6.7321060000000002E-2</v>
      </c>
      <c r="S446">
        <v>-3.0514679999999998</v>
      </c>
      <c r="T446">
        <v>-0.52331669999999997</v>
      </c>
      <c r="U446">
        <v>-0.38055420000000001</v>
      </c>
      <c r="V446">
        <v>6.6757170000000005E-2</v>
      </c>
      <c r="W446">
        <v>0.1111114</v>
      </c>
      <c r="X446">
        <v>0.99156330000000004</v>
      </c>
      <c r="Y446">
        <v>8.0882909999999992E-3</v>
      </c>
      <c r="Z446">
        <v>2.3278279999999998E-2</v>
      </c>
      <c r="AA446">
        <v>0.99969629999999998</v>
      </c>
      <c r="AB446">
        <v>25</v>
      </c>
      <c r="AC446">
        <v>-0.48520000000002</v>
      </c>
      <c r="AD446">
        <v>-0.125064599999999</v>
      </c>
      <c r="AE446">
        <v>-6.1599999999998503E-2</v>
      </c>
      <c r="AF446">
        <v>3.6265784081482302E-3</v>
      </c>
      <c r="AG446">
        <v>-0.125064599999999</v>
      </c>
      <c r="AH446">
        <v>0.45906323130070797</v>
      </c>
      <c r="AI446">
        <v>105.23904362243501</v>
      </c>
      <c r="AJ446">
        <v>89.547375393563598</v>
      </c>
      <c r="AK446">
        <v>0.47580810898550002</v>
      </c>
      <c r="AL446">
        <v>83.620613267195907</v>
      </c>
      <c r="AM446">
        <v>86.148364165349903</v>
      </c>
      <c r="AN446">
        <v>1.00000002043162</v>
      </c>
    </row>
    <row r="447" spans="1:40" x14ac:dyDescent="0.3">
      <c r="A447" t="str">
        <f>"20200111150247489"</f>
        <v>20200111150247489</v>
      </c>
      <c r="B447" t="str">
        <f>"1578726167476369"</f>
        <v>1578726167476369</v>
      </c>
      <c r="C447" t="s">
        <v>40</v>
      </c>
      <c r="D447">
        <v>5.3202290000000003</v>
      </c>
      <c r="E447">
        <v>0.4806359</v>
      </c>
      <c r="F447" t="s">
        <v>42</v>
      </c>
      <c r="G447">
        <v>-219.57310000000001</v>
      </c>
      <c r="H447">
        <v>0.98047010000000001</v>
      </c>
      <c r="I447">
        <v>283.00130000000001</v>
      </c>
      <c r="J447">
        <v>-219.10239999999999</v>
      </c>
      <c r="K447">
        <v>1.1011249999999999</v>
      </c>
      <c r="L447">
        <v>283.06119999999999</v>
      </c>
      <c r="M447">
        <v>-0.99146029999999996</v>
      </c>
      <c r="N447">
        <v>0</v>
      </c>
      <c r="O447">
        <v>-0.1302151</v>
      </c>
      <c r="P447">
        <v>-0.99220909999999995</v>
      </c>
      <c r="Q447">
        <v>0.10544050000000001</v>
      </c>
      <c r="R447">
        <v>-6.6357559999999996E-2</v>
      </c>
      <c r="S447">
        <v>-3.0521240000000001</v>
      </c>
      <c r="T447">
        <v>-0.51679640000000004</v>
      </c>
      <c r="U447">
        <v>-0.37954710000000003</v>
      </c>
      <c r="V447">
        <v>6.4092659999999996E-2</v>
      </c>
      <c r="W447">
        <v>0.112108399999999</v>
      </c>
      <c r="X447">
        <v>0.99162689999999998</v>
      </c>
      <c r="Y447">
        <v>4.9893050000000003E-3</v>
      </c>
      <c r="Z447">
        <v>2.2138370000000001E-2</v>
      </c>
      <c r="AA447">
        <v>0.99974240000000003</v>
      </c>
      <c r="AB447">
        <v>25</v>
      </c>
      <c r="AC447">
        <v>-0.47070000000002199</v>
      </c>
      <c r="AD447">
        <v>-0.1206549</v>
      </c>
      <c r="AE447">
        <v>-5.9899999999970498E-2</v>
      </c>
      <c r="AF447">
        <v>1.7882014864480599E-3</v>
      </c>
      <c r="AG447">
        <v>-0.1206549</v>
      </c>
      <c r="AH447">
        <v>0.44567557448110601</v>
      </c>
      <c r="AI447">
        <v>105.148094444677</v>
      </c>
      <c r="AJ447">
        <v>89.770111143275997</v>
      </c>
      <c r="AK447">
        <v>0.461722341074839</v>
      </c>
      <c r="AL447">
        <v>83.563130323359005</v>
      </c>
      <c r="AM447">
        <v>86.301897355992196</v>
      </c>
      <c r="AN447">
        <v>1.00000003561002</v>
      </c>
    </row>
    <row r="448" spans="1:40" x14ac:dyDescent="0.3">
      <c r="A448" t="str">
        <f>"20200111150247503"</f>
        <v>20200111150247503</v>
      </c>
      <c r="B448" t="str">
        <f>"1578726167496863"</f>
        <v>1578726167496863</v>
      </c>
      <c r="C448" t="s">
        <v>40</v>
      </c>
      <c r="D448">
        <v>5.3621889999999999</v>
      </c>
      <c r="E448">
        <v>0.48097129999999999</v>
      </c>
      <c r="F448" t="s">
        <v>42</v>
      </c>
      <c r="G448">
        <v>-219.79810000000001</v>
      </c>
      <c r="H448">
        <v>0.98139670000000001</v>
      </c>
      <c r="I448">
        <v>282.976</v>
      </c>
      <c r="J448">
        <v>-219.2758</v>
      </c>
      <c r="K448">
        <v>1.1012949999999999</v>
      </c>
      <c r="L448">
        <v>283.041</v>
      </c>
      <c r="M448">
        <v>-0.99176260000000005</v>
      </c>
      <c r="N448">
        <v>0</v>
      </c>
      <c r="O448">
        <v>-0.1278918</v>
      </c>
      <c r="P448">
        <v>-0.99224440000000003</v>
      </c>
      <c r="Q448">
        <v>0.10595350000000001</v>
      </c>
      <c r="R448">
        <v>-6.5001320000000001E-2</v>
      </c>
      <c r="S448">
        <v>-3.0544280000000001</v>
      </c>
      <c r="T448">
        <v>-0.52565759999999995</v>
      </c>
      <c r="U448">
        <v>-0.37362669999999998</v>
      </c>
      <c r="V448">
        <v>6.3075160000000005E-2</v>
      </c>
      <c r="W448">
        <v>0.1126566</v>
      </c>
      <c r="X448">
        <v>0.99163000000000001</v>
      </c>
      <c r="Y448">
        <v>4.623523E-3</v>
      </c>
      <c r="Z448">
        <v>2.2076709999999999E-2</v>
      </c>
      <c r="AA448">
        <v>0.99974560000000001</v>
      </c>
      <c r="AB448">
        <v>25</v>
      </c>
      <c r="AC448">
        <v>-0.52230000000000099</v>
      </c>
      <c r="AD448">
        <v>-0.1198983</v>
      </c>
      <c r="AE448">
        <v>-6.4999999999997699E-2</v>
      </c>
      <c r="AF448">
        <v>2.2182641538287099E-3</v>
      </c>
      <c r="AG448">
        <v>-0.1198983</v>
      </c>
      <c r="AH448">
        <v>0.500358634258671</v>
      </c>
      <c r="AI448">
        <v>103.47527331085401</v>
      </c>
      <c r="AJ448">
        <v>89.745989511348697</v>
      </c>
      <c r="AK448">
        <v>0.51452821683164096</v>
      </c>
      <c r="AL448">
        <v>83.531520436217406</v>
      </c>
      <c r="AM448">
        <v>86.360458687491203</v>
      </c>
      <c r="AN448">
        <v>1.00000002111629</v>
      </c>
    </row>
    <row r="449" spans="1:40" x14ac:dyDescent="0.3">
      <c r="A449" t="str">
        <f>"20200111150247522"</f>
        <v>20200111150247522</v>
      </c>
      <c r="B449" t="str">
        <f>"1578726167516382"</f>
        <v>1578726167516382</v>
      </c>
      <c r="C449" t="s">
        <v>40</v>
      </c>
      <c r="D449">
        <v>5.365564</v>
      </c>
      <c r="E449">
        <v>0.48125449999999997</v>
      </c>
      <c r="F449" t="s">
        <v>42</v>
      </c>
      <c r="G449">
        <v>-220.01910000000001</v>
      </c>
      <c r="H449">
        <v>0.97223110000000001</v>
      </c>
      <c r="I449">
        <v>282.952</v>
      </c>
      <c r="J449">
        <v>-219.4829</v>
      </c>
      <c r="K449">
        <v>1.1015060000000001</v>
      </c>
      <c r="L449">
        <v>283.01729999999998</v>
      </c>
      <c r="M449">
        <v>-0.99208759999999996</v>
      </c>
      <c r="N449">
        <v>0</v>
      </c>
      <c r="O449">
        <v>-0.12534580000000001</v>
      </c>
      <c r="P449">
        <v>-0.99220640000000004</v>
      </c>
      <c r="Q449">
        <v>0.1071893</v>
      </c>
      <c r="R449">
        <v>-6.3539650000000003E-2</v>
      </c>
      <c r="S449">
        <v>-3.0560909999999999</v>
      </c>
      <c r="T449">
        <v>-0.53061689999999995</v>
      </c>
      <c r="U449">
        <v>-0.36672969999999999</v>
      </c>
      <c r="V449">
        <v>6.1921650000000002E-2</v>
      </c>
      <c r="W449">
        <v>0.1139339</v>
      </c>
      <c r="X449">
        <v>0.99155680000000002</v>
      </c>
      <c r="Y449">
        <v>4.3524490000000004E-3</v>
      </c>
      <c r="Z449">
        <v>2.1817650000000001E-2</v>
      </c>
      <c r="AA449">
        <v>0.99975250000000004</v>
      </c>
      <c r="AB449">
        <v>25</v>
      </c>
      <c r="AC449">
        <v>-0.536200000000008</v>
      </c>
      <c r="AD449">
        <v>-0.129274899999999</v>
      </c>
      <c r="AE449">
        <v>-6.5299999999979194E-2</v>
      </c>
      <c r="AF449">
        <v>2.2956698020626999E-3</v>
      </c>
      <c r="AG449">
        <v>-0.129274899999999</v>
      </c>
      <c r="AH449">
        <v>0.51089361823134105</v>
      </c>
      <c r="AI449">
        <v>104.199750757137</v>
      </c>
      <c r="AJ449">
        <v>89.742546587243893</v>
      </c>
      <c r="AK449">
        <v>0.52700053037863404</v>
      </c>
      <c r="AL449">
        <v>83.457862504368194</v>
      </c>
      <c r="AM449">
        <v>86.426580988471997</v>
      </c>
      <c r="AN449">
        <v>1.0000000559670801</v>
      </c>
    </row>
    <row r="450" spans="1:40" x14ac:dyDescent="0.3">
      <c r="A450" t="str">
        <f>"20200111150247544"</f>
        <v>20200111150247544</v>
      </c>
      <c r="B450" t="str">
        <f>"1578726167536879"</f>
        <v>1578726167536879</v>
      </c>
      <c r="C450" t="s">
        <v>40</v>
      </c>
      <c r="D450">
        <v>5.5003989999999998</v>
      </c>
      <c r="E450">
        <v>0.48139729999999997</v>
      </c>
      <c r="F450" t="s">
        <v>42</v>
      </c>
      <c r="G450">
        <v>-220.2433</v>
      </c>
      <c r="H450">
        <v>0.96856180000000003</v>
      </c>
      <c r="I450">
        <v>282.92759999999998</v>
      </c>
      <c r="J450">
        <v>-219.7432</v>
      </c>
      <c r="K450">
        <v>1.101793</v>
      </c>
      <c r="L450">
        <v>282.98770000000002</v>
      </c>
      <c r="M450">
        <v>-0.99243959999999998</v>
      </c>
      <c r="N450">
        <v>0</v>
      </c>
      <c r="O450">
        <v>-0.12252780000000001</v>
      </c>
      <c r="P450">
        <v>-0.99227980000000005</v>
      </c>
      <c r="Q450">
        <v>0.10799110000000001</v>
      </c>
      <c r="R450">
        <v>-6.0983999999999997E-2</v>
      </c>
      <c r="S450">
        <v>-3.0582120000000002</v>
      </c>
      <c r="T450">
        <v>-0.53466020000000003</v>
      </c>
      <c r="U450">
        <v>-0.36090090000000002</v>
      </c>
      <c r="V450">
        <v>6.15741E-2</v>
      </c>
      <c r="W450">
        <v>0.114787</v>
      </c>
      <c r="X450">
        <v>0.99148000000000003</v>
      </c>
      <c r="Y450">
        <v>3.500782E-3</v>
      </c>
      <c r="Z450">
        <v>2.1413270000000002E-2</v>
      </c>
      <c r="AA450">
        <v>0.9997646</v>
      </c>
      <c r="AB450">
        <v>25</v>
      </c>
      <c r="AC450">
        <v>-0.50010000000000299</v>
      </c>
      <c r="AD450">
        <v>-0.13323119999999999</v>
      </c>
      <c r="AE450">
        <v>-6.0100000000034001E-2</v>
      </c>
      <c r="AF450">
        <v>1.5239531313747099E-3</v>
      </c>
      <c r="AG450">
        <v>-0.13323119999999999</v>
      </c>
      <c r="AH450">
        <v>0.47075975529970399</v>
      </c>
      <c r="AI450">
        <v>105.80213183199901</v>
      </c>
      <c r="AJ450">
        <v>89.814521575793094</v>
      </c>
      <c r="AK450">
        <v>0.48925210505057998</v>
      </c>
      <c r="AL450">
        <v>83.408660359738704</v>
      </c>
      <c r="AM450">
        <v>86.446311576742104</v>
      </c>
      <c r="AN450">
        <v>1.0000000077799001</v>
      </c>
    </row>
    <row r="451" spans="1:40" x14ac:dyDescent="0.3">
      <c r="A451" t="str">
        <f>"20200111150247568"</f>
        <v>20200111150247568</v>
      </c>
      <c r="B451" t="str">
        <f>"1578726167556402"</f>
        <v>1578726167556402</v>
      </c>
      <c r="C451" t="s">
        <v>40</v>
      </c>
      <c r="D451">
        <v>5.5317990000000004</v>
      </c>
      <c r="E451">
        <v>0.49862659999999998</v>
      </c>
      <c r="F451" t="s">
        <v>42</v>
      </c>
      <c r="G451">
        <v>-220.47319999999999</v>
      </c>
      <c r="H451">
        <v>0.97580029999999995</v>
      </c>
      <c r="I451">
        <v>282.90390000000002</v>
      </c>
      <c r="J451">
        <v>-220.0001</v>
      </c>
      <c r="K451">
        <v>1.102098</v>
      </c>
      <c r="L451">
        <v>282.9588</v>
      </c>
      <c r="M451">
        <v>-0.99272609999999994</v>
      </c>
      <c r="N451">
        <v>0</v>
      </c>
      <c r="O451">
        <v>-0.12018330000000001</v>
      </c>
      <c r="P451">
        <v>-0.99227609999999999</v>
      </c>
      <c r="Q451">
        <v>0.1088035</v>
      </c>
      <c r="R451">
        <v>-5.9582250000000003E-2</v>
      </c>
      <c r="S451">
        <v>-3.0591279999999998</v>
      </c>
      <c r="T451">
        <v>-0.52805049999999998</v>
      </c>
      <c r="U451">
        <v>-0.35223389999999999</v>
      </c>
      <c r="V451">
        <v>6.0544359999999998E-2</v>
      </c>
      <c r="W451">
        <v>0.115659</v>
      </c>
      <c r="X451">
        <v>0.99144209999999999</v>
      </c>
      <c r="Y451">
        <v>4.0398769999999999E-3</v>
      </c>
      <c r="Z451">
        <v>2.0799700000000001E-2</v>
      </c>
      <c r="AA451">
        <v>0.99977550000000004</v>
      </c>
      <c r="AB451">
        <v>25</v>
      </c>
      <c r="AC451">
        <v>-0.47309999999998797</v>
      </c>
      <c r="AD451">
        <v>-0.12629769999999901</v>
      </c>
      <c r="AE451">
        <v>-5.4899999999974997E-2</v>
      </c>
      <c r="AF451">
        <v>2.2031891445045901E-3</v>
      </c>
      <c r="AG451">
        <v>-0.12629769999999901</v>
      </c>
      <c r="AH451">
        <v>0.44497824426949401</v>
      </c>
      <c r="AI451">
        <v>105.84529164704399</v>
      </c>
      <c r="AJ451">
        <v>89.716317798529801</v>
      </c>
      <c r="AK451">
        <v>0.46255983498446801</v>
      </c>
      <c r="AL451">
        <v>83.358363596780094</v>
      </c>
      <c r="AM451">
        <v>86.505460243469201</v>
      </c>
      <c r="AN451">
        <v>1.0000000307306001</v>
      </c>
    </row>
    <row r="452" spans="1:40" x14ac:dyDescent="0.3">
      <c r="A452" t="str">
        <f>"20200111150247582"</f>
        <v>20200111150247582</v>
      </c>
      <c r="B452" t="str">
        <f>"1578726167576896"</f>
        <v>1578726167576896</v>
      </c>
      <c r="C452" t="s">
        <v>40</v>
      </c>
      <c r="D452">
        <v>4.6936980000000004</v>
      </c>
      <c r="E452">
        <v>0.51545949999999996</v>
      </c>
      <c r="F452" t="s">
        <v>56</v>
      </c>
      <c r="G452">
        <v>-261.82150000000001</v>
      </c>
      <c r="H452" s="1">
        <v>-5.6746770000000001E-7</v>
      </c>
      <c r="I452">
        <v>280.20089999999999</v>
      </c>
      <c r="J452">
        <v>-220.16669999999999</v>
      </c>
      <c r="K452">
        <v>1.1022940000000001</v>
      </c>
      <c r="L452">
        <v>282.94009999999997</v>
      </c>
      <c r="M452">
        <v>-0.9928747</v>
      </c>
      <c r="N452">
        <v>0</v>
      </c>
      <c r="O452">
        <v>-0.1189477</v>
      </c>
      <c r="P452">
        <v>-0.99224230000000002</v>
      </c>
      <c r="Q452">
        <v>0.1093203</v>
      </c>
      <c r="R452">
        <v>-5.9197659999999999E-2</v>
      </c>
      <c r="S452">
        <v>-3.020111</v>
      </c>
      <c r="T452">
        <v>-7.9587459999999999E-2</v>
      </c>
      <c r="U452">
        <v>-0.19915769999999999</v>
      </c>
      <c r="V452">
        <v>5.9635569999999999E-2</v>
      </c>
      <c r="W452">
        <v>0.116216</v>
      </c>
      <c r="X452">
        <v>0.99143199999999998</v>
      </c>
      <c r="Y452">
        <v>5.3299930000000002E-2</v>
      </c>
      <c r="Z452">
        <v>3.8234789999999999E-3</v>
      </c>
      <c r="AA452">
        <v>0.99857119999999999</v>
      </c>
      <c r="AB452">
        <v>25</v>
      </c>
      <c r="AC452">
        <v>-41.654800000000002</v>
      </c>
      <c r="AD452">
        <v>-1.1022945674677</v>
      </c>
      <c r="AE452">
        <v>-2.7391999999999799</v>
      </c>
      <c r="AF452">
        <v>2.23356021937848</v>
      </c>
      <c r="AG452">
        <v>-1.1022945674677</v>
      </c>
      <c r="AH452">
        <v>41.655842579911798</v>
      </c>
      <c r="AI452">
        <v>91.513630663468803</v>
      </c>
      <c r="AJ452">
        <v>86.930775273396307</v>
      </c>
      <c r="AK452">
        <v>41.730241619351503</v>
      </c>
      <c r="AL452">
        <v>83.326232872065702</v>
      </c>
      <c r="AM452">
        <v>86.557752324976704</v>
      </c>
      <c r="AN452">
        <v>0.99999998524461198</v>
      </c>
    </row>
    <row r="453" spans="1:40" x14ac:dyDescent="0.3">
      <c r="A453" t="str">
        <f>"20200111150247600"</f>
        <v>20200111150247600</v>
      </c>
      <c r="B453" t="str">
        <f>"1578726167596414"</f>
        <v>1578726167596414</v>
      </c>
      <c r="C453" t="s">
        <v>40</v>
      </c>
      <c r="D453">
        <v>5.4087779999999999</v>
      </c>
      <c r="E453">
        <v>0.5179357</v>
      </c>
      <c r="F453" t="s">
        <v>57</v>
      </c>
      <c r="G453">
        <v>-511.96899999999999</v>
      </c>
      <c r="H453">
        <v>31.246569999999998</v>
      </c>
      <c r="I453">
        <v>277.59320000000002</v>
      </c>
      <c r="J453">
        <v>-220.37100000000001</v>
      </c>
      <c r="K453">
        <v>1.1025510000000001</v>
      </c>
      <c r="L453">
        <v>282.91719999999998</v>
      </c>
      <c r="M453">
        <v>-0.99302639999999998</v>
      </c>
      <c r="N453">
        <v>0</v>
      </c>
      <c r="O453">
        <v>-0.11767519999999999</v>
      </c>
      <c r="P453">
        <v>-0.99210160000000003</v>
      </c>
      <c r="Q453">
        <v>0.110157</v>
      </c>
      <c r="R453">
        <v>-6.000072E-2</v>
      </c>
      <c r="S453">
        <v>-2.9861909999999998</v>
      </c>
      <c r="T453">
        <v>0.30848540000000002</v>
      </c>
      <c r="U453">
        <v>-5.4718019999999999E-2</v>
      </c>
      <c r="V453">
        <v>5.7484649999999998E-2</v>
      </c>
      <c r="W453">
        <v>0.1171049</v>
      </c>
      <c r="X453">
        <v>0.99145450000000002</v>
      </c>
      <c r="Y453">
        <v>9.8318859999999994E-2</v>
      </c>
      <c r="Z453">
        <v>-1.7163379999999999E-2</v>
      </c>
      <c r="AA453">
        <v>0.99500690000000003</v>
      </c>
      <c r="AB453">
        <v>25</v>
      </c>
      <c r="AC453">
        <v>-291.59800000000001</v>
      </c>
      <c r="AD453">
        <v>30.144019</v>
      </c>
      <c r="AE453">
        <v>-5.3239999999999501</v>
      </c>
      <c r="AF453">
        <v>28.7209002974501</v>
      </c>
      <c r="AG453">
        <v>30.144019</v>
      </c>
      <c r="AH453">
        <v>287.13104457321202</v>
      </c>
      <c r="AI453">
        <v>84.036386656858895</v>
      </c>
      <c r="AJ453">
        <v>84.2878666421243</v>
      </c>
      <c r="AK453">
        <v>290.13408754069599</v>
      </c>
      <c r="AL453">
        <v>83.274952831405599</v>
      </c>
      <c r="AM453">
        <v>86.681698923145802</v>
      </c>
      <c r="AN453">
        <v>1.00000003407994</v>
      </c>
    </row>
    <row r="454" spans="1:40" x14ac:dyDescent="0.3">
      <c r="A454" t="str">
        <f>"20200111150247622"</f>
        <v>20200111150247622</v>
      </c>
      <c r="B454" t="str">
        <f>"1578726167616912"</f>
        <v>1578726167616912</v>
      </c>
      <c r="C454" t="s">
        <v>40</v>
      </c>
      <c r="D454">
        <v>5.1471150000000003</v>
      </c>
      <c r="E454">
        <v>0.51051559999999996</v>
      </c>
      <c r="F454" t="s">
        <v>42</v>
      </c>
      <c r="G454">
        <v>-221.19739999999999</v>
      </c>
      <c r="H454">
        <v>1.045218</v>
      </c>
      <c r="I454">
        <v>282.90410000000003</v>
      </c>
      <c r="J454">
        <v>-220.6284</v>
      </c>
      <c r="K454">
        <v>1.102854</v>
      </c>
      <c r="L454">
        <v>282.88819999999998</v>
      </c>
      <c r="M454">
        <v>-0.99316769999999999</v>
      </c>
      <c r="N454">
        <v>0</v>
      </c>
      <c r="O454">
        <v>-0.11647680000000001</v>
      </c>
      <c r="P454">
        <v>-0.9921527</v>
      </c>
      <c r="Q454">
        <v>0.1095454</v>
      </c>
      <c r="R454">
        <v>-6.0275910000000002E-2</v>
      </c>
      <c r="S454">
        <v>-3.0443880000000001</v>
      </c>
      <c r="T454">
        <v>-0.21126880000000001</v>
      </c>
      <c r="U454">
        <v>-4.8645019999999997E-2</v>
      </c>
      <c r="V454">
        <v>5.5932129999999997E-2</v>
      </c>
      <c r="W454">
        <v>0.1165542</v>
      </c>
      <c r="X454">
        <v>0.99160809999999999</v>
      </c>
      <c r="Y454">
        <v>0.1000776</v>
      </c>
      <c r="Z454">
        <v>1.1525469999999999E-2</v>
      </c>
      <c r="AA454">
        <v>0.99491289999999999</v>
      </c>
      <c r="AB454">
        <v>26</v>
      </c>
      <c r="AC454">
        <v>-0.56899999999998796</v>
      </c>
      <c r="AD454">
        <v>-5.7636E-2</v>
      </c>
      <c r="AE454">
        <v>1.5900000000044601E-2</v>
      </c>
      <c r="AF454">
        <v>8.12359012036485E-2</v>
      </c>
      <c r="AG454">
        <v>-5.7636E-2</v>
      </c>
      <c r="AH454">
        <v>0.55755853024000401</v>
      </c>
      <c r="AI454">
        <v>95.840588849836294</v>
      </c>
      <c r="AJ454">
        <v>81.710373423446001</v>
      </c>
      <c r="AK454">
        <v>0.56638564139971204</v>
      </c>
      <c r="AL454">
        <v>83.306722644355702</v>
      </c>
      <c r="AM454">
        <v>86.771624979600105</v>
      </c>
      <c r="AN454">
        <v>0.99999995434479205</v>
      </c>
    </row>
    <row r="455" spans="1:40" x14ac:dyDescent="0.3">
      <c r="A455" t="str">
        <f>"20200111150247645"</f>
        <v>20200111150247645</v>
      </c>
      <c r="B455" t="str">
        <f>"1578726167636431"</f>
        <v>1578726167636431</v>
      </c>
      <c r="C455" t="s">
        <v>40</v>
      </c>
      <c r="D455">
        <v>6.4438599999999999</v>
      </c>
      <c r="E455">
        <v>0.52340329999999902</v>
      </c>
      <c r="F455" t="s">
        <v>57</v>
      </c>
      <c r="G455">
        <v>-512.84559999999999</v>
      </c>
      <c r="H455">
        <v>61.649819999999998</v>
      </c>
      <c r="I455">
        <v>273.82139999999998</v>
      </c>
      <c r="J455">
        <v>-220.88640000000001</v>
      </c>
      <c r="K455">
        <v>1.103148</v>
      </c>
      <c r="L455">
        <v>282.85899999999998</v>
      </c>
      <c r="M455">
        <v>-0.99325750000000002</v>
      </c>
      <c r="N455">
        <v>0</v>
      </c>
      <c r="O455">
        <v>-0.1157065</v>
      </c>
      <c r="P455">
        <v>-0.99213680000000004</v>
      </c>
      <c r="Q455">
        <v>0.1089285</v>
      </c>
      <c r="R455">
        <v>-6.1639159999999998E-2</v>
      </c>
      <c r="S455">
        <v>-2.9506839999999999</v>
      </c>
      <c r="T455">
        <v>0.61137769999999902</v>
      </c>
      <c r="U455">
        <v>-9.1552729999999999E-2</v>
      </c>
      <c r="V455">
        <v>5.3721909999999998E-2</v>
      </c>
      <c r="W455">
        <v>0.1159953</v>
      </c>
      <c r="X455">
        <v>0.99179589999999995</v>
      </c>
      <c r="Y455">
        <v>8.0693920000000002E-2</v>
      </c>
      <c r="Z455">
        <v>-3.1936550000000001E-2</v>
      </c>
      <c r="AA455">
        <v>0.99622710000000003</v>
      </c>
      <c r="AB455">
        <v>26</v>
      </c>
      <c r="AC455">
        <v>-291.95920000000001</v>
      </c>
      <c r="AD455">
        <v>60.546671999999901</v>
      </c>
      <c r="AE455">
        <v>-9.0376000000000491</v>
      </c>
      <c r="AF455">
        <v>23.783674091548601</v>
      </c>
      <c r="AG455">
        <v>60.546671999999901</v>
      </c>
      <c r="AH455">
        <v>279.05416229308202</v>
      </c>
      <c r="AI455">
        <v>77.801116242457098</v>
      </c>
      <c r="AJ455">
        <v>85.128476697048896</v>
      </c>
      <c r="AK455">
        <v>286.53584092860399</v>
      </c>
      <c r="AL455">
        <v>83.338964455265199</v>
      </c>
      <c r="AM455">
        <v>86.899529742459706</v>
      </c>
      <c r="AN455">
        <v>1.00000003024647</v>
      </c>
    </row>
    <row r="456" spans="1:40" x14ac:dyDescent="0.3">
      <c r="A456" t="str">
        <f>"20200111150247666"</f>
        <v>20200111150247666</v>
      </c>
      <c r="B456" t="str">
        <f>"1578726167656929"</f>
        <v>1578726167656929</v>
      </c>
      <c r="C456" t="s">
        <v>40</v>
      </c>
      <c r="D456">
        <v>6.00624</v>
      </c>
      <c r="E456">
        <v>0.52991860000000002</v>
      </c>
      <c r="F456" t="s">
        <v>44</v>
      </c>
      <c r="G456">
        <v>0</v>
      </c>
      <c r="H456">
        <v>0</v>
      </c>
      <c r="I456">
        <v>0</v>
      </c>
      <c r="J456">
        <v>-221.13579999999999</v>
      </c>
      <c r="K456">
        <v>1.103416</v>
      </c>
      <c r="L456">
        <v>282.8306</v>
      </c>
      <c r="M456">
        <v>-0.99329979999999995</v>
      </c>
      <c r="N456">
        <v>0</v>
      </c>
      <c r="O456">
        <v>-0.1153426</v>
      </c>
      <c r="P456">
        <v>-0.99204650000000005</v>
      </c>
      <c r="Q456">
        <v>0.1086855</v>
      </c>
      <c r="R456">
        <v>-6.349465E-2</v>
      </c>
      <c r="S456">
        <v>-2.9536899999999999</v>
      </c>
      <c r="T456">
        <v>0.64226530000000004</v>
      </c>
      <c r="U456">
        <v>6.6528319999999896E-3</v>
      </c>
      <c r="V456">
        <v>5.1429259999999997E-2</v>
      </c>
      <c r="W456">
        <v>0.1158035</v>
      </c>
      <c r="X456">
        <v>0.99193980000000004</v>
      </c>
      <c r="Y456">
        <v>0.11227239999999999</v>
      </c>
      <c r="Z456">
        <v>-3.681599E-2</v>
      </c>
      <c r="AA456">
        <v>0.99299519999999997</v>
      </c>
      <c r="AB456">
        <v>26</v>
      </c>
      <c r="AC456">
        <v>-2.9536899999999999</v>
      </c>
      <c r="AD456">
        <v>0.64226530000000004</v>
      </c>
      <c r="AE456">
        <v>6.6528319999999896E-3</v>
      </c>
      <c r="AF456">
        <v>0.33162363347588403</v>
      </c>
      <c r="AG456">
        <v>0.64226530000000004</v>
      </c>
      <c r="AH456">
        <v>2.8007811429702398</v>
      </c>
      <c r="AI456">
        <v>77.171055212207193</v>
      </c>
      <c r="AJ456">
        <v>83.247390647530906</v>
      </c>
      <c r="AK456">
        <v>2.8925514620627801</v>
      </c>
      <c r="AL456">
        <v>83.350028097416498</v>
      </c>
      <c r="AM456">
        <v>87.032034160295893</v>
      </c>
      <c r="AN456">
        <v>0.99999999311021803</v>
      </c>
    </row>
    <row r="457" spans="1:40" x14ac:dyDescent="0.3">
      <c r="A457" t="str">
        <f>"20200111150247689"</f>
        <v>20200111150247689</v>
      </c>
      <c r="B457" t="str">
        <f>"1578726167687182"</f>
        <v>1578726167687182</v>
      </c>
      <c r="C457" t="s">
        <v>40</v>
      </c>
      <c r="D457">
        <v>5.476483</v>
      </c>
      <c r="E457">
        <v>0.53024830000000001</v>
      </c>
      <c r="F457" t="s">
        <v>44</v>
      </c>
      <c r="G457">
        <v>0</v>
      </c>
      <c r="H457">
        <v>0</v>
      </c>
      <c r="I457">
        <v>0</v>
      </c>
      <c r="J457">
        <v>-221.38570000000001</v>
      </c>
      <c r="K457">
        <v>1.103661</v>
      </c>
      <c r="L457">
        <v>282.80180000000001</v>
      </c>
      <c r="M457">
        <v>-0.99330030000000002</v>
      </c>
      <c r="N457">
        <v>0</v>
      </c>
      <c r="O457">
        <v>-0.11533690000000001</v>
      </c>
      <c r="P457">
        <v>-0.99183390000000005</v>
      </c>
      <c r="Q457">
        <v>0.1094714</v>
      </c>
      <c r="R457">
        <v>-6.5435419999999994E-2</v>
      </c>
      <c r="S457">
        <v>-2.9628909999999999</v>
      </c>
      <c r="T457">
        <v>0.58819529999999998</v>
      </c>
      <c r="U457">
        <v>5.1147459999999999E-2</v>
      </c>
      <c r="V457">
        <v>4.9400239999999998E-2</v>
      </c>
      <c r="W457">
        <v>0.11663419999999999</v>
      </c>
      <c r="X457">
        <v>0.99194559999999998</v>
      </c>
      <c r="Y457">
        <v>0.12773080000000001</v>
      </c>
      <c r="Z457">
        <v>-3.519692E-2</v>
      </c>
      <c r="AA457">
        <v>0.99118419999999896</v>
      </c>
      <c r="AB457">
        <v>26</v>
      </c>
      <c r="AC457">
        <v>-2.9628909999999999</v>
      </c>
      <c r="AD457">
        <v>0.58819529999999998</v>
      </c>
      <c r="AE457">
        <v>5.1147459999999999E-2</v>
      </c>
      <c r="AF457">
        <v>0.37766607174581401</v>
      </c>
      <c r="AG457">
        <v>0.58819529999999998</v>
      </c>
      <c r="AH457">
        <v>2.8258814004808102</v>
      </c>
      <c r="AI457">
        <v>78.342781504952001</v>
      </c>
      <c r="AJ457">
        <v>82.387789132638403</v>
      </c>
      <c r="AK457">
        <v>2.9110498213313698</v>
      </c>
      <c r="AL457">
        <v>83.302107790792903</v>
      </c>
      <c r="AM457">
        <v>87.148947733466997</v>
      </c>
      <c r="AN457">
        <v>0.99999999684052798</v>
      </c>
    </row>
    <row r="458" spans="1:40" x14ac:dyDescent="0.3">
      <c r="A458" t="str">
        <f>"20200111150247713"</f>
        <v>20200111150247713</v>
      </c>
      <c r="B458" t="str">
        <f>"1578726167706702"</f>
        <v>1578726167706702</v>
      </c>
      <c r="C458" t="s">
        <v>40</v>
      </c>
      <c r="D458">
        <v>5.4741169999999997</v>
      </c>
      <c r="E458">
        <v>0.51479299999999995</v>
      </c>
      <c r="F458" t="s">
        <v>44</v>
      </c>
      <c r="G458">
        <v>0</v>
      </c>
      <c r="H458">
        <v>0</v>
      </c>
      <c r="I458">
        <v>0</v>
      </c>
      <c r="J458">
        <v>-221.6574</v>
      </c>
      <c r="K458">
        <v>1.1039300000000001</v>
      </c>
      <c r="L458">
        <v>282.77010000000001</v>
      </c>
      <c r="M458">
        <v>-0.99325070000000004</v>
      </c>
      <c r="N458">
        <v>0</v>
      </c>
      <c r="O458">
        <v>-0.1157619</v>
      </c>
      <c r="P458">
        <v>-0.99172369999999999</v>
      </c>
      <c r="Q458">
        <v>0.1096155</v>
      </c>
      <c r="R458">
        <v>-6.684677E-2</v>
      </c>
      <c r="S458">
        <v>-2.9673609999999999</v>
      </c>
      <c r="T458">
        <v>0.54777989999999999</v>
      </c>
      <c r="U458">
        <v>4.7271729999999998E-2</v>
      </c>
      <c r="V458">
        <v>4.8335330000000003E-2</v>
      </c>
      <c r="W458">
        <v>0.1168241</v>
      </c>
      <c r="X458">
        <v>0.99197570000000002</v>
      </c>
      <c r="Y458">
        <v>0.12746779999999999</v>
      </c>
      <c r="Z458">
        <v>-3.2824970000000002E-2</v>
      </c>
      <c r="AA458">
        <v>0.99129940000000005</v>
      </c>
      <c r="AB458">
        <v>26</v>
      </c>
      <c r="AC458">
        <v>-2.9673609999999999</v>
      </c>
      <c r="AD458">
        <v>0.54777989999999999</v>
      </c>
      <c r="AE458">
        <v>4.7271729999999998E-2</v>
      </c>
      <c r="AF458">
        <v>0.37760552660699398</v>
      </c>
      <c r="AG458">
        <v>0.54777989999999999</v>
      </c>
      <c r="AH458">
        <v>2.84501087089627</v>
      </c>
      <c r="AI458">
        <v>79.194111983446405</v>
      </c>
      <c r="AJ458">
        <v>82.439576599920699</v>
      </c>
      <c r="AK458">
        <v>2.9217692598982001</v>
      </c>
      <c r="AL458">
        <v>83.2911523285116</v>
      </c>
      <c r="AM458">
        <v>87.210393595870798</v>
      </c>
      <c r="AN458">
        <v>0.99999998192875394</v>
      </c>
    </row>
    <row r="459" spans="1:40" x14ac:dyDescent="0.3">
      <c r="A459" t="str">
        <f>"20200111150247735"</f>
        <v>20200111150247735</v>
      </c>
      <c r="B459" t="str">
        <f>"1578726167727198"</f>
        <v>1578726167727198</v>
      </c>
      <c r="C459" t="s">
        <v>40</v>
      </c>
      <c r="D459">
        <v>5.1361730000000003</v>
      </c>
      <c r="E459">
        <v>0.53926619999999903</v>
      </c>
      <c r="F459" t="s">
        <v>42</v>
      </c>
      <c r="G459">
        <v>-222.5753</v>
      </c>
      <c r="H459">
        <v>1.043614</v>
      </c>
      <c r="I459">
        <v>282.7432</v>
      </c>
      <c r="J459">
        <v>-221.92</v>
      </c>
      <c r="K459">
        <v>1.1041749999999999</v>
      </c>
      <c r="L459">
        <v>282.7389</v>
      </c>
      <c r="M459">
        <v>-0.99316210000000005</v>
      </c>
      <c r="N459">
        <v>0</v>
      </c>
      <c r="O459">
        <v>-0.1165192</v>
      </c>
      <c r="P459">
        <v>-0.99155519999999997</v>
      </c>
      <c r="Q459">
        <v>0.1102929</v>
      </c>
      <c r="R459">
        <v>-6.8217899999999998E-2</v>
      </c>
      <c r="S459">
        <v>-3.0410919999999999</v>
      </c>
      <c r="T459">
        <v>-0.19996990000000001</v>
      </c>
      <c r="U459">
        <v>-8.9752199999999893E-2</v>
      </c>
      <c r="V459">
        <v>4.7640920000000003E-2</v>
      </c>
      <c r="W459">
        <v>0.11754340000000001</v>
      </c>
      <c r="X459">
        <v>0.99192429999999998</v>
      </c>
      <c r="Y459">
        <v>8.6734850000000002E-2</v>
      </c>
      <c r="Z459">
        <v>1.048371E-2</v>
      </c>
      <c r="AA459">
        <v>0.99617619999999896</v>
      </c>
      <c r="AB459">
        <v>26</v>
      </c>
      <c r="AC459">
        <v>-0.65530000000001098</v>
      </c>
      <c r="AD459">
        <v>-6.0560999999999802E-2</v>
      </c>
      <c r="AE459">
        <v>4.3000000000006297E-3</v>
      </c>
      <c r="AF459">
        <v>7.9944962171222503E-2</v>
      </c>
      <c r="AG459">
        <v>-6.0560999999999802E-2</v>
      </c>
      <c r="AH459">
        <v>0.64482790410526603</v>
      </c>
      <c r="AI459">
        <v>95.324841100393897</v>
      </c>
      <c r="AJ459">
        <v>82.932603576725199</v>
      </c>
      <c r="AK459">
        <v>0.65258092035421</v>
      </c>
      <c r="AL459">
        <v>83.2496534249359</v>
      </c>
      <c r="AM459">
        <v>87.250266293328707</v>
      </c>
      <c r="AN459">
        <v>0.99999996253624701</v>
      </c>
    </row>
    <row r="460" spans="1:40" x14ac:dyDescent="0.3">
      <c r="A460" t="str">
        <f>"20200111150247759"</f>
        <v>20200111150247759</v>
      </c>
      <c r="B460" t="str">
        <f>"1578726167756480"</f>
        <v>1578726167756480</v>
      </c>
      <c r="C460" t="s">
        <v>40</v>
      </c>
      <c r="D460">
        <v>5.509779</v>
      </c>
      <c r="E460">
        <v>0.51502879999999995</v>
      </c>
      <c r="F460" t="s">
        <v>58</v>
      </c>
      <c r="G460">
        <v>-514.60820000000001</v>
      </c>
      <c r="H460">
        <v>58.841999999999999</v>
      </c>
      <c r="I460">
        <v>293.69319999999999</v>
      </c>
      <c r="J460">
        <v>-222.19499999999999</v>
      </c>
      <c r="K460">
        <v>1.1043909999999999</v>
      </c>
      <c r="L460">
        <v>282.7056</v>
      </c>
      <c r="M460">
        <v>-0.99303399999999997</v>
      </c>
      <c r="N460">
        <v>0</v>
      </c>
      <c r="O460">
        <v>-0.1176041</v>
      </c>
      <c r="P460">
        <v>-0.99145559999999999</v>
      </c>
      <c r="Q460">
        <v>0.109457399999999</v>
      </c>
      <c r="R460">
        <v>-7.0957709999999993E-2</v>
      </c>
      <c r="S460">
        <v>-2.968048</v>
      </c>
      <c r="T460">
        <v>0.58549929999999994</v>
      </c>
      <c r="U460">
        <v>0.111084</v>
      </c>
      <c r="V460">
        <v>4.5931060000000003E-2</v>
      </c>
      <c r="W460">
        <v>0.1167483</v>
      </c>
      <c r="X460">
        <v>0.99209890000000001</v>
      </c>
      <c r="Y460">
        <v>0.14952699999999999</v>
      </c>
      <c r="Z460">
        <v>-3.7545670000000003E-2</v>
      </c>
      <c r="AA460">
        <v>0.98804449999999999</v>
      </c>
      <c r="AB460">
        <v>26</v>
      </c>
      <c r="AC460">
        <v>-292.41320000000002</v>
      </c>
      <c r="AD460">
        <v>57.737608999999999</v>
      </c>
      <c r="AE460">
        <v>10.987599999999899</v>
      </c>
      <c r="AF460">
        <v>43.6036527331933</v>
      </c>
      <c r="AG460">
        <v>57.737608999999999</v>
      </c>
      <c r="AH460">
        <v>278.25842672642</v>
      </c>
      <c r="AI460">
        <v>78.415162892113699</v>
      </c>
      <c r="AJ460">
        <v>81.094061950684804</v>
      </c>
      <c r="AK460">
        <v>287.51115120804701</v>
      </c>
      <c r="AL460">
        <v>83.295525580018904</v>
      </c>
      <c r="AM460">
        <v>87.349278311380601</v>
      </c>
      <c r="AN460">
        <v>1.00000002760341</v>
      </c>
    </row>
    <row r="461" spans="1:40" x14ac:dyDescent="0.3">
      <c r="A461" t="str">
        <f>"20200111150247778"</f>
        <v>20200111150247778</v>
      </c>
      <c r="B461" t="str">
        <f>"1578726167776974"</f>
        <v>1578726167776974</v>
      </c>
      <c r="C461" t="s">
        <v>40</v>
      </c>
      <c r="D461">
        <v>5.646744</v>
      </c>
      <c r="E461">
        <v>0.51306529999999995</v>
      </c>
      <c r="F461" t="s">
        <v>57</v>
      </c>
      <c r="G461">
        <v>-512.82529999999997</v>
      </c>
      <c r="H461">
        <v>0.34064660000000002</v>
      </c>
      <c r="I461">
        <v>273.3304</v>
      </c>
      <c r="J461">
        <v>-222.43260000000001</v>
      </c>
      <c r="K461">
        <v>1.1045609999999999</v>
      </c>
      <c r="L461">
        <v>282.6764</v>
      </c>
      <c r="M461">
        <v>-0.99289470000000002</v>
      </c>
      <c r="N461">
        <v>0</v>
      </c>
      <c r="O461">
        <v>-0.11877359999999999</v>
      </c>
      <c r="P461">
        <v>-0.99124939999999995</v>
      </c>
      <c r="Q461">
        <v>0.10918609999999999</v>
      </c>
      <c r="R461">
        <v>-7.418305E-2</v>
      </c>
      <c r="S461">
        <v>-3.0197750000000001</v>
      </c>
      <c r="T461">
        <v>-7.9348089999999993E-3</v>
      </c>
      <c r="U461">
        <v>-9.7412109999999996E-2</v>
      </c>
      <c r="V461">
        <v>4.3824790000000002E-2</v>
      </c>
      <c r="W461">
        <v>0.11651060000000001</v>
      </c>
      <c r="X461">
        <v>0.9922221</v>
      </c>
      <c r="Y461">
        <v>8.6701269999999997E-2</v>
      </c>
      <c r="Z461">
        <v>4.2519360000000002E-4</v>
      </c>
      <c r="AA461">
        <v>0.99623419999999896</v>
      </c>
      <c r="AB461">
        <v>26</v>
      </c>
      <c r="AC461">
        <v>-290.39269999999999</v>
      </c>
      <c r="AD461">
        <v>-0.76391439999999999</v>
      </c>
      <c r="AE461">
        <v>-9.3460000000000001</v>
      </c>
      <c r="AF461">
        <v>25.211885691973698</v>
      </c>
      <c r="AG461">
        <v>-0.76391439999999999</v>
      </c>
      <c r="AH461">
        <v>289.44509260104201</v>
      </c>
      <c r="AI461">
        <v>90.150646424692496</v>
      </c>
      <c r="AJ461">
        <v>85.021861054943898</v>
      </c>
      <c r="AK461">
        <v>290.54205268115999</v>
      </c>
      <c r="AL461">
        <v>83.309238277503795</v>
      </c>
      <c r="AM461">
        <v>87.470984998656405</v>
      </c>
      <c r="AN461">
        <v>1.0000000139296501</v>
      </c>
    </row>
    <row r="462" spans="1:40" x14ac:dyDescent="0.3">
      <c r="A462" t="str">
        <f>"20200111150247801"</f>
        <v>20200111150247801</v>
      </c>
      <c r="B462" t="str">
        <f>"1578726167796494"</f>
        <v>1578726167796494</v>
      </c>
      <c r="C462" t="s">
        <v>40</v>
      </c>
      <c r="D462">
        <v>5.1422860000000004</v>
      </c>
      <c r="E462">
        <v>0.51285420000000004</v>
      </c>
      <c r="F462" t="s">
        <v>57</v>
      </c>
      <c r="G462">
        <v>-512.82569999999998</v>
      </c>
      <c r="H462">
        <v>1.7849009999999901</v>
      </c>
      <c r="I462">
        <v>270.88099999999997</v>
      </c>
      <c r="J462">
        <v>-222.68960000000001</v>
      </c>
      <c r="K462">
        <v>1.1047359999999999</v>
      </c>
      <c r="L462">
        <v>282.64420000000001</v>
      </c>
      <c r="M462">
        <v>-0.99271209999999999</v>
      </c>
      <c r="N462">
        <v>0</v>
      </c>
      <c r="O462">
        <v>-0.12028800000000001</v>
      </c>
      <c r="P462">
        <v>-0.99090310000000004</v>
      </c>
      <c r="Q462">
        <v>0.1092711</v>
      </c>
      <c r="R462">
        <v>-7.8553849999999995E-2</v>
      </c>
      <c r="S462">
        <v>-3.0165410000000001</v>
      </c>
      <c r="T462">
        <v>7.0680379999999996E-3</v>
      </c>
      <c r="U462">
        <v>-0.1225281</v>
      </c>
      <c r="V462">
        <v>4.0907279999999997E-2</v>
      </c>
      <c r="W462">
        <v>0.116630399999999</v>
      </c>
      <c r="X462">
        <v>0.99233260000000001</v>
      </c>
      <c r="Y462">
        <v>7.9900940000000004E-2</v>
      </c>
      <c r="Z462">
        <v>-3.7462079999999999E-4</v>
      </c>
      <c r="AA462">
        <v>0.99680270000000004</v>
      </c>
      <c r="AB462">
        <v>26</v>
      </c>
      <c r="AC462">
        <v>-290.13609999999898</v>
      </c>
      <c r="AD462">
        <v>0.68016499999999902</v>
      </c>
      <c r="AE462">
        <v>-11.763199999999999</v>
      </c>
      <c r="AF462">
        <v>23.222913838646399</v>
      </c>
      <c r="AG462">
        <v>0.68016499999999902</v>
      </c>
      <c r="AH462">
        <v>289.44274119254197</v>
      </c>
      <c r="AI462">
        <v>89.865791482250202</v>
      </c>
      <c r="AJ462">
        <v>85.412803268850595</v>
      </c>
      <c r="AK462">
        <v>290.373667505573</v>
      </c>
      <c r="AL462">
        <v>83.302327182815901</v>
      </c>
      <c r="AM462">
        <v>87.639412247534594</v>
      </c>
      <c r="AN462">
        <v>1.0000000223919501</v>
      </c>
    </row>
    <row r="463" spans="1:40" x14ac:dyDescent="0.3">
      <c r="A463" t="str">
        <f>"20200111150247823"</f>
        <v>20200111150247823</v>
      </c>
      <c r="B463" t="str">
        <f>"1578726167816991"</f>
        <v>1578726167816991</v>
      </c>
      <c r="C463" t="s">
        <v>40</v>
      </c>
      <c r="D463">
        <v>5.5203259999999998</v>
      </c>
      <c r="E463">
        <v>0.50910529999999998</v>
      </c>
      <c r="F463" t="s">
        <v>59</v>
      </c>
      <c r="G463">
        <v>-309.9717</v>
      </c>
      <c r="H463" s="1">
        <v>2.8925350000000002E-6</v>
      </c>
      <c r="I463">
        <v>278.66390000000001</v>
      </c>
      <c r="J463">
        <v>-222.9547</v>
      </c>
      <c r="K463">
        <v>1.104919</v>
      </c>
      <c r="L463">
        <v>282.61020000000002</v>
      </c>
      <c r="M463">
        <v>-0.99248950000000002</v>
      </c>
      <c r="N463">
        <v>0</v>
      </c>
      <c r="O463">
        <v>-0.1221111</v>
      </c>
      <c r="P463">
        <v>-0.99067470000000002</v>
      </c>
      <c r="Q463">
        <v>0.1077104</v>
      </c>
      <c r="R463">
        <v>-8.3442169999999996E-2</v>
      </c>
      <c r="S463">
        <v>-3.0208439999999999</v>
      </c>
      <c r="T463">
        <v>-3.8234949999999997E-2</v>
      </c>
      <c r="U463">
        <v>-0.1377563</v>
      </c>
      <c r="V463">
        <v>3.7803669999999998E-2</v>
      </c>
      <c r="W463">
        <v>0.1151049</v>
      </c>
      <c r="X463">
        <v>0.99263380000000001</v>
      </c>
      <c r="Y463">
        <v>7.6758080000000006E-2</v>
      </c>
      <c r="Z463">
        <v>2.026262E-3</v>
      </c>
      <c r="AA463">
        <v>0.99704769999999998</v>
      </c>
      <c r="AB463">
        <v>26</v>
      </c>
      <c r="AC463">
        <v>-87.016999999999996</v>
      </c>
      <c r="AD463">
        <v>-1.104916107465</v>
      </c>
      <c r="AE463">
        <v>-3.9462999999999999</v>
      </c>
      <c r="AF463">
        <v>6.7081803035122602</v>
      </c>
      <c r="AG463">
        <v>-1.104916107465</v>
      </c>
      <c r="AH463">
        <v>86.833696222561898</v>
      </c>
      <c r="AI463">
        <v>90.726855792182803</v>
      </c>
      <c r="AJ463">
        <v>85.582492115943396</v>
      </c>
      <c r="AK463">
        <v>87.0994335358223</v>
      </c>
      <c r="AL463">
        <v>83.390324831416706</v>
      </c>
      <c r="AM463">
        <v>87.818989780234602</v>
      </c>
      <c r="AN463">
        <v>1.0000000581859501</v>
      </c>
    </row>
    <row r="464" spans="1:40" x14ac:dyDescent="0.3">
      <c r="A464" t="str">
        <f>"20200111150247847"</f>
        <v>20200111150247847</v>
      </c>
      <c r="B464" t="str">
        <f>"1578726167836510"</f>
        <v>1578726167836510</v>
      </c>
      <c r="C464" t="s">
        <v>40</v>
      </c>
      <c r="D464">
        <v>5.582071</v>
      </c>
      <c r="E464">
        <v>0.51603199999999905</v>
      </c>
      <c r="F464" t="s">
        <v>57</v>
      </c>
      <c r="G464">
        <v>-512.84410000000003</v>
      </c>
      <c r="H464">
        <v>57.062989999999999</v>
      </c>
      <c r="I464">
        <v>265.41759999999999</v>
      </c>
      <c r="J464">
        <v>-223.22200000000001</v>
      </c>
      <c r="K464">
        <v>1.105094</v>
      </c>
      <c r="L464">
        <v>282.57530000000003</v>
      </c>
      <c r="M464">
        <v>-0.99223139999999999</v>
      </c>
      <c r="N464">
        <v>0</v>
      </c>
      <c r="O464">
        <v>-0.12418999999999999</v>
      </c>
      <c r="P464">
        <v>-0.9905351</v>
      </c>
      <c r="Q464">
        <v>0.1058491</v>
      </c>
      <c r="R464">
        <v>-8.7388170000000001E-2</v>
      </c>
      <c r="S464">
        <v>-2.9515380000000002</v>
      </c>
      <c r="T464">
        <v>0.569743</v>
      </c>
      <c r="U464">
        <v>-0.17504879999999901</v>
      </c>
      <c r="V464">
        <v>3.5907250000000002E-2</v>
      </c>
      <c r="W464">
        <v>0.11328009999999999</v>
      </c>
      <c r="X464">
        <v>0.99291399999999996</v>
      </c>
      <c r="Y464">
        <v>6.182352E-2</v>
      </c>
      <c r="Z464">
        <v>-2.957305E-2</v>
      </c>
      <c r="AA464">
        <v>0.99764889999999995</v>
      </c>
      <c r="AB464">
        <v>26</v>
      </c>
      <c r="AC464">
        <v>-289.62209999999999</v>
      </c>
      <c r="AD464">
        <v>55.957895999999998</v>
      </c>
      <c r="AE464">
        <v>-17.157699999999998</v>
      </c>
      <c r="AF464">
        <v>18.264824994595699</v>
      </c>
      <c r="AG464">
        <v>55.957895999999998</v>
      </c>
      <c r="AH464">
        <v>279.12731485710299</v>
      </c>
      <c r="AI464">
        <v>78.687498521404805</v>
      </c>
      <c r="AJ464">
        <v>86.256161525887606</v>
      </c>
      <c r="AK464">
        <v>285.26645063197702</v>
      </c>
      <c r="AL464">
        <v>83.495565971691605</v>
      </c>
      <c r="AM464">
        <v>87.928886366555602</v>
      </c>
      <c r="AN464">
        <v>0.99999996152728499</v>
      </c>
    </row>
    <row r="465" spans="1:40" x14ac:dyDescent="0.3">
      <c r="A465" t="str">
        <f>"20200111150247869"</f>
        <v>20200111150247869</v>
      </c>
      <c r="B465" t="str">
        <f>"1578726167866767"</f>
        <v>1578726167866767</v>
      </c>
      <c r="C465" t="s">
        <v>40</v>
      </c>
      <c r="D465">
        <v>5.94543</v>
      </c>
      <c r="E465">
        <v>0.51577839999999997</v>
      </c>
      <c r="F465" t="s">
        <v>42</v>
      </c>
      <c r="G465">
        <v>-223.97790000000001</v>
      </c>
      <c r="H465">
        <v>1.05419</v>
      </c>
      <c r="I465">
        <v>282.53989999999999</v>
      </c>
      <c r="J465">
        <v>-223.4871</v>
      </c>
      <c r="K465">
        <v>1.105256</v>
      </c>
      <c r="L465">
        <v>282.53980000000001</v>
      </c>
      <c r="M465">
        <v>-0.99194360000000004</v>
      </c>
      <c r="N465">
        <v>0</v>
      </c>
      <c r="O465">
        <v>-0.1264663</v>
      </c>
      <c r="P465">
        <v>-0.99049849999999995</v>
      </c>
      <c r="Q465">
        <v>0.10363609999999999</v>
      </c>
      <c r="R465">
        <v>-9.0401750000000003E-2</v>
      </c>
      <c r="S465">
        <v>-3.037979</v>
      </c>
      <c r="T465">
        <v>-0.20467540000000001</v>
      </c>
      <c r="U465">
        <v>-0.1423645</v>
      </c>
      <c r="V465">
        <v>3.5155440000000003E-2</v>
      </c>
      <c r="W465">
        <v>0.1111043</v>
      </c>
      <c r="X465">
        <v>0.99318680000000004</v>
      </c>
      <c r="Y465">
        <v>7.9432820000000001E-2</v>
      </c>
      <c r="Z465">
        <v>1.115409E-2</v>
      </c>
      <c r="AA465">
        <v>0.99677780000000005</v>
      </c>
      <c r="AB465">
        <v>26</v>
      </c>
      <c r="AC465">
        <v>-0.49080000000000701</v>
      </c>
      <c r="AD465">
        <v>-5.1066E-2</v>
      </c>
      <c r="AE465" s="1">
        <v>9.9999999974897906E-5</v>
      </c>
      <c r="AF465">
        <v>6.1504708960545301E-2</v>
      </c>
      <c r="AG465">
        <v>-5.1066E-2</v>
      </c>
      <c r="AH465">
        <v>0.481632467109743</v>
      </c>
      <c r="AI465">
        <v>96.003886911627703</v>
      </c>
      <c r="AJ465">
        <v>82.722687549887297</v>
      </c>
      <c r="AK465">
        <v>0.48822166989446403</v>
      </c>
      <c r="AL465">
        <v>83.621022759477995</v>
      </c>
      <c r="AM465">
        <v>87.972770342713304</v>
      </c>
      <c r="AN465">
        <v>1.00000004506716</v>
      </c>
    </row>
    <row r="466" spans="1:40" x14ac:dyDescent="0.3">
      <c r="A466" t="str">
        <f>"20200111150247979"</f>
        <v>20200111150247979</v>
      </c>
      <c r="B466" t="str">
        <f>"1578726167976459"</f>
        <v>1578726167976459</v>
      </c>
      <c r="C466" t="s">
        <v>40</v>
      </c>
      <c r="D466">
        <v>5.5173920000000001</v>
      </c>
      <c r="E466">
        <v>0.51800779999999902</v>
      </c>
      <c r="F466" t="s">
        <v>42</v>
      </c>
      <c r="G466">
        <v>-225.30009999999999</v>
      </c>
      <c r="H466">
        <v>0.861398</v>
      </c>
      <c r="I466">
        <v>282.31150000000002</v>
      </c>
      <c r="J466">
        <v>-224.78720000000001</v>
      </c>
      <c r="K466">
        <v>1.105602</v>
      </c>
      <c r="L466">
        <v>282.35340000000002</v>
      </c>
      <c r="M466">
        <v>-0.99020770000000002</v>
      </c>
      <c r="N466">
        <v>0</v>
      </c>
      <c r="O466">
        <v>-0.139403</v>
      </c>
      <c r="P466">
        <v>-0.99004349999999997</v>
      </c>
      <c r="Q466">
        <v>0.10598150000000001</v>
      </c>
      <c r="R466">
        <v>-9.2640420000000001E-2</v>
      </c>
      <c r="S466">
        <v>-3.1043850000000002</v>
      </c>
      <c r="T466">
        <v>-0.98657039999999996</v>
      </c>
      <c r="U466">
        <v>-0.32400509999999999</v>
      </c>
      <c r="V466">
        <v>4.5736600000000002E-2</v>
      </c>
      <c r="W466">
        <v>0.1136151</v>
      </c>
      <c r="X466">
        <v>0.99247160000000001</v>
      </c>
      <c r="Y466">
        <v>2.7772870000000002E-2</v>
      </c>
      <c r="Z466">
        <v>4.7240650000000002E-2</v>
      </c>
      <c r="AA466">
        <v>0.99849739999999998</v>
      </c>
      <c r="AB466">
        <v>27</v>
      </c>
      <c r="AC466">
        <v>-0.51289999999997304</v>
      </c>
      <c r="AD466">
        <v>-0.244204</v>
      </c>
      <c r="AE466">
        <v>-4.1899999999998203E-2</v>
      </c>
      <c r="AF466">
        <v>2.4494894042443299E-2</v>
      </c>
      <c r="AG466">
        <v>-0.244204</v>
      </c>
      <c r="AH466">
        <v>0.41930824093164498</v>
      </c>
      <c r="AI466">
        <v>120.173981439983</v>
      </c>
      <c r="AJ466">
        <v>86.656729583563504</v>
      </c>
      <c r="AK466">
        <v>0.48585491081529802</v>
      </c>
      <c r="AL466">
        <v>83.476247755989306</v>
      </c>
      <c r="AM466">
        <v>87.361474671654307</v>
      </c>
      <c r="AN466">
        <v>1.00000005216706</v>
      </c>
    </row>
    <row r="467" spans="1:40" x14ac:dyDescent="0.3">
      <c r="A467" t="str">
        <f>"20200111150248002"</f>
        <v>20200111150248002</v>
      </c>
      <c r="B467" t="str">
        <f>"1578726167996954"</f>
        <v>1578726167996954</v>
      </c>
      <c r="C467" t="s">
        <v>40</v>
      </c>
      <c r="D467">
        <v>5.8070190000000004</v>
      </c>
      <c r="E467">
        <v>0.50881989999999999</v>
      </c>
      <c r="F467" t="s">
        <v>42</v>
      </c>
      <c r="G467">
        <v>-225.61250000000001</v>
      </c>
      <c r="H467">
        <v>1.01193</v>
      </c>
      <c r="I467">
        <v>282.31619999999998</v>
      </c>
      <c r="J467">
        <v>-225.0652</v>
      </c>
      <c r="K467">
        <v>1.105588</v>
      </c>
      <c r="L467">
        <v>282.31119999999999</v>
      </c>
      <c r="M467">
        <v>-0.98980610000000002</v>
      </c>
      <c r="N467">
        <v>0</v>
      </c>
      <c r="O467">
        <v>-0.14222570000000001</v>
      </c>
      <c r="P467">
        <v>-0.99027149999999997</v>
      </c>
      <c r="Q467">
        <v>0.10441690000000001</v>
      </c>
      <c r="R467">
        <v>-9.1977169999999997E-2</v>
      </c>
      <c r="S467">
        <v>-3.0543670000000001</v>
      </c>
      <c r="T467">
        <v>-0.34694370000000002</v>
      </c>
      <c r="U467">
        <v>-0.1383057</v>
      </c>
      <c r="V467">
        <v>4.9268279999999998E-2</v>
      </c>
      <c r="W467">
        <v>0.112080399999999</v>
      </c>
      <c r="X467">
        <v>0.99247700000000005</v>
      </c>
      <c r="Y467">
        <v>9.5788719999999994E-2</v>
      </c>
      <c r="Z467">
        <v>2.1461810000000001E-2</v>
      </c>
      <c r="AA467">
        <v>0.99517029999999995</v>
      </c>
      <c r="AB467">
        <v>27</v>
      </c>
      <c r="AC467">
        <v>-0.547300000000007</v>
      </c>
      <c r="AD467">
        <v>-9.3658000000000005E-2</v>
      </c>
      <c r="AE467">
        <v>4.9999999999954499E-3</v>
      </c>
      <c r="AF467">
        <v>8.0436122577651106E-2</v>
      </c>
      <c r="AG467">
        <v>-9.3658000000000005E-2</v>
      </c>
      <c r="AH467">
        <v>0.52563317001685905</v>
      </c>
      <c r="AI467">
        <v>99.989107987910799</v>
      </c>
      <c r="AJ467">
        <v>81.299686342408194</v>
      </c>
      <c r="AK467">
        <v>0.53993705207301601</v>
      </c>
      <c r="AL467">
        <v>83.564744469255601</v>
      </c>
      <c r="AM467">
        <v>87.158071034745106</v>
      </c>
      <c r="AN467">
        <v>0.99999998750365904</v>
      </c>
    </row>
    <row r="468" spans="1:40" x14ac:dyDescent="0.3">
      <c r="A468" t="str">
        <f>"20200111150248025"</f>
        <v>20200111150248025</v>
      </c>
      <c r="B468" t="str">
        <f>"1578726168016474"</f>
        <v>1578726168016474</v>
      </c>
      <c r="C468" t="s">
        <v>40</v>
      </c>
      <c r="D468">
        <v>5.8381610000000004</v>
      </c>
      <c r="E468">
        <v>0.50868579999999997</v>
      </c>
      <c r="F468" t="s">
        <v>42</v>
      </c>
      <c r="G468">
        <v>-225.8629</v>
      </c>
      <c r="H468">
        <v>1.042208</v>
      </c>
      <c r="I468">
        <v>282.25639999999999</v>
      </c>
      <c r="J468">
        <v>-225.3398</v>
      </c>
      <c r="K468">
        <v>1.105531</v>
      </c>
      <c r="L468">
        <v>282.2688</v>
      </c>
      <c r="M468">
        <v>-0.98941880000000004</v>
      </c>
      <c r="N468">
        <v>0</v>
      </c>
      <c r="O468">
        <v>-0.14489489999999999</v>
      </c>
      <c r="P468">
        <v>-0.9902185</v>
      </c>
      <c r="Q468">
        <v>0.10304240000000001</v>
      </c>
      <c r="R468">
        <v>-9.4074580000000005E-2</v>
      </c>
      <c r="S468">
        <v>-3.0355219999999998</v>
      </c>
      <c r="T468">
        <v>-0.24133840000000001</v>
      </c>
      <c r="U468">
        <v>-0.2088623</v>
      </c>
      <c r="V468">
        <v>4.9885310000000002E-2</v>
      </c>
      <c r="W468">
        <v>0.1107143</v>
      </c>
      <c r="X468">
        <v>0.99259949999999997</v>
      </c>
      <c r="Y468">
        <v>7.5948360000000006E-2</v>
      </c>
      <c r="Z468">
        <v>1.445455E-2</v>
      </c>
      <c r="AA468">
        <v>0.99700699999999998</v>
      </c>
      <c r="AB468">
        <v>27</v>
      </c>
      <c r="AC468">
        <v>-0.52309999999999901</v>
      </c>
      <c r="AD468">
        <v>-6.3323000000000004E-2</v>
      </c>
      <c r="AE468">
        <v>-1.24000000000137E-2</v>
      </c>
      <c r="AF468">
        <v>6.2610531054369797E-2</v>
      </c>
      <c r="AG468">
        <v>-6.3323000000000004E-2</v>
      </c>
      <c r="AH468">
        <v>0.51187936776412002</v>
      </c>
      <c r="AI468">
        <v>97.000405768563496</v>
      </c>
      <c r="AJ468">
        <v>83.026505099539605</v>
      </c>
      <c r="AK468">
        <v>0.51956748172928002</v>
      </c>
      <c r="AL468">
        <v>83.643506436864797</v>
      </c>
      <c r="AM468">
        <v>87.122893026125197</v>
      </c>
      <c r="AN468">
        <v>0.99999998388926703</v>
      </c>
    </row>
    <row r="469" spans="1:40" x14ac:dyDescent="0.3">
      <c r="A469" t="str">
        <f>"20200111150248047"</f>
        <v>20200111150248047</v>
      </c>
      <c r="B469" t="str">
        <f>"1578726168036970"</f>
        <v>1578726168036970</v>
      </c>
      <c r="C469" t="s">
        <v>40</v>
      </c>
      <c r="D469">
        <v>6.3589669999999998</v>
      </c>
      <c r="E469">
        <v>0.50987669999999996</v>
      </c>
      <c r="F469" t="s">
        <v>56</v>
      </c>
      <c r="G469">
        <v>-247.07310000000001</v>
      </c>
      <c r="H469" s="1">
        <v>2.2271400000000001E-6</v>
      </c>
      <c r="I469">
        <v>280.72160000000002</v>
      </c>
      <c r="J469">
        <v>-225.60489999999999</v>
      </c>
      <c r="K469">
        <v>1.105416</v>
      </c>
      <c r="L469">
        <v>282.22739999999999</v>
      </c>
      <c r="M469">
        <v>-0.98906680000000002</v>
      </c>
      <c r="N469">
        <v>0</v>
      </c>
      <c r="O469">
        <v>-0.14727860000000001</v>
      </c>
      <c r="P469">
        <v>-0.98990650000000002</v>
      </c>
      <c r="Q469">
        <v>0.1033705</v>
      </c>
      <c r="R469">
        <v>-9.6953990000000004E-2</v>
      </c>
      <c r="S469">
        <v>-3.0251619999999999</v>
      </c>
      <c r="T469">
        <v>-0.153884299999999</v>
      </c>
      <c r="U469">
        <v>-0.21536250000000001</v>
      </c>
      <c r="V469">
        <v>4.9413100000000001E-2</v>
      </c>
      <c r="W469">
        <v>0.1110356</v>
      </c>
      <c r="X469">
        <v>0.99258729999999995</v>
      </c>
      <c r="Y469">
        <v>7.6388670000000006E-2</v>
      </c>
      <c r="Z469">
        <v>9.3866109999999996E-3</v>
      </c>
      <c r="AA469">
        <v>0.99703399999999998</v>
      </c>
      <c r="AB469">
        <v>27</v>
      </c>
      <c r="AC469">
        <v>-21.4682</v>
      </c>
      <c r="AD469">
        <v>-1.10541377286</v>
      </c>
      <c r="AE469">
        <v>-1.5057999999999601</v>
      </c>
      <c r="AF469">
        <v>1.66811536477688</v>
      </c>
      <c r="AG469">
        <v>-1.10541377286</v>
      </c>
      <c r="AH469">
        <v>21.399397058693999</v>
      </c>
      <c r="AI469">
        <v>92.948132270516595</v>
      </c>
      <c r="AJ469">
        <v>85.542720878394505</v>
      </c>
      <c r="AK469">
        <v>21.492760245140101</v>
      </c>
      <c r="AL469">
        <v>83.624983540097602</v>
      </c>
      <c r="AM469">
        <v>87.150047386823005</v>
      </c>
      <c r="AN469">
        <v>1.0000000535201199</v>
      </c>
    </row>
    <row r="470" spans="1:40" x14ac:dyDescent="0.3">
      <c r="A470" t="str">
        <f>"20200111150248069"</f>
        <v>20200111150248069</v>
      </c>
      <c r="B470" t="str">
        <f>"1578726168056490"</f>
        <v>1578726168056490</v>
      </c>
      <c r="C470" t="s">
        <v>40</v>
      </c>
      <c r="D470">
        <v>5.1099500000000004</v>
      </c>
      <c r="E470">
        <v>0.50872150000000005</v>
      </c>
      <c r="F470" t="s">
        <v>56</v>
      </c>
      <c r="G470">
        <v>-264.79259999999999</v>
      </c>
      <c r="H470">
        <v>8.0000059999999998E-2</v>
      </c>
      <c r="I470">
        <v>279.44630000000001</v>
      </c>
      <c r="J470">
        <v>-225.8571</v>
      </c>
      <c r="K470">
        <v>1.105243</v>
      </c>
      <c r="L470">
        <v>282.18740000000003</v>
      </c>
      <c r="M470">
        <v>-0.98876629999999999</v>
      </c>
      <c r="N470">
        <v>0</v>
      </c>
      <c r="O470">
        <v>-0.14928159999999999</v>
      </c>
      <c r="P470">
        <v>-0.98947280000000004</v>
      </c>
      <c r="Q470">
        <v>0.1038241</v>
      </c>
      <c r="R470">
        <v>-0.1008187</v>
      </c>
      <c r="S470">
        <v>-3.0178530000000001</v>
      </c>
      <c r="T470">
        <v>-7.8967449999999995E-2</v>
      </c>
      <c r="U470">
        <v>-0.21417240000000001</v>
      </c>
      <c r="V470">
        <v>4.758304E-2</v>
      </c>
      <c r="W470">
        <v>0.1114682</v>
      </c>
      <c r="X470">
        <v>0.99262819999999996</v>
      </c>
      <c r="Y470">
        <v>7.8836959999999998E-2</v>
      </c>
      <c r="Z470">
        <v>4.9146040000000004E-3</v>
      </c>
      <c r="AA470">
        <v>0.99687539999999997</v>
      </c>
      <c r="AB470">
        <v>27</v>
      </c>
      <c r="AC470">
        <v>-38.935499999999898</v>
      </c>
      <c r="AD470">
        <v>-1.02524294</v>
      </c>
      <c r="AE470">
        <v>-2.7411000000000101</v>
      </c>
      <c r="AF470">
        <v>3.0999947873567502</v>
      </c>
      <c r="AG470">
        <v>-1.02524294</v>
      </c>
      <c r="AH470">
        <v>38.881573389717801</v>
      </c>
      <c r="AI470">
        <v>91.505669391771704</v>
      </c>
      <c r="AJ470">
        <v>85.441498960567003</v>
      </c>
      <c r="AK470">
        <v>39.018429492070403</v>
      </c>
      <c r="AL470">
        <v>83.600042372046005</v>
      </c>
      <c r="AM470">
        <v>87.255546455199706</v>
      </c>
      <c r="AN470">
        <v>1.0000000243710601</v>
      </c>
    </row>
    <row r="471" spans="1:40" x14ac:dyDescent="0.3">
      <c r="A471" t="str">
        <f>"20200111150248092"</f>
        <v>20200111150248092</v>
      </c>
      <c r="B471" t="str">
        <f>"1578726168086747"</f>
        <v>1578726168086747</v>
      </c>
      <c r="C471" t="s">
        <v>40</v>
      </c>
      <c r="D471">
        <v>5.102957</v>
      </c>
      <c r="E471">
        <v>0.45028119999999999</v>
      </c>
      <c r="F471" t="s">
        <v>59</v>
      </c>
      <c r="G471">
        <v>-309.95839999999998</v>
      </c>
      <c r="H471">
        <v>2.4363659999999999E-2</v>
      </c>
      <c r="I471">
        <v>275.62540000000001</v>
      </c>
      <c r="J471">
        <v>-226.13509999999999</v>
      </c>
      <c r="K471">
        <v>1.104965</v>
      </c>
      <c r="L471">
        <v>282.14330000000001</v>
      </c>
      <c r="M471">
        <v>-0.98849390000000004</v>
      </c>
      <c r="N471">
        <v>0</v>
      </c>
      <c r="O471">
        <v>-0.15107400000000001</v>
      </c>
      <c r="P471">
        <v>-0.9890021</v>
      </c>
      <c r="Q471">
        <v>0.1030983</v>
      </c>
      <c r="R471">
        <v>-0.1060455</v>
      </c>
      <c r="S471">
        <v>-3.0120390000000001</v>
      </c>
      <c r="T471">
        <v>-3.871107E-2</v>
      </c>
      <c r="U471">
        <v>-0.2350159</v>
      </c>
      <c r="V471">
        <v>4.4221379999999998E-2</v>
      </c>
      <c r="W471">
        <v>0.1107081</v>
      </c>
      <c r="X471">
        <v>0.99286870000000005</v>
      </c>
      <c r="Y471">
        <v>7.3705930000000003E-2</v>
      </c>
      <c r="Z471">
        <v>2.40311E-3</v>
      </c>
      <c r="AA471">
        <v>0.99727710000000003</v>
      </c>
      <c r="AB471">
        <v>27</v>
      </c>
      <c r="AC471">
        <v>-83.823299999999904</v>
      </c>
      <c r="AD471">
        <v>-1.0806013400000001</v>
      </c>
      <c r="AE471">
        <v>-6.5178999999999903</v>
      </c>
      <c r="AF471">
        <v>6.21976499448078</v>
      </c>
      <c r="AG471">
        <v>-1.0806013400000001</v>
      </c>
      <c r="AH471">
        <v>83.832024589356195</v>
      </c>
      <c r="AI471">
        <v>90.736482145008694</v>
      </c>
      <c r="AJ471">
        <v>85.756817891034601</v>
      </c>
      <c r="AK471">
        <v>84.069385168401197</v>
      </c>
      <c r="AL471">
        <v>83.643864191922802</v>
      </c>
      <c r="AM471">
        <v>87.449788633114807</v>
      </c>
      <c r="AN471">
        <v>1.0000000346472</v>
      </c>
    </row>
    <row r="472" spans="1:40" x14ac:dyDescent="0.3">
      <c r="A472" t="str">
        <f>"20200111150248115"</f>
        <v>20200111150248115</v>
      </c>
      <c r="B472" t="str">
        <f>"1578726168107243"</f>
        <v>1578726168107243</v>
      </c>
      <c r="C472" t="s">
        <v>40</v>
      </c>
      <c r="D472">
        <v>5.5687419999999896</v>
      </c>
      <c r="E472">
        <v>0.5089108</v>
      </c>
      <c r="F472" t="s">
        <v>60</v>
      </c>
      <c r="G472">
        <v>-280.78129999999999</v>
      </c>
      <c r="H472">
        <v>11.35873</v>
      </c>
      <c r="I472">
        <v>268.73439999999999</v>
      </c>
      <c r="J472">
        <v>-226.42</v>
      </c>
      <c r="K472">
        <v>1.1046279999999999</v>
      </c>
      <c r="L472">
        <v>282.09809999999999</v>
      </c>
      <c r="M472">
        <v>-0.98828579999999999</v>
      </c>
      <c r="N472">
        <v>0</v>
      </c>
      <c r="O472">
        <v>-0.1524287</v>
      </c>
      <c r="P472">
        <v>-0.98860000000000003</v>
      </c>
      <c r="Q472">
        <v>0.1008013</v>
      </c>
      <c r="R472">
        <v>-0.111844899999999</v>
      </c>
      <c r="S472">
        <v>-2.9003139999999998</v>
      </c>
      <c r="T472">
        <v>0.54421030000000004</v>
      </c>
      <c r="U472">
        <v>-0.71166989999999997</v>
      </c>
      <c r="V472">
        <v>3.988589E-2</v>
      </c>
      <c r="W472">
        <v>0.10837570000000001</v>
      </c>
      <c r="X472">
        <v>0.99330960000000001</v>
      </c>
      <c r="Y472">
        <v>-8.8509290000000004E-2</v>
      </c>
      <c r="Z472">
        <v>-1.9626680000000001E-2</v>
      </c>
      <c r="AA472">
        <v>0.99588200000000004</v>
      </c>
      <c r="AB472">
        <v>27</v>
      </c>
      <c r="AC472">
        <v>-54.3613</v>
      </c>
      <c r="AD472">
        <v>10.254102</v>
      </c>
      <c r="AE472">
        <v>-13.3636999999999</v>
      </c>
      <c r="AF472">
        <v>-4.7613153030573701</v>
      </c>
      <c r="AG472">
        <v>10.254102</v>
      </c>
      <c r="AH472">
        <v>53.9528094126157</v>
      </c>
      <c r="AI472">
        <v>79.2795813718933</v>
      </c>
      <c r="AJ472">
        <v>95.043265934294894</v>
      </c>
      <c r="AK472">
        <v>55.124607706137603</v>
      </c>
      <c r="AL472">
        <v>83.778310180402698</v>
      </c>
      <c r="AM472">
        <v>87.700549670554693</v>
      </c>
      <c r="AN472">
        <v>1.00000006901186</v>
      </c>
    </row>
    <row r="473" spans="1:40" x14ac:dyDescent="0.3">
      <c r="A473" t="str">
        <f>"20200111150248137"</f>
        <v>20200111150248137</v>
      </c>
      <c r="B473" t="str">
        <f>"1578726168126762"</f>
        <v>1578726168126762</v>
      </c>
      <c r="C473" t="s">
        <v>40</v>
      </c>
      <c r="D473">
        <v>6.6215020000000004</v>
      </c>
      <c r="E473">
        <v>0.50831090000000001</v>
      </c>
      <c r="F473" t="s">
        <v>55</v>
      </c>
      <c r="G473">
        <v>-385.31319999999999</v>
      </c>
      <c r="H473">
        <v>4.3074839999999996</v>
      </c>
      <c r="I473">
        <v>268.02499999999998</v>
      </c>
      <c r="J473">
        <v>-226.68559999999999</v>
      </c>
      <c r="K473">
        <v>1.1043210000000001</v>
      </c>
      <c r="L473">
        <v>282.05599999999998</v>
      </c>
      <c r="M473">
        <v>-0.98815149999999996</v>
      </c>
      <c r="N473">
        <v>0</v>
      </c>
      <c r="O473">
        <v>-0.15329699999999999</v>
      </c>
      <c r="P473">
        <v>-0.98810940000000003</v>
      </c>
      <c r="Q473">
        <v>9.8517869999999994E-2</v>
      </c>
      <c r="R473">
        <v>-0.11804539999999999</v>
      </c>
      <c r="S473">
        <v>-2.998383</v>
      </c>
      <c r="T473">
        <v>6.044066E-2</v>
      </c>
      <c r="U473">
        <v>-0.26556400000000002</v>
      </c>
      <c r="V473">
        <v>3.4642039999999999E-2</v>
      </c>
      <c r="W473">
        <v>0.10606459999999999</v>
      </c>
      <c r="X473">
        <v>0.99375559999999996</v>
      </c>
      <c r="Y473">
        <v>6.5478910000000001E-2</v>
      </c>
      <c r="Z473">
        <v>-3.7280870000000002E-3</v>
      </c>
      <c r="AA473">
        <v>0.99784700000000004</v>
      </c>
      <c r="AB473">
        <v>27</v>
      </c>
      <c r="AC473">
        <v>-158.6276</v>
      </c>
      <c r="AD473">
        <v>3.203163</v>
      </c>
      <c r="AE473">
        <v>-14.031000000000001</v>
      </c>
      <c r="AF473">
        <v>10.448450193291199</v>
      </c>
      <c r="AG473">
        <v>3.203163</v>
      </c>
      <c r="AH473">
        <v>158.839246635725</v>
      </c>
      <c r="AI473">
        <v>88.847216707085394</v>
      </c>
      <c r="AJ473">
        <v>86.236503964251995</v>
      </c>
      <c r="AK473">
        <v>159.21475005931799</v>
      </c>
      <c r="AL473">
        <v>83.911493708378401</v>
      </c>
      <c r="AM473">
        <v>88.003493738448796</v>
      </c>
      <c r="AN473">
        <v>0.99999998141993995</v>
      </c>
    </row>
    <row r="474" spans="1:40" x14ac:dyDescent="0.3">
      <c r="A474" t="str">
        <f>"20200111150248583"</f>
        <v>20200111150248583</v>
      </c>
      <c r="B474" t="str">
        <f>"1578726168576700"</f>
        <v>1578726168576700</v>
      </c>
      <c r="C474" t="s">
        <v>40</v>
      </c>
      <c r="D474">
        <v>5.6172079999999998</v>
      </c>
      <c r="E474">
        <v>0.50831090000000001</v>
      </c>
      <c r="F474" t="s">
        <v>55</v>
      </c>
      <c r="G474">
        <v>-361.0197</v>
      </c>
      <c r="H474">
        <v>7.9748229999999998</v>
      </c>
      <c r="I474">
        <v>269.07819999999998</v>
      </c>
      <c r="J474">
        <v>-232.34700000000001</v>
      </c>
      <c r="K474">
        <v>1.1005</v>
      </c>
      <c r="L474">
        <v>281.35160000000002</v>
      </c>
      <c r="M474">
        <v>-0.99527500000000002</v>
      </c>
      <c r="N474">
        <v>0</v>
      </c>
      <c r="O474">
        <v>-9.681215E-2</v>
      </c>
      <c r="P474">
        <v>-0.99233859999999996</v>
      </c>
      <c r="Q474">
        <v>0.1092368</v>
      </c>
      <c r="R474">
        <v>-5.771913E-2</v>
      </c>
      <c r="S474">
        <v>-2.9864199999999999</v>
      </c>
      <c r="T474">
        <v>0.15274179999999901</v>
      </c>
      <c r="U474">
        <v>-0.28851320000000003</v>
      </c>
      <c r="V474">
        <v>3.9492600000000003E-2</v>
      </c>
      <c r="W474">
        <v>0.11630219999999999</v>
      </c>
      <c r="X474">
        <v>0.99242839999999999</v>
      </c>
      <c r="Y474">
        <v>5.3172699999999996E-4</v>
      </c>
      <c r="Z474">
        <v>-4.9389339999999999E-3</v>
      </c>
      <c r="AA474">
        <v>0.99998770000000003</v>
      </c>
      <c r="AB474">
        <v>29</v>
      </c>
      <c r="AC474">
        <v>-128.67269999999999</v>
      </c>
      <c r="AD474">
        <v>6.8743230000000004</v>
      </c>
      <c r="AE474">
        <v>-12.273400000000001</v>
      </c>
      <c r="AF474">
        <v>0.24099754698166301</v>
      </c>
      <c r="AG474">
        <v>6.8743230000000004</v>
      </c>
      <c r="AH474">
        <v>128.89192699222301</v>
      </c>
      <c r="AI474">
        <v>86.947084294686704</v>
      </c>
      <c r="AJ474">
        <v>89.8928705113955</v>
      </c>
      <c r="AK474">
        <v>129.07533939639501</v>
      </c>
      <c r="AL474">
        <v>83.321260342690906</v>
      </c>
      <c r="AM474">
        <v>87.721179649362895</v>
      </c>
      <c r="AN474">
        <v>0.99999999815308005</v>
      </c>
    </row>
    <row r="475" spans="1:40" x14ac:dyDescent="0.3">
      <c r="A475" t="str">
        <f>"20200111150248605"</f>
        <v>20200111150248605</v>
      </c>
      <c r="B475" t="str">
        <f>"1578726168597196"</f>
        <v>1578726168597196</v>
      </c>
      <c r="C475" t="s">
        <v>40</v>
      </c>
      <c r="D475">
        <v>5.6532330000000002</v>
      </c>
      <c r="E475">
        <v>0.59891799999999995</v>
      </c>
      <c r="F475" t="s">
        <v>50</v>
      </c>
      <c r="G475">
        <v>-355.3929</v>
      </c>
      <c r="H475">
        <v>8.6839440000000003</v>
      </c>
      <c r="I475">
        <v>276.95190000000002</v>
      </c>
      <c r="J475">
        <v>-232.64519999999999</v>
      </c>
      <c r="K475">
        <v>1.1004849999999999</v>
      </c>
      <c r="L475">
        <v>281.32670000000002</v>
      </c>
      <c r="M475">
        <v>-0.99564980000000003</v>
      </c>
      <c r="N475">
        <v>0</v>
      </c>
      <c r="O475">
        <v>-9.287956E-2</v>
      </c>
      <c r="P475">
        <v>-0.99249350000000003</v>
      </c>
      <c r="Q475">
        <v>0.1096196</v>
      </c>
      <c r="R475">
        <v>-5.422428E-2</v>
      </c>
      <c r="S475">
        <v>-2.996597</v>
      </c>
      <c r="T475">
        <v>0.18468490000000001</v>
      </c>
      <c r="U475">
        <v>-0.1071472</v>
      </c>
      <c r="V475">
        <v>3.9068289999999999E-2</v>
      </c>
      <c r="W475">
        <v>0.1166891</v>
      </c>
      <c r="X475">
        <v>0.99239980000000005</v>
      </c>
      <c r="Y475">
        <v>5.6960480000000001E-2</v>
      </c>
      <c r="Z475">
        <v>-7.461713E-3</v>
      </c>
      <c r="AA475">
        <v>0.99834849999999997</v>
      </c>
      <c r="AB475">
        <v>29</v>
      </c>
      <c r="AC475">
        <v>-122.74769999999999</v>
      </c>
      <c r="AD475">
        <v>7.5834589999999897</v>
      </c>
      <c r="AE475">
        <v>-4.3747999999999898</v>
      </c>
      <c r="AF475">
        <v>7.0184224271282396</v>
      </c>
      <c r="AG475">
        <v>7.5834589999999897</v>
      </c>
      <c r="AH475">
        <v>122.15774689363199</v>
      </c>
      <c r="AI475">
        <v>86.453514301458497</v>
      </c>
      <c r="AJ475">
        <v>86.711756687765202</v>
      </c>
      <c r="AK475">
        <v>122.593973056994</v>
      </c>
      <c r="AL475">
        <v>83.298940783382406</v>
      </c>
      <c r="AM475">
        <v>87.745573082446597</v>
      </c>
      <c r="AN475">
        <v>1.0000000201911801</v>
      </c>
    </row>
    <row r="476" spans="1:40" x14ac:dyDescent="0.3">
      <c r="A476" t="str">
        <f>"20200111150248628"</f>
        <v>20200111150248628</v>
      </c>
      <c r="B476" t="str">
        <f>"1578726168616716"</f>
        <v>1578726168616716</v>
      </c>
      <c r="C476" t="s">
        <v>40</v>
      </c>
      <c r="D476">
        <v>5.6496230000000001</v>
      </c>
      <c r="E476">
        <v>0.59532200000000002</v>
      </c>
      <c r="F476" t="s">
        <v>56</v>
      </c>
      <c r="G476">
        <v>-253.1335</v>
      </c>
      <c r="H476" s="1">
        <v>1.306956E-7</v>
      </c>
      <c r="I476">
        <v>285.48770000000002</v>
      </c>
      <c r="J476">
        <v>-232.93539999999999</v>
      </c>
      <c r="K476">
        <v>1.100473</v>
      </c>
      <c r="L476">
        <v>281.30349999999999</v>
      </c>
      <c r="M476">
        <v>-0.99599839999999995</v>
      </c>
      <c r="N476">
        <v>0</v>
      </c>
      <c r="O476">
        <v>-8.906319E-2</v>
      </c>
      <c r="P476">
        <v>-0.99272320000000003</v>
      </c>
      <c r="Q476">
        <v>0.1089807</v>
      </c>
      <c r="R476">
        <v>-5.1223339999999999E-2</v>
      </c>
      <c r="S476">
        <v>-3.075043</v>
      </c>
      <c r="T476">
        <v>-0.1651695</v>
      </c>
      <c r="U476">
        <v>0.624511699999999</v>
      </c>
      <c r="V476">
        <v>3.8268799999999999E-2</v>
      </c>
      <c r="W476">
        <v>0.1160621</v>
      </c>
      <c r="X476">
        <v>0.99250450000000001</v>
      </c>
      <c r="Y476">
        <v>0.28500019999999998</v>
      </c>
      <c r="Z476">
        <v>1.230971E-2</v>
      </c>
      <c r="AA476">
        <v>0.95844839999999998</v>
      </c>
      <c r="AB476">
        <v>29</v>
      </c>
      <c r="AC476">
        <v>-20.1981</v>
      </c>
      <c r="AD476">
        <v>-1.1004728693043999</v>
      </c>
      <c r="AE476">
        <v>4.1842000000000299</v>
      </c>
      <c r="AF476">
        <v>5.9495929631042301</v>
      </c>
      <c r="AG476">
        <v>-1.1004728693043999</v>
      </c>
      <c r="AH476">
        <v>19.689117242663499</v>
      </c>
      <c r="AI476">
        <v>93.062581243005695</v>
      </c>
      <c r="AJ476">
        <v>73.186405025571403</v>
      </c>
      <c r="AK476">
        <v>20.597816261877</v>
      </c>
      <c r="AL476">
        <v>83.335111185294295</v>
      </c>
      <c r="AM476">
        <v>87.791894049676301</v>
      </c>
      <c r="AN476">
        <v>1.0000000473150401</v>
      </c>
    </row>
    <row r="477" spans="1:40" x14ac:dyDescent="0.3">
      <c r="A477" t="str">
        <f>"20200111150248661"</f>
        <v>20200111150248661</v>
      </c>
      <c r="B477" t="str">
        <f>"1578726168656731"</f>
        <v>1578726168656731</v>
      </c>
      <c r="C477" t="s">
        <v>40</v>
      </c>
      <c r="D477">
        <v>5.6441059999999998</v>
      </c>
      <c r="E477">
        <v>0.59345879999999995</v>
      </c>
      <c r="F477" t="s">
        <v>56</v>
      </c>
      <c r="G477">
        <v>-254.3725</v>
      </c>
      <c r="H477" s="1">
        <v>7.9004159999999998E-7</v>
      </c>
      <c r="I477">
        <v>285.52390000000003</v>
      </c>
      <c r="J477">
        <v>-233.3758</v>
      </c>
      <c r="K477">
        <v>1.1004510000000001</v>
      </c>
      <c r="L477">
        <v>281.2706</v>
      </c>
      <c r="M477">
        <v>-0.99649779999999999</v>
      </c>
      <c r="N477">
        <v>0</v>
      </c>
      <c r="O477">
        <v>-8.3289150000000006E-2</v>
      </c>
      <c r="P477">
        <v>-0.99310790000000004</v>
      </c>
      <c r="Q477">
        <v>0.10764219999999999</v>
      </c>
      <c r="R477">
        <v>-4.6373270000000001E-2</v>
      </c>
      <c r="S477">
        <v>-3.0704500000000001</v>
      </c>
      <c r="T477">
        <v>-0.15762129999999999</v>
      </c>
      <c r="U477">
        <v>0.60449219999999904</v>
      </c>
      <c r="V477">
        <v>3.737041E-2</v>
      </c>
      <c r="W477">
        <v>0.11474959999999999</v>
      </c>
      <c r="X477">
        <v>0.99269130000000005</v>
      </c>
      <c r="Y477">
        <v>0.27376339999999999</v>
      </c>
      <c r="Z477">
        <v>1.11929E-2</v>
      </c>
      <c r="AA477">
        <v>0.96173189999999997</v>
      </c>
      <c r="AB477">
        <v>29</v>
      </c>
      <c r="AC477">
        <v>-20.996700000000001</v>
      </c>
      <c r="AD477">
        <v>-1.1004502099583999</v>
      </c>
      <c r="AE477">
        <v>4.2533000000000198</v>
      </c>
      <c r="AF477">
        <v>5.9716095105684497</v>
      </c>
      <c r="AG477">
        <v>-1.1004502099583999</v>
      </c>
      <c r="AH477">
        <v>20.515346028037801</v>
      </c>
      <c r="AI477">
        <v>92.948290520018602</v>
      </c>
      <c r="AJ477">
        <v>73.770771733139696</v>
      </c>
      <c r="AK477">
        <v>21.395105362241999</v>
      </c>
      <c r="AL477">
        <v>83.410817540930395</v>
      </c>
      <c r="AM477">
        <v>87.844086925452203</v>
      </c>
      <c r="AN477">
        <v>1.0000000176696999</v>
      </c>
    </row>
    <row r="478" spans="1:40" x14ac:dyDescent="0.3">
      <c r="A478" t="str">
        <f>"20200111150248685"</f>
        <v>20200111150248685</v>
      </c>
      <c r="B478" t="str">
        <f>"1578726168676699"</f>
        <v>1578726168676699</v>
      </c>
      <c r="C478" t="s">
        <v>40</v>
      </c>
      <c r="D478">
        <v>5.6462389999999996</v>
      </c>
      <c r="E478">
        <v>0.59301680000000001</v>
      </c>
      <c r="F478" t="s">
        <v>56</v>
      </c>
      <c r="G478">
        <v>-254.82</v>
      </c>
      <c r="H478" s="1">
        <v>1.0281679999999999E-6</v>
      </c>
      <c r="I478">
        <v>285.49209999999999</v>
      </c>
      <c r="J478">
        <v>-233.69659999999999</v>
      </c>
      <c r="K478">
        <v>1.1004370000000001</v>
      </c>
      <c r="L478">
        <v>281.2482</v>
      </c>
      <c r="M478">
        <v>-0.99683960000000005</v>
      </c>
      <c r="N478">
        <v>0</v>
      </c>
      <c r="O478">
        <v>-7.9092499999999996E-2</v>
      </c>
      <c r="P478">
        <v>-0.99328780000000005</v>
      </c>
      <c r="Q478">
        <v>0.1074763</v>
      </c>
      <c r="R478">
        <v>-4.2759459999999999E-2</v>
      </c>
      <c r="S478">
        <v>-3.066055</v>
      </c>
      <c r="T478">
        <v>-0.15734020000000001</v>
      </c>
      <c r="U478">
        <v>0.60357669999999997</v>
      </c>
      <c r="V478">
        <v>3.6805119999999997E-2</v>
      </c>
      <c r="W478">
        <v>0.1146018</v>
      </c>
      <c r="X478">
        <v>0.99272950000000004</v>
      </c>
      <c r="Y478">
        <v>0.26970739999999999</v>
      </c>
      <c r="Z478">
        <v>1.087246E-2</v>
      </c>
      <c r="AA478">
        <v>0.96288099999999999</v>
      </c>
      <c r="AB478">
        <v>30</v>
      </c>
      <c r="AC478">
        <v>-21.1234</v>
      </c>
      <c r="AD478">
        <v>-1.100435971832</v>
      </c>
      <c r="AE478">
        <v>4.2438999999999902</v>
      </c>
      <c r="AF478">
        <v>5.8859984122617597</v>
      </c>
      <c r="AG478">
        <v>-1.100435971832</v>
      </c>
      <c r="AH478">
        <v>20.667638057267101</v>
      </c>
      <c r="AI478">
        <v>92.931453645857999</v>
      </c>
      <c r="AJ478">
        <v>74.103418514416703</v>
      </c>
      <c r="AK478">
        <v>21.517602085349701</v>
      </c>
      <c r="AL478">
        <v>83.419342140731999</v>
      </c>
      <c r="AM478">
        <v>87.876750270087996</v>
      </c>
      <c r="AN478">
        <v>1.00000002479585</v>
      </c>
    </row>
    <row r="479" spans="1:40" x14ac:dyDescent="0.3">
      <c r="A479" t="str">
        <f>"20200111150248773"</f>
        <v>20200111150248773</v>
      </c>
      <c r="B479" t="str">
        <f>"1578726168766491"</f>
        <v>1578726168766491</v>
      </c>
      <c r="C479" t="s">
        <v>40</v>
      </c>
      <c r="D479">
        <v>5.5474430000000003</v>
      </c>
      <c r="E479">
        <v>0.59258120000000003</v>
      </c>
      <c r="F479" t="s">
        <v>56</v>
      </c>
      <c r="G479">
        <v>-255.15729999999999</v>
      </c>
      <c r="H479" s="1">
        <v>1.207651E-6</v>
      </c>
      <c r="I479">
        <v>285.53190000000001</v>
      </c>
      <c r="J479">
        <v>-234.8811</v>
      </c>
      <c r="K479">
        <v>1.1004179999999999</v>
      </c>
      <c r="L479">
        <v>281.17680000000001</v>
      </c>
      <c r="M479">
        <v>-0.99794039999999995</v>
      </c>
      <c r="N479">
        <v>0</v>
      </c>
      <c r="O479">
        <v>-6.3705529999999996E-2</v>
      </c>
      <c r="P479">
        <v>-0.99359690000000001</v>
      </c>
      <c r="Q479">
        <v>0.10927870000000001</v>
      </c>
      <c r="R479">
        <v>-2.870164E-2</v>
      </c>
      <c r="S479">
        <v>-3.0635829999999999</v>
      </c>
      <c r="T479">
        <v>-0.1570907</v>
      </c>
      <c r="U479">
        <v>0.61151119999999903</v>
      </c>
      <c r="V479">
        <v>3.5546790000000002E-2</v>
      </c>
      <c r="W479">
        <v>0.1164954</v>
      </c>
      <c r="X479">
        <v>0.99255490000000002</v>
      </c>
      <c r="Y479">
        <v>0.25741540000000002</v>
      </c>
      <c r="Z479">
        <v>9.7672850000000005E-3</v>
      </c>
      <c r="AA479">
        <v>0.96625150000000004</v>
      </c>
      <c r="AB479">
        <v>30</v>
      </c>
      <c r="AC479">
        <v>-20.2761999999999</v>
      </c>
      <c r="AD479">
        <v>-1.100416792349</v>
      </c>
      <c r="AE479">
        <v>4.3550999999999904</v>
      </c>
      <c r="AF479">
        <v>5.6221666081954798</v>
      </c>
      <c r="AG479">
        <v>-1.100416792349</v>
      </c>
      <c r="AH479">
        <v>19.901527091091399</v>
      </c>
      <c r="AI479">
        <v>93.045869031472805</v>
      </c>
      <c r="AJ479">
        <v>74.225053490911804</v>
      </c>
      <c r="AK479">
        <v>20.709670568230599</v>
      </c>
      <c r="AL479">
        <v>83.310114990457393</v>
      </c>
      <c r="AM479">
        <v>87.948918531609394</v>
      </c>
      <c r="AN479">
        <v>0.99999999100723702</v>
      </c>
    </row>
    <row r="480" spans="1:40" x14ac:dyDescent="0.3">
      <c r="A480" t="str">
        <f>"20200111150248795"</f>
        <v>20200111150248795</v>
      </c>
      <c r="B480" t="str">
        <f>"1578726168786986"</f>
        <v>1578726168786986</v>
      </c>
      <c r="C480" t="s">
        <v>40</v>
      </c>
      <c r="D480">
        <v>5.8626779999999998</v>
      </c>
      <c r="E480">
        <v>0.59279720000000002</v>
      </c>
      <c r="F480" t="s">
        <v>56</v>
      </c>
      <c r="G480">
        <v>-256.37200000000001</v>
      </c>
      <c r="H480" s="1">
        <v>1.8540890000000001E-6</v>
      </c>
      <c r="I480">
        <v>285.7561</v>
      </c>
      <c r="J480">
        <v>-235.18279999999999</v>
      </c>
      <c r="K480">
        <v>1.100417</v>
      </c>
      <c r="L480">
        <v>281.16160000000002</v>
      </c>
      <c r="M480">
        <v>-0.99818039999999997</v>
      </c>
      <c r="N480">
        <v>0</v>
      </c>
      <c r="O480">
        <v>-5.9822399999999998E-2</v>
      </c>
      <c r="P480">
        <v>-0.99369960000000002</v>
      </c>
      <c r="Q480">
        <v>0.10929949999999999</v>
      </c>
      <c r="R480">
        <v>-2.479549E-2</v>
      </c>
      <c r="S480">
        <v>-3.0553279999999998</v>
      </c>
      <c r="T480">
        <v>-0.1564441</v>
      </c>
      <c r="U480">
        <v>0.65103149999999999</v>
      </c>
      <c r="V480">
        <v>3.5588050000000003E-2</v>
      </c>
      <c r="W480">
        <v>0.11653760000000001</v>
      </c>
      <c r="X480">
        <v>0.99254849999999994</v>
      </c>
      <c r="Y480">
        <v>0.26612970000000002</v>
      </c>
      <c r="Z480">
        <v>9.7642370000000003E-3</v>
      </c>
      <c r="AA480">
        <v>0.96388779999999996</v>
      </c>
      <c r="AB480">
        <v>30</v>
      </c>
      <c r="AC480">
        <v>-21.1892</v>
      </c>
      <c r="AD480">
        <v>-1.1004151459110001</v>
      </c>
      <c r="AE480">
        <v>4.5944999999999796</v>
      </c>
      <c r="AF480">
        <v>5.8388556167419496</v>
      </c>
      <c r="AG480">
        <v>-1.1004151459110001</v>
      </c>
      <c r="AH480">
        <v>20.822749351728699</v>
      </c>
      <c r="AI480">
        <v>92.912935001181793</v>
      </c>
      <c r="AJ480">
        <v>74.336103866217002</v>
      </c>
      <c r="AK480">
        <v>21.653868914617298</v>
      </c>
      <c r="AL480">
        <v>83.307680743138604</v>
      </c>
      <c r="AM480">
        <v>87.946526600328397</v>
      </c>
      <c r="AN480">
        <v>1.0000000231844</v>
      </c>
    </row>
    <row r="481" spans="1:40" x14ac:dyDescent="0.3">
      <c r="A481" t="str">
        <f>"20200111150249040"</f>
        <v>20200111150249040</v>
      </c>
      <c r="B481" t="str">
        <f>"1578726169036843"</f>
        <v>1578726169036843</v>
      </c>
      <c r="C481" t="s">
        <v>40</v>
      </c>
      <c r="D481">
        <v>8.0917479999999902</v>
      </c>
      <c r="E481">
        <v>0.49964009999999998</v>
      </c>
      <c r="F481" t="s">
        <v>56</v>
      </c>
      <c r="G481">
        <v>-256.7604</v>
      </c>
      <c r="H481" s="1">
        <v>2.0607469999999998E-6</v>
      </c>
      <c r="I481">
        <v>285.85879999999997</v>
      </c>
      <c r="J481">
        <v>-238.54050000000001</v>
      </c>
      <c r="K481">
        <v>1.100506</v>
      </c>
      <c r="L481">
        <v>281.06529999999998</v>
      </c>
      <c r="M481">
        <v>-0.9997916</v>
      </c>
      <c r="N481">
        <v>0</v>
      </c>
      <c r="O481">
        <v>-1.8904210000000001E-2</v>
      </c>
      <c r="P481">
        <v>-0.99347470000000004</v>
      </c>
      <c r="Q481">
        <v>0.1136366</v>
      </c>
      <c r="R481">
        <v>9.7521699999999992E-3</v>
      </c>
      <c r="S481">
        <v>-3.0527500000000001</v>
      </c>
      <c r="T481">
        <v>-0.1556845</v>
      </c>
      <c r="U481">
        <v>0.6645508</v>
      </c>
      <c r="V481">
        <v>2.9432650000000001E-2</v>
      </c>
      <c r="W481">
        <v>0.1210965</v>
      </c>
      <c r="X481">
        <v>0.99220430000000004</v>
      </c>
      <c r="Y481">
        <v>0.2308316</v>
      </c>
      <c r="Z481">
        <v>6.7670069999999898E-3</v>
      </c>
      <c r="AA481">
        <v>0.97297020000000001</v>
      </c>
      <c r="AB481">
        <v>31</v>
      </c>
      <c r="AC481">
        <v>-18.219899999999999</v>
      </c>
      <c r="AD481">
        <v>-1.1005039392530001</v>
      </c>
      <c r="AE481">
        <v>4.7934999999999901</v>
      </c>
      <c r="AF481">
        <v>5.1196176008580103</v>
      </c>
      <c r="AG481">
        <v>-1.1005039392530001</v>
      </c>
      <c r="AH481">
        <v>18.064385880905501</v>
      </c>
      <c r="AI481">
        <v>93.354424691400297</v>
      </c>
      <c r="AJ481">
        <v>74.176769251327002</v>
      </c>
      <c r="AK481">
        <v>18.808073547112201</v>
      </c>
      <c r="AL481">
        <v>83.044611133872195</v>
      </c>
      <c r="AM481">
        <v>88.300881937202305</v>
      </c>
      <c r="AN481">
        <v>1.00000000806838</v>
      </c>
    </row>
    <row r="482" spans="1:40" x14ac:dyDescent="0.3">
      <c r="A482" t="str">
        <f>"20200111150249063"</f>
        <v>20200111150249063</v>
      </c>
      <c r="B482" t="str">
        <f>"1578726169057339"</f>
        <v>1578726169057339</v>
      </c>
      <c r="C482" t="s">
        <v>40</v>
      </c>
      <c r="D482">
        <v>5.0919489999999996</v>
      </c>
      <c r="E482">
        <v>0.49272319999999997</v>
      </c>
      <c r="F482" t="s">
        <v>42</v>
      </c>
      <c r="G482">
        <v>-239.29589999999999</v>
      </c>
      <c r="H482">
        <v>0.84084389999999998</v>
      </c>
      <c r="I482">
        <v>281.07260000000002</v>
      </c>
      <c r="J482">
        <v>-238.86089999999999</v>
      </c>
      <c r="K482">
        <v>1.1005020000000001</v>
      </c>
      <c r="L482">
        <v>281.06299999999999</v>
      </c>
      <c r="M482">
        <v>-0.99985539999999995</v>
      </c>
      <c r="N482">
        <v>0</v>
      </c>
      <c r="O482">
        <v>-1.514006E-2</v>
      </c>
      <c r="P482">
        <v>-0.9933959</v>
      </c>
      <c r="Q482">
        <v>0.11402660000000001</v>
      </c>
      <c r="R482">
        <v>1.2741789999999999E-2</v>
      </c>
      <c r="S482">
        <v>-3.1429749999999999</v>
      </c>
      <c r="T482">
        <v>-1.0803860000000001</v>
      </c>
      <c r="U482">
        <v>2.9998779999999999E-2</v>
      </c>
      <c r="V482">
        <v>2.868745E-2</v>
      </c>
      <c r="W482">
        <v>0.1215036</v>
      </c>
      <c r="X482">
        <v>0.99217639999999996</v>
      </c>
      <c r="Y482">
        <v>2.2520249999999999E-2</v>
      </c>
      <c r="Z482">
        <v>8.8215529999999993E-3</v>
      </c>
      <c r="AA482">
        <v>0.99970749999999997</v>
      </c>
      <c r="AB482">
        <v>31</v>
      </c>
      <c r="AC482">
        <v>-0.435000000000002</v>
      </c>
      <c r="AD482">
        <v>-0.2596581</v>
      </c>
      <c r="AE482">
        <v>9.6000000000344698E-3</v>
      </c>
      <c r="AF482">
        <v>1.1934676007614E-2</v>
      </c>
      <c r="AG482">
        <v>-0.2596581</v>
      </c>
      <c r="AH482">
        <v>0.320620751674144</v>
      </c>
      <c r="AI482">
        <v>128.983248781388</v>
      </c>
      <c r="AJ482">
        <v>87.868225945226399</v>
      </c>
      <c r="AK482">
        <v>0.412749841660914</v>
      </c>
      <c r="AL482">
        <v>83.021112811236094</v>
      </c>
      <c r="AM482">
        <v>88.343830790775399</v>
      </c>
      <c r="AN482">
        <v>1.0000000516587</v>
      </c>
    </row>
    <row r="483" spans="1:40" x14ac:dyDescent="0.3">
      <c r="A483" t="str">
        <f>"20200111150249085"</f>
        <v>20200111150249085</v>
      </c>
      <c r="B483" t="str">
        <f>"1578726169076858"</f>
        <v>1578726169076858</v>
      </c>
      <c r="C483" t="s">
        <v>40</v>
      </c>
      <c r="D483">
        <v>9.0393319999999999</v>
      </c>
      <c r="E483">
        <v>0.50430969999999997</v>
      </c>
      <c r="F483" t="s">
        <v>42</v>
      </c>
      <c r="G483">
        <v>-239.58959999999999</v>
      </c>
      <c r="H483">
        <v>0.87451579999999995</v>
      </c>
      <c r="I483">
        <v>281.05950000000001</v>
      </c>
      <c r="J483">
        <v>-239.17779999999999</v>
      </c>
      <c r="K483">
        <v>1.1004879999999999</v>
      </c>
      <c r="L483">
        <v>281.06189999999998</v>
      </c>
      <c r="M483">
        <v>-0.99990469999999998</v>
      </c>
      <c r="N483">
        <v>0</v>
      </c>
      <c r="O483">
        <v>-1.1417750000000001E-2</v>
      </c>
      <c r="P483">
        <v>-0.99331020000000003</v>
      </c>
      <c r="Q483">
        <v>0.1144862</v>
      </c>
      <c r="R483">
        <v>1.508933E-2</v>
      </c>
      <c r="S483">
        <v>-3.1316069999999998</v>
      </c>
      <c r="T483">
        <v>-0.97099460000000004</v>
      </c>
      <c r="U483">
        <v>-1.6235349999999999E-2</v>
      </c>
      <c r="V483">
        <v>2.7343570000000001E-2</v>
      </c>
      <c r="W483">
        <v>0.121984</v>
      </c>
      <c r="X483">
        <v>0.99215540000000002</v>
      </c>
      <c r="Y483">
        <v>5.4421850000000004E-3</v>
      </c>
      <c r="Z483">
        <v>4.2833380000000002E-3</v>
      </c>
      <c r="AA483">
        <v>0.99997599999999998</v>
      </c>
      <c r="AB483">
        <v>31</v>
      </c>
      <c r="AC483">
        <v>-0.411799999999999</v>
      </c>
      <c r="AD483">
        <v>-0.22597219999999901</v>
      </c>
      <c r="AE483">
        <v>-2.3999999999659801E-3</v>
      </c>
      <c r="AF483">
        <v>1.76935898467667E-3</v>
      </c>
      <c r="AG483">
        <v>-0.22597219999999901</v>
      </c>
      <c r="AH483">
        <v>0.316499855099732</v>
      </c>
      <c r="AI483">
        <v>125.52537043470301</v>
      </c>
      <c r="AJ483">
        <v>89.679697337743505</v>
      </c>
      <c r="AK483">
        <v>0.38889423251342797</v>
      </c>
      <c r="AL483">
        <v>82.993381648555896</v>
      </c>
      <c r="AM483">
        <v>88.421341366146393</v>
      </c>
      <c r="AN483">
        <v>1.0000000524127499</v>
      </c>
    </row>
    <row r="484" spans="1:40" x14ac:dyDescent="0.3">
      <c r="A484" t="str">
        <f>"20200111150249109"</f>
        <v>20200111150249109</v>
      </c>
      <c r="B484" t="str">
        <f>"1578726169097354"</f>
        <v>1578726169097354</v>
      </c>
      <c r="C484" t="s">
        <v>40</v>
      </c>
      <c r="D484">
        <v>5.8944669999999997</v>
      </c>
      <c r="E484">
        <v>0.5040057</v>
      </c>
      <c r="F484" t="s">
        <v>49</v>
      </c>
      <c r="G484">
        <v>-941.678</v>
      </c>
      <c r="H484">
        <v>-0.1</v>
      </c>
      <c r="I484">
        <v>299.88369999999998</v>
      </c>
      <c r="J484">
        <v>-239.49379999999999</v>
      </c>
      <c r="K484">
        <v>1.1004780000000001</v>
      </c>
      <c r="L484">
        <v>281.06189999999998</v>
      </c>
      <c r="M484">
        <v>-0.99994019999999995</v>
      </c>
      <c r="N484">
        <v>0</v>
      </c>
      <c r="O484">
        <v>-7.70593699999999E-3</v>
      </c>
      <c r="P484">
        <v>-0.99329979999999995</v>
      </c>
      <c r="Q484">
        <v>0.1143171</v>
      </c>
      <c r="R484">
        <v>1.6947099999999899E-2</v>
      </c>
      <c r="S484">
        <v>-3.019577</v>
      </c>
      <c r="T484">
        <v>-5.1600930000000001E-3</v>
      </c>
      <c r="U484">
        <v>8.0902100000000005E-2</v>
      </c>
      <c r="V484">
        <v>2.551701E-2</v>
      </c>
      <c r="W484">
        <v>0.12184010000000001</v>
      </c>
      <c r="X484">
        <v>0.99222169999999998</v>
      </c>
      <c r="Y484">
        <v>3.4485469999999997E-2</v>
      </c>
      <c r="Z484" s="1">
        <v>4.2627229999999999E-5</v>
      </c>
      <c r="AA484">
        <v>0.99940519999999999</v>
      </c>
      <c r="AB484">
        <v>31</v>
      </c>
      <c r="AC484">
        <v>-702.18420000000003</v>
      </c>
      <c r="AD484">
        <v>-1.2004779999999999</v>
      </c>
      <c r="AE484">
        <v>18.8218</v>
      </c>
      <c r="AF484">
        <v>24.232320474611001</v>
      </c>
      <c r="AG484">
        <v>-1.2004779999999999</v>
      </c>
      <c r="AH484">
        <v>702.01625568576799</v>
      </c>
      <c r="AI484">
        <v>90.097919834015002</v>
      </c>
      <c r="AJ484">
        <v>88.023039151106005</v>
      </c>
      <c r="AK484">
        <v>702.43538475085302</v>
      </c>
      <c r="AL484">
        <v>83.001688208039795</v>
      </c>
      <c r="AM484">
        <v>88.526846573706905</v>
      </c>
      <c r="AN484">
        <v>1.0000000148591199</v>
      </c>
    </row>
    <row r="485" spans="1:40" x14ac:dyDescent="0.3">
      <c r="A485" t="str">
        <f>"20200111150249131"</f>
        <v>20200111150249131</v>
      </c>
      <c r="B485" t="str">
        <f>"1578726169126634"</f>
        <v>1578726169126634</v>
      </c>
      <c r="C485" t="s">
        <v>40</v>
      </c>
      <c r="D485">
        <v>5.4941399999999998</v>
      </c>
      <c r="E485">
        <v>0.50267419999999996</v>
      </c>
      <c r="F485" t="s">
        <v>44</v>
      </c>
      <c r="G485">
        <v>0</v>
      </c>
      <c r="H485">
        <v>0</v>
      </c>
      <c r="I485">
        <v>0</v>
      </c>
      <c r="J485">
        <v>-239.8115</v>
      </c>
      <c r="K485">
        <v>1.1004640000000001</v>
      </c>
      <c r="L485">
        <v>281.06319999999999</v>
      </c>
      <c r="M485">
        <v>-0.99996200000000002</v>
      </c>
      <c r="N485">
        <v>0</v>
      </c>
      <c r="O485">
        <v>-3.9750439999999996E-3</v>
      </c>
      <c r="P485">
        <v>-0.99326930000000002</v>
      </c>
      <c r="Q485">
        <v>0.1141165</v>
      </c>
      <c r="R485">
        <v>1.9847489999999999E-2</v>
      </c>
      <c r="S485">
        <v>-3.0055239999999999</v>
      </c>
      <c r="T485">
        <v>0.1154898</v>
      </c>
      <c r="U485">
        <v>8.3984379999999997E-2</v>
      </c>
      <c r="V485">
        <v>2.4713889999999999E-2</v>
      </c>
      <c r="W485">
        <v>0.1216569</v>
      </c>
      <c r="X485">
        <v>0.99226449999999999</v>
      </c>
      <c r="Y485">
        <v>3.1879390000000001E-2</v>
      </c>
      <c r="Z485">
        <v>-7.6481610000000001E-4</v>
      </c>
      <c r="AA485">
        <v>0.99949149999999998</v>
      </c>
      <c r="AB485">
        <v>31</v>
      </c>
      <c r="AC485">
        <v>-3.0055239999999999</v>
      </c>
      <c r="AD485">
        <v>0.1154898</v>
      </c>
      <c r="AE485">
        <v>8.3984379999999997E-2</v>
      </c>
      <c r="AF485">
        <v>9.5789838482475104E-2</v>
      </c>
      <c r="AG485">
        <v>0.1154898</v>
      </c>
      <c r="AH485">
        <v>3.0007391305646798</v>
      </c>
      <c r="AI485">
        <v>87.797059451319001</v>
      </c>
      <c r="AJ485">
        <v>88.1716203509976</v>
      </c>
      <c r="AK485">
        <v>3.0044881289102499</v>
      </c>
      <c r="AL485">
        <v>83.012263414782097</v>
      </c>
      <c r="AM485">
        <v>88.573254508105293</v>
      </c>
      <c r="AN485">
        <v>1.0000000078183899</v>
      </c>
    </row>
    <row r="486" spans="1:40" x14ac:dyDescent="0.3">
      <c r="A486" t="str">
        <f>"20200111150249152"</f>
        <v>20200111150249152</v>
      </c>
      <c r="B486" t="str">
        <f>"1578726169147131"</f>
        <v>1578726169147131</v>
      </c>
      <c r="C486" t="s">
        <v>40</v>
      </c>
      <c r="D486">
        <v>5.4562339999999896</v>
      </c>
      <c r="E486">
        <v>0.50311909999999904</v>
      </c>
      <c r="F486" t="s">
        <v>44</v>
      </c>
      <c r="G486">
        <v>0</v>
      </c>
      <c r="H486">
        <v>0</v>
      </c>
      <c r="I486">
        <v>0</v>
      </c>
      <c r="J486">
        <v>-240.11680000000001</v>
      </c>
      <c r="K486">
        <v>1.1004480000000001</v>
      </c>
      <c r="L486">
        <v>281.06560000000002</v>
      </c>
      <c r="M486">
        <v>-0.99996969999999996</v>
      </c>
      <c r="N486">
        <v>0</v>
      </c>
      <c r="O486">
        <v>-3.8863409999999999E-4</v>
      </c>
      <c r="P486">
        <v>-0.99326000000000003</v>
      </c>
      <c r="Q486">
        <v>0.1134333</v>
      </c>
      <c r="R486">
        <v>2.382314E-2</v>
      </c>
      <c r="S486">
        <v>-3.0063170000000001</v>
      </c>
      <c r="T486">
        <v>0.107797</v>
      </c>
      <c r="U486">
        <v>8.2275390000000004E-2</v>
      </c>
      <c r="V486">
        <v>2.5125829999999998E-2</v>
      </c>
      <c r="W486">
        <v>0.12098150000000001</v>
      </c>
      <c r="X486">
        <v>0.99233680000000002</v>
      </c>
      <c r="Y486">
        <v>2.7727700000000001E-2</v>
      </c>
      <c r="Z486">
        <v>-5.1078989999999997E-4</v>
      </c>
      <c r="AA486">
        <v>0.99961540000000004</v>
      </c>
      <c r="AB486">
        <v>31</v>
      </c>
      <c r="AC486">
        <v>-3.0063170000000001</v>
      </c>
      <c r="AD486">
        <v>0.107797</v>
      </c>
      <c r="AE486">
        <v>8.2275390000000004E-2</v>
      </c>
      <c r="AF486">
        <v>8.3336709559175895E-2</v>
      </c>
      <c r="AG486">
        <v>0.107797</v>
      </c>
      <c r="AH486">
        <v>3.0024274281396002</v>
      </c>
      <c r="AI486">
        <v>87.944567604639502</v>
      </c>
      <c r="AJ486">
        <v>88.410081107536399</v>
      </c>
      <c r="AK486">
        <v>3.00551753640103</v>
      </c>
      <c r="AL486">
        <v>83.051249437266904</v>
      </c>
      <c r="AM486">
        <v>88.549588715354005</v>
      </c>
      <c r="AN486">
        <v>1.0000000776548299</v>
      </c>
    </row>
    <row r="487" spans="1:40" x14ac:dyDescent="0.3">
      <c r="A487" t="str">
        <f>"20200111150249176"</f>
        <v>20200111150249176</v>
      </c>
      <c r="B487" t="str">
        <f>"1578726169166650"</f>
        <v>1578726169166650</v>
      </c>
      <c r="C487" t="s">
        <v>40</v>
      </c>
      <c r="D487">
        <v>5.5010149999999998</v>
      </c>
      <c r="E487">
        <v>0.50216149999999904</v>
      </c>
      <c r="F487" t="s">
        <v>44</v>
      </c>
      <c r="G487">
        <v>0</v>
      </c>
      <c r="H487">
        <v>0</v>
      </c>
      <c r="I487">
        <v>0</v>
      </c>
      <c r="J487">
        <v>-240.45519999999999</v>
      </c>
      <c r="K487">
        <v>1.1004320000000001</v>
      </c>
      <c r="L487">
        <v>281.06950000000001</v>
      </c>
      <c r="M487">
        <v>-0.99996309999999999</v>
      </c>
      <c r="N487">
        <v>0</v>
      </c>
      <c r="O487">
        <v>3.5846699999999999E-3</v>
      </c>
      <c r="P487">
        <v>-0.99319749999999996</v>
      </c>
      <c r="Q487">
        <v>0.1131154</v>
      </c>
      <c r="R487">
        <v>2.7635860000000002E-2</v>
      </c>
      <c r="S487">
        <v>-3.0146030000000001</v>
      </c>
      <c r="T487">
        <v>3.0011059999999999E-2</v>
      </c>
      <c r="U487">
        <v>9.7686770000000006E-2</v>
      </c>
      <c r="V487">
        <v>2.4993709999999999E-2</v>
      </c>
      <c r="W487">
        <v>0.1206762</v>
      </c>
      <c r="X487">
        <v>0.99237719999999896</v>
      </c>
      <c r="Y487">
        <v>2.8803169999999999E-2</v>
      </c>
      <c r="Z487">
        <v>-1.0765339999999999E-4</v>
      </c>
      <c r="AA487">
        <v>0.9995851</v>
      </c>
      <c r="AB487">
        <v>31</v>
      </c>
      <c r="AC487">
        <v>-3.0146030000000001</v>
      </c>
      <c r="AD487">
        <v>3.0011059999999999E-2</v>
      </c>
      <c r="AE487">
        <v>9.7686770000000006E-2</v>
      </c>
      <c r="AF487">
        <v>8.6870855619892898E-2</v>
      </c>
      <c r="AG487">
        <v>3.0011059999999999E-2</v>
      </c>
      <c r="AH487">
        <v>3.0146353588966801</v>
      </c>
      <c r="AI487">
        <v>89.429869068107493</v>
      </c>
      <c r="AJ487">
        <v>88.349400247426601</v>
      </c>
      <c r="AK487">
        <v>3.0160360668248898</v>
      </c>
      <c r="AL487">
        <v>83.068870186712999</v>
      </c>
      <c r="AM487">
        <v>88.557270941306498</v>
      </c>
      <c r="AN487">
        <v>0.99999996893292098</v>
      </c>
    </row>
    <row r="488" spans="1:40" x14ac:dyDescent="0.3">
      <c r="A488" t="str">
        <f>"20200111150249198"</f>
        <v>20200111150249198</v>
      </c>
      <c r="B488" t="str">
        <f>"1578726169187146"</f>
        <v>1578726169187146</v>
      </c>
      <c r="C488" t="s">
        <v>40</v>
      </c>
      <c r="D488">
        <v>5.827998</v>
      </c>
      <c r="E488">
        <v>0.50262359999999995</v>
      </c>
      <c r="F488" t="s">
        <v>53</v>
      </c>
      <c r="G488">
        <v>-480.29829999999998</v>
      </c>
      <c r="H488" s="1">
        <v>2.660264E-6</v>
      </c>
      <c r="I488">
        <v>289.21010000000001</v>
      </c>
      <c r="J488">
        <v>-240.77440000000001</v>
      </c>
      <c r="K488">
        <v>1.100417</v>
      </c>
      <c r="L488">
        <v>281.07429999999999</v>
      </c>
      <c r="M488">
        <v>-0.99994260000000001</v>
      </c>
      <c r="N488">
        <v>0</v>
      </c>
      <c r="O488">
        <v>7.33219199999999E-3</v>
      </c>
      <c r="P488">
        <v>-0.9931683</v>
      </c>
      <c r="Q488">
        <v>0.1125471</v>
      </c>
      <c r="R488">
        <v>3.0819079999999999E-2</v>
      </c>
      <c r="S488">
        <v>-3.0192570000000001</v>
      </c>
      <c r="T488">
        <v>-1.3852720000000001E-2</v>
      </c>
      <c r="U488">
        <v>0.102478</v>
      </c>
      <c r="V488">
        <v>2.4453929999999999E-2</v>
      </c>
      <c r="W488">
        <v>0.1201224</v>
      </c>
      <c r="X488">
        <v>0.9924579</v>
      </c>
      <c r="Y488">
        <v>2.6592629999999999E-2</v>
      </c>
      <c r="Z488" s="1">
        <v>2.7356350000000001E-5</v>
      </c>
      <c r="AA488">
        <v>0.99964640000000005</v>
      </c>
      <c r="AB488">
        <v>31</v>
      </c>
      <c r="AC488">
        <v>-239.5239</v>
      </c>
      <c r="AD488">
        <v>-1.100414339736</v>
      </c>
      <c r="AE488">
        <v>8.1358000000000104</v>
      </c>
      <c r="AF488">
        <v>6.3791579807545098</v>
      </c>
      <c r="AG488">
        <v>-1.100414339736</v>
      </c>
      <c r="AH488">
        <v>239.57206537793999</v>
      </c>
      <c r="AI488">
        <v>90.263078731291301</v>
      </c>
      <c r="AJ488">
        <v>88.474728328097299</v>
      </c>
      <c r="AK488">
        <v>239.65950654567001</v>
      </c>
      <c r="AL488">
        <v>83.100833557996197</v>
      </c>
      <c r="AM488">
        <v>88.588531020839596</v>
      </c>
      <c r="AN488">
        <v>1.0000000344733</v>
      </c>
    </row>
    <row r="489" spans="1:40" x14ac:dyDescent="0.3">
      <c r="A489" t="str">
        <f>"20200111150249219"</f>
        <v>20200111150249219</v>
      </c>
      <c r="B489" t="str">
        <f>"1578726169217402"</f>
        <v>1578726169217402</v>
      </c>
      <c r="C489" t="s">
        <v>40</v>
      </c>
      <c r="D489">
        <v>5.4870010000000002</v>
      </c>
      <c r="E489">
        <v>0.50114380000000003</v>
      </c>
      <c r="F489" t="s">
        <v>59</v>
      </c>
      <c r="G489">
        <v>-311.47649999999999</v>
      </c>
      <c r="H489" s="1">
        <v>2.9432640000000001E-6</v>
      </c>
      <c r="I489">
        <v>283.79860000000002</v>
      </c>
      <c r="J489">
        <v>-241.0641</v>
      </c>
      <c r="K489">
        <v>1.100398</v>
      </c>
      <c r="L489">
        <v>281.07979999999998</v>
      </c>
      <c r="M489">
        <v>-0.99991189999999996</v>
      </c>
      <c r="N489">
        <v>0</v>
      </c>
      <c r="O489">
        <v>1.0730669999999999E-2</v>
      </c>
      <c r="P489">
        <v>-0.99314230000000003</v>
      </c>
      <c r="Q489">
        <v>0.1118054</v>
      </c>
      <c r="R489">
        <v>3.4180120000000001E-2</v>
      </c>
      <c r="S489">
        <v>-3.0223689999999999</v>
      </c>
      <c r="T489">
        <v>-4.7040459999999999E-2</v>
      </c>
      <c r="U489">
        <v>0.11645510000000001</v>
      </c>
      <c r="V489">
        <v>2.4436920000000001E-2</v>
      </c>
      <c r="W489">
        <v>0.119391</v>
      </c>
      <c r="X489">
        <v>0.99254659999999995</v>
      </c>
      <c r="Y489">
        <v>2.7775169999999998E-2</v>
      </c>
      <c r="Z489" s="1">
        <v>4.9119280000000001E-5</v>
      </c>
      <c r="AA489">
        <v>0.99961420000000001</v>
      </c>
      <c r="AB489">
        <v>32</v>
      </c>
      <c r="AC489">
        <v>-70.412399999999906</v>
      </c>
      <c r="AD489">
        <v>-1.1003950567359999</v>
      </c>
      <c r="AE489">
        <v>2.7188000000000399</v>
      </c>
      <c r="AF489">
        <v>1.9625695586730201</v>
      </c>
      <c r="AG489">
        <v>-1.1003950567359999</v>
      </c>
      <c r="AH489">
        <v>70.420348017803704</v>
      </c>
      <c r="AI489">
        <v>90.894889034288497</v>
      </c>
      <c r="AJ489">
        <v>88.403616896413695</v>
      </c>
      <c r="AK489">
        <v>70.456284059706903</v>
      </c>
      <c r="AL489">
        <v>83.143043664329497</v>
      </c>
      <c r="AM489">
        <v>88.589638431862795</v>
      </c>
      <c r="AN489">
        <v>1.0000000635558199</v>
      </c>
    </row>
    <row r="490" spans="1:40" x14ac:dyDescent="0.3">
      <c r="A490" t="str">
        <f>"20200111150249242"</f>
        <v>20200111150249242</v>
      </c>
      <c r="B490" t="str">
        <f>"1578726169236923"</f>
        <v>1578726169236923</v>
      </c>
      <c r="C490" t="s">
        <v>40</v>
      </c>
      <c r="D490">
        <v>5.5533970000000004</v>
      </c>
      <c r="E490">
        <v>0.50025739999999996</v>
      </c>
      <c r="F490" t="s">
        <v>59</v>
      </c>
      <c r="G490">
        <v>-288.1234</v>
      </c>
      <c r="H490" s="1">
        <v>5.1597940000000004E-6</v>
      </c>
      <c r="I490">
        <v>282.87450000000001</v>
      </c>
      <c r="J490">
        <v>-241.38890000000001</v>
      </c>
      <c r="K490">
        <v>1.1003769999999999</v>
      </c>
      <c r="L490">
        <v>281.08699999999999</v>
      </c>
      <c r="M490">
        <v>-0.99986370000000002</v>
      </c>
      <c r="N490">
        <v>0</v>
      </c>
      <c r="O490">
        <v>1.4540900000000001E-2</v>
      </c>
      <c r="P490">
        <v>-0.99311179999999999</v>
      </c>
      <c r="Q490">
        <v>0.1110502</v>
      </c>
      <c r="R490">
        <v>3.7377090000000002E-2</v>
      </c>
      <c r="S490">
        <v>-3.0247190000000002</v>
      </c>
      <c r="T490">
        <v>-7.0727349999999994E-2</v>
      </c>
      <c r="U490">
        <v>0.115356399999999</v>
      </c>
      <c r="V490">
        <v>2.3846539999999999E-2</v>
      </c>
      <c r="W490">
        <v>0.1186514</v>
      </c>
      <c r="X490">
        <v>0.99264960000000002</v>
      </c>
      <c r="Y490">
        <v>2.3572929999999999E-2</v>
      </c>
      <c r="Z490" s="1">
        <v>-6.4352910000000006E-5</v>
      </c>
      <c r="AA490">
        <v>0.99972209999999995</v>
      </c>
      <c r="AB490">
        <v>32</v>
      </c>
      <c r="AC490">
        <v>-46.734499999999997</v>
      </c>
      <c r="AD490">
        <v>-1.1003718402060001</v>
      </c>
      <c r="AE490">
        <v>1.7875000000000201</v>
      </c>
      <c r="AF490">
        <v>1.10711567766827</v>
      </c>
      <c r="AG490">
        <v>-1.1003718402060001</v>
      </c>
      <c r="AH490">
        <v>46.7296834391218</v>
      </c>
      <c r="AI490">
        <v>91.348550464234904</v>
      </c>
      <c r="AJ490">
        <v>88.642807170473702</v>
      </c>
      <c r="AK490">
        <v>46.7557465733463</v>
      </c>
      <c r="AL490">
        <v>83.185722701846004</v>
      </c>
      <c r="AM490">
        <v>88.623841330782099</v>
      </c>
      <c r="AN490">
        <v>1.00000002028604</v>
      </c>
    </row>
    <row r="491" spans="1:40" x14ac:dyDescent="0.3">
      <c r="A491" t="str">
        <f>"20200111150249265"</f>
        <v>20200111150249265</v>
      </c>
      <c r="B491" t="str">
        <f>"1578726169256443"</f>
        <v>1578726169256443</v>
      </c>
      <c r="C491" t="s">
        <v>40</v>
      </c>
      <c r="D491">
        <v>5.4725590000000004</v>
      </c>
      <c r="E491">
        <v>0.50006470000000003</v>
      </c>
      <c r="F491" t="s">
        <v>59</v>
      </c>
      <c r="G491">
        <v>-284.1044</v>
      </c>
      <c r="H491" s="1">
        <v>6.9662519999999899E-6</v>
      </c>
      <c r="I491">
        <v>282.75720000000001</v>
      </c>
      <c r="J491">
        <v>-241.71369999999999</v>
      </c>
      <c r="K491">
        <v>1.1003559999999999</v>
      </c>
      <c r="L491">
        <v>281.09539999999998</v>
      </c>
      <c r="M491">
        <v>-0.99980100000000005</v>
      </c>
      <c r="N491">
        <v>0</v>
      </c>
      <c r="O491">
        <v>1.8348440000000001E-2</v>
      </c>
      <c r="P491">
        <v>-0.99309539999999996</v>
      </c>
      <c r="Q491">
        <v>0.11044039999999999</v>
      </c>
      <c r="R491">
        <v>3.955616E-2</v>
      </c>
      <c r="S491">
        <v>-3.0250849999999998</v>
      </c>
      <c r="T491">
        <v>-7.7927469999999999E-2</v>
      </c>
      <c r="U491">
        <v>0.11828610000000001</v>
      </c>
      <c r="V491">
        <v>2.2241509999999999E-2</v>
      </c>
      <c r="W491">
        <v>0.1180643</v>
      </c>
      <c r="X491">
        <v>0.99275679999999999</v>
      </c>
      <c r="Y491">
        <v>2.0729529999999999E-2</v>
      </c>
      <c r="Z491">
        <v>-2.0550240000000001E-4</v>
      </c>
      <c r="AA491">
        <v>0.99978509999999998</v>
      </c>
      <c r="AB491">
        <v>32</v>
      </c>
      <c r="AC491">
        <v>-42.390700000000002</v>
      </c>
      <c r="AD491">
        <v>-1.100349033748</v>
      </c>
      <c r="AE491">
        <v>1.6618000000000199</v>
      </c>
      <c r="AF491">
        <v>0.883099066038604</v>
      </c>
      <c r="AG491">
        <v>-1.100349033748</v>
      </c>
      <c r="AH491">
        <v>42.385540780023099</v>
      </c>
      <c r="AI491">
        <v>91.486769473590897</v>
      </c>
      <c r="AJ491">
        <v>88.806420091611301</v>
      </c>
      <c r="AK491">
        <v>42.409016720168196</v>
      </c>
      <c r="AL491">
        <v>83.219598786674297</v>
      </c>
      <c r="AM491">
        <v>88.716572370235397</v>
      </c>
      <c r="AN491">
        <v>0.99999996382390399</v>
      </c>
    </row>
    <row r="492" spans="1:40" x14ac:dyDescent="0.3">
      <c r="A492" t="str">
        <f>"20200111150249287"</f>
        <v>20200111150249287</v>
      </c>
      <c r="B492" t="str">
        <f>"1578726169276938"</f>
        <v>1578726169276938</v>
      </c>
      <c r="C492" t="s">
        <v>40</v>
      </c>
      <c r="D492">
        <v>5.493805</v>
      </c>
      <c r="E492">
        <v>0.49913099999999999</v>
      </c>
      <c r="F492" t="s">
        <v>56</v>
      </c>
      <c r="G492">
        <v>-274.37990000000002</v>
      </c>
      <c r="H492" s="1">
        <v>8.8950179999999998E-7</v>
      </c>
      <c r="I492">
        <v>282.43110000000001</v>
      </c>
      <c r="J492">
        <v>-242.03710000000001</v>
      </c>
      <c r="K492">
        <v>1.1003369999999999</v>
      </c>
      <c r="L492">
        <v>281.10509999999999</v>
      </c>
      <c r="M492">
        <v>-0.9997241</v>
      </c>
      <c r="N492">
        <v>0</v>
      </c>
      <c r="O492">
        <v>2.213774E-2</v>
      </c>
      <c r="P492">
        <v>-0.99299970000000004</v>
      </c>
      <c r="Q492">
        <v>0.1104718</v>
      </c>
      <c r="R492">
        <v>4.180528E-2</v>
      </c>
      <c r="S492">
        <v>-3.0272830000000002</v>
      </c>
      <c r="T492">
        <v>-0.10197340000000001</v>
      </c>
      <c r="U492">
        <v>0.12377929999999999</v>
      </c>
      <c r="V492">
        <v>2.073032E-2</v>
      </c>
      <c r="W492">
        <v>0.1181178</v>
      </c>
      <c r="X492">
        <v>0.99278319999999998</v>
      </c>
      <c r="Y492">
        <v>1.8725760000000001E-2</v>
      </c>
      <c r="Z492">
        <v>-4.2991040000000001E-4</v>
      </c>
      <c r="AA492">
        <v>0.99982459999999995</v>
      </c>
      <c r="AB492">
        <v>32</v>
      </c>
      <c r="AC492">
        <v>-32.342799999999997</v>
      </c>
      <c r="AD492">
        <v>-1.1003361104981999</v>
      </c>
      <c r="AE492">
        <v>1.3260000000000201</v>
      </c>
      <c r="AF492">
        <v>0.60895281177706695</v>
      </c>
      <c r="AG492">
        <v>-1.1003361104981999</v>
      </c>
      <c r="AH492">
        <v>32.326875440348701</v>
      </c>
      <c r="AI492">
        <v>91.949124817246002</v>
      </c>
      <c r="AJ492">
        <v>88.920826725992498</v>
      </c>
      <c r="AK492">
        <v>32.351328238866202</v>
      </c>
      <c r="AL492">
        <v>83.216512255684407</v>
      </c>
      <c r="AM492">
        <v>88.803779857098903</v>
      </c>
      <c r="AN492">
        <v>1.0000000215231899</v>
      </c>
    </row>
    <row r="493" spans="1:40" x14ac:dyDescent="0.3">
      <c r="A493" t="str">
        <f>"20200111150249308"</f>
        <v>20200111150249308</v>
      </c>
      <c r="B493" t="str">
        <f>"1578726169296461"</f>
        <v>1578726169296461</v>
      </c>
      <c r="C493" t="s">
        <v>40</v>
      </c>
      <c r="D493">
        <v>5.3477439999999996</v>
      </c>
      <c r="E493">
        <v>0.49806149999999999</v>
      </c>
      <c r="F493" t="s">
        <v>56</v>
      </c>
      <c r="G493">
        <v>-272.10829999999999</v>
      </c>
      <c r="H493" s="1">
        <v>-3.1484269999999998E-7</v>
      </c>
      <c r="I493">
        <v>282.3288</v>
      </c>
      <c r="J493">
        <v>-242.33680000000001</v>
      </c>
      <c r="K493">
        <v>1.100322</v>
      </c>
      <c r="L493">
        <v>281.11509999999998</v>
      </c>
      <c r="M493">
        <v>-0.99964019999999998</v>
      </c>
      <c r="N493">
        <v>0</v>
      </c>
      <c r="O493">
        <v>2.564804E-2</v>
      </c>
      <c r="P493">
        <v>-0.99295219999999995</v>
      </c>
      <c r="Q493">
        <v>0.110045699999999</v>
      </c>
      <c r="R493">
        <v>4.3994850000000002E-2</v>
      </c>
      <c r="S493">
        <v>-3.0282749999999998</v>
      </c>
      <c r="T493">
        <v>-0.1108077</v>
      </c>
      <c r="U493">
        <v>0.12323000000000001</v>
      </c>
      <c r="V493">
        <v>1.943166E-2</v>
      </c>
      <c r="W493">
        <v>0.1177115</v>
      </c>
      <c r="X493">
        <v>0.99285769999999995</v>
      </c>
      <c r="Y493">
        <v>1.502558E-2</v>
      </c>
      <c r="Z493">
        <v>-6.6292089999999998E-4</v>
      </c>
      <c r="AA493">
        <v>0.99988690000000002</v>
      </c>
      <c r="AB493">
        <v>32</v>
      </c>
      <c r="AC493">
        <v>-29.7714999999999</v>
      </c>
      <c r="AD493">
        <v>-1.1003223148426999</v>
      </c>
      <c r="AE493">
        <v>1.21370000000001</v>
      </c>
      <c r="AF493">
        <v>0.4490841359128</v>
      </c>
      <c r="AG493">
        <v>-1.1003223148426999</v>
      </c>
      <c r="AH493">
        <v>29.752262588062798</v>
      </c>
      <c r="AI493">
        <v>92.117752731179607</v>
      </c>
      <c r="AJ493">
        <v>89.1352364636071</v>
      </c>
      <c r="AK493">
        <v>29.7759888982165</v>
      </c>
      <c r="AL493">
        <v>83.239954924648501</v>
      </c>
      <c r="AM493">
        <v>88.878781937981501</v>
      </c>
      <c r="AN493">
        <v>0.99999999954594698</v>
      </c>
    </row>
    <row r="494" spans="1:40" x14ac:dyDescent="0.3">
      <c r="A494" t="str">
        <f>"20200111150249331"</f>
        <v>20200111150249331</v>
      </c>
      <c r="B494" t="str">
        <f>"1578726169326715"</f>
        <v>1578726169326715</v>
      </c>
      <c r="C494" t="s">
        <v>40</v>
      </c>
      <c r="D494">
        <v>5.4592799999999997</v>
      </c>
      <c r="E494">
        <v>0.49682539999999997</v>
      </c>
      <c r="F494" t="s">
        <v>56</v>
      </c>
      <c r="G494">
        <v>-271.03649999999999</v>
      </c>
      <c r="H494" s="1">
        <v>-8.8244740000000001E-7</v>
      </c>
      <c r="I494">
        <v>282.26479999999998</v>
      </c>
      <c r="J494">
        <v>-242.6611</v>
      </c>
      <c r="K494">
        <v>1.100306</v>
      </c>
      <c r="L494">
        <v>281.12709999999998</v>
      </c>
      <c r="M494">
        <v>-0.99953539999999996</v>
      </c>
      <c r="N494">
        <v>0</v>
      </c>
      <c r="O494">
        <v>2.9446170000000001E-2</v>
      </c>
      <c r="P494">
        <v>-0.99294859999999896</v>
      </c>
      <c r="Q494">
        <v>0.1089596</v>
      </c>
      <c r="R494">
        <v>4.6703700000000001E-2</v>
      </c>
      <c r="S494">
        <v>-3.0288089999999999</v>
      </c>
      <c r="T494">
        <v>-0.11612219999999999</v>
      </c>
      <c r="U494">
        <v>0.121337899999999</v>
      </c>
      <c r="V494">
        <v>1.8359250000000001E-2</v>
      </c>
      <c r="W494">
        <v>0.1166446</v>
      </c>
      <c r="X494">
        <v>0.993004</v>
      </c>
      <c r="Y494">
        <v>1.060213E-2</v>
      </c>
      <c r="Z494">
        <v>-9.2474059999999995E-4</v>
      </c>
      <c r="AA494">
        <v>0.99994340000000004</v>
      </c>
      <c r="AB494">
        <v>32</v>
      </c>
      <c r="AC494">
        <v>-28.3753999999999</v>
      </c>
      <c r="AD494">
        <v>-1.1003068824474</v>
      </c>
      <c r="AE494">
        <v>1.1376999999999899</v>
      </c>
      <c r="AF494">
        <v>0.30118176726920998</v>
      </c>
      <c r="AG494">
        <v>-1.1003068824474</v>
      </c>
      <c r="AH494">
        <v>28.354030879574399</v>
      </c>
      <c r="AI494">
        <v>92.222180430866402</v>
      </c>
      <c r="AJ494">
        <v>89.391416506934405</v>
      </c>
      <c r="AK494">
        <v>28.376970465720198</v>
      </c>
      <c r="AL494">
        <v>83.301507735715404</v>
      </c>
      <c r="AM494">
        <v>88.940802144417304</v>
      </c>
      <c r="AN494">
        <v>0.99999998439286097</v>
      </c>
    </row>
    <row r="495" spans="1:40" x14ac:dyDescent="0.3">
      <c r="A495" t="str">
        <f>"20200111150249354"</f>
        <v>20200111150249354</v>
      </c>
      <c r="B495" t="str">
        <f>"1578726169347211"</f>
        <v>1578726169347211</v>
      </c>
      <c r="C495" t="s">
        <v>40</v>
      </c>
      <c r="D495">
        <v>5.4887319999999997</v>
      </c>
      <c r="E495">
        <v>0.49603039999999998</v>
      </c>
      <c r="F495" t="s">
        <v>56</v>
      </c>
      <c r="G495">
        <v>-278.23880000000003</v>
      </c>
      <c r="H495" s="1">
        <v>2.9387119999999998E-6</v>
      </c>
      <c r="I495">
        <v>282.52969999999999</v>
      </c>
      <c r="J495">
        <v>-242.99700000000001</v>
      </c>
      <c r="K495">
        <v>1.1002829999999999</v>
      </c>
      <c r="L495">
        <v>281.14100000000002</v>
      </c>
      <c r="M495">
        <v>-0.99941179999999996</v>
      </c>
      <c r="N495">
        <v>0</v>
      </c>
      <c r="O495">
        <v>3.3377089999999998E-2</v>
      </c>
      <c r="P495">
        <v>-0.99306190000000005</v>
      </c>
      <c r="Q495">
        <v>0.1069315</v>
      </c>
      <c r="R495">
        <v>4.892838E-2</v>
      </c>
      <c r="S495">
        <v>-3.0259860000000001</v>
      </c>
      <c r="T495">
        <v>-9.3583940000000004E-2</v>
      </c>
      <c r="U495">
        <v>0.1192932</v>
      </c>
      <c r="V495">
        <v>1.6657999999999999E-2</v>
      </c>
      <c r="W495">
        <v>0.1146421</v>
      </c>
      <c r="X495">
        <v>0.99326720000000002</v>
      </c>
      <c r="Y495">
        <v>6.0312040000000001E-3</v>
      </c>
      <c r="Z495">
        <v>-9.3811269999999997E-4</v>
      </c>
      <c r="AA495">
        <v>0.99998129999999996</v>
      </c>
      <c r="AB495">
        <v>32</v>
      </c>
      <c r="AC495">
        <v>-35.241799999999998</v>
      </c>
      <c r="AD495">
        <v>-1.1002800612879999</v>
      </c>
      <c r="AE495">
        <v>1.38870000000002</v>
      </c>
      <c r="AF495">
        <v>0.21141524304367501</v>
      </c>
      <c r="AG495">
        <v>-1.1002800612879999</v>
      </c>
      <c r="AH495">
        <v>35.234224216656202</v>
      </c>
      <c r="AI495">
        <v>91.788595934413905</v>
      </c>
      <c r="AJ495">
        <v>89.656213353591397</v>
      </c>
      <c r="AK495">
        <v>35.252033540887602</v>
      </c>
      <c r="AL495">
        <v>83.417017738971097</v>
      </c>
      <c r="AM495">
        <v>89.039187413217405</v>
      </c>
      <c r="AN495">
        <v>1.0000000153261199</v>
      </c>
    </row>
    <row r="496" spans="1:40" x14ac:dyDescent="0.3">
      <c r="A496" t="str">
        <f>"20200111150249377"</f>
        <v>20200111150249377</v>
      </c>
      <c r="B496" t="str">
        <f>"1578726169366730"</f>
        <v>1578726169366730</v>
      </c>
      <c r="C496" t="s">
        <v>40</v>
      </c>
      <c r="D496">
        <v>5.536727</v>
      </c>
      <c r="E496">
        <v>0.49536560000000002</v>
      </c>
      <c r="F496" t="s">
        <v>56</v>
      </c>
      <c r="G496">
        <v>-278.92989999999998</v>
      </c>
      <c r="H496" s="1">
        <v>3.3050780000000002E-6</v>
      </c>
      <c r="I496">
        <v>282.56200000000001</v>
      </c>
      <c r="J496">
        <v>-243.3312</v>
      </c>
      <c r="K496">
        <v>1.100257</v>
      </c>
      <c r="L496">
        <v>281.15600000000001</v>
      </c>
      <c r="M496">
        <v>-0.99927350000000004</v>
      </c>
      <c r="N496">
        <v>0</v>
      </c>
      <c r="O496">
        <v>3.728418E-2</v>
      </c>
      <c r="P496">
        <v>-0.9931622</v>
      </c>
      <c r="Q496">
        <v>0.1050301</v>
      </c>
      <c r="R496">
        <v>5.0967659999999998E-2</v>
      </c>
      <c r="S496">
        <v>-3.0250400000000002</v>
      </c>
      <c r="T496">
        <v>-9.2627879999999996E-2</v>
      </c>
      <c r="U496">
        <v>0.1196289</v>
      </c>
      <c r="V496">
        <v>1.479428E-2</v>
      </c>
      <c r="W496">
        <v>0.11276700000000001</v>
      </c>
      <c r="X496">
        <v>0.99351129999999999</v>
      </c>
      <c r="Y496">
        <v>2.2480270000000001E-3</v>
      </c>
      <c r="Z496">
        <v>-1.1061739999999999E-3</v>
      </c>
      <c r="AA496">
        <v>0.99999680000000002</v>
      </c>
      <c r="AB496">
        <v>32</v>
      </c>
      <c r="AC496">
        <v>-35.598699999999901</v>
      </c>
      <c r="AD496">
        <v>-1.1002536949220001</v>
      </c>
      <c r="AE496">
        <v>1.4059999999999999</v>
      </c>
      <c r="AF496">
        <v>7.76385768341048E-2</v>
      </c>
      <c r="AG496">
        <v>-1.1002536949220001</v>
      </c>
      <c r="AH496">
        <v>35.592423251475601</v>
      </c>
      <c r="AI496">
        <v>91.770592417657895</v>
      </c>
      <c r="AJ496">
        <v>89.875019587926602</v>
      </c>
      <c r="AK496">
        <v>35.609509668822803</v>
      </c>
      <c r="AL496">
        <v>83.525154182166602</v>
      </c>
      <c r="AM496">
        <v>89.146877181030007</v>
      </c>
      <c r="AN496">
        <v>0.99999998511870403</v>
      </c>
    </row>
    <row r="497" spans="1:40" x14ac:dyDescent="0.3">
      <c r="A497" t="str">
        <f>"20200111150250537"</f>
        <v>20200111150250537</v>
      </c>
      <c r="B497" t="str">
        <f>"1578726170526740"</f>
        <v>1578726170526740</v>
      </c>
      <c r="C497" t="s">
        <v>40</v>
      </c>
      <c r="D497">
        <v>5.3541499999999997</v>
      </c>
      <c r="E497">
        <v>0.43745800000000001</v>
      </c>
      <c r="F497" t="s">
        <v>56</v>
      </c>
      <c r="G497">
        <v>-276.31580000000002</v>
      </c>
      <c r="H497" s="1">
        <v>1.9180250000000002E-6</v>
      </c>
      <c r="I497">
        <v>282.46940000000001</v>
      </c>
      <c r="J497">
        <v>-261.04610000000002</v>
      </c>
      <c r="K497">
        <v>1.103162</v>
      </c>
      <c r="L497">
        <v>282.34440000000001</v>
      </c>
      <c r="M497">
        <v>-0.99832790000000005</v>
      </c>
      <c r="N497">
        <v>0</v>
      </c>
      <c r="O497">
        <v>5.7203240000000002E-2</v>
      </c>
      <c r="P497">
        <v>-0.9958053</v>
      </c>
      <c r="Q497">
        <v>8.6442749999999999E-2</v>
      </c>
      <c r="R497">
        <v>2.9991879999999999E-2</v>
      </c>
      <c r="S497">
        <v>-3.0251619999999999</v>
      </c>
      <c r="T497">
        <v>-0.1009091</v>
      </c>
      <c r="U497">
        <v>0.1204529</v>
      </c>
      <c r="V497">
        <v>-2.696902E-2</v>
      </c>
      <c r="W497">
        <v>9.473906E-2</v>
      </c>
      <c r="X497">
        <v>0.99513669999999999</v>
      </c>
      <c r="Y497">
        <v>-1.7398230000000001E-2</v>
      </c>
      <c r="Z497">
        <v>-2.1955389999999998E-3</v>
      </c>
      <c r="AA497">
        <v>0.99984620000000002</v>
      </c>
      <c r="AB497">
        <v>36</v>
      </c>
      <c r="AC497">
        <v>-15.2697</v>
      </c>
      <c r="AD497">
        <v>-1.103160081975</v>
      </c>
      <c r="AE497">
        <v>0.125</v>
      </c>
      <c r="AF497">
        <v>-0.74482399625213502</v>
      </c>
      <c r="AG497">
        <v>-1.103160081975</v>
      </c>
      <c r="AH497">
        <v>15.1726595626244</v>
      </c>
      <c r="AI497">
        <v>94.153508534683994</v>
      </c>
      <c r="AJ497">
        <v>92.8103867300009</v>
      </c>
      <c r="AK497">
        <v>15.2309331019197</v>
      </c>
      <c r="AL497">
        <v>84.563698329483202</v>
      </c>
      <c r="AM497">
        <v>91.552382596819101</v>
      </c>
      <c r="AN497">
        <v>0.99999993460816405</v>
      </c>
    </row>
    <row r="498" spans="1:40" x14ac:dyDescent="0.3">
      <c r="A498" t="str">
        <f>"20200111150250551"</f>
        <v>20200111150250551</v>
      </c>
      <c r="B498" t="str">
        <f>"1578726170547236"</f>
        <v>1578726170547236</v>
      </c>
      <c r="C498" t="s">
        <v>40</v>
      </c>
      <c r="D498">
        <v>5.4132709999999999</v>
      </c>
      <c r="E498">
        <v>0.43710060000000001</v>
      </c>
      <c r="F498" t="s">
        <v>59</v>
      </c>
      <c r="G498">
        <v>-281.01209999999998</v>
      </c>
      <c r="H498">
        <v>5.2898790000000001E-2</v>
      </c>
      <c r="I498">
        <v>279.61340000000001</v>
      </c>
      <c r="J498">
        <v>-261.27010000000001</v>
      </c>
      <c r="K498">
        <v>1.1031340000000001</v>
      </c>
      <c r="L498">
        <v>282.35739999999998</v>
      </c>
      <c r="M498">
        <v>-0.99831380000000003</v>
      </c>
      <c r="N498">
        <v>0</v>
      </c>
      <c r="O498">
        <v>5.7449779999999999E-2</v>
      </c>
      <c r="P498">
        <v>-0.99575000000000002</v>
      </c>
      <c r="Q498">
        <v>8.6648139999999998E-2</v>
      </c>
      <c r="R498">
        <v>3.121351E-2</v>
      </c>
      <c r="S498">
        <v>-3.0390009999999998</v>
      </c>
      <c r="T498">
        <v>-0.1598599</v>
      </c>
      <c r="U498">
        <v>-0.41567989999999999</v>
      </c>
      <c r="V498">
        <v>-2.5985749999999998E-2</v>
      </c>
      <c r="W498">
        <v>9.49522E-2</v>
      </c>
      <c r="X498">
        <v>0.99514259999999999</v>
      </c>
      <c r="Y498">
        <v>-0.19187879999999999</v>
      </c>
      <c r="Z498">
        <v>-8.0276369999999903E-3</v>
      </c>
      <c r="AA498">
        <v>0.98138579999999997</v>
      </c>
      <c r="AB498">
        <v>36</v>
      </c>
      <c r="AC498">
        <v>-19.741999999999901</v>
      </c>
      <c r="AD498">
        <v>-1.0502352100000001</v>
      </c>
      <c r="AE498">
        <v>-2.74399999999997</v>
      </c>
      <c r="AF498">
        <v>-3.86295534576296</v>
      </c>
      <c r="AG498">
        <v>-1.0502352100000001</v>
      </c>
      <c r="AH498">
        <v>19.497611165014899</v>
      </c>
      <c r="AI498">
        <v>93.024568448592802</v>
      </c>
      <c r="AJ498">
        <v>101.206572575986</v>
      </c>
      <c r="AK498">
        <v>19.904327648574299</v>
      </c>
      <c r="AL498">
        <v>84.551431290852804</v>
      </c>
      <c r="AM498">
        <v>91.495801241014803</v>
      </c>
      <c r="AN498">
        <v>0.99999998691133096</v>
      </c>
    </row>
    <row r="499" spans="1:40" x14ac:dyDescent="0.3">
      <c r="A499" t="str">
        <f>"20200111150250564"</f>
        <v>20200111150250564</v>
      </c>
      <c r="B499" t="str">
        <f>"1578726170556998"</f>
        <v>1578726170556998</v>
      </c>
      <c r="C499" t="s">
        <v>40</v>
      </c>
      <c r="D499">
        <v>5.4034300000000002</v>
      </c>
      <c r="E499">
        <v>0.43693799999999999</v>
      </c>
      <c r="F499" t="s">
        <v>59</v>
      </c>
      <c r="G499">
        <v>-281.91250000000002</v>
      </c>
      <c r="H499">
        <v>8.0001470000000005E-2</v>
      </c>
      <c r="I499">
        <v>279.53949999999998</v>
      </c>
      <c r="J499">
        <v>-261.50459999999998</v>
      </c>
      <c r="K499">
        <v>1.1031089999999999</v>
      </c>
      <c r="L499">
        <v>282.37110000000001</v>
      </c>
      <c r="M499">
        <v>-0.99829840000000003</v>
      </c>
      <c r="N499">
        <v>0</v>
      </c>
      <c r="O499">
        <v>5.7715929999999999E-2</v>
      </c>
      <c r="P499">
        <v>-0.99568400000000001</v>
      </c>
      <c r="Q499">
        <v>8.7061849999999996E-2</v>
      </c>
      <c r="R499">
        <v>3.2157959999999999E-2</v>
      </c>
      <c r="S499">
        <v>-3.0389400000000002</v>
      </c>
      <c r="T499">
        <v>-0.15062390000000001</v>
      </c>
      <c r="U499">
        <v>-0.414856</v>
      </c>
      <c r="V499">
        <v>-2.5298089999999999E-2</v>
      </c>
      <c r="W499">
        <v>9.5373230000000003E-2</v>
      </c>
      <c r="X499">
        <v>0.99512</v>
      </c>
      <c r="Y499">
        <v>-0.19191949999999999</v>
      </c>
      <c r="Z499">
        <v>-7.5788339999999996E-3</v>
      </c>
      <c r="AA499">
        <v>0.98138139999999996</v>
      </c>
      <c r="AB499">
        <v>36</v>
      </c>
      <c r="AC499">
        <v>-20.407900000000001</v>
      </c>
      <c r="AD499">
        <v>-1.0231075300000001</v>
      </c>
      <c r="AE499">
        <v>-2.8316000000000301</v>
      </c>
      <c r="AF499">
        <v>-3.9949303464689301</v>
      </c>
      <c r="AG499">
        <v>-1.0231075300000001</v>
      </c>
      <c r="AH499">
        <v>20.160731445582599</v>
      </c>
      <c r="AI499">
        <v>92.849811461385201</v>
      </c>
      <c r="AJ499">
        <v>101.208198555043</v>
      </c>
      <c r="AK499">
        <v>20.5781755729701</v>
      </c>
      <c r="AL499">
        <v>84.527197761096105</v>
      </c>
      <c r="AM499">
        <v>91.456268238708205</v>
      </c>
      <c r="AN499">
        <v>0.99999993037913804</v>
      </c>
    </row>
    <row r="500" spans="1:40" x14ac:dyDescent="0.3">
      <c r="A500" t="str">
        <f>"20200111150250582"</f>
        <v>20200111150250582</v>
      </c>
      <c r="B500" t="str">
        <f>"1578726170576517"</f>
        <v>1578726170576517</v>
      </c>
      <c r="C500" t="s">
        <v>40</v>
      </c>
      <c r="D500">
        <v>5.42415</v>
      </c>
      <c r="E500">
        <v>0.43842989999999998</v>
      </c>
      <c r="F500" t="s">
        <v>59</v>
      </c>
      <c r="G500">
        <v>-282.8236</v>
      </c>
      <c r="H500">
        <v>8.0001340000000004E-2</v>
      </c>
      <c r="I500">
        <v>279.4735</v>
      </c>
      <c r="J500">
        <v>-261.76479999999998</v>
      </c>
      <c r="K500">
        <v>1.103086</v>
      </c>
      <c r="L500">
        <v>282.38639999999998</v>
      </c>
      <c r="M500">
        <v>-0.99828099999999997</v>
      </c>
      <c r="N500">
        <v>0</v>
      </c>
      <c r="O500">
        <v>5.8014780000000002E-2</v>
      </c>
      <c r="P500">
        <v>-0.99559620000000004</v>
      </c>
      <c r="Q500">
        <v>8.7806209999999996E-2</v>
      </c>
      <c r="R500">
        <v>3.2844030000000003E-2</v>
      </c>
      <c r="S500">
        <v>-3.0390929999999998</v>
      </c>
      <c r="T500">
        <v>-0.14584730000000001</v>
      </c>
      <c r="U500">
        <v>-0.41305540000000002</v>
      </c>
      <c r="V500">
        <v>-2.4900539999999999E-2</v>
      </c>
      <c r="W500">
        <v>9.6125539999999995E-2</v>
      </c>
      <c r="X500">
        <v>0.99505770000000004</v>
      </c>
      <c r="Y500">
        <v>-0.19165460000000001</v>
      </c>
      <c r="Z500">
        <v>-7.3466419999999996E-3</v>
      </c>
      <c r="AA500">
        <v>0.9814349</v>
      </c>
      <c r="AB500">
        <v>36</v>
      </c>
      <c r="AC500">
        <v>-21.058800000000002</v>
      </c>
      <c r="AD500">
        <v>-1.0230846600000001</v>
      </c>
      <c r="AE500">
        <v>-2.9128999999999698</v>
      </c>
      <c r="AF500">
        <v>-4.1202154135624802</v>
      </c>
      <c r="AG500">
        <v>-1.0230846600000001</v>
      </c>
      <c r="AH500">
        <v>20.8061460684591</v>
      </c>
      <c r="AI500">
        <v>92.761552452442899</v>
      </c>
      <c r="AJ500">
        <v>101.201291961607</v>
      </c>
      <c r="AK500">
        <v>21.234843806765799</v>
      </c>
      <c r="AL500">
        <v>84.483894948888405</v>
      </c>
      <c r="AM500">
        <v>91.433482859351898</v>
      </c>
      <c r="AN500">
        <v>0.99999999133093598</v>
      </c>
    </row>
    <row r="501" spans="1:40" x14ac:dyDescent="0.3">
      <c r="A501" t="str">
        <f>"20200111150250615"</f>
        <v>20200111150250615</v>
      </c>
      <c r="B501" t="str">
        <f>"1578726170606533"</f>
        <v>1578726170606533</v>
      </c>
      <c r="C501" t="s">
        <v>40</v>
      </c>
      <c r="D501">
        <v>5.336271</v>
      </c>
      <c r="E501">
        <v>0.43842989999999998</v>
      </c>
      <c r="F501" t="s">
        <v>59</v>
      </c>
      <c r="G501">
        <v>-282.86099999999999</v>
      </c>
      <c r="H501">
        <v>3.3116390000000002E-2</v>
      </c>
      <c r="I501">
        <v>279.61630000000002</v>
      </c>
      <c r="J501">
        <v>-262.31990000000002</v>
      </c>
      <c r="K501">
        <v>1.1030489999999999</v>
      </c>
      <c r="L501">
        <v>282.41930000000002</v>
      </c>
      <c r="M501">
        <v>-0.99824329999999994</v>
      </c>
      <c r="N501">
        <v>0</v>
      </c>
      <c r="O501">
        <v>5.8657290000000001E-2</v>
      </c>
      <c r="P501">
        <v>-0.99551049999999996</v>
      </c>
      <c r="Q501">
        <v>8.8480130000000004E-2</v>
      </c>
      <c r="R501">
        <v>3.3619929999999999E-2</v>
      </c>
      <c r="S501">
        <v>-3.040009</v>
      </c>
      <c r="T501">
        <v>-0.15418570000000001</v>
      </c>
      <c r="U501">
        <v>-0.39916990000000002</v>
      </c>
      <c r="V501">
        <v>-2.4753210000000001E-2</v>
      </c>
      <c r="W501">
        <v>9.6817070000000005E-2</v>
      </c>
      <c r="X501">
        <v>0.9949943</v>
      </c>
      <c r="Y501">
        <v>-0.18781200000000001</v>
      </c>
      <c r="Z501">
        <v>-7.7015449999999997E-3</v>
      </c>
      <c r="AA501">
        <v>0.98217480000000001</v>
      </c>
      <c r="AB501">
        <v>36</v>
      </c>
      <c r="AC501">
        <v>-20.541099999999901</v>
      </c>
      <c r="AD501">
        <v>-1.06993261</v>
      </c>
      <c r="AE501">
        <v>-2.8029999999999902</v>
      </c>
      <c r="AF501">
        <v>-3.9924666725642601</v>
      </c>
      <c r="AG501">
        <v>-1.06993261</v>
      </c>
      <c r="AH501">
        <v>20.287272150221799</v>
      </c>
      <c r="AI501">
        <v>92.962218587680496</v>
      </c>
      <c r="AJ501">
        <v>101.133343559745</v>
      </c>
      <c r="AK501">
        <v>20.7040565401721</v>
      </c>
      <c r="AL501">
        <v>84.444087361267293</v>
      </c>
      <c r="AM501">
        <v>91.425095585144902</v>
      </c>
      <c r="AN501">
        <v>0.99999996174058803</v>
      </c>
    </row>
    <row r="502" spans="1:40" x14ac:dyDescent="0.3">
      <c r="A502" t="str">
        <f>"20200111150250637"</f>
        <v>20200111150250637</v>
      </c>
      <c r="B502" t="str">
        <f>"1578726170627029"</f>
        <v>1578726170627029</v>
      </c>
      <c r="C502" t="s">
        <v>40</v>
      </c>
      <c r="D502">
        <v>5.3163619999999998</v>
      </c>
      <c r="E502">
        <v>0.5543266</v>
      </c>
      <c r="F502" t="s">
        <v>59</v>
      </c>
      <c r="G502">
        <v>-283.76960000000003</v>
      </c>
      <c r="H502">
        <v>3.3602550000000002E-2</v>
      </c>
      <c r="I502">
        <v>279.61630000000002</v>
      </c>
      <c r="J502">
        <v>-262.67809999999997</v>
      </c>
      <c r="K502">
        <v>1.103035</v>
      </c>
      <c r="L502">
        <v>282.44060000000002</v>
      </c>
      <c r="M502">
        <v>-0.99821879999999996</v>
      </c>
      <c r="N502">
        <v>0</v>
      </c>
      <c r="O502">
        <v>5.9070530000000003E-2</v>
      </c>
      <c r="P502">
        <v>-0.99546460000000003</v>
      </c>
      <c r="Q502">
        <v>8.8771260000000005E-2</v>
      </c>
      <c r="R502">
        <v>3.4205390000000002E-2</v>
      </c>
      <c r="S502">
        <v>-3.0404659999999999</v>
      </c>
      <c r="T502">
        <v>-0.151592899999999</v>
      </c>
      <c r="U502">
        <v>-0.3973083</v>
      </c>
      <c r="V502">
        <v>-2.457314E-2</v>
      </c>
      <c r="W502">
        <v>9.7119380000000005E-2</v>
      </c>
      <c r="X502">
        <v>0.9949694</v>
      </c>
      <c r="Y502">
        <v>-0.18761839999999999</v>
      </c>
      <c r="Z502">
        <v>-7.5870709999999999E-3</v>
      </c>
      <c r="AA502">
        <v>0.98221270000000005</v>
      </c>
      <c r="AB502">
        <v>36</v>
      </c>
      <c r="AC502">
        <v>-21.0915</v>
      </c>
      <c r="AD502">
        <v>-1.0694324500000001</v>
      </c>
      <c r="AE502">
        <v>-2.8242999999999898</v>
      </c>
      <c r="AF502">
        <v>-4.0550558671906698</v>
      </c>
      <c r="AG502">
        <v>-1.0694324500000001</v>
      </c>
      <c r="AH502">
        <v>20.835206494974798</v>
      </c>
      <c r="AI502">
        <v>92.884282239734404</v>
      </c>
      <c r="AJ502">
        <v>101.013518778768</v>
      </c>
      <c r="AK502">
        <v>21.253070214427598</v>
      </c>
      <c r="AL502">
        <v>84.426684810620102</v>
      </c>
      <c r="AM502">
        <v>91.414768186817199</v>
      </c>
      <c r="AN502">
        <v>1.0000000600587</v>
      </c>
    </row>
    <row r="503" spans="1:40" x14ac:dyDescent="0.3">
      <c r="A503" t="str">
        <f>"20200111150250651"</f>
        <v>20200111150250651</v>
      </c>
      <c r="B503" t="str">
        <f>"1578726170646550"</f>
        <v>1578726170646550</v>
      </c>
      <c r="C503" t="s">
        <v>40</v>
      </c>
      <c r="D503">
        <v>5.3368539999999998</v>
      </c>
      <c r="E503">
        <v>0.55515950000000003</v>
      </c>
      <c r="F503" t="s">
        <v>42</v>
      </c>
      <c r="G503">
        <v>-263.57279999999997</v>
      </c>
      <c r="H503">
        <v>1.035873</v>
      </c>
      <c r="I503">
        <v>282.59679999999997</v>
      </c>
      <c r="J503">
        <v>-262.9042</v>
      </c>
      <c r="K503">
        <v>1.1030169999999999</v>
      </c>
      <c r="L503">
        <v>282.45420000000001</v>
      </c>
      <c r="M503">
        <v>-0.99820339999999996</v>
      </c>
      <c r="N503">
        <v>0</v>
      </c>
      <c r="O503">
        <v>5.9330290000000001E-2</v>
      </c>
      <c r="P503">
        <v>-0.99541120000000005</v>
      </c>
      <c r="Q503">
        <v>8.9251919999999998E-2</v>
      </c>
      <c r="R503">
        <v>3.4512229999999998E-2</v>
      </c>
      <c r="S503">
        <v>-3.0157780000000001</v>
      </c>
      <c r="T503">
        <v>-0.22638259999999999</v>
      </c>
      <c r="U503">
        <v>0.52624510000000002</v>
      </c>
      <c r="V503">
        <v>-2.452025E-2</v>
      </c>
      <c r="W503">
        <v>9.7606299999999993E-2</v>
      </c>
      <c r="X503">
        <v>0.994923</v>
      </c>
      <c r="Y503">
        <v>0.1130015</v>
      </c>
      <c r="Z503">
        <v>-2.0307680000000001E-4</v>
      </c>
      <c r="AA503">
        <v>0.9935948</v>
      </c>
      <c r="AB503">
        <v>36</v>
      </c>
      <c r="AC503">
        <v>-0.668599999999969</v>
      </c>
      <c r="AD503">
        <v>-6.7143999999999801E-2</v>
      </c>
      <c r="AE503">
        <v>0.14259999999995801</v>
      </c>
      <c r="AF503">
        <v>0.10169814697225001</v>
      </c>
      <c r="AG503">
        <v>-6.7143999999999801E-2</v>
      </c>
      <c r="AH503">
        <v>0.66942541150423096</v>
      </c>
      <c r="AI503">
        <v>95.6631167981555</v>
      </c>
      <c r="AJ503">
        <v>81.361758067612598</v>
      </c>
      <c r="AK503">
        <v>0.68042722711631598</v>
      </c>
      <c r="AL503">
        <v>84.398652857498504</v>
      </c>
      <c r="AM503">
        <v>91.411790155619798</v>
      </c>
      <c r="AN503">
        <v>1.00000000419437</v>
      </c>
    </row>
    <row r="504" spans="1:40" x14ac:dyDescent="0.3">
      <c r="A504" t="str">
        <f>"20200111150250670"</f>
        <v>20200111150250670</v>
      </c>
      <c r="B504" t="str">
        <f>"1578726170667046"</f>
        <v>1578726170667046</v>
      </c>
      <c r="C504" t="s">
        <v>40</v>
      </c>
      <c r="D504">
        <v>5.3018239999999999</v>
      </c>
      <c r="E504">
        <v>0.55512309999999998</v>
      </c>
      <c r="F504" t="s">
        <v>42</v>
      </c>
      <c r="G504">
        <v>-263.89859999999999</v>
      </c>
      <c r="H504">
        <v>1.036475</v>
      </c>
      <c r="I504">
        <v>282.63069999999999</v>
      </c>
      <c r="J504">
        <v>-263.2115</v>
      </c>
      <c r="K504">
        <v>1.1030070000000001</v>
      </c>
      <c r="L504">
        <v>282.47280000000001</v>
      </c>
      <c r="M504">
        <v>-0.99818229999999997</v>
      </c>
      <c r="N504">
        <v>0</v>
      </c>
      <c r="O504">
        <v>5.9682209999999999E-2</v>
      </c>
      <c r="P504">
        <v>-0.99541749999999996</v>
      </c>
      <c r="Q504">
        <v>8.9301580000000005E-2</v>
      </c>
      <c r="R504">
        <v>3.4196940000000002E-2</v>
      </c>
      <c r="S504">
        <v>-3.0133670000000001</v>
      </c>
      <c r="T504">
        <v>-0.2017427</v>
      </c>
      <c r="U504">
        <v>0.53424069999999901</v>
      </c>
      <c r="V504">
        <v>-2.518333E-2</v>
      </c>
      <c r="W504">
        <v>9.7665600000000005E-2</v>
      </c>
      <c r="X504">
        <v>0.99490060000000002</v>
      </c>
      <c r="Y504">
        <v>0.11536829999999999</v>
      </c>
      <c r="Z504">
        <v>-1.257791E-4</v>
      </c>
      <c r="AA504">
        <v>0.99332279999999995</v>
      </c>
      <c r="AB504">
        <v>36</v>
      </c>
      <c r="AC504">
        <v>-0.68709999999998606</v>
      </c>
      <c r="AD504">
        <v>-6.6531999999999994E-2</v>
      </c>
      <c r="AE504">
        <v>0.157899999999983</v>
      </c>
      <c r="AF504">
        <v>0.115580099351256</v>
      </c>
      <c r="AG504">
        <v>-6.6531999999999994E-2</v>
      </c>
      <c r="AH504">
        <v>0.68916175309850103</v>
      </c>
      <c r="AI504">
        <v>95.438779817991801</v>
      </c>
      <c r="AJ504">
        <v>80.479461477458003</v>
      </c>
      <c r="AK504">
        <v>0.70194671330795899</v>
      </c>
      <c r="AL504">
        <v>84.395238808274698</v>
      </c>
      <c r="AM504">
        <v>91.449984528918307</v>
      </c>
      <c r="AN504">
        <v>0.99999998670680401</v>
      </c>
    </row>
    <row r="505" spans="1:40" x14ac:dyDescent="0.3">
      <c r="A505" t="str">
        <f>"20200111150250692"</f>
        <v>20200111150250692</v>
      </c>
      <c r="B505" t="str">
        <f>"1578726170686698"</f>
        <v>1578726170686698</v>
      </c>
      <c r="C505" t="s">
        <v>40</v>
      </c>
      <c r="D505">
        <v>5.1473940000000002</v>
      </c>
      <c r="E505">
        <v>0.55465069999999905</v>
      </c>
      <c r="F505" t="s">
        <v>42</v>
      </c>
      <c r="G505">
        <v>-264.22539999999998</v>
      </c>
      <c r="H505">
        <v>1.0371649999999999</v>
      </c>
      <c r="I505">
        <v>282.65230000000003</v>
      </c>
      <c r="J505">
        <v>-263.57909999999998</v>
      </c>
      <c r="K505">
        <v>1.103003</v>
      </c>
      <c r="L505">
        <v>282.49509999999998</v>
      </c>
      <c r="M505">
        <v>-0.99815699999999996</v>
      </c>
      <c r="N505">
        <v>0</v>
      </c>
      <c r="O505">
        <v>6.0101700000000001E-2</v>
      </c>
      <c r="P505">
        <v>-0.99534739999999999</v>
      </c>
      <c r="Q505">
        <v>8.9985850000000006E-2</v>
      </c>
      <c r="R505">
        <v>3.4437790000000003E-2</v>
      </c>
      <c r="S505">
        <v>-3.0130620000000001</v>
      </c>
      <c r="T505">
        <v>-0.19575989999999999</v>
      </c>
      <c r="U505">
        <v>0.53314209999999995</v>
      </c>
      <c r="V505">
        <v>-2.5353790000000001E-2</v>
      </c>
      <c r="W505">
        <v>9.8360790000000003E-2</v>
      </c>
      <c r="X505">
        <v>0.99482780000000004</v>
      </c>
      <c r="Y505">
        <v>0.1146263</v>
      </c>
      <c r="Z505">
        <v>-1.728856E-4</v>
      </c>
      <c r="AA505">
        <v>0.99340870000000003</v>
      </c>
      <c r="AB505">
        <v>37</v>
      </c>
      <c r="AC505">
        <v>-0.64629999999999599</v>
      </c>
      <c r="AD505">
        <v>-6.5837999999999994E-2</v>
      </c>
      <c r="AE505">
        <v>0.157200000000045</v>
      </c>
      <c r="AF505">
        <v>0.116925113296273</v>
      </c>
      <c r="AG505">
        <v>-6.5837999999999994E-2</v>
      </c>
      <c r="AH505">
        <v>0.64822876158294096</v>
      </c>
      <c r="AI505">
        <v>95.707926616271195</v>
      </c>
      <c r="AJ505">
        <v>79.775143219924601</v>
      </c>
      <c r="AK505">
        <v>0.66197179071822898</v>
      </c>
      <c r="AL505">
        <v>84.355214749561398</v>
      </c>
      <c r="AM505">
        <v>91.4599016778036</v>
      </c>
      <c r="AN505">
        <v>1.00000000566481</v>
      </c>
    </row>
    <row r="506" spans="1:40" x14ac:dyDescent="0.3">
      <c r="A506" t="str">
        <f>"20200111150250715"</f>
        <v>20200111150250715</v>
      </c>
      <c r="B506" t="str">
        <f>"1578726170707197"</f>
        <v>1578726170707197</v>
      </c>
      <c r="C506" t="s">
        <v>40</v>
      </c>
      <c r="D506">
        <v>5.0826209999999996</v>
      </c>
      <c r="E506">
        <v>0.55501630000000002</v>
      </c>
      <c r="F506" t="s">
        <v>42</v>
      </c>
      <c r="G506">
        <v>-264.55489999999998</v>
      </c>
      <c r="H506">
        <v>1.04129</v>
      </c>
      <c r="I506">
        <v>282.6671</v>
      </c>
      <c r="J506">
        <v>-263.96120000000002</v>
      </c>
      <c r="K506">
        <v>1.102997</v>
      </c>
      <c r="L506">
        <v>282.51850000000002</v>
      </c>
      <c r="M506">
        <v>-0.99813090000000004</v>
      </c>
      <c r="N506">
        <v>0</v>
      </c>
      <c r="O506">
        <v>6.0534270000000001E-2</v>
      </c>
      <c r="P506">
        <v>-0.99527779999999999</v>
      </c>
      <c r="Q506">
        <v>9.0405239999999998E-2</v>
      </c>
      <c r="R506">
        <v>3.5346299999999997E-2</v>
      </c>
      <c r="S506">
        <v>-3.0129389999999998</v>
      </c>
      <c r="T506">
        <v>-0.190772</v>
      </c>
      <c r="U506">
        <v>0.52975459999999996</v>
      </c>
      <c r="V506">
        <v>-2.487172E-2</v>
      </c>
      <c r="W506">
        <v>9.8790729999999993E-2</v>
      </c>
      <c r="X506">
        <v>0.9947973</v>
      </c>
      <c r="Y506">
        <v>0.1131287</v>
      </c>
      <c r="Z506">
        <v>-2.425967E-4</v>
      </c>
      <c r="AA506">
        <v>0.99358029999999997</v>
      </c>
      <c r="AB506">
        <v>37</v>
      </c>
      <c r="AC506">
        <v>-0.59369999999995504</v>
      </c>
      <c r="AD506">
        <v>-6.1706999999999901E-2</v>
      </c>
      <c r="AE506">
        <v>0.14859999999998699</v>
      </c>
      <c r="AF506">
        <v>0.111255990050304</v>
      </c>
      <c r="AG506">
        <v>-6.1706999999999901E-2</v>
      </c>
      <c r="AH506">
        <v>0.59555253365767002</v>
      </c>
      <c r="AI506">
        <v>95.815580643641994</v>
      </c>
      <c r="AJ506">
        <v>79.418464568914999</v>
      </c>
      <c r="AK506">
        <v>0.60898971216034803</v>
      </c>
      <c r="AL506">
        <v>84.330460060696794</v>
      </c>
      <c r="AM506">
        <v>91.4321990716887</v>
      </c>
      <c r="AN506">
        <v>0.99999993943848797</v>
      </c>
    </row>
    <row r="507" spans="1:40" x14ac:dyDescent="0.3">
      <c r="A507" t="str">
        <f>"20200111150250738"</f>
        <v>20200111150250738</v>
      </c>
      <c r="B507" t="str">
        <f>"1578726170726714"</f>
        <v>1578726170726714</v>
      </c>
      <c r="C507" t="s">
        <v>40</v>
      </c>
      <c r="D507">
        <v>5.023962</v>
      </c>
      <c r="E507">
        <v>0.55541430000000003</v>
      </c>
      <c r="F507" t="s">
        <v>42</v>
      </c>
      <c r="G507">
        <v>-264.88299999999998</v>
      </c>
      <c r="H507">
        <v>1.0414209999999999</v>
      </c>
      <c r="I507">
        <v>282.68180000000001</v>
      </c>
      <c r="J507">
        <v>-264.32409999999999</v>
      </c>
      <c r="K507">
        <v>1.102994</v>
      </c>
      <c r="L507">
        <v>282.54090000000002</v>
      </c>
      <c r="M507">
        <v>-0.99810600000000005</v>
      </c>
      <c r="N507">
        <v>0</v>
      </c>
      <c r="O507">
        <v>6.0940580000000001E-2</v>
      </c>
      <c r="P507">
        <v>-0.99522980000000005</v>
      </c>
      <c r="Q507">
        <v>9.0570700000000004E-2</v>
      </c>
      <c r="R507">
        <v>3.6257869999999998E-2</v>
      </c>
      <c r="S507">
        <v>-3.0135190000000001</v>
      </c>
      <c r="T507">
        <v>-0.20116220000000001</v>
      </c>
      <c r="U507">
        <v>0.53439329999999996</v>
      </c>
      <c r="V507">
        <v>-2.436373E-2</v>
      </c>
      <c r="W507">
        <v>9.8965819999999996E-2</v>
      </c>
      <c r="X507">
        <v>0.99479249999999997</v>
      </c>
      <c r="Y507">
        <v>0.1141621</v>
      </c>
      <c r="Z507">
        <v>-2.4824500000000002E-4</v>
      </c>
      <c r="AA507">
        <v>0.99346210000000001</v>
      </c>
      <c r="AB507">
        <v>37</v>
      </c>
      <c r="AC507">
        <v>-0.55889999999999396</v>
      </c>
      <c r="AD507">
        <v>-6.15730000000001E-2</v>
      </c>
      <c r="AE507">
        <v>0.14089999999998701</v>
      </c>
      <c r="AF507">
        <v>0.105374700950036</v>
      </c>
      <c r="AG507">
        <v>-6.15730000000001E-2</v>
      </c>
      <c r="AH507">
        <v>0.56005675647840103</v>
      </c>
      <c r="AI507">
        <v>96.166592944808002</v>
      </c>
      <c r="AJ507">
        <v>79.344369343253206</v>
      </c>
      <c r="AK507">
        <v>0.57320034229439998</v>
      </c>
      <c r="AL507">
        <v>84.320378921360899</v>
      </c>
      <c r="AM507">
        <v>91.402965842166395</v>
      </c>
      <c r="AN507">
        <v>0.99999997146201702</v>
      </c>
    </row>
    <row r="508" spans="1:40" x14ac:dyDescent="0.3">
      <c r="A508" t="str">
        <f>"20200111150250759"</f>
        <v>20200111150250759</v>
      </c>
      <c r="B508" t="str">
        <f>"1578726170756970"</f>
        <v>1578726170756970</v>
      </c>
      <c r="C508" t="s">
        <v>40</v>
      </c>
      <c r="D508">
        <v>4.9831560000000001</v>
      </c>
      <c r="E508">
        <v>0.55592940000000002</v>
      </c>
      <c r="F508" t="s">
        <v>42</v>
      </c>
      <c r="G508">
        <v>-265.2115</v>
      </c>
      <c r="H508">
        <v>1.041785</v>
      </c>
      <c r="I508">
        <v>282.70030000000003</v>
      </c>
      <c r="J508">
        <v>-264.6782</v>
      </c>
      <c r="K508">
        <v>1.102994</v>
      </c>
      <c r="L508">
        <v>282.56290000000001</v>
      </c>
      <c r="M508">
        <v>-0.99808200000000002</v>
      </c>
      <c r="N508">
        <v>0</v>
      </c>
      <c r="O508">
        <v>6.133065E-2</v>
      </c>
      <c r="P508">
        <v>-0.99512259999999997</v>
      </c>
      <c r="Q508">
        <v>9.1456369999999995E-2</v>
      </c>
      <c r="R508">
        <v>3.697317E-2</v>
      </c>
      <c r="S508">
        <v>-3.0136409999999998</v>
      </c>
      <c r="T508">
        <v>-0.2079917</v>
      </c>
      <c r="U508">
        <v>0.54040529999999998</v>
      </c>
      <c r="V508">
        <v>-2.4030940000000001E-2</v>
      </c>
      <c r="W508">
        <v>9.9860669999999999E-2</v>
      </c>
      <c r="X508">
        <v>0.99471120000000002</v>
      </c>
      <c r="Y508">
        <v>0.11567719999999999</v>
      </c>
      <c r="Z508">
        <v>-2.3129819999999999E-4</v>
      </c>
      <c r="AA508">
        <v>0.99328680000000003</v>
      </c>
      <c r="AB508">
        <v>37</v>
      </c>
      <c r="AC508">
        <v>-0.533299999999997</v>
      </c>
      <c r="AD508">
        <v>-6.1209E-2</v>
      </c>
      <c r="AE508">
        <v>0.13740000000001301</v>
      </c>
      <c r="AF508">
        <v>0.103158208595077</v>
      </c>
      <c r="AG508">
        <v>-6.1209E-2</v>
      </c>
      <c r="AH508">
        <v>0.53412502537828699</v>
      </c>
      <c r="AI508">
        <v>96.419774862496595</v>
      </c>
      <c r="AJ508">
        <v>79.068772128676798</v>
      </c>
      <c r="AK508">
        <v>0.54742826052086602</v>
      </c>
      <c r="AL508">
        <v>84.268852735572693</v>
      </c>
      <c r="AM508">
        <v>91.383922957974093</v>
      </c>
      <c r="AN508">
        <v>1.00000000544778</v>
      </c>
    </row>
    <row r="509" spans="1:40" x14ac:dyDescent="0.3">
      <c r="A509" t="str">
        <f>"20200111150250782"</f>
        <v>20200111150250782</v>
      </c>
      <c r="B509" t="str">
        <f>"1578726170776490"</f>
        <v>1578726170776490</v>
      </c>
      <c r="C509" t="s">
        <v>40</v>
      </c>
      <c r="D509">
        <v>4.9022870000000003</v>
      </c>
      <c r="E509">
        <v>0.55605230000000005</v>
      </c>
      <c r="F509" t="s">
        <v>42</v>
      </c>
      <c r="G509">
        <v>-265.541</v>
      </c>
      <c r="H509">
        <v>1.0429200000000001</v>
      </c>
      <c r="I509">
        <v>282.71940000000001</v>
      </c>
      <c r="J509">
        <v>-265.04140000000001</v>
      </c>
      <c r="K509">
        <v>1.103</v>
      </c>
      <c r="L509">
        <v>282.58550000000002</v>
      </c>
      <c r="M509">
        <v>-0.99805779999999999</v>
      </c>
      <c r="N509">
        <v>0</v>
      </c>
      <c r="O509">
        <v>6.172271E-2</v>
      </c>
      <c r="P509">
        <v>-0.99498770000000003</v>
      </c>
      <c r="Q509">
        <v>9.2616030000000002E-2</v>
      </c>
      <c r="R509">
        <v>3.7708169999999999E-2</v>
      </c>
      <c r="S509">
        <v>-3.0136720000000001</v>
      </c>
      <c r="T509">
        <v>-0.2098978</v>
      </c>
      <c r="U509">
        <v>0.54656979999999999</v>
      </c>
      <c r="V509">
        <v>-2.3679510000000001E-2</v>
      </c>
      <c r="W509">
        <v>0.1010292</v>
      </c>
      <c r="X509">
        <v>0.99460159999999997</v>
      </c>
      <c r="Y509">
        <v>0.1172479</v>
      </c>
      <c r="Z509">
        <v>-2.0605419999999999E-4</v>
      </c>
      <c r="AA509">
        <v>0.9931027</v>
      </c>
      <c r="AB509">
        <v>37</v>
      </c>
      <c r="AC509">
        <v>-0.499599999999986</v>
      </c>
      <c r="AD509">
        <v>-6.0079999999999897E-2</v>
      </c>
      <c r="AE509">
        <v>0.13389999999998201</v>
      </c>
      <c r="AF509">
        <v>0.10143827667085099</v>
      </c>
      <c r="AG509">
        <v>-6.0079999999999897E-2</v>
      </c>
      <c r="AH509">
        <v>0.50016392802763998</v>
      </c>
      <c r="AI509">
        <v>96.714179872187898</v>
      </c>
      <c r="AJ509">
        <v>78.535339376424304</v>
      </c>
      <c r="AK509">
        <v>0.51387088385506896</v>
      </c>
      <c r="AL509">
        <v>84.201560427970094</v>
      </c>
      <c r="AM509">
        <v>91.363842294477905</v>
      </c>
      <c r="AN509">
        <v>0.999999980584519</v>
      </c>
    </row>
    <row r="510" spans="1:40" x14ac:dyDescent="0.3">
      <c r="A510" t="str">
        <f>"20200111150250805"</f>
        <v>20200111150250805</v>
      </c>
      <c r="B510" t="str">
        <f>"1578726170796985"</f>
        <v>1578726170796985</v>
      </c>
      <c r="C510" t="s">
        <v>40</v>
      </c>
      <c r="D510">
        <v>4.9867460000000001</v>
      </c>
      <c r="E510">
        <v>0.55648799999999998</v>
      </c>
      <c r="F510" t="s">
        <v>42</v>
      </c>
      <c r="G510">
        <v>-265.87200000000001</v>
      </c>
      <c r="H510">
        <v>1.045139</v>
      </c>
      <c r="I510">
        <v>282.73719999999997</v>
      </c>
      <c r="J510">
        <v>-265.4359</v>
      </c>
      <c r="K510">
        <v>1.103002</v>
      </c>
      <c r="L510">
        <v>282.61040000000003</v>
      </c>
      <c r="M510">
        <v>-0.99803189999999997</v>
      </c>
      <c r="N510">
        <v>0</v>
      </c>
      <c r="O510">
        <v>6.2139130000000001E-2</v>
      </c>
      <c r="P510">
        <v>-0.99492990000000003</v>
      </c>
      <c r="Q510">
        <v>9.2957680000000001E-2</v>
      </c>
      <c r="R510">
        <v>3.839099E-2</v>
      </c>
      <c r="S510">
        <v>-3.0138240000000001</v>
      </c>
      <c r="T510">
        <v>-0.21005679999999999</v>
      </c>
      <c r="U510">
        <v>0.54986569999999901</v>
      </c>
      <c r="V510">
        <v>-2.3410230000000001E-2</v>
      </c>
      <c r="W510">
        <v>0.1013812</v>
      </c>
      <c r="X510">
        <v>0.99457220000000002</v>
      </c>
      <c r="Y510">
        <v>0.1178753</v>
      </c>
      <c r="Z510">
        <v>-2.131159E-4</v>
      </c>
      <c r="AA510">
        <v>0.99302840000000003</v>
      </c>
      <c r="AB510">
        <v>37</v>
      </c>
      <c r="AC510">
        <v>-0.43610000000000998</v>
      </c>
      <c r="AD510">
        <v>-5.7862999999999998E-2</v>
      </c>
      <c r="AE510">
        <v>0.12679999999994601</v>
      </c>
      <c r="AF510">
        <v>9.7866491755948304E-2</v>
      </c>
      <c r="AG510">
        <v>-5.7862999999999998E-2</v>
      </c>
      <c r="AH510">
        <v>0.43605840488904501</v>
      </c>
      <c r="AI510">
        <v>97.377313780730006</v>
      </c>
      <c r="AJ510">
        <v>77.3504670484663</v>
      </c>
      <c r="AK510">
        <v>0.45063611645316998</v>
      </c>
      <c r="AL510">
        <v>84.181288479244003</v>
      </c>
      <c r="AM510">
        <v>91.348378476153002</v>
      </c>
      <c r="AN510">
        <v>1.00000002379746</v>
      </c>
    </row>
    <row r="511" spans="1:40" x14ac:dyDescent="0.3">
      <c r="A511" t="str">
        <f>"20200111150250828"</f>
        <v>20200111150250828</v>
      </c>
      <c r="B511" t="str">
        <f>"1578726170816506"</f>
        <v>1578726170816506</v>
      </c>
      <c r="C511" t="s">
        <v>40</v>
      </c>
      <c r="D511">
        <v>4.8368919999999997</v>
      </c>
      <c r="E511">
        <v>0.55637190000000003</v>
      </c>
      <c r="F511" t="s">
        <v>42</v>
      </c>
      <c r="G511">
        <v>-266.20670000000001</v>
      </c>
      <c r="H511">
        <v>1.050424</v>
      </c>
      <c r="I511">
        <v>282.7525</v>
      </c>
      <c r="J511">
        <v>-265.80349999999999</v>
      </c>
      <c r="K511">
        <v>1.103003</v>
      </c>
      <c r="L511">
        <v>282.6336</v>
      </c>
      <c r="M511">
        <v>-0.99800809999999995</v>
      </c>
      <c r="N511">
        <v>0</v>
      </c>
      <c r="O511">
        <v>6.2518729999999995E-2</v>
      </c>
      <c r="P511">
        <v>-0.99492000000000003</v>
      </c>
      <c r="Q511">
        <v>9.2808340000000003E-2</v>
      </c>
      <c r="R511">
        <v>3.8996940000000001E-2</v>
      </c>
      <c r="S511">
        <v>-3.0130620000000001</v>
      </c>
      <c r="T511">
        <v>-0.2055739</v>
      </c>
      <c r="U511">
        <v>0.55526730000000002</v>
      </c>
      <c r="V511">
        <v>-2.3185290000000001E-2</v>
      </c>
      <c r="W511">
        <v>0.1012417</v>
      </c>
      <c r="X511">
        <v>0.99459169999999997</v>
      </c>
      <c r="Y511">
        <v>0.1192674</v>
      </c>
      <c r="Z511">
        <v>-1.8704360000000001E-4</v>
      </c>
      <c r="AA511">
        <v>0.99286220000000003</v>
      </c>
      <c r="AB511">
        <v>37</v>
      </c>
      <c r="AC511">
        <v>-0.40320000000002598</v>
      </c>
      <c r="AD511">
        <v>-5.2578999999999897E-2</v>
      </c>
      <c r="AE511">
        <v>0.118899999999996</v>
      </c>
      <c r="AF511">
        <v>9.2019317208093004E-2</v>
      </c>
      <c r="AG511">
        <v>-5.2578999999999897E-2</v>
      </c>
      <c r="AH511">
        <v>0.40353177150852398</v>
      </c>
      <c r="AI511">
        <v>97.239845747467797</v>
      </c>
      <c r="AJ511">
        <v>77.154217700105306</v>
      </c>
      <c r="AK511">
        <v>0.41721696585499901</v>
      </c>
      <c r="AL511">
        <v>84.189322698972404</v>
      </c>
      <c r="AM511">
        <v>91.335400961487693</v>
      </c>
      <c r="AN511">
        <v>1.0000000446000801</v>
      </c>
    </row>
    <row r="512" spans="1:40" x14ac:dyDescent="0.3">
      <c r="A512" t="str">
        <f>"20200111150250849"</f>
        <v>20200111150250849</v>
      </c>
      <c r="B512" t="str">
        <f>"1578726170837002"</f>
        <v>1578726170837002</v>
      </c>
      <c r="C512" t="s">
        <v>40</v>
      </c>
      <c r="D512">
        <v>4.6940080000000002</v>
      </c>
      <c r="E512">
        <v>0.55601140000000004</v>
      </c>
      <c r="F512" t="s">
        <v>42</v>
      </c>
      <c r="G512">
        <v>-266.53930000000003</v>
      </c>
      <c r="H512">
        <v>1.052897</v>
      </c>
      <c r="I512">
        <v>282.76940000000002</v>
      </c>
      <c r="J512">
        <v>-266.14749999999998</v>
      </c>
      <c r="K512">
        <v>1.103011</v>
      </c>
      <c r="L512">
        <v>282.65539999999999</v>
      </c>
      <c r="M512">
        <v>-0.99798609999999999</v>
      </c>
      <c r="N512">
        <v>0</v>
      </c>
      <c r="O512">
        <v>6.2866679999999994E-2</v>
      </c>
      <c r="P512">
        <v>-0.9948842</v>
      </c>
      <c r="Q512">
        <v>9.3066759999999998E-2</v>
      </c>
      <c r="R512">
        <v>3.929767E-2</v>
      </c>
      <c r="S512">
        <v>-3.0126949999999999</v>
      </c>
      <c r="T512">
        <v>-0.2052551</v>
      </c>
      <c r="U512">
        <v>0.55575559999999902</v>
      </c>
      <c r="V512">
        <v>-2.3230190000000001E-2</v>
      </c>
      <c r="W512">
        <v>0.1015093</v>
      </c>
      <c r="X512">
        <v>0.99456330000000004</v>
      </c>
      <c r="Y512">
        <v>0.11909989999999999</v>
      </c>
      <c r="Z512">
        <v>-2.1580049999999999E-4</v>
      </c>
      <c r="AA512">
        <v>0.9928823</v>
      </c>
      <c r="AB512">
        <v>37</v>
      </c>
      <c r="AC512">
        <v>-0.391800000000046</v>
      </c>
      <c r="AD512">
        <v>-5.0113999999999902E-2</v>
      </c>
      <c r="AE512">
        <v>0.11400000000003201</v>
      </c>
      <c r="AF512">
        <v>8.7817857890484005E-2</v>
      </c>
      <c r="AG512">
        <v>-5.0113999999999902E-2</v>
      </c>
      <c r="AH512">
        <v>0.39227520400500299</v>
      </c>
      <c r="AI512">
        <v>97.106195357843205</v>
      </c>
      <c r="AJ512">
        <v>77.381366055029801</v>
      </c>
      <c r="AK512">
        <v>0.40509656236216002</v>
      </c>
      <c r="AL512">
        <v>84.173910507624697</v>
      </c>
      <c r="AM512">
        <v>91.338024316015193</v>
      </c>
      <c r="AN512">
        <v>0.99999996871040697</v>
      </c>
    </row>
    <row r="513" spans="1:40" x14ac:dyDescent="0.3">
      <c r="A513" t="str">
        <f>"20200111150250871"</f>
        <v>20200111150250871</v>
      </c>
      <c r="B513" t="str">
        <f>"1578726170867258"</f>
        <v>1578726170867258</v>
      </c>
      <c r="C513" t="s">
        <v>40</v>
      </c>
      <c r="D513">
        <v>4.7323769999999996</v>
      </c>
      <c r="E513">
        <v>0.55562349999999905</v>
      </c>
      <c r="F513" t="s">
        <v>42</v>
      </c>
      <c r="G513">
        <v>-267.18680000000001</v>
      </c>
      <c r="H513">
        <v>1.031803</v>
      </c>
      <c r="I513">
        <v>282.8467</v>
      </c>
      <c r="J513">
        <v>-266.51420000000002</v>
      </c>
      <c r="K513">
        <v>1.103013</v>
      </c>
      <c r="L513">
        <v>282.6789</v>
      </c>
      <c r="M513">
        <v>-0.99796300000000004</v>
      </c>
      <c r="N513">
        <v>0</v>
      </c>
      <c r="O513">
        <v>6.3231449999999995E-2</v>
      </c>
      <c r="P513">
        <v>-0.99489059999999996</v>
      </c>
      <c r="Q513">
        <v>9.2757309999999996E-2</v>
      </c>
      <c r="R513">
        <v>3.9862839999999997E-2</v>
      </c>
      <c r="S513">
        <v>-3.012848</v>
      </c>
      <c r="T513">
        <v>-0.20659949999999999</v>
      </c>
      <c r="U513">
        <v>0.55364990000000003</v>
      </c>
      <c r="V513">
        <v>-2.303171E-2</v>
      </c>
      <c r="W513">
        <v>0.10121040000000001</v>
      </c>
      <c r="X513">
        <v>0.99459839999999999</v>
      </c>
      <c r="Y513">
        <v>0.1180583</v>
      </c>
      <c r="Z513">
        <v>-2.7728220000000002E-4</v>
      </c>
      <c r="AA513">
        <v>0.99300659999999996</v>
      </c>
      <c r="AB513">
        <v>37</v>
      </c>
      <c r="AC513">
        <v>-0.67259999999998799</v>
      </c>
      <c r="AD513">
        <v>-7.1209999999999996E-2</v>
      </c>
      <c r="AE513">
        <v>0.16779999999999901</v>
      </c>
      <c r="AF513">
        <v>0.123628631277219</v>
      </c>
      <c r="AG513">
        <v>-7.1209999999999996E-2</v>
      </c>
      <c r="AH513">
        <v>0.67474449344676102</v>
      </c>
      <c r="AI513">
        <v>95.926542752392507</v>
      </c>
      <c r="AJ513">
        <v>79.617264864873903</v>
      </c>
      <c r="AK513">
        <v>0.68966298581858498</v>
      </c>
      <c r="AL513">
        <v>84.191125003640707</v>
      </c>
      <c r="AM513">
        <v>91.326549467073605</v>
      </c>
      <c r="AN513">
        <v>0.99999999100812198</v>
      </c>
    </row>
    <row r="514" spans="1:40" x14ac:dyDescent="0.3">
      <c r="A514" t="str">
        <f>"20200111150250894"</f>
        <v>20200111150250894</v>
      </c>
      <c r="B514" t="str">
        <f>"1578726170886778"</f>
        <v>1578726170886778</v>
      </c>
      <c r="C514" t="s">
        <v>40</v>
      </c>
      <c r="D514">
        <v>4.691948</v>
      </c>
      <c r="E514">
        <v>0.55569469999999899</v>
      </c>
      <c r="F514" t="s">
        <v>42</v>
      </c>
      <c r="G514">
        <v>-267.52</v>
      </c>
      <c r="H514">
        <v>1.0335209999999999</v>
      </c>
      <c r="I514">
        <v>282.86320000000001</v>
      </c>
      <c r="J514">
        <v>-266.90300000000002</v>
      </c>
      <c r="K514">
        <v>1.1030150000000001</v>
      </c>
      <c r="L514">
        <v>282.7038</v>
      </c>
      <c r="M514">
        <v>-0.9979384</v>
      </c>
      <c r="N514">
        <v>0</v>
      </c>
      <c r="O514">
        <v>6.3614450000000003E-2</v>
      </c>
      <c r="P514">
        <v>-0.99487440000000005</v>
      </c>
      <c r="Q514">
        <v>9.2441389999999998E-2</v>
      </c>
      <c r="R514">
        <v>4.0983850000000002E-2</v>
      </c>
      <c r="S514">
        <v>-3.0126949999999999</v>
      </c>
      <c r="T514">
        <v>-0.20812140000000001</v>
      </c>
      <c r="U514">
        <v>0.55215449999999999</v>
      </c>
      <c r="V514">
        <v>-2.229445E-2</v>
      </c>
      <c r="W514">
        <v>0.10090440000000001</v>
      </c>
      <c r="X514">
        <v>0.99464629999999998</v>
      </c>
      <c r="Y514">
        <v>0.1172102</v>
      </c>
      <c r="Z514">
        <v>-3.3447609999999998E-4</v>
      </c>
      <c r="AA514">
        <v>0.99310710000000002</v>
      </c>
      <c r="AB514">
        <v>37</v>
      </c>
      <c r="AC514">
        <v>-0.61699999999996102</v>
      </c>
      <c r="AD514">
        <v>-6.9493999999999903E-2</v>
      </c>
      <c r="AE514">
        <v>0.15940000000000501</v>
      </c>
      <c r="AF514">
        <v>0.11841733822639799</v>
      </c>
      <c r="AG514">
        <v>-6.9493999999999903E-2</v>
      </c>
      <c r="AH514">
        <v>0.61853493676165705</v>
      </c>
      <c r="AI514">
        <v>96.297027571708696</v>
      </c>
      <c r="AJ514">
        <v>79.161975080568993</v>
      </c>
      <c r="AK514">
        <v>0.63359099585092904</v>
      </c>
      <c r="AL514">
        <v>84.208747789888506</v>
      </c>
      <c r="AM514">
        <v>91.284038390916194</v>
      </c>
      <c r="AN514">
        <v>1.0000000012719199</v>
      </c>
    </row>
    <row r="515" spans="1:40" x14ac:dyDescent="0.3">
      <c r="A515" t="str">
        <f>"20200111150250916"</f>
        <v>20200111150250916</v>
      </c>
      <c r="B515" t="str">
        <f>"1578726170907274"</f>
        <v>1578726170907274</v>
      </c>
      <c r="C515" t="s">
        <v>40</v>
      </c>
      <c r="D515">
        <v>4.6614490000000002</v>
      </c>
      <c r="E515">
        <v>0.55580680000000005</v>
      </c>
      <c r="F515" t="s">
        <v>42</v>
      </c>
      <c r="G515">
        <v>-267.85489999999999</v>
      </c>
      <c r="H515">
        <v>1.037812</v>
      </c>
      <c r="I515">
        <v>282.87990000000002</v>
      </c>
      <c r="J515">
        <v>-267.26420000000002</v>
      </c>
      <c r="K515">
        <v>1.10301</v>
      </c>
      <c r="L515">
        <v>282.72719999999998</v>
      </c>
      <c r="M515">
        <v>-0.99791600000000003</v>
      </c>
      <c r="N515">
        <v>0</v>
      </c>
      <c r="O515">
        <v>6.3966780000000001E-2</v>
      </c>
      <c r="P515">
        <v>-0.99490000000000001</v>
      </c>
      <c r="Q515">
        <v>9.1926069999999999E-2</v>
      </c>
      <c r="R515">
        <v>4.1522509999999999E-2</v>
      </c>
      <c r="S515">
        <v>-3.011749</v>
      </c>
      <c r="T515">
        <v>-0.2064155</v>
      </c>
      <c r="U515">
        <v>0.55648799999999998</v>
      </c>
      <c r="V515">
        <v>-2.2110609999999999E-2</v>
      </c>
      <c r="W515">
        <v>0.10040010000000001</v>
      </c>
      <c r="X515">
        <v>0.99470139999999996</v>
      </c>
      <c r="Y515">
        <v>0.11829729999999999</v>
      </c>
      <c r="Z515">
        <v>-3.1866549999999999E-4</v>
      </c>
      <c r="AA515">
        <v>0.99297820000000003</v>
      </c>
      <c r="AB515">
        <v>37</v>
      </c>
      <c r="AC515">
        <v>-0.59069999999996903</v>
      </c>
      <c r="AD515">
        <v>-6.5197999999999798E-2</v>
      </c>
      <c r="AE515">
        <v>0.152700000000038</v>
      </c>
      <c r="AF515">
        <v>0.11330682721876</v>
      </c>
      <c r="AG515">
        <v>-6.5197999999999798E-2</v>
      </c>
      <c r="AH515">
        <v>0.59249238121617398</v>
      </c>
      <c r="AI515">
        <v>96.168674375696398</v>
      </c>
      <c r="AJ515">
        <v>79.173609270413493</v>
      </c>
      <c r="AK515">
        <v>0.60674248087437699</v>
      </c>
      <c r="AL515">
        <v>84.237789338181798</v>
      </c>
      <c r="AM515">
        <v>91.273383195637393</v>
      </c>
      <c r="AN515">
        <v>0.99999996715827</v>
      </c>
    </row>
    <row r="516" spans="1:40" x14ac:dyDescent="0.3">
      <c r="A516" t="str">
        <f>"20200111150250938"</f>
        <v>20200111150250938</v>
      </c>
      <c r="B516" t="str">
        <f>"1578726170926794"</f>
        <v>1578726170926794</v>
      </c>
      <c r="C516" t="s">
        <v>40</v>
      </c>
      <c r="D516">
        <v>4.5110229999999998</v>
      </c>
      <c r="E516">
        <v>0.55576809999999999</v>
      </c>
      <c r="F516" t="s">
        <v>42</v>
      </c>
      <c r="G516">
        <v>-268.1891</v>
      </c>
      <c r="H516">
        <v>1.0397400000000001</v>
      </c>
      <c r="I516">
        <v>282.89920000000001</v>
      </c>
      <c r="J516">
        <v>-267.6284</v>
      </c>
      <c r="K516">
        <v>1.103011</v>
      </c>
      <c r="L516">
        <v>282.75080000000003</v>
      </c>
      <c r="M516">
        <v>-0.99789289999999997</v>
      </c>
      <c r="N516">
        <v>0</v>
      </c>
      <c r="O516">
        <v>6.4321729999999994E-2</v>
      </c>
      <c r="P516">
        <v>-0.9949346</v>
      </c>
      <c r="Q516">
        <v>9.1380600000000006E-2</v>
      </c>
      <c r="R516">
        <v>4.1890999999999998E-2</v>
      </c>
      <c r="S516">
        <v>-3.0110779999999999</v>
      </c>
      <c r="T516">
        <v>-0.20603920000000001</v>
      </c>
      <c r="U516">
        <v>0.55953980000000003</v>
      </c>
      <c r="V516">
        <v>-2.209995E-2</v>
      </c>
      <c r="W516">
        <v>9.9865419999999996E-2</v>
      </c>
      <c r="X516">
        <v>0.99475550000000001</v>
      </c>
      <c r="Y516">
        <v>0.1189563</v>
      </c>
      <c r="Z516">
        <v>-3.1970719999999998E-4</v>
      </c>
      <c r="AA516">
        <v>0.99289939999999999</v>
      </c>
      <c r="AB516">
        <v>37</v>
      </c>
      <c r="AC516">
        <v>-0.56069999999999698</v>
      </c>
      <c r="AD516">
        <v>-6.3270999999999994E-2</v>
      </c>
      <c r="AE516">
        <v>0.14839999999998099</v>
      </c>
      <c r="AF516">
        <v>0.110708745951774</v>
      </c>
      <c r="AG516">
        <v>-6.3270999999999994E-2</v>
      </c>
      <c r="AH516">
        <v>0.56239209138067403</v>
      </c>
      <c r="AI516">
        <v>96.299087794926095</v>
      </c>
      <c r="AJ516">
        <v>78.863529588371904</v>
      </c>
      <c r="AK516">
        <v>0.57666672378310802</v>
      </c>
      <c r="AL516">
        <v>84.2685792242236</v>
      </c>
      <c r="AM516">
        <v>91.272700275157902</v>
      </c>
      <c r="AN516">
        <v>1.00000000734101</v>
      </c>
    </row>
    <row r="517" spans="1:40" x14ac:dyDescent="0.3">
      <c r="A517" t="str">
        <f>"20200111150250960"</f>
        <v>20200111150250960</v>
      </c>
      <c r="B517" t="str">
        <f>"1578726170957050"</f>
        <v>1578726170957050</v>
      </c>
      <c r="C517" t="s">
        <v>40</v>
      </c>
      <c r="D517">
        <v>4.6434870000000004</v>
      </c>
      <c r="E517">
        <v>0.49270340000000001</v>
      </c>
      <c r="F517" t="s">
        <v>42</v>
      </c>
      <c r="G517">
        <v>-268.52359999999999</v>
      </c>
      <c r="H517">
        <v>1.040929</v>
      </c>
      <c r="I517">
        <v>282.9178</v>
      </c>
      <c r="J517">
        <v>-268.00979999999998</v>
      </c>
      <c r="K517">
        <v>1.1030139999999999</v>
      </c>
      <c r="L517">
        <v>282.7758</v>
      </c>
      <c r="M517">
        <v>-0.99786909999999895</v>
      </c>
      <c r="N517">
        <v>0</v>
      </c>
      <c r="O517">
        <v>6.4692E-2</v>
      </c>
      <c r="P517">
        <v>-0.99482610000000005</v>
      </c>
      <c r="Q517">
        <v>9.2604980000000003E-2</v>
      </c>
      <c r="R517">
        <v>4.1782680000000003E-2</v>
      </c>
      <c r="S517">
        <v>-3.0108640000000002</v>
      </c>
      <c r="T517">
        <v>-0.20894940000000001</v>
      </c>
      <c r="U517">
        <v>0.56069950000000002</v>
      </c>
      <c r="V517">
        <v>-2.2569559999999999E-2</v>
      </c>
      <c r="W517">
        <v>0.10109940000000001</v>
      </c>
      <c r="X517">
        <v>0.99462030000000001</v>
      </c>
      <c r="Y517">
        <v>0.11896760000000001</v>
      </c>
      <c r="Z517">
        <v>-3.4915750000000001E-4</v>
      </c>
      <c r="AA517">
        <v>0.99289810000000001</v>
      </c>
      <c r="AB517">
        <v>37</v>
      </c>
      <c r="AC517">
        <v>-0.51380000000000303</v>
      </c>
      <c r="AD517">
        <v>-6.2084999999999897E-2</v>
      </c>
      <c r="AE517">
        <v>0.14199999999999499</v>
      </c>
      <c r="AF517">
        <v>0.107010977419708</v>
      </c>
      <c r="AG517">
        <v>-6.2084999999999897E-2</v>
      </c>
      <c r="AH517">
        <v>0.51492530235280398</v>
      </c>
      <c r="AI517">
        <v>96.732531581269896</v>
      </c>
      <c r="AJ517">
        <v>78.259987549730198</v>
      </c>
      <c r="AK517">
        <v>0.52957904369078701</v>
      </c>
      <c r="AL517">
        <v>84.197517720681105</v>
      </c>
      <c r="AM517">
        <v>91.299911787009705</v>
      </c>
      <c r="AN517">
        <v>1.00000000744552</v>
      </c>
    </row>
    <row r="518" spans="1:40" x14ac:dyDescent="0.3">
      <c r="A518" t="str">
        <f>"20200111150250983"</f>
        <v>20200111150250983</v>
      </c>
      <c r="B518" t="str">
        <f>"1578726170976570"</f>
        <v>1578726170976570</v>
      </c>
      <c r="C518" t="s">
        <v>40</v>
      </c>
      <c r="D518">
        <v>7.7387009999999998</v>
      </c>
      <c r="E518">
        <v>0.48685319999999999</v>
      </c>
      <c r="F518" t="s">
        <v>42</v>
      </c>
      <c r="G518">
        <v>-268.87509999999997</v>
      </c>
      <c r="H518">
        <v>1.024222</v>
      </c>
      <c r="I518">
        <v>282.79169999999999</v>
      </c>
      <c r="J518">
        <v>-268.39159999999998</v>
      </c>
      <c r="K518">
        <v>1.103013</v>
      </c>
      <c r="L518">
        <v>282.80079999999998</v>
      </c>
      <c r="M518">
        <v>-0.99784479999999998</v>
      </c>
      <c r="N518">
        <v>0</v>
      </c>
      <c r="O518">
        <v>6.5062690000000006E-2</v>
      </c>
      <c r="P518">
        <v>-0.99475340000000001</v>
      </c>
      <c r="Q518">
        <v>9.3611109999999997E-2</v>
      </c>
      <c r="R518">
        <v>4.1266709999999998E-2</v>
      </c>
      <c r="S518">
        <v>-3.0389400000000002</v>
      </c>
      <c r="T518">
        <v>-0.27665329999999999</v>
      </c>
      <c r="U518">
        <v>5.6579589999999999E-2</v>
      </c>
      <c r="V518">
        <v>-2.3448299999999998E-2</v>
      </c>
      <c r="W518">
        <v>0.1021164</v>
      </c>
      <c r="X518">
        <v>0.99449600000000005</v>
      </c>
      <c r="Y518">
        <v>-4.601947E-2</v>
      </c>
      <c r="Z518">
        <v>-7.9967179999999999E-3</v>
      </c>
      <c r="AA518">
        <v>0.99890849999999998</v>
      </c>
      <c r="AB518">
        <v>37</v>
      </c>
      <c r="AC518">
        <v>-0.48349999999999199</v>
      </c>
      <c r="AD518">
        <v>-7.8791E-2</v>
      </c>
      <c r="AE518">
        <v>-9.0999999999894499E-3</v>
      </c>
      <c r="AF518">
        <v>-3.9491315700147397E-2</v>
      </c>
      <c r="AG518">
        <v>-7.8791E-2</v>
      </c>
      <c r="AH518">
        <v>0.46942189836175402</v>
      </c>
      <c r="AI518">
        <v>99.495175481502002</v>
      </c>
      <c r="AJ518">
        <v>94.808830323537507</v>
      </c>
      <c r="AK518">
        <v>0.47762381050182301</v>
      </c>
      <c r="AL518">
        <v>84.138944359226301</v>
      </c>
      <c r="AM518">
        <v>91.350673858795105</v>
      </c>
      <c r="AN518">
        <v>0.99999993796892295</v>
      </c>
    </row>
    <row r="519" spans="1:40" x14ac:dyDescent="0.3">
      <c r="A519" t="str">
        <f>"20200111150251006"</f>
        <v>20200111150251006</v>
      </c>
      <c r="B519" t="str">
        <f>"1578726170997066"</f>
        <v>1578726170997066</v>
      </c>
      <c r="C519" t="s">
        <v>40</v>
      </c>
      <c r="D519">
        <v>5.6091419999999896</v>
      </c>
      <c r="E519">
        <v>0.48559330000000001</v>
      </c>
      <c r="F519" t="s">
        <v>59</v>
      </c>
      <c r="G519">
        <v>-282.61709999999999</v>
      </c>
      <c r="H519" s="1">
        <v>7.6080389999999999E-6</v>
      </c>
      <c r="I519">
        <v>282.84339999999997</v>
      </c>
      <c r="J519">
        <v>-268.76920000000001</v>
      </c>
      <c r="K519">
        <v>1.1030169999999999</v>
      </c>
      <c r="L519">
        <v>282.82569999999998</v>
      </c>
      <c r="M519">
        <v>-0.9978207</v>
      </c>
      <c r="N519">
        <v>0</v>
      </c>
      <c r="O519">
        <v>6.5429500000000002E-2</v>
      </c>
      <c r="P519">
        <v>-0.99470009999999998</v>
      </c>
      <c r="Q519">
        <v>9.4355419999999995E-2</v>
      </c>
      <c r="R519">
        <v>4.0850900000000002E-2</v>
      </c>
      <c r="S519">
        <v>-3.037598</v>
      </c>
      <c r="T519">
        <v>-0.23552719999999999</v>
      </c>
      <c r="U519">
        <v>9.0942379999999993E-3</v>
      </c>
      <c r="V519">
        <v>-2.4225050000000001E-2</v>
      </c>
      <c r="W519">
        <v>0.10287159999999999</v>
      </c>
      <c r="X519">
        <v>0.99439960000000005</v>
      </c>
      <c r="Y519">
        <v>-6.2061680000000001E-2</v>
      </c>
      <c r="Z519">
        <v>-7.465391E-3</v>
      </c>
      <c r="AA519">
        <v>0.99804440000000005</v>
      </c>
      <c r="AB519">
        <v>37</v>
      </c>
      <c r="AC519">
        <v>-13.8478999999999</v>
      </c>
      <c r="AD519">
        <v>-1.103009391961</v>
      </c>
      <c r="AE519">
        <v>1.7699999999990699E-2</v>
      </c>
      <c r="AF519">
        <v>-0.88283107535710303</v>
      </c>
      <c r="AG519">
        <v>-1.103009391961</v>
      </c>
      <c r="AH519">
        <v>13.7322598116012</v>
      </c>
      <c r="AI519">
        <v>94.582860559736503</v>
      </c>
      <c r="AJ519">
        <v>93.678417164419798</v>
      </c>
      <c r="AK519">
        <v>13.8047448350083</v>
      </c>
      <c r="AL519">
        <v>84.095445820372603</v>
      </c>
      <c r="AM519">
        <v>91.395534187959697</v>
      </c>
      <c r="AN519">
        <v>0.99999999180711097</v>
      </c>
    </row>
    <row r="520" spans="1:40" x14ac:dyDescent="0.3">
      <c r="A520" t="str">
        <f>"20200111150251029"</f>
        <v>20200111150251029</v>
      </c>
      <c r="B520" t="str">
        <f>"1578726171016586"</f>
        <v>1578726171016586</v>
      </c>
      <c r="C520" t="s">
        <v>40</v>
      </c>
      <c r="D520">
        <v>8.5969929999999994</v>
      </c>
      <c r="E520">
        <v>0.48505130000000002</v>
      </c>
      <c r="F520" t="s">
        <v>59</v>
      </c>
      <c r="G520">
        <v>-285.35120000000001</v>
      </c>
      <c r="H520" s="1">
        <v>6.4008219999999898E-6</v>
      </c>
      <c r="I520">
        <v>282.81790000000001</v>
      </c>
      <c r="J520">
        <v>-269.1497</v>
      </c>
      <c r="K520">
        <v>1.1030249999999999</v>
      </c>
      <c r="L520">
        <v>282.851</v>
      </c>
      <c r="M520">
        <v>-0.99779640000000003</v>
      </c>
      <c r="N520">
        <v>0</v>
      </c>
      <c r="O520">
        <v>6.5799529999999995E-2</v>
      </c>
      <c r="P520">
        <v>-0.99466069999999995</v>
      </c>
      <c r="Q520">
        <v>9.4957929999999996E-2</v>
      </c>
      <c r="R520">
        <v>4.0411919999999997E-2</v>
      </c>
      <c r="S520">
        <v>-3.0351870000000001</v>
      </c>
      <c r="T520">
        <v>-0.2018964</v>
      </c>
      <c r="U520">
        <v>-1.4343260000000001E-3</v>
      </c>
      <c r="V520">
        <v>-2.5029050000000001E-2</v>
      </c>
      <c r="W520">
        <v>0.1034843</v>
      </c>
      <c r="X520">
        <v>0.99431610000000004</v>
      </c>
      <c r="Y520">
        <v>-6.5982390000000002E-2</v>
      </c>
      <c r="Z520">
        <v>-6.5619700000000003E-3</v>
      </c>
      <c r="AA520">
        <v>0.9977992</v>
      </c>
      <c r="AB520">
        <v>38</v>
      </c>
      <c r="AC520">
        <v>-16.201499999999999</v>
      </c>
      <c r="AD520">
        <v>-1.1030185991779999</v>
      </c>
      <c r="AE520">
        <v>-3.3099999999990297E-2</v>
      </c>
      <c r="AF520">
        <v>-1.09404718452773</v>
      </c>
      <c r="AG520">
        <v>-1.1030185991779999</v>
      </c>
      <c r="AH520">
        <v>16.089632446695401</v>
      </c>
      <c r="AI520">
        <v>93.912747309299306</v>
      </c>
      <c r="AJ520">
        <v>93.889954892471494</v>
      </c>
      <c r="AK520">
        <v>16.164462921540501</v>
      </c>
      <c r="AL520">
        <v>84.060152261816299</v>
      </c>
      <c r="AM520">
        <v>91.441952066256206</v>
      </c>
      <c r="AN520">
        <v>0.99999998020480096</v>
      </c>
    </row>
    <row r="521" spans="1:40" x14ac:dyDescent="0.3">
      <c r="A521" t="str">
        <f>"20200111150251050"</f>
        <v>20200111150251050</v>
      </c>
      <c r="B521" t="str">
        <f>"1578726171046843"</f>
        <v>1578726171046843</v>
      </c>
      <c r="C521" t="s">
        <v>40</v>
      </c>
      <c r="D521">
        <v>7.5478019999999999</v>
      </c>
      <c r="E521">
        <v>0.48339700000000002</v>
      </c>
      <c r="F521" t="s">
        <v>59</v>
      </c>
      <c r="G521">
        <v>-286.84629999999999</v>
      </c>
      <c r="H521" s="1">
        <v>5.7390769999999901E-6</v>
      </c>
      <c r="I521">
        <v>282.81169999999997</v>
      </c>
      <c r="J521">
        <v>-269.505</v>
      </c>
      <c r="K521">
        <v>1.1030279999999999</v>
      </c>
      <c r="L521">
        <v>282.87470000000002</v>
      </c>
      <c r="M521">
        <v>-0.99777329999999997</v>
      </c>
      <c r="N521">
        <v>0</v>
      </c>
      <c r="O521">
        <v>6.6144899999999895E-2</v>
      </c>
      <c r="P521">
        <v>-0.99463089999999998</v>
      </c>
      <c r="Q521">
        <v>9.5319349999999997E-2</v>
      </c>
      <c r="R521">
        <v>4.0292099999999997E-2</v>
      </c>
      <c r="S521">
        <v>-3.0343930000000001</v>
      </c>
      <c r="T521">
        <v>-0.1891311</v>
      </c>
      <c r="U521">
        <v>-6.7443850000000003E-3</v>
      </c>
      <c r="V521">
        <v>-2.5490809999999999E-2</v>
      </c>
      <c r="W521">
        <v>0.1038562</v>
      </c>
      <c r="X521">
        <v>0.99426559999999997</v>
      </c>
      <c r="Y521">
        <v>-6.8104540000000005E-2</v>
      </c>
      <c r="Z521">
        <v>-6.2371070000000004E-3</v>
      </c>
      <c r="AA521">
        <v>0.99765870000000001</v>
      </c>
      <c r="AB521">
        <v>38</v>
      </c>
      <c r="AC521">
        <v>-17.341299999999901</v>
      </c>
      <c r="AD521">
        <v>-1.103022260923</v>
      </c>
      <c r="AE521">
        <v>-6.3000000000045006E-2</v>
      </c>
      <c r="AF521">
        <v>-1.20506720784494</v>
      </c>
      <c r="AG521">
        <v>-1.103022260923</v>
      </c>
      <c r="AH521">
        <v>17.2294468611579</v>
      </c>
      <c r="AI521">
        <v>93.654151135139699</v>
      </c>
      <c r="AJ521">
        <v>94.000883301814</v>
      </c>
      <c r="AK521">
        <v>17.306723671018101</v>
      </c>
      <c r="AL521">
        <v>84.038728567518206</v>
      </c>
      <c r="AM521">
        <v>91.468617598123004</v>
      </c>
      <c r="AN521">
        <v>0.99999998750812802</v>
      </c>
    </row>
    <row r="522" spans="1:40" x14ac:dyDescent="0.3">
      <c r="A522" t="str">
        <f>"20200111150251075"</f>
        <v>20200111150251075</v>
      </c>
      <c r="B522" t="str">
        <f>"1578726171067339"</f>
        <v>1578726171067339</v>
      </c>
      <c r="C522" t="s">
        <v>40</v>
      </c>
      <c r="D522">
        <v>4.5058439999999997</v>
      </c>
      <c r="E522">
        <v>0.48252250000000002</v>
      </c>
      <c r="F522" t="s">
        <v>59</v>
      </c>
      <c r="G522">
        <v>-286.25599999999997</v>
      </c>
      <c r="H522" s="1">
        <v>6.0110380000000003E-6</v>
      </c>
      <c r="I522">
        <v>282.76240000000001</v>
      </c>
      <c r="J522">
        <v>-269.91419999999999</v>
      </c>
      <c r="K522">
        <v>1.1030219999999999</v>
      </c>
      <c r="L522">
        <v>282.90219999999999</v>
      </c>
      <c r="M522">
        <v>-0.99774689999999999</v>
      </c>
      <c r="N522">
        <v>0</v>
      </c>
      <c r="O522">
        <v>6.6541820000000002E-2</v>
      </c>
      <c r="P522">
        <v>-0.99455950000000004</v>
      </c>
      <c r="Q522">
        <v>9.6149789999999999E-2</v>
      </c>
      <c r="R522">
        <v>4.0085200000000001E-2</v>
      </c>
      <c r="S522">
        <v>-3.0361630000000002</v>
      </c>
      <c r="T522">
        <v>-0.1999253</v>
      </c>
      <c r="U522">
        <v>-2.035522E-2</v>
      </c>
      <c r="V522">
        <v>-2.608775E-2</v>
      </c>
      <c r="W522">
        <v>0.1046979</v>
      </c>
      <c r="X522">
        <v>0.99416179999999998</v>
      </c>
      <c r="Y522">
        <v>-7.2930110000000006E-2</v>
      </c>
      <c r="Z522">
        <v>-6.7733589999999996E-3</v>
      </c>
      <c r="AA522">
        <v>0.99731400000000003</v>
      </c>
      <c r="AB522">
        <v>38</v>
      </c>
      <c r="AC522">
        <v>-16.3417999999999</v>
      </c>
      <c r="AD522">
        <v>-1.1030159889619999</v>
      </c>
      <c r="AE522">
        <v>-0.139799999999979</v>
      </c>
      <c r="AF522">
        <v>-1.22137916341527</v>
      </c>
      <c r="AG522">
        <v>-1.1030159889619999</v>
      </c>
      <c r="AH522">
        <v>16.222374745115602</v>
      </c>
      <c r="AI522">
        <v>93.878809098208507</v>
      </c>
      <c r="AJ522">
        <v>94.305663755971807</v>
      </c>
      <c r="AK522">
        <v>16.305638708854499</v>
      </c>
      <c r="AL522">
        <v>83.990238143589096</v>
      </c>
      <c r="AM522">
        <v>91.503150726894603</v>
      </c>
      <c r="AN522">
        <v>0.99999995277185505</v>
      </c>
    </row>
    <row r="523" spans="1:40" x14ac:dyDescent="0.3">
      <c r="A523" t="str">
        <f>"20200111150251097"</f>
        <v>20200111150251097</v>
      </c>
      <c r="B523" t="str">
        <f>"1578726171086858"</f>
        <v>1578726171086858</v>
      </c>
      <c r="C523" t="s">
        <v>40</v>
      </c>
      <c r="D523">
        <v>4.6304220000000003</v>
      </c>
      <c r="E523">
        <v>0.48180020000000001</v>
      </c>
      <c r="F523" t="s">
        <v>59</v>
      </c>
      <c r="G523">
        <v>-286.35050000000001</v>
      </c>
      <c r="H523" s="1">
        <v>5.9714549999999997E-6</v>
      </c>
      <c r="I523">
        <v>282.75130000000001</v>
      </c>
      <c r="J523">
        <v>-270.29520000000002</v>
      </c>
      <c r="K523">
        <v>1.1030260000000001</v>
      </c>
      <c r="L523">
        <v>282.928</v>
      </c>
      <c r="M523">
        <v>-0.997722</v>
      </c>
      <c r="N523">
        <v>0</v>
      </c>
      <c r="O523">
        <v>6.6912150000000004E-2</v>
      </c>
      <c r="P523">
        <v>-0.99457850000000003</v>
      </c>
      <c r="Q523">
        <v>9.6397789999999997E-2</v>
      </c>
      <c r="R523">
        <v>3.9E-2</v>
      </c>
      <c r="S523">
        <v>-3.0372620000000001</v>
      </c>
      <c r="T523">
        <v>-0.2038258</v>
      </c>
      <c r="U523">
        <v>-2.7893069999999999E-2</v>
      </c>
      <c r="V523">
        <v>-2.7540410000000001E-2</v>
      </c>
      <c r="W523">
        <v>0.1049573</v>
      </c>
      <c r="X523">
        <v>0.99409530000000002</v>
      </c>
      <c r="Y523">
        <v>-7.5753699999999993E-2</v>
      </c>
      <c r="Z523">
        <v>-7.0221659999999998E-3</v>
      </c>
      <c r="AA523">
        <v>0.99710180000000004</v>
      </c>
      <c r="AB523">
        <v>38</v>
      </c>
      <c r="AC523">
        <v>-16.0552999999999</v>
      </c>
      <c r="AD523">
        <v>-1.103020028545</v>
      </c>
      <c r="AE523">
        <v>-0.17669999999998201</v>
      </c>
      <c r="AF523">
        <v>-1.24476371775993</v>
      </c>
      <c r="AG523">
        <v>-1.103020028545</v>
      </c>
      <c r="AH523">
        <v>15.932302262777901</v>
      </c>
      <c r="AI523">
        <v>93.948369757674897</v>
      </c>
      <c r="AJ523">
        <v>94.467347086475598</v>
      </c>
      <c r="AK523">
        <v>16.018874657382799</v>
      </c>
      <c r="AL523">
        <v>83.975293485990207</v>
      </c>
      <c r="AM523">
        <v>91.586916009880099</v>
      </c>
      <c r="AN523">
        <v>0.99999998724417405</v>
      </c>
    </row>
    <row r="524" spans="1:40" x14ac:dyDescent="0.3">
      <c r="A524" t="str">
        <f>"20200111150251120"</f>
        <v>20200111150251120</v>
      </c>
      <c r="B524" t="str">
        <f>"1578726171117118"</f>
        <v>1578726171117118</v>
      </c>
      <c r="C524" t="s">
        <v>40</v>
      </c>
      <c r="D524">
        <v>4.6266819999999997</v>
      </c>
      <c r="E524">
        <v>0.48138160000000002</v>
      </c>
      <c r="F524" t="s">
        <v>59</v>
      </c>
      <c r="G524">
        <v>-286.19900000000001</v>
      </c>
      <c r="H524" s="1">
        <v>6.041512E-6</v>
      </c>
      <c r="I524">
        <v>282.73719999999997</v>
      </c>
      <c r="J524">
        <v>-270.67930000000001</v>
      </c>
      <c r="K524">
        <v>1.10303</v>
      </c>
      <c r="L524">
        <v>282.95400000000001</v>
      </c>
      <c r="M524">
        <v>-0.9976969</v>
      </c>
      <c r="N524">
        <v>0</v>
      </c>
      <c r="O524">
        <v>6.7284640000000007E-2</v>
      </c>
      <c r="P524">
        <v>-0.99458340000000001</v>
      </c>
      <c r="Q524">
        <v>9.6567810000000004E-2</v>
      </c>
      <c r="R524">
        <v>3.8456829999999997E-2</v>
      </c>
      <c r="S524">
        <v>-3.038208</v>
      </c>
      <c r="T524">
        <v>-0.21071679999999901</v>
      </c>
      <c r="U524">
        <v>-3.6437990000000003E-2</v>
      </c>
      <c r="V524">
        <v>-2.845377E-2</v>
      </c>
      <c r="W524">
        <v>0.10513989999999999</v>
      </c>
      <c r="X524">
        <v>0.99405030000000005</v>
      </c>
      <c r="Y524">
        <v>-7.889649E-2</v>
      </c>
      <c r="Z524">
        <v>-7.3913769999999898E-3</v>
      </c>
      <c r="AA524">
        <v>0.99685539999999995</v>
      </c>
      <c r="AB524">
        <v>38</v>
      </c>
      <c r="AC524">
        <v>-15.5197</v>
      </c>
      <c r="AD524">
        <v>-1.1030239584879999</v>
      </c>
      <c r="AE524">
        <v>-0.21680000000003399</v>
      </c>
      <c r="AF524">
        <v>-1.25425019253703</v>
      </c>
      <c r="AG524">
        <v>-1.1030239584879999</v>
      </c>
      <c r="AH524">
        <v>15.3922036534318</v>
      </c>
      <c r="AI524">
        <v>94.085383269268902</v>
      </c>
      <c r="AJ524">
        <v>94.658515308609296</v>
      </c>
      <c r="AK524">
        <v>15.482562407663499</v>
      </c>
      <c r="AL524">
        <v>83.964773189244198</v>
      </c>
      <c r="AM524">
        <v>91.6395909752368</v>
      </c>
      <c r="AN524">
        <v>1.00000000726465</v>
      </c>
    </row>
    <row r="525" spans="1:40" x14ac:dyDescent="0.3">
      <c r="A525" t="str">
        <f>"20200111150251140"</f>
        <v>20200111150251140</v>
      </c>
      <c r="B525" t="str">
        <f>"1578726171136634"</f>
        <v>1578726171136634</v>
      </c>
      <c r="C525" t="s">
        <v>40</v>
      </c>
      <c r="D525">
        <v>4.6160129999999997</v>
      </c>
      <c r="E525">
        <v>0.48101929999999998</v>
      </c>
      <c r="F525" t="s">
        <v>59</v>
      </c>
      <c r="G525">
        <v>-286.66750000000002</v>
      </c>
      <c r="H525" s="1">
        <v>5.83544999999999E-6</v>
      </c>
      <c r="I525">
        <v>282.72919999999999</v>
      </c>
      <c r="J525">
        <v>-271.02620000000002</v>
      </c>
      <c r="K525">
        <v>1.1030340000000001</v>
      </c>
      <c r="L525">
        <v>282.97770000000003</v>
      </c>
      <c r="M525">
        <v>-0.99767399999999995</v>
      </c>
      <c r="N525">
        <v>0</v>
      </c>
      <c r="O525">
        <v>6.7620949999999999E-2</v>
      </c>
      <c r="P525">
        <v>-0.99459140000000001</v>
      </c>
      <c r="Q525">
        <v>9.6292730000000007E-2</v>
      </c>
      <c r="R525">
        <v>3.8934040000000003E-2</v>
      </c>
      <c r="S525">
        <v>-3.0383300000000002</v>
      </c>
      <c r="T525">
        <v>-0.2096143</v>
      </c>
      <c r="U525">
        <v>-4.2724610000000003E-2</v>
      </c>
      <c r="V525">
        <v>-2.831378E-2</v>
      </c>
      <c r="W525">
        <v>0.10487440000000001</v>
      </c>
      <c r="X525">
        <v>0.99408229999999997</v>
      </c>
      <c r="Y525">
        <v>-8.1291269999999999E-2</v>
      </c>
      <c r="Z525">
        <v>-7.4581269999999898E-3</v>
      </c>
      <c r="AA525">
        <v>0.99666250000000001</v>
      </c>
      <c r="AB525">
        <v>38</v>
      </c>
      <c r="AC525">
        <v>-15.641299999999999</v>
      </c>
      <c r="AD525">
        <v>-1.10302816455</v>
      </c>
      <c r="AE525">
        <v>-0.248500000000035</v>
      </c>
      <c r="AF525">
        <v>-1.29919048357848</v>
      </c>
      <c r="AG525">
        <v>-1.10302816455</v>
      </c>
      <c r="AH525">
        <v>15.511570117833999</v>
      </c>
      <c r="AI525">
        <v>94.053312936789595</v>
      </c>
      <c r="AJ525">
        <v>94.787703383155105</v>
      </c>
      <c r="AK525">
        <v>15.604915077144501</v>
      </c>
      <c r="AL525">
        <v>83.980069528253395</v>
      </c>
      <c r="AM525">
        <v>91.6314762138107</v>
      </c>
      <c r="AN525">
        <v>0.99999996454326801</v>
      </c>
    </row>
    <row r="526" spans="1:40" x14ac:dyDescent="0.3">
      <c r="A526" t="str">
        <f>"20200111150251164"</f>
        <v>20200111150251164</v>
      </c>
      <c r="B526" t="str">
        <f>"1578726171157130"</f>
        <v>1578726171157130</v>
      </c>
      <c r="C526" t="s">
        <v>40</v>
      </c>
      <c r="D526">
        <v>4.5685929999999999</v>
      </c>
      <c r="E526">
        <v>0.48105019999999998</v>
      </c>
      <c r="F526" t="s">
        <v>59</v>
      </c>
      <c r="G526">
        <v>-286.89109999999999</v>
      </c>
      <c r="H526" s="1">
        <v>5.7331710000000003E-6</v>
      </c>
      <c r="I526">
        <v>282.74430000000001</v>
      </c>
      <c r="J526">
        <v>-271.43709999999999</v>
      </c>
      <c r="K526">
        <v>1.10304</v>
      </c>
      <c r="L526">
        <v>283.0059</v>
      </c>
      <c r="M526">
        <v>-0.99764699999999995</v>
      </c>
      <c r="N526">
        <v>0</v>
      </c>
      <c r="O526">
        <v>6.8017569999999999E-2</v>
      </c>
      <c r="P526">
        <v>-0.99453329999999995</v>
      </c>
      <c r="Q526">
        <v>9.6909300000000004E-2</v>
      </c>
      <c r="R526">
        <v>3.8886919999999998E-2</v>
      </c>
      <c r="S526">
        <v>-3.038513</v>
      </c>
      <c r="T526">
        <v>-0.21125740000000001</v>
      </c>
      <c r="U526">
        <v>-4.4708249999999998E-2</v>
      </c>
      <c r="V526">
        <v>-2.8751269999999999E-2</v>
      </c>
      <c r="W526">
        <v>0.1055027</v>
      </c>
      <c r="X526">
        <v>0.99400330000000003</v>
      </c>
      <c r="Y526">
        <v>-8.2328159999999997E-2</v>
      </c>
      <c r="Z526">
        <v>-7.579489E-3</v>
      </c>
      <c r="AA526">
        <v>0.99657640000000003</v>
      </c>
      <c r="AB526">
        <v>38</v>
      </c>
      <c r="AC526">
        <v>-15.454000000000001</v>
      </c>
      <c r="AD526">
        <v>-1.1030342668290001</v>
      </c>
      <c r="AE526">
        <v>-0.26159999999998701</v>
      </c>
      <c r="AF526">
        <v>-1.3055275590676301</v>
      </c>
      <c r="AG526">
        <v>-1.1030342668290001</v>
      </c>
      <c r="AH526">
        <v>15.3223772101558</v>
      </c>
      <c r="AI526">
        <v>94.102717332894898</v>
      </c>
      <c r="AJ526">
        <v>94.8700662179387</v>
      </c>
      <c r="AK526">
        <v>15.417403483452899</v>
      </c>
      <c r="AL526">
        <v>83.943870025573702</v>
      </c>
      <c r="AM526">
        <v>91.656802599092799</v>
      </c>
      <c r="AN526">
        <v>1.0000000078223901</v>
      </c>
    </row>
    <row r="527" spans="1:40" x14ac:dyDescent="0.3">
      <c r="A527" t="str">
        <f>"20200111150251187"</f>
        <v>20200111150251187</v>
      </c>
      <c r="B527" t="str">
        <f>"1578726171176650"</f>
        <v>1578726171176650</v>
      </c>
      <c r="C527" t="s">
        <v>40</v>
      </c>
      <c r="D527">
        <v>4.4702149999999996</v>
      </c>
      <c r="E527">
        <v>0.48131669999999999</v>
      </c>
      <c r="F527" t="s">
        <v>59</v>
      </c>
      <c r="G527">
        <v>-287.20249999999999</v>
      </c>
      <c r="H527" s="1">
        <v>5.5883079999999997E-6</v>
      </c>
      <c r="I527">
        <v>282.77710000000002</v>
      </c>
      <c r="J527">
        <v>-271.82220000000001</v>
      </c>
      <c r="K527">
        <v>1.1030470000000001</v>
      </c>
      <c r="L527">
        <v>283.0324</v>
      </c>
      <c r="M527">
        <v>-0.9976218</v>
      </c>
      <c r="N527">
        <v>0</v>
      </c>
      <c r="O527">
        <v>6.8384970000000003E-2</v>
      </c>
      <c r="P527">
        <v>-0.99445830000000002</v>
      </c>
      <c r="Q527">
        <v>9.761976E-2</v>
      </c>
      <c r="R527">
        <v>3.902953E-2</v>
      </c>
      <c r="S527">
        <v>-3.0389400000000002</v>
      </c>
      <c r="T527">
        <v>-0.21262220000000001</v>
      </c>
      <c r="U527">
        <v>-4.4097900000000002E-2</v>
      </c>
      <c r="V527">
        <v>-2.8969910000000001E-2</v>
      </c>
      <c r="W527">
        <v>0.1062234</v>
      </c>
      <c r="X527">
        <v>0.99392020000000003</v>
      </c>
      <c r="Y527">
        <v>-8.2487110000000002E-2</v>
      </c>
      <c r="Z527">
        <v>-7.6584569999999996E-3</v>
      </c>
      <c r="AA527">
        <v>0.99656270000000002</v>
      </c>
      <c r="AB527">
        <v>38</v>
      </c>
      <c r="AC527">
        <v>-15.380299999999901</v>
      </c>
      <c r="AD527">
        <v>-1.103041411692</v>
      </c>
      <c r="AE527">
        <v>-0.25529999999997699</v>
      </c>
      <c r="AF527">
        <v>-1.2998388916436301</v>
      </c>
      <c r="AG527">
        <v>-1.103041411692</v>
      </c>
      <c r="AH527">
        <v>15.248425013254399</v>
      </c>
      <c r="AI527">
        <v>94.122559009041396</v>
      </c>
      <c r="AJ527">
        <v>94.872350540600195</v>
      </c>
      <c r="AK527">
        <v>15.343426829915799</v>
      </c>
      <c r="AL527">
        <v>83.902343653106101</v>
      </c>
      <c r="AM527">
        <v>91.669534204007107</v>
      </c>
      <c r="AN527">
        <v>1.0000000151805</v>
      </c>
    </row>
    <row r="528" spans="1:40" x14ac:dyDescent="0.3">
      <c r="A528" t="str">
        <f>"20200111150251298"</f>
        <v>20200111150251298</v>
      </c>
      <c r="B528" t="str">
        <f>"1578726171286939"</f>
        <v>1578726171286939</v>
      </c>
      <c r="C528" t="s">
        <v>40</v>
      </c>
      <c r="D528">
        <v>4.2296719999999999</v>
      </c>
      <c r="E528">
        <v>0.47916740000000002</v>
      </c>
      <c r="F528" t="s">
        <v>59</v>
      </c>
      <c r="G528">
        <v>-286.82769999999999</v>
      </c>
      <c r="H528" s="1">
        <v>5.7440959999999997E-6</v>
      </c>
      <c r="I528">
        <v>282.82749999999999</v>
      </c>
      <c r="J528">
        <v>-273.73509999999999</v>
      </c>
      <c r="K528">
        <v>1.1031580000000001</v>
      </c>
      <c r="L528">
        <v>283.1662</v>
      </c>
      <c r="M528">
        <v>-0.99751999999999996</v>
      </c>
      <c r="N528">
        <v>0</v>
      </c>
      <c r="O528">
        <v>6.9847610000000004E-2</v>
      </c>
      <c r="P528">
        <v>-0.99439909999999998</v>
      </c>
      <c r="Q528">
        <v>9.7241569999999999E-2</v>
      </c>
      <c r="R528">
        <v>4.1405549999999999E-2</v>
      </c>
      <c r="S528">
        <v>-3.0402830000000001</v>
      </c>
      <c r="T528">
        <v>-0.2234892</v>
      </c>
      <c r="U528">
        <v>-4.1534420000000002E-2</v>
      </c>
      <c r="V528">
        <v>-2.8081310000000002E-2</v>
      </c>
      <c r="W528">
        <v>0.1058915</v>
      </c>
      <c r="X528">
        <v>0.99398109999999995</v>
      </c>
      <c r="Y528">
        <v>-8.3058090000000001E-2</v>
      </c>
      <c r="Z528">
        <v>-8.1734770000000002E-3</v>
      </c>
      <c r="AA528">
        <v>0.99651120000000004</v>
      </c>
      <c r="AB528">
        <v>38</v>
      </c>
      <c r="AC528">
        <v>-13.092599999999999</v>
      </c>
      <c r="AD528">
        <v>-1.1031522559039999</v>
      </c>
      <c r="AE528">
        <v>-0.33870000000001699</v>
      </c>
      <c r="AF528">
        <v>-1.2435712552498599</v>
      </c>
      <c r="AG528">
        <v>-1.1031522559039999</v>
      </c>
      <c r="AH528">
        <v>12.945122308290999</v>
      </c>
      <c r="AI528">
        <v>94.848626682649694</v>
      </c>
      <c r="AJ528">
        <v>95.487272221049096</v>
      </c>
      <c r="AK528">
        <v>13.051421606216</v>
      </c>
      <c r="AL528">
        <v>83.921467881196094</v>
      </c>
      <c r="AM528">
        <v>91.6182528001723</v>
      </c>
      <c r="AN528">
        <v>0.99999999845038801</v>
      </c>
    </row>
    <row r="529" spans="1:40" x14ac:dyDescent="0.3">
      <c r="A529" t="str">
        <f>"20200111150251322"</f>
        <v>20200111150251322</v>
      </c>
      <c r="B529" t="str">
        <f>"1578726171317194"</f>
        <v>1578726171317194</v>
      </c>
      <c r="C529" t="s">
        <v>40</v>
      </c>
      <c r="D529">
        <v>5.2737470000000002</v>
      </c>
      <c r="E529">
        <v>0.49985170000000001</v>
      </c>
      <c r="F529" t="s">
        <v>42</v>
      </c>
      <c r="G529">
        <v>-274.55759999999998</v>
      </c>
      <c r="H529">
        <v>0.86403890000000005</v>
      </c>
      <c r="I529">
        <v>283.14890000000003</v>
      </c>
      <c r="J529">
        <v>-274.11559999999997</v>
      </c>
      <c r="K529">
        <v>1.1032090000000001</v>
      </c>
      <c r="L529">
        <v>283.19290000000001</v>
      </c>
      <c r="M529">
        <v>-0.99751009999999996</v>
      </c>
      <c r="N529">
        <v>0</v>
      </c>
      <c r="O529">
        <v>6.9987899999999895E-2</v>
      </c>
      <c r="P529">
        <v>-0.99424699999999999</v>
      </c>
      <c r="Q529">
        <v>9.8572300000000002E-2</v>
      </c>
      <c r="R529">
        <v>4.1912150000000002E-2</v>
      </c>
      <c r="S529">
        <v>-3.108063</v>
      </c>
      <c r="T529">
        <v>-0.90364540000000004</v>
      </c>
      <c r="U529">
        <v>-6.6131590000000004E-2</v>
      </c>
      <c r="V529">
        <v>-2.7718050000000001E-2</v>
      </c>
      <c r="W529">
        <v>0.10722760000000001</v>
      </c>
      <c r="X529">
        <v>0.99384810000000001</v>
      </c>
      <c r="Y529">
        <v>-8.4789980000000001E-2</v>
      </c>
      <c r="Z529">
        <v>-3.2000180000000003E-2</v>
      </c>
      <c r="AA529">
        <v>0.99588480000000001</v>
      </c>
      <c r="AB529">
        <v>38</v>
      </c>
      <c r="AC529">
        <v>-0.442000000000007</v>
      </c>
      <c r="AD529">
        <v>-0.2391701</v>
      </c>
      <c r="AE529">
        <v>-4.3999999999982699E-2</v>
      </c>
      <c r="AF529">
        <v>-5.8009476397348297E-2</v>
      </c>
      <c r="AG529">
        <v>-0.2391701</v>
      </c>
      <c r="AH529">
        <v>0.33942767933335399</v>
      </c>
      <c r="AI529">
        <v>124.78219049646501</v>
      </c>
      <c r="AJ529">
        <v>99.698366566783406</v>
      </c>
      <c r="AK529">
        <v>0.41925956826711902</v>
      </c>
      <c r="AL529">
        <v>83.844476921827606</v>
      </c>
      <c r="AM529">
        <v>91.597543637147794</v>
      </c>
      <c r="AN529">
        <v>1.0000000471855801</v>
      </c>
    </row>
    <row r="530" spans="1:40" x14ac:dyDescent="0.3">
      <c r="A530" t="str">
        <f>"20200111150251342"</f>
        <v>20200111150251342</v>
      </c>
      <c r="B530" t="str">
        <f>"1578726171336714"</f>
        <v>1578726171336714</v>
      </c>
      <c r="C530" t="s">
        <v>40</v>
      </c>
      <c r="D530">
        <v>4.7886649999999999</v>
      </c>
      <c r="E530">
        <v>0.49360949999999998</v>
      </c>
      <c r="F530" t="s">
        <v>58</v>
      </c>
      <c r="G530">
        <v>-550.06119999999999</v>
      </c>
      <c r="H530">
        <v>13.07226</v>
      </c>
      <c r="I530">
        <v>294.34500000000003</v>
      </c>
      <c r="J530">
        <v>-274.47629999999998</v>
      </c>
      <c r="K530">
        <v>1.1032759999999999</v>
      </c>
      <c r="L530">
        <v>283.2183</v>
      </c>
      <c r="M530">
        <v>-0.997506</v>
      </c>
      <c r="N530">
        <v>0</v>
      </c>
      <c r="O530">
        <v>7.0044780000000001E-2</v>
      </c>
      <c r="P530">
        <v>-0.99417160000000004</v>
      </c>
      <c r="Q530">
        <v>9.9213399999999993E-2</v>
      </c>
      <c r="R530">
        <v>4.2183529999999997E-2</v>
      </c>
      <c r="S530">
        <v>-2.9993590000000001</v>
      </c>
      <c r="T530">
        <v>0.13009699999999999</v>
      </c>
      <c r="U530">
        <v>0.1212158</v>
      </c>
      <c r="V530">
        <v>-2.7513760000000002E-2</v>
      </c>
      <c r="W530">
        <v>0.1078737</v>
      </c>
      <c r="X530">
        <v>0.99378379999999999</v>
      </c>
      <c r="Y530">
        <v>-2.961513E-2</v>
      </c>
      <c r="Z530">
        <v>3.6744120000000002E-3</v>
      </c>
      <c r="AA530">
        <v>0.99955459999999996</v>
      </c>
      <c r="AB530">
        <v>38</v>
      </c>
      <c r="AC530">
        <v>-275.5849</v>
      </c>
      <c r="AD530">
        <v>11.968983999999899</v>
      </c>
      <c r="AE530">
        <v>11.1267</v>
      </c>
      <c r="AF530">
        <v>-8.1892215098604098</v>
      </c>
      <c r="AG530">
        <v>11.968983999999899</v>
      </c>
      <c r="AH530">
        <v>275.169168641304</v>
      </c>
      <c r="AI530">
        <v>87.510486530290507</v>
      </c>
      <c r="AJ530">
        <v>91.704658194117698</v>
      </c>
      <c r="AK530">
        <v>275.55106840234902</v>
      </c>
      <c r="AL530">
        <v>83.807241798097294</v>
      </c>
      <c r="AM530">
        <v>91.585877866140507</v>
      </c>
      <c r="AN530">
        <v>0.99999999164173303</v>
      </c>
    </row>
    <row r="531" spans="1:40" x14ac:dyDescent="0.3">
      <c r="A531" t="str">
        <f>"20200111150251365"</f>
        <v>20200111150251365</v>
      </c>
      <c r="B531" t="str">
        <f>"1578726171357211"</f>
        <v>1578726171357211</v>
      </c>
      <c r="C531" t="s">
        <v>40</v>
      </c>
      <c r="D531">
        <v>4.7390429999999997</v>
      </c>
      <c r="E531">
        <v>0.49273679999999997</v>
      </c>
      <c r="F531" t="s">
        <v>44</v>
      </c>
      <c r="G531">
        <v>0</v>
      </c>
      <c r="H531">
        <v>0</v>
      </c>
      <c r="I531">
        <v>0</v>
      </c>
      <c r="J531">
        <v>-274.8716</v>
      </c>
      <c r="K531">
        <v>1.1033599999999999</v>
      </c>
      <c r="L531">
        <v>283.24599999999998</v>
      </c>
      <c r="M531">
        <v>-0.99750910000000004</v>
      </c>
      <c r="N531">
        <v>0</v>
      </c>
      <c r="O531">
        <v>6.9998039999999997E-2</v>
      </c>
      <c r="P531">
        <v>-0.99403509999999995</v>
      </c>
      <c r="Q531">
        <v>0.1002388</v>
      </c>
      <c r="R531">
        <v>4.2974390000000001E-2</v>
      </c>
      <c r="S531">
        <v>-3.0072329999999998</v>
      </c>
      <c r="T531">
        <v>7.3490860000000005E-2</v>
      </c>
      <c r="U531">
        <v>7.1228029999999998E-2</v>
      </c>
      <c r="V531">
        <v>-2.6690470000000001E-2</v>
      </c>
      <c r="W531">
        <v>0.10890329999999999</v>
      </c>
      <c r="X531">
        <v>0.99369390000000002</v>
      </c>
      <c r="Y531">
        <v>-4.632555E-2</v>
      </c>
      <c r="Z531">
        <v>2.274669E-3</v>
      </c>
      <c r="AA531">
        <v>0.99892380000000003</v>
      </c>
      <c r="AB531">
        <v>39</v>
      </c>
      <c r="AC531">
        <v>-3.0072329999999998</v>
      </c>
      <c r="AD531">
        <v>7.3490860000000005E-2</v>
      </c>
      <c r="AE531">
        <v>7.1228029999999998E-2</v>
      </c>
      <c r="AF531">
        <v>-0.13937190937020499</v>
      </c>
      <c r="AG531">
        <v>7.3490860000000005E-2</v>
      </c>
      <c r="AH531">
        <v>3.0030496282693502</v>
      </c>
      <c r="AI531">
        <v>88.599639816984293</v>
      </c>
      <c r="AJ531">
        <v>92.657197618781495</v>
      </c>
      <c r="AK531">
        <v>3.0071801584663498</v>
      </c>
      <c r="AL531">
        <v>83.747900123352807</v>
      </c>
      <c r="AM531">
        <v>91.538586161265599</v>
      </c>
      <c r="AN531">
        <v>0.99999993841845802</v>
      </c>
    </row>
    <row r="532" spans="1:40" x14ac:dyDescent="0.3">
      <c r="A532" t="str">
        <f>"20200111150251387"</f>
        <v>20200111150251387</v>
      </c>
      <c r="B532" t="str">
        <f>"1578726171376730"</f>
        <v>1578726171376730</v>
      </c>
      <c r="C532" t="s">
        <v>40</v>
      </c>
      <c r="D532">
        <v>4.7693240000000001</v>
      </c>
      <c r="E532">
        <v>0.4933109</v>
      </c>
      <c r="F532" t="s">
        <v>44</v>
      </c>
      <c r="G532">
        <v>0</v>
      </c>
      <c r="H532">
        <v>0</v>
      </c>
      <c r="I532">
        <v>0</v>
      </c>
      <c r="J532">
        <v>-275.26190000000003</v>
      </c>
      <c r="K532">
        <v>1.1034600000000001</v>
      </c>
      <c r="L532">
        <v>283.27330000000001</v>
      </c>
      <c r="M532">
        <v>-0.99752189999999996</v>
      </c>
      <c r="N532">
        <v>0</v>
      </c>
      <c r="O532">
        <v>6.981511E-2</v>
      </c>
      <c r="P532">
        <v>-0.99391799999999997</v>
      </c>
      <c r="Q532">
        <v>0.1010735</v>
      </c>
      <c r="R532">
        <v>4.3719599999999997E-2</v>
      </c>
      <c r="S532">
        <v>-3.0105900000000001</v>
      </c>
      <c r="T532">
        <v>4.5237180000000002E-2</v>
      </c>
      <c r="U532">
        <v>6.6040039999999994E-2</v>
      </c>
      <c r="V532">
        <v>-2.578399E-2</v>
      </c>
      <c r="W532">
        <v>0.1097423</v>
      </c>
      <c r="X532">
        <v>0.9936256</v>
      </c>
      <c r="Y532">
        <v>-4.791057E-2</v>
      </c>
      <c r="Z532">
        <v>1.4079450000000001E-3</v>
      </c>
      <c r="AA532">
        <v>0.99885060000000003</v>
      </c>
      <c r="AB532">
        <v>39</v>
      </c>
      <c r="AC532">
        <v>-3.0105900000000001</v>
      </c>
      <c r="AD532">
        <v>4.5237180000000002E-2</v>
      </c>
      <c r="AE532">
        <v>6.6040039999999994E-2</v>
      </c>
      <c r="AF532">
        <v>-0.14428120301141101</v>
      </c>
      <c r="AG532">
        <v>4.5237180000000002E-2</v>
      </c>
      <c r="AH532">
        <v>3.0071755767773798</v>
      </c>
      <c r="AI532">
        <v>89.139150175475905</v>
      </c>
      <c r="AJ532">
        <v>92.746886326869102</v>
      </c>
      <c r="AK532">
        <v>3.01097466239142</v>
      </c>
      <c r="AL532">
        <v>83.699539549735505</v>
      </c>
      <c r="AM532">
        <v>91.486457621728306</v>
      </c>
      <c r="AN532">
        <v>1.0000000097624799</v>
      </c>
    </row>
    <row r="533" spans="1:40" x14ac:dyDescent="0.3">
      <c r="A533" t="str">
        <f>"20200111150251410"</f>
        <v>20200111150251410</v>
      </c>
      <c r="B533" t="str">
        <f>"1578726171406986"</f>
        <v>1578726171406986</v>
      </c>
      <c r="C533" t="s">
        <v>40</v>
      </c>
      <c r="D533">
        <v>5.5495979999999996</v>
      </c>
      <c r="E533">
        <v>0.49270890000000001</v>
      </c>
      <c r="F533" t="s">
        <v>49</v>
      </c>
      <c r="G533">
        <v>-603.82470000000001</v>
      </c>
      <c r="H533">
        <v>-0.1</v>
      </c>
      <c r="I533">
        <v>291.0718</v>
      </c>
      <c r="J533">
        <v>-275.65170000000001</v>
      </c>
      <c r="K533">
        <v>1.103586</v>
      </c>
      <c r="L533">
        <v>283.30029999999999</v>
      </c>
      <c r="M533">
        <v>-0.99754549999999997</v>
      </c>
      <c r="N533">
        <v>0</v>
      </c>
      <c r="O533">
        <v>6.9474040000000001E-2</v>
      </c>
      <c r="P533">
        <v>-0.99383520000000003</v>
      </c>
      <c r="Q533">
        <v>0.10179439999999999</v>
      </c>
      <c r="R533">
        <v>4.3928149999999999E-2</v>
      </c>
      <c r="S533">
        <v>-3.0163570000000002</v>
      </c>
      <c r="T533">
        <v>-1.104832E-2</v>
      </c>
      <c r="U533">
        <v>7.1594240000000003E-2</v>
      </c>
      <c r="V533">
        <v>-2.526314E-2</v>
      </c>
      <c r="W533">
        <v>0.11046640000000001</v>
      </c>
      <c r="X533">
        <v>0.99355870000000002</v>
      </c>
      <c r="Y533">
        <v>-4.5785050000000001E-2</v>
      </c>
      <c r="Z533">
        <v>-3.3807500000000002E-4</v>
      </c>
      <c r="AA533">
        <v>0.99895129999999999</v>
      </c>
      <c r="AB533">
        <v>39</v>
      </c>
      <c r="AC533">
        <v>-328.173</v>
      </c>
      <c r="AD533">
        <v>-1.203586</v>
      </c>
      <c r="AE533">
        <v>7.7714999999999996</v>
      </c>
      <c r="AF533">
        <v>-15.047451317350699</v>
      </c>
      <c r="AG533">
        <v>-1.203586</v>
      </c>
      <c r="AH533">
        <v>327.91552444189699</v>
      </c>
      <c r="AI533">
        <v>90.210077269442806</v>
      </c>
      <c r="AJ533">
        <v>92.627356735582794</v>
      </c>
      <c r="AK533">
        <v>328.26279956829097</v>
      </c>
      <c r="AL533">
        <v>83.657797640846198</v>
      </c>
      <c r="AM533">
        <v>91.456541497186095</v>
      </c>
      <c r="AN533">
        <v>0.99999997105865401</v>
      </c>
    </row>
    <row r="534" spans="1:40" x14ac:dyDescent="0.3">
      <c r="A534" t="str">
        <f>"20200111150251432"</f>
        <v>20200111150251432</v>
      </c>
      <c r="B534" t="str">
        <f>"1578726171427483"</f>
        <v>1578726171427483</v>
      </c>
      <c r="C534" t="s">
        <v>40</v>
      </c>
      <c r="D534">
        <v>4.8669710000000004</v>
      </c>
      <c r="E534">
        <v>0.4925697</v>
      </c>
      <c r="F534" t="s">
        <v>56</v>
      </c>
      <c r="G534">
        <v>-361.55630000000002</v>
      </c>
      <c r="H534" s="1">
        <v>-7.0859039999999999E-7</v>
      </c>
      <c r="I534">
        <v>285.22160000000002</v>
      </c>
      <c r="J534">
        <v>-276.0385</v>
      </c>
      <c r="K534">
        <v>1.1037319999999999</v>
      </c>
      <c r="L534">
        <v>283.32679999999999</v>
      </c>
      <c r="M534">
        <v>-0.99758040000000003</v>
      </c>
      <c r="N534">
        <v>0</v>
      </c>
      <c r="O534">
        <v>6.8972220000000001E-2</v>
      </c>
      <c r="P534">
        <v>-0.9938034</v>
      </c>
      <c r="Q534">
        <v>0.1022074</v>
      </c>
      <c r="R534">
        <v>4.3687770000000001E-2</v>
      </c>
      <c r="S534">
        <v>-3.0195919999999998</v>
      </c>
      <c r="T534">
        <v>-3.8791659999999999E-2</v>
      </c>
      <c r="U534">
        <v>6.7535399999999995E-2</v>
      </c>
      <c r="V534">
        <v>-2.5036929999999999E-2</v>
      </c>
      <c r="W534">
        <v>0.11088249999999999</v>
      </c>
      <c r="X534">
        <v>0.99351809999999996</v>
      </c>
      <c r="Y534">
        <v>-4.6641200000000001E-2</v>
      </c>
      <c r="Z534">
        <v>-1.184792E-3</v>
      </c>
      <c r="AA534">
        <v>0.99891099999999999</v>
      </c>
      <c r="AB534">
        <v>39</v>
      </c>
      <c r="AC534">
        <v>-85.517799999999994</v>
      </c>
      <c r="AD534">
        <v>-1.1037327085903901</v>
      </c>
      <c r="AE534">
        <v>1.89480000000003</v>
      </c>
      <c r="AF534">
        <v>-4.0076225992691699</v>
      </c>
      <c r="AG534">
        <v>-1.1037327085903901</v>
      </c>
      <c r="AH534">
        <v>85.430600498585505</v>
      </c>
      <c r="AI534">
        <v>90.739386712994701</v>
      </c>
      <c r="AJ534">
        <v>92.685825050201302</v>
      </c>
      <c r="AK534">
        <v>85.531671130284295</v>
      </c>
      <c r="AL534">
        <v>83.633809658551797</v>
      </c>
      <c r="AM534">
        <v>91.443563909714598</v>
      </c>
      <c r="AN534">
        <v>0.99999999584884203</v>
      </c>
    </row>
    <row r="535" spans="1:40" x14ac:dyDescent="0.3">
      <c r="A535" t="str">
        <f>"20200111150251479"</f>
        <v>20200111150251479</v>
      </c>
      <c r="B535" t="str">
        <f>"1578726171467499"</f>
        <v>1578726171467499</v>
      </c>
      <c r="C535" t="s">
        <v>40</v>
      </c>
      <c r="D535">
        <v>5.020715</v>
      </c>
      <c r="E535">
        <v>0.49094320000000002</v>
      </c>
      <c r="F535" t="s">
        <v>56</v>
      </c>
      <c r="G535">
        <v>-338.43119999999999</v>
      </c>
      <c r="H535" s="1">
        <v>2.9468150000000001E-6</v>
      </c>
      <c r="I535">
        <v>284.68619999999999</v>
      </c>
      <c r="J535">
        <v>-276.8433</v>
      </c>
      <c r="K535">
        <v>1.1039969999999999</v>
      </c>
      <c r="L535">
        <v>283.38099999999997</v>
      </c>
      <c r="M535">
        <v>-0.99767980000000001</v>
      </c>
      <c r="N535">
        <v>0</v>
      </c>
      <c r="O535">
        <v>6.7514930000000001E-2</v>
      </c>
      <c r="P535">
        <v>-0.99376370000000003</v>
      </c>
      <c r="Q535">
        <v>0.103853</v>
      </c>
      <c r="R535">
        <v>4.0599080000000003E-2</v>
      </c>
      <c r="S535">
        <v>-3.0213320000000001</v>
      </c>
      <c r="T535">
        <v>-5.3447479999999999E-2</v>
      </c>
      <c r="U535">
        <v>6.5826419999999997E-2</v>
      </c>
      <c r="V535">
        <v>-2.6735990000000001E-2</v>
      </c>
      <c r="W535">
        <v>0.1125258</v>
      </c>
      <c r="X535">
        <v>0.99328910000000004</v>
      </c>
      <c r="Y535">
        <v>-4.5751460000000001E-2</v>
      </c>
      <c r="Z535">
        <v>-1.597844E-3</v>
      </c>
      <c r="AA535">
        <v>0.99895160000000005</v>
      </c>
      <c r="AB535">
        <v>39</v>
      </c>
      <c r="AC535">
        <v>-61.587899999999898</v>
      </c>
      <c r="AD535">
        <v>-1.1039940531850001</v>
      </c>
      <c r="AE535">
        <v>1.3052000000000099</v>
      </c>
      <c r="AF535">
        <v>-2.8551236794530399</v>
      </c>
      <c r="AG535">
        <v>-1.1039940531850001</v>
      </c>
      <c r="AH535">
        <v>61.515728154240897</v>
      </c>
      <c r="AI535">
        <v>91.027044856990898</v>
      </c>
      <c r="AJ535">
        <v>92.657356574900803</v>
      </c>
      <c r="AK535">
        <v>61.591844788420701</v>
      </c>
      <c r="AL535">
        <v>83.539062885837197</v>
      </c>
      <c r="AM535">
        <v>91.541836714407495</v>
      </c>
      <c r="AN535">
        <v>1.0000000525028601</v>
      </c>
    </row>
    <row r="536" spans="1:40" x14ac:dyDescent="0.3">
      <c r="A536" t="str">
        <f>"20200111150251500"</f>
        <v>20200111150251500</v>
      </c>
      <c r="B536" t="str">
        <f>"1578726171496781"</f>
        <v>1578726171496781</v>
      </c>
      <c r="C536" t="s">
        <v>40</v>
      </c>
      <c r="D536">
        <v>4.9292239999999996</v>
      </c>
      <c r="E536">
        <v>0.49031380000000002</v>
      </c>
      <c r="F536" t="s">
        <v>59</v>
      </c>
      <c r="G536">
        <v>-315.17649999999998</v>
      </c>
      <c r="H536" s="1">
        <v>4.573895E-6</v>
      </c>
      <c r="I536">
        <v>283.91480000000001</v>
      </c>
      <c r="J536">
        <v>-277.20429999999999</v>
      </c>
      <c r="K536">
        <v>1.1040989999999999</v>
      </c>
      <c r="L536">
        <v>283.40469999999999</v>
      </c>
      <c r="M536">
        <v>-0.99773480000000003</v>
      </c>
      <c r="N536">
        <v>0</v>
      </c>
      <c r="O536">
        <v>6.6696409999999998E-2</v>
      </c>
      <c r="P536">
        <v>-0.99391110000000005</v>
      </c>
      <c r="Q536">
        <v>0.1033362</v>
      </c>
      <c r="R536">
        <v>3.8243279999999998E-2</v>
      </c>
      <c r="S536">
        <v>-3.0262150000000001</v>
      </c>
      <c r="T536">
        <v>-8.7154629999999997E-2</v>
      </c>
      <c r="U536">
        <v>4.214478E-2</v>
      </c>
      <c r="V536">
        <v>-2.8308690000000001E-2</v>
      </c>
      <c r="W536">
        <v>0.1120037</v>
      </c>
      <c r="X536">
        <v>0.99330450000000003</v>
      </c>
      <c r="Y536">
        <v>-5.2748820000000002E-2</v>
      </c>
      <c r="Z536">
        <v>-2.6785239999999998E-3</v>
      </c>
      <c r="AA536">
        <v>0.99860420000000005</v>
      </c>
      <c r="AB536">
        <v>39</v>
      </c>
      <c r="AC536">
        <v>-37.972200000000001</v>
      </c>
      <c r="AD536">
        <v>-1.1040944261050001</v>
      </c>
      <c r="AE536">
        <v>0.51010000000002198</v>
      </c>
      <c r="AF536">
        <v>-2.0220334778234701</v>
      </c>
      <c r="AG536">
        <v>-1.1040944261050001</v>
      </c>
      <c r="AH536">
        <v>37.889637029744001</v>
      </c>
      <c r="AI536">
        <v>91.666741792178797</v>
      </c>
      <c r="AJ536">
        <v>93.054771646151096</v>
      </c>
      <c r="AK536">
        <v>37.959613250571202</v>
      </c>
      <c r="AL536">
        <v>83.569167112952101</v>
      </c>
      <c r="AM536">
        <v>91.632459675367699</v>
      </c>
      <c r="AN536">
        <v>1.0000000202317201</v>
      </c>
    </row>
    <row r="537" spans="1:40" x14ac:dyDescent="0.3">
      <c r="A537" t="str">
        <f>"20200111150251523"</f>
        <v>20200111150251523</v>
      </c>
      <c r="B537" t="str">
        <f>"1578726171517274"</f>
        <v>1578726171517274</v>
      </c>
      <c r="C537" t="s">
        <v>40</v>
      </c>
      <c r="D537">
        <v>4.9131519999999904</v>
      </c>
      <c r="E537">
        <v>0.48967699999999997</v>
      </c>
      <c r="F537" t="s">
        <v>59</v>
      </c>
      <c r="G537">
        <v>-308.65010000000001</v>
      </c>
      <c r="H537" s="1">
        <v>2.5091880000000001E-6</v>
      </c>
      <c r="I537">
        <v>283.71300000000002</v>
      </c>
      <c r="J537">
        <v>-277.60039999999998</v>
      </c>
      <c r="K537">
        <v>1.1042000000000001</v>
      </c>
      <c r="L537">
        <v>283.43029999999999</v>
      </c>
      <c r="M537">
        <v>-0.99780089999999999</v>
      </c>
      <c r="N537">
        <v>0</v>
      </c>
      <c r="O537">
        <v>6.5700159999999994E-2</v>
      </c>
      <c r="P537">
        <v>-0.99407679999999998</v>
      </c>
      <c r="Q537">
        <v>0.1026614</v>
      </c>
      <c r="R537">
        <v>3.5665879999999997E-2</v>
      </c>
      <c r="S537">
        <v>-3.0282900000000001</v>
      </c>
      <c r="T537">
        <v>-0.1063265</v>
      </c>
      <c r="U537">
        <v>2.9693600000000001E-2</v>
      </c>
      <c r="V537">
        <v>-2.9926560000000001E-2</v>
      </c>
      <c r="W537">
        <v>0.1113218</v>
      </c>
      <c r="X537">
        <v>0.99333369999999999</v>
      </c>
      <c r="Y537">
        <v>-5.584095E-2</v>
      </c>
      <c r="Z537">
        <v>-3.284684E-3</v>
      </c>
      <c r="AA537">
        <v>0.99843419999999905</v>
      </c>
      <c r="AB537">
        <v>39</v>
      </c>
      <c r="AC537">
        <v>-31.049700000000001</v>
      </c>
      <c r="AD537">
        <v>-1.104197490812</v>
      </c>
      <c r="AE537">
        <v>0.28269999999997703</v>
      </c>
      <c r="AF537">
        <v>-1.7557392427379499</v>
      </c>
      <c r="AG537">
        <v>-1.104197490812</v>
      </c>
      <c r="AH537">
        <v>30.962029691129</v>
      </c>
      <c r="AI537">
        <v>92.039198019878597</v>
      </c>
      <c r="AJ537">
        <v>93.245550479778302</v>
      </c>
      <c r="AK537">
        <v>31.031422058641802</v>
      </c>
      <c r="AL537">
        <v>83.608482791582404</v>
      </c>
      <c r="AM537">
        <v>91.725650793712205</v>
      </c>
      <c r="AN537">
        <v>0.99999999085218105</v>
      </c>
    </row>
    <row r="538" spans="1:40" x14ac:dyDescent="0.3">
      <c r="A538" t="str">
        <f>"20200111150251545"</f>
        <v>20200111150251545</v>
      </c>
      <c r="B538" t="str">
        <f>"1578726171536794"</f>
        <v>1578726171536794</v>
      </c>
      <c r="C538" t="s">
        <v>40</v>
      </c>
      <c r="D538">
        <v>5.113264</v>
      </c>
      <c r="E538">
        <v>0.48893039999999999</v>
      </c>
      <c r="F538" t="s">
        <v>59</v>
      </c>
      <c r="G538">
        <v>-304.39980000000003</v>
      </c>
      <c r="H538" s="1">
        <v>3.2754009999999998E-6</v>
      </c>
      <c r="I538">
        <v>283.57260000000002</v>
      </c>
      <c r="J538">
        <v>-277.98989999999998</v>
      </c>
      <c r="K538">
        <v>1.10429</v>
      </c>
      <c r="L538">
        <v>283.45510000000002</v>
      </c>
      <c r="M538">
        <v>-0.99787009999999998</v>
      </c>
      <c r="N538">
        <v>0</v>
      </c>
      <c r="O538">
        <v>6.4640310000000006E-2</v>
      </c>
      <c r="P538">
        <v>-0.99421470000000001</v>
      </c>
      <c r="Q538">
        <v>0.10225620000000001</v>
      </c>
      <c r="R538">
        <v>3.2878089999999999E-2</v>
      </c>
      <c r="S538">
        <v>-3.030151</v>
      </c>
      <c r="T538">
        <v>-0.1248493</v>
      </c>
      <c r="U538">
        <v>1.6082760000000001E-2</v>
      </c>
      <c r="V538">
        <v>-3.1685739999999997E-2</v>
      </c>
      <c r="W538">
        <v>0.1109091</v>
      </c>
      <c r="X538">
        <v>0.99332540000000003</v>
      </c>
      <c r="Y538">
        <v>-5.9240439999999998E-2</v>
      </c>
      <c r="Z538">
        <v>-3.8806729999999998E-3</v>
      </c>
      <c r="AA538">
        <v>0.99823620000000002</v>
      </c>
      <c r="AB538">
        <v>39</v>
      </c>
      <c r="AC538">
        <v>-26.4099</v>
      </c>
      <c r="AD538">
        <v>-1.104286724599</v>
      </c>
      <c r="AE538">
        <v>0.117500000000006</v>
      </c>
      <c r="AF538">
        <v>-1.58718061252562</v>
      </c>
      <c r="AG538">
        <v>-1.104286724599</v>
      </c>
      <c r="AH538">
        <v>26.316249062467001</v>
      </c>
      <c r="AI538">
        <v>92.398491943654193</v>
      </c>
      <c r="AJ538">
        <v>93.4514313404989</v>
      </c>
      <c r="AK538">
        <v>26.3871854540172</v>
      </c>
      <c r="AL538">
        <v>83.632276685708007</v>
      </c>
      <c r="AM538">
        <v>91.827038542147605</v>
      </c>
      <c r="AN538">
        <v>1.0000000824336499</v>
      </c>
    </row>
    <row r="539" spans="1:40" x14ac:dyDescent="0.3">
      <c r="A539" t="str">
        <f>"20200111150251567"</f>
        <v>20200111150251567</v>
      </c>
      <c r="B539" t="str">
        <f>"1578726171557290"</f>
        <v>1578726171557290</v>
      </c>
      <c r="C539" t="s">
        <v>40</v>
      </c>
      <c r="D539">
        <v>4.9903199999999996</v>
      </c>
      <c r="E539">
        <v>0.48868440000000002</v>
      </c>
      <c r="F539" t="s">
        <v>59</v>
      </c>
      <c r="G539">
        <v>-302.1859</v>
      </c>
      <c r="H539" s="1">
        <v>3.6774000000000001E-6</v>
      </c>
      <c r="I539">
        <v>283.46629999999999</v>
      </c>
      <c r="J539">
        <v>-278.3734</v>
      </c>
      <c r="K539">
        <v>1.1043639999999999</v>
      </c>
      <c r="L539">
        <v>283.47910000000002</v>
      </c>
      <c r="M539">
        <v>-0.99794079999999996</v>
      </c>
      <c r="N539">
        <v>0</v>
      </c>
      <c r="O539">
        <v>6.3538490000000003E-2</v>
      </c>
      <c r="P539">
        <v>-0.99426890000000001</v>
      </c>
      <c r="Q539">
        <v>0.1024355</v>
      </c>
      <c r="R539">
        <v>3.060123E-2</v>
      </c>
      <c r="S539">
        <v>-3.031647</v>
      </c>
      <c r="T539">
        <v>-0.13836229999999999</v>
      </c>
      <c r="U539">
        <v>1.403809E-3</v>
      </c>
      <c r="V539">
        <v>-3.288626E-2</v>
      </c>
      <c r="W539">
        <v>0.1110815</v>
      </c>
      <c r="X539">
        <v>0.99326700000000001</v>
      </c>
      <c r="Y539">
        <v>-6.2947219999999998E-2</v>
      </c>
      <c r="Z539">
        <v>-4.3326659999999998E-3</v>
      </c>
      <c r="AA539">
        <v>0.99800750000000005</v>
      </c>
      <c r="AB539">
        <v>39</v>
      </c>
      <c r="AC539">
        <v>-23.8125</v>
      </c>
      <c r="AD539">
        <v>-1.1043603225999901</v>
      </c>
      <c r="AE539">
        <v>-1.2800000000027E-2</v>
      </c>
      <c r="AF539">
        <v>-1.52256787136627</v>
      </c>
      <c r="AG539">
        <v>-1.1043603225999901</v>
      </c>
      <c r="AH539">
        <v>23.712564830589301</v>
      </c>
      <c r="AI539">
        <v>92.661025625058201</v>
      </c>
      <c r="AJ539">
        <v>93.673880145848301</v>
      </c>
      <c r="AK539">
        <v>23.787045959722501</v>
      </c>
      <c r="AL539">
        <v>83.622336755937994</v>
      </c>
      <c r="AM539">
        <v>91.896323788466404</v>
      </c>
      <c r="AN539">
        <v>0.99999996951401804</v>
      </c>
    </row>
    <row r="540" spans="1:40" x14ac:dyDescent="0.3">
      <c r="A540" t="str">
        <f>"20200111150251591"</f>
        <v>20200111150251591</v>
      </c>
      <c r="B540" t="str">
        <f>"1578726171586571"</f>
        <v>1578726171586571</v>
      </c>
      <c r="C540" t="s">
        <v>40</v>
      </c>
      <c r="D540">
        <v>7.7166410000000001</v>
      </c>
      <c r="E540">
        <v>0.48867109999999903</v>
      </c>
      <c r="F540" t="s">
        <v>59</v>
      </c>
      <c r="G540">
        <v>-301.767</v>
      </c>
      <c r="H540" s="1">
        <v>3.7558129999999998E-6</v>
      </c>
      <c r="I540">
        <v>283.41930000000002</v>
      </c>
      <c r="J540">
        <v>-278.78309999999999</v>
      </c>
      <c r="K540">
        <v>1.1044369999999999</v>
      </c>
      <c r="L540">
        <v>283.50420000000003</v>
      </c>
      <c r="M540">
        <v>-0.99801810000000002</v>
      </c>
      <c r="N540">
        <v>0</v>
      </c>
      <c r="O540">
        <v>6.2312039999999999E-2</v>
      </c>
      <c r="P540">
        <v>-0.99437019999999998</v>
      </c>
      <c r="Q540">
        <v>0.102017</v>
      </c>
      <c r="R540">
        <v>2.86451E-2</v>
      </c>
      <c r="S540">
        <v>-3.0322879999999999</v>
      </c>
      <c r="T540">
        <v>-0.14314749999999901</v>
      </c>
      <c r="U540">
        <v>-7.7514649999999999E-3</v>
      </c>
      <c r="V540">
        <v>-3.3643279999999998E-2</v>
      </c>
      <c r="W540">
        <v>0.1106593</v>
      </c>
      <c r="X540">
        <v>0.99328879999999997</v>
      </c>
      <c r="Y540">
        <v>-6.4724160000000003E-2</v>
      </c>
      <c r="Z540">
        <v>-4.4656000000000001E-3</v>
      </c>
      <c r="AA540">
        <v>0.99789320000000004</v>
      </c>
      <c r="AB540">
        <v>39</v>
      </c>
      <c r="AC540">
        <v>-22.983899999999998</v>
      </c>
      <c r="AD540">
        <v>-1.104433244187</v>
      </c>
      <c r="AE540">
        <v>-8.4900000000004597E-2</v>
      </c>
      <c r="AF540">
        <v>-1.51346928534089</v>
      </c>
      <c r="AG540">
        <v>-1.104433244187</v>
      </c>
      <c r="AH540">
        <v>22.881109147513801</v>
      </c>
      <c r="AI540">
        <v>92.757411477610503</v>
      </c>
      <c r="AJ540">
        <v>93.784312575282996</v>
      </c>
      <c r="AK540">
        <v>22.9576897332675</v>
      </c>
      <c r="AL540">
        <v>83.646677262601003</v>
      </c>
      <c r="AM540">
        <v>91.939900387387695</v>
      </c>
      <c r="AN540">
        <v>0.99999999558554398</v>
      </c>
    </row>
    <row r="541" spans="1:40" x14ac:dyDescent="0.3">
      <c r="A541" t="str">
        <f>"20200111150251611"</f>
        <v>20200111150251611</v>
      </c>
      <c r="B541" t="str">
        <f>"1578726171607066"</f>
        <v>1578726171607066</v>
      </c>
      <c r="C541" t="s">
        <v>40</v>
      </c>
      <c r="D541">
        <v>4.643497</v>
      </c>
      <c r="E541">
        <v>0.48824650000000003</v>
      </c>
      <c r="F541" t="s">
        <v>59</v>
      </c>
      <c r="G541">
        <v>-301.18619999999999</v>
      </c>
      <c r="H541" s="1">
        <v>3.8604079999999997E-6</v>
      </c>
      <c r="I541">
        <v>283.40140000000002</v>
      </c>
      <c r="J541">
        <v>-279.15300000000002</v>
      </c>
      <c r="K541">
        <v>1.1044969999999901</v>
      </c>
      <c r="L541">
        <v>283.52640000000002</v>
      </c>
      <c r="M541">
        <v>-0.99808889999999995</v>
      </c>
      <c r="N541">
        <v>0</v>
      </c>
      <c r="O541">
        <v>6.1169519999999998E-2</v>
      </c>
      <c r="P541">
        <v>-0.99442649999999999</v>
      </c>
      <c r="Q541">
        <v>0.1018268</v>
      </c>
      <c r="R541">
        <v>2.7340369999999999E-2</v>
      </c>
      <c r="S541">
        <v>-3.032715</v>
      </c>
      <c r="T541">
        <v>-0.1495081</v>
      </c>
      <c r="U541">
        <v>-1.3916019999999999E-2</v>
      </c>
      <c r="V541">
        <v>-3.3827299999999998E-2</v>
      </c>
      <c r="W541">
        <v>0.11046830000000001</v>
      </c>
      <c r="X541">
        <v>0.99330379999999996</v>
      </c>
      <c r="Y541">
        <v>-6.5597340000000004E-2</v>
      </c>
      <c r="Z541">
        <v>-4.6284560000000004E-3</v>
      </c>
      <c r="AA541">
        <v>0.99783549999999999</v>
      </c>
      <c r="AB541">
        <v>39</v>
      </c>
      <c r="AC541">
        <v>-22.033199999999901</v>
      </c>
      <c r="AD541">
        <v>-1.1044931395919999</v>
      </c>
      <c r="AE541">
        <v>-0.125</v>
      </c>
      <c r="AF541">
        <v>-1.46888694573033</v>
      </c>
      <c r="AG541">
        <v>-1.1044931395919999</v>
      </c>
      <c r="AH541">
        <v>21.929187253223802</v>
      </c>
      <c r="AI541">
        <v>92.876906968059203</v>
      </c>
      <c r="AJ541">
        <v>93.832129736629597</v>
      </c>
      <c r="AK541">
        <v>22.006062517899402</v>
      </c>
      <c r="AL541">
        <v>83.657688199269103</v>
      </c>
      <c r="AM541">
        <v>91.950473532691603</v>
      </c>
      <c r="AN541">
        <v>0.99999998531230905</v>
      </c>
    </row>
    <row r="542" spans="1:40" x14ac:dyDescent="0.3">
      <c r="A542" t="str">
        <f>"20200111150251634"</f>
        <v>20200111150251634</v>
      </c>
      <c r="B542" t="str">
        <f>"1578726171627563"</f>
        <v>1578726171627563</v>
      </c>
      <c r="C542" t="s">
        <v>40</v>
      </c>
      <c r="D542">
        <v>5.0167320000000002</v>
      </c>
      <c r="E542">
        <v>0.48804769999999997</v>
      </c>
      <c r="F542" t="s">
        <v>59</v>
      </c>
      <c r="G542">
        <v>-302.12619999999998</v>
      </c>
      <c r="H542" s="1">
        <v>3.6968439999999999E-6</v>
      </c>
      <c r="I542">
        <v>283.36500000000001</v>
      </c>
      <c r="J542">
        <v>-279.55599999999998</v>
      </c>
      <c r="K542">
        <v>1.104555</v>
      </c>
      <c r="L542">
        <v>283.55</v>
      </c>
      <c r="M542">
        <v>-0.998166</v>
      </c>
      <c r="N542">
        <v>0</v>
      </c>
      <c r="O542">
        <v>5.98968E-2</v>
      </c>
      <c r="P542">
        <v>-0.99444529999999998</v>
      </c>
      <c r="Q542">
        <v>0.10204439999999999</v>
      </c>
      <c r="R542">
        <v>2.5798189999999999E-2</v>
      </c>
      <c r="S542">
        <v>-3.0323180000000001</v>
      </c>
      <c r="T542">
        <v>-0.14578629999999901</v>
      </c>
      <c r="U542">
        <v>-2.1301270000000001E-2</v>
      </c>
      <c r="V542">
        <v>-3.4116340000000002E-2</v>
      </c>
      <c r="W542">
        <v>0.1106854</v>
      </c>
      <c r="X542">
        <v>0.99326970000000003</v>
      </c>
      <c r="Y542">
        <v>-6.6763349999999999E-2</v>
      </c>
      <c r="Z542">
        <v>-4.4809209999999997E-3</v>
      </c>
      <c r="AA542">
        <v>0.99775879999999995</v>
      </c>
      <c r="AB542">
        <v>39</v>
      </c>
      <c r="AC542">
        <v>-22.5702</v>
      </c>
      <c r="AD542">
        <v>-1.1045513031559999</v>
      </c>
      <c r="AE542">
        <v>-0.185000000000002</v>
      </c>
      <c r="AF542">
        <v>-1.5329315472581699</v>
      </c>
      <c r="AG542">
        <v>-1.1045513031559999</v>
      </c>
      <c r="AH542">
        <v>22.464793435612101</v>
      </c>
      <c r="AI542">
        <v>92.808337862620903</v>
      </c>
      <c r="AJ542">
        <v>93.903644435517094</v>
      </c>
      <c r="AK542">
        <v>22.544109137745998</v>
      </c>
      <c r="AL542">
        <v>83.645172242809593</v>
      </c>
      <c r="AM542">
        <v>91.967193948086006</v>
      </c>
      <c r="AN542">
        <v>0.99999993968312095</v>
      </c>
    </row>
    <row r="543" spans="1:40" x14ac:dyDescent="0.3">
      <c r="A543" t="str">
        <f>"20200111150251655"</f>
        <v>20200111150251655</v>
      </c>
      <c r="B543" t="str">
        <f>"1578726171647083"</f>
        <v>1578726171647083</v>
      </c>
      <c r="C543" t="s">
        <v>40</v>
      </c>
      <c r="D543">
        <v>4.641788</v>
      </c>
      <c r="E543">
        <v>0.48836980000000002</v>
      </c>
      <c r="F543" t="s">
        <v>59</v>
      </c>
      <c r="G543">
        <v>-302.0265</v>
      </c>
      <c r="H543" s="1">
        <v>3.7163939999999999E-6</v>
      </c>
      <c r="I543">
        <v>283.34359999999998</v>
      </c>
      <c r="J543">
        <v>-279.93650000000002</v>
      </c>
      <c r="K543">
        <v>1.104603</v>
      </c>
      <c r="L543">
        <v>283.57190000000003</v>
      </c>
      <c r="M543">
        <v>-0.99823890000000004</v>
      </c>
      <c r="N543">
        <v>0</v>
      </c>
      <c r="O543">
        <v>5.8669119999999998E-2</v>
      </c>
      <c r="P543">
        <v>-0.99449030000000005</v>
      </c>
      <c r="Q543">
        <v>0.1019795</v>
      </c>
      <c r="R543">
        <v>2.4280329999999999E-2</v>
      </c>
      <c r="S543">
        <v>-3.0327449999999998</v>
      </c>
      <c r="T543">
        <v>-0.1490765</v>
      </c>
      <c r="U543">
        <v>-2.786255E-2</v>
      </c>
      <c r="V543">
        <v>-3.4424919999999998E-2</v>
      </c>
      <c r="W543">
        <v>0.110620899999999</v>
      </c>
      <c r="X543">
        <v>0.99326630000000005</v>
      </c>
      <c r="Y543">
        <v>-6.7687419999999998E-2</v>
      </c>
      <c r="Z543">
        <v>-4.5437469999999999E-3</v>
      </c>
      <c r="AA543">
        <v>0.99769620000000003</v>
      </c>
      <c r="AB543">
        <v>39</v>
      </c>
      <c r="AC543">
        <v>-22.0899999999999</v>
      </c>
      <c r="AD543">
        <v>-1.1045992836059999</v>
      </c>
      <c r="AE543">
        <v>-0.22830000000004699</v>
      </c>
      <c r="AF543">
        <v>-1.5201568308365201</v>
      </c>
      <c r="AG543">
        <v>-1.1045992836059999</v>
      </c>
      <c r="AH543">
        <v>21.983589021055199</v>
      </c>
      <c r="AI543">
        <v>92.869654331291997</v>
      </c>
      <c r="AJ543">
        <v>93.955684484331996</v>
      </c>
      <c r="AK543">
        <v>22.063753139806899</v>
      </c>
      <c r="AL543">
        <v>83.648891044229103</v>
      </c>
      <c r="AM543">
        <v>91.984979704134105</v>
      </c>
      <c r="AN543">
        <v>1.00000000067475</v>
      </c>
    </row>
    <row r="544" spans="1:40" x14ac:dyDescent="0.3">
      <c r="A544" t="str">
        <f>"20200111150251691"</f>
        <v>20200111150251691</v>
      </c>
      <c r="B544" t="str">
        <f>"1578726171687098"</f>
        <v>1578726171687098</v>
      </c>
      <c r="C544" t="s">
        <v>40</v>
      </c>
      <c r="D544">
        <v>4.65951</v>
      </c>
      <c r="E544">
        <v>0.48816670000000001</v>
      </c>
      <c r="F544" t="s">
        <v>59</v>
      </c>
      <c r="G544">
        <v>-301.91390000000001</v>
      </c>
      <c r="H544" s="1">
        <v>3.7354880000000002E-6</v>
      </c>
      <c r="I544">
        <v>283.35359999999997</v>
      </c>
      <c r="J544">
        <v>-280.53859999999997</v>
      </c>
      <c r="K544">
        <v>1.104668</v>
      </c>
      <c r="L544">
        <v>283.60550000000001</v>
      </c>
      <c r="M544">
        <v>-0.99835410000000002</v>
      </c>
      <c r="N544">
        <v>0</v>
      </c>
      <c r="O544">
        <v>5.6671109999999997E-2</v>
      </c>
      <c r="P544">
        <v>-0.99462629999999996</v>
      </c>
      <c r="Q544">
        <v>0.10110429999999999</v>
      </c>
      <c r="R544">
        <v>2.228511E-2</v>
      </c>
      <c r="S544">
        <v>-3.03302</v>
      </c>
      <c r="T544">
        <v>-0.15244160000000001</v>
      </c>
      <c r="U544">
        <v>-3.0120850000000001E-2</v>
      </c>
      <c r="V544">
        <v>-3.4453850000000001E-2</v>
      </c>
      <c r="W544">
        <v>0.10974979999999999</v>
      </c>
      <c r="X544">
        <v>0.99336190000000002</v>
      </c>
      <c r="Y544">
        <v>-6.6429699999999994E-2</v>
      </c>
      <c r="Z544">
        <v>-4.513932E-3</v>
      </c>
      <c r="AA544">
        <v>0.99778089999999997</v>
      </c>
      <c r="AB544">
        <v>39</v>
      </c>
      <c r="AC544">
        <v>-21.375299999999999</v>
      </c>
      <c r="AD544">
        <v>-1.1046642645119999</v>
      </c>
      <c r="AE544">
        <v>-0.25190000000003399</v>
      </c>
      <c r="AF544">
        <v>-1.4590079160258</v>
      </c>
      <c r="AG544">
        <v>-1.1046642645119999</v>
      </c>
      <c r="AH544">
        <v>21.2698701114216</v>
      </c>
      <c r="AI544">
        <v>92.966064297635697</v>
      </c>
      <c r="AJ544">
        <v>93.924060263433006</v>
      </c>
      <c r="AK544">
        <v>21.348451039667101</v>
      </c>
      <c r="AL544">
        <v>83.6991070024295</v>
      </c>
      <c r="AM544">
        <v>91.986455465043306</v>
      </c>
      <c r="AN544">
        <v>0.99999997537573604</v>
      </c>
    </row>
    <row r="545" spans="1:40" x14ac:dyDescent="0.3">
      <c r="A545" t="str">
        <f>"20200111150251711"</f>
        <v>20200111150251711</v>
      </c>
      <c r="B545" t="str">
        <f>"1578726171706618"</f>
        <v>1578726171706618</v>
      </c>
      <c r="C545" t="s">
        <v>40</v>
      </c>
      <c r="D545">
        <v>5.0331619999999999</v>
      </c>
      <c r="E545">
        <v>0.4881894</v>
      </c>
      <c r="F545" t="s">
        <v>59</v>
      </c>
      <c r="G545">
        <v>-302.22320000000002</v>
      </c>
      <c r="H545" s="1">
        <v>3.6823030000000002E-6</v>
      </c>
      <c r="I545">
        <v>283.33449999999999</v>
      </c>
      <c r="J545">
        <v>-280.92189999999999</v>
      </c>
      <c r="K545">
        <v>1.104716</v>
      </c>
      <c r="L545">
        <v>283.62619999999998</v>
      </c>
      <c r="M545">
        <v>-0.99842819999999999</v>
      </c>
      <c r="N545">
        <v>0</v>
      </c>
      <c r="O545">
        <v>5.5350980000000001E-2</v>
      </c>
      <c r="P545">
        <v>-0.99472629999999995</v>
      </c>
      <c r="Q545">
        <v>0.10037119999999999</v>
      </c>
      <c r="R545">
        <v>2.1105369999999998E-2</v>
      </c>
      <c r="S545">
        <v>-3.0327449999999998</v>
      </c>
      <c r="T545">
        <v>-0.1544952</v>
      </c>
      <c r="U545">
        <v>-3.7902829999999998E-2</v>
      </c>
      <c r="V545">
        <v>-3.4334400000000001E-2</v>
      </c>
      <c r="W545">
        <v>0.1090209</v>
      </c>
      <c r="X545">
        <v>0.99344639999999995</v>
      </c>
      <c r="Y545">
        <v>-6.7667069999999996E-2</v>
      </c>
      <c r="Z545">
        <v>-4.5394210000000001E-3</v>
      </c>
      <c r="AA545">
        <v>0.99769770000000002</v>
      </c>
      <c r="AB545">
        <v>40</v>
      </c>
      <c r="AC545">
        <v>-21.301300000000001</v>
      </c>
      <c r="AD545">
        <v>-1.104712317697</v>
      </c>
      <c r="AE545">
        <v>-0.29169999999999102</v>
      </c>
      <c r="AF545">
        <v>-1.4664029544729</v>
      </c>
      <c r="AG545">
        <v>-1.104712317697</v>
      </c>
      <c r="AH545">
        <v>21.195498681576499</v>
      </c>
      <c r="AI545">
        <v>92.976462170810905</v>
      </c>
      <c r="AJ545">
        <v>93.957681442171094</v>
      </c>
      <c r="AK545">
        <v>21.274865247292801</v>
      </c>
      <c r="AL545">
        <v>83.741122661662402</v>
      </c>
      <c r="AM545">
        <v>91.979405755663805</v>
      </c>
      <c r="AN545">
        <v>1.0000000786665599</v>
      </c>
    </row>
    <row r="546" spans="1:40" x14ac:dyDescent="0.3">
      <c r="A546" t="str">
        <f>"20200111150251733"</f>
        <v>20200111150251733</v>
      </c>
      <c r="B546" t="str">
        <f>"1578726171727114"</f>
        <v>1578726171727114</v>
      </c>
      <c r="C546" t="s">
        <v>40</v>
      </c>
      <c r="D546">
        <v>5.1037710000000001</v>
      </c>
      <c r="E546">
        <v>0.48806430000000001</v>
      </c>
      <c r="F546" t="s">
        <v>59</v>
      </c>
      <c r="G546">
        <v>-302.10070000000002</v>
      </c>
      <c r="H546" s="1">
        <v>3.7035880000000001E-6</v>
      </c>
      <c r="I546">
        <v>283.33960000000002</v>
      </c>
      <c r="J546">
        <v>-281.31229999999999</v>
      </c>
      <c r="K546">
        <v>1.104765</v>
      </c>
      <c r="L546">
        <v>283.64670000000001</v>
      </c>
      <c r="M546">
        <v>-0.99850369999999999</v>
      </c>
      <c r="N546">
        <v>0</v>
      </c>
      <c r="O546">
        <v>5.3969009999999998E-2</v>
      </c>
      <c r="P546">
        <v>-0.99483129999999997</v>
      </c>
      <c r="Q546">
        <v>9.9548280000000003E-2</v>
      </c>
      <c r="R546">
        <v>2.0017119999999999E-2</v>
      </c>
      <c r="S546">
        <v>-3.0327760000000001</v>
      </c>
      <c r="T546">
        <v>-0.15819320000000001</v>
      </c>
      <c r="U546">
        <v>-4.1046140000000002E-2</v>
      </c>
      <c r="V546">
        <v>-3.4061760000000003E-2</v>
      </c>
      <c r="W546">
        <v>0.1082041</v>
      </c>
      <c r="X546">
        <v>0.99354500000000001</v>
      </c>
      <c r="Y546">
        <v>-6.7314570000000004E-2</v>
      </c>
      <c r="Z546">
        <v>-4.5667169999999997E-3</v>
      </c>
      <c r="AA546">
        <v>0.99772139999999998</v>
      </c>
      <c r="AB546">
        <v>40</v>
      </c>
      <c r="AC546">
        <v>-20.788399999999999</v>
      </c>
      <c r="AD546">
        <v>-1.1047612964119999</v>
      </c>
      <c r="AE546">
        <v>-0.30709999999999099</v>
      </c>
      <c r="AF546">
        <v>-1.42460288259488</v>
      </c>
      <c r="AG546">
        <v>-1.1047612964119999</v>
      </c>
      <c r="AH546">
        <v>20.683125882771499</v>
      </c>
      <c r="AI546">
        <v>93.050258253034201</v>
      </c>
      <c r="AJ546">
        <v>93.940169479687697</v>
      </c>
      <c r="AK546">
        <v>20.761543468097901</v>
      </c>
      <c r="AL546">
        <v>83.788199858412895</v>
      </c>
      <c r="AM546">
        <v>91.963505469201607</v>
      </c>
      <c r="AN546">
        <v>0.99999999888805302</v>
      </c>
    </row>
    <row r="547" spans="1:40" x14ac:dyDescent="0.3">
      <c r="A547" t="str">
        <f>"20200111150251757"</f>
        <v>20200111150251757</v>
      </c>
      <c r="B547" t="str">
        <f>"1578726171746634"</f>
        <v>1578726171746634</v>
      </c>
      <c r="C547" t="s">
        <v>40</v>
      </c>
      <c r="D547">
        <v>5.0775329999999999</v>
      </c>
      <c r="E547">
        <v>0.48803010000000002</v>
      </c>
      <c r="F547" t="s">
        <v>59</v>
      </c>
      <c r="G547">
        <v>-301.73219999999998</v>
      </c>
      <c r="H547" s="1">
        <v>3.7687999999999998E-6</v>
      </c>
      <c r="I547">
        <v>283.34140000000002</v>
      </c>
      <c r="J547">
        <v>-281.72379999999998</v>
      </c>
      <c r="K547">
        <v>1.104822</v>
      </c>
      <c r="L547">
        <v>283.6678</v>
      </c>
      <c r="M547">
        <v>-0.99858429999999998</v>
      </c>
      <c r="N547">
        <v>0</v>
      </c>
      <c r="O547">
        <v>5.2454649999999998E-2</v>
      </c>
      <c r="P547">
        <v>-0.99495829999999996</v>
      </c>
      <c r="Q547">
        <v>9.8653959999999999E-2</v>
      </c>
      <c r="R547">
        <v>1.8041660000000001E-2</v>
      </c>
      <c r="S547">
        <v>-3.0329280000000001</v>
      </c>
      <c r="T547">
        <v>-0.16408800000000001</v>
      </c>
      <c r="U547">
        <v>-4.534912E-2</v>
      </c>
      <c r="V547">
        <v>-3.4545979999999997E-2</v>
      </c>
      <c r="W547">
        <v>0.1073129</v>
      </c>
      <c r="X547">
        <v>0.99362490000000003</v>
      </c>
      <c r="Y547">
        <v>-6.7205879999999996E-2</v>
      </c>
      <c r="Z547">
        <v>-4.651652E-3</v>
      </c>
      <c r="AA547">
        <v>0.99772830000000001</v>
      </c>
      <c r="AB547">
        <v>40</v>
      </c>
      <c r="AC547">
        <v>-20.008399999999899</v>
      </c>
      <c r="AD547">
        <v>-1.1048182311999999</v>
      </c>
      <c r="AE547">
        <v>-0.32639999999997799</v>
      </c>
      <c r="AF547">
        <v>-1.3713450022376601</v>
      </c>
      <c r="AG547">
        <v>-1.1048182311999999</v>
      </c>
      <c r="AH547">
        <v>19.9030623428261</v>
      </c>
      <c r="AI547">
        <v>93.169726169592906</v>
      </c>
      <c r="AJ547">
        <v>93.9415189034804</v>
      </c>
      <c r="AK547">
        <v>19.980818328125999</v>
      </c>
      <c r="AL547">
        <v>83.839560704735206</v>
      </c>
      <c r="AM547">
        <v>91.991236227533193</v>
      </c>
      <c r="AN547">
        <v>0.999999962570289</v>
      </c>
    </row>
    <row r="548" spans="1:40" x14ac:dyDescent="0.3">
      <c r="A548" t="str">
        <f>"20200111150251778"</f>
        <v>20200111150251778</v>
      </c>
      <c r="B548" t="str">
        <f>"1578726171767131"</f>
        <v>1578726171767131</v>
      </c>
      <c r="C548" t="s">
        <v>40</v>
      </c>
      <c r="D548">
        <v>5.2371030000000003</v>
      </c>
      <c r="E548">
        <v>0.4878498</v>
      </c>
      <c r="F548" t="s">
        <v>59</v>
      </c>
      <c r="G548">
        <v>-301.45319999999998</v>
      </c>
      <c r="H548" s="1">
        <v>3.8188130000000003E-6</v>
      </c>
      <c r="I548">
        <v>283.33539999999999</v>
      </c>
      <c r="J548">
        <v>-282.1037</v>
      </c>
      <c r="K548">
        <v>1.1048830000000001</v>
      </c>
      <c r="L548">
        <v>283.6866</v>
      </c>
      <c r="M548">
        <v>-0.99865990000000004</v>
      </c>
      <c r="N548">
        <v>0</v>
      </c>
      <c r="O548">
        <v>5.0993950000000003E-2</v>
      </c>
      <c r="P548">
        <v>-0.99501569999999995</v>
      </c>
      <c r="Q548">
        <v>9.8250699999999996E-2</v>
      </c>
      <c r="R548">
        <v>1.705485E-2</v>
      </c>
      <c r="S548">
        <v>-3.032959</v>
      </c>
      <c r="T548">
        <v>-0.1698421</v>
      </c>
      <c r="U548">
        <v>-5.1086430000000002E-2</v>
      </c>
      <c r="V548">
        <v>-3.4094970000000002E-2</v>
      </c>
      <c r="W548">
        <v>0.1069156</v>
      </c>
      <c r="X548">
        <v>0.99368330000000005</v>
      </c>
      <c r="Y548">
        <v>-6.7622390000000004E-2</v>
      </c>
      <c r="Z548">
        <v>-4.7444230000000002E-3</v>
      </c>
      <c r="AA548">
        <v>0.99769969999999997</v>
      </c>
      <c r="AB548">
        <v>40</v>
      </c>
      <c r="AC548">
        <v>-19.3494999999999</v>
      </c>
      <c r="AD548">
        <v>-1.104879181187</v>
      </c>
      <c r="AE548">
        <v>-0.35120000000000501</v>
      </c>
      <c r="AF548">
        <v>-1.33314362750489</v>
      </c>
      <c r="AG548">
        <v>-1.104879181187</v>
      </c>
      <c r="AH548">
        <v>19.243689593073299</v>
      </c>
      <c r="AI548">
        <v>93.278197809499602</v>
      </c>
      <c r="AJ548">
        <v>93.962943699365297</v>
      </c>
      <c r="AK548">
        <v>19.3214290126568</v>
      </c>
      <c r="AL548">
        <v>83.862456005495005</v>
      </c>
      <c r="AM548">
        <v>91.965145043109501</v>
      </c>
      <c r="AN548">
        <v>0.99999995660077401</v>
      </c>
    </row>
    <row r="549" spans="1:40" x14ac:dyDescent="0.3">
      <c r="A549" t="str">
        <f>"20200111150251801"</f>
        <v>20200111150251801</v>
      </c>
      <c r="B549" t="str">
        <f>"1578726171797387"</f>
        <v>1578726171797387</v>
      </c>
      <c r="C549" t="s">
        <v>40</v>
      </c>
      <c r="D549">
        <v>5.1390379999999896</v>
      </c>
      <c r="E549">
        <v>0.48761110000000002</v>
      </c>
      <c r="F549" t="s">
        <v>59</v>
      </c>
      <c r="G549">
        <v>-301.8168</v>
      </c>
      <c r="H549" s="1">
        <v>3.7553299999999998E-6</v>
      </c>
      <c r="I549">
        <v>283.32369999999997</v>
      </c>
      <c r="J549">
        <v>-282.5027</v>
      </c>
      <c r="K549">
        <v>1.1049580000000001</v>
      </c>
      <c r="L549">
        <v>283.7056</v>
      </c>
      <c r="M549">
        <v>-0.99874079999999998</v>
      </c>
      <c r="N549">
        <v>0</v>
      </c>
      <c r="O549">
        <v>4.9383450000000002E-2</v>
      </c>
      <c r="P549">
        <v>-0.99508940000000001</v>
      </c>
      <c r="Q549">
        <v>9.7459749999999998E-2</v>
      </c>
      <c r="R549">
        <v>1.7286309999999999E-2</v>
      </c>
      <c r="S549">
        <v>-3.0327760000000001</v>
      </c>
      <c r="T549">
        <v>-0.1699811</v>
      </c>
      <c r="U549">
        <v>-5.5816650000000002E-2</v>
      </c>
      <c r="V549">
        <v>-3.228002E-2</v>
      </c>
      <c r="W549">
        <v>0.1061371</v>
      </c>
      <c r="X549">
        <v>0.99382740000000003</v>
      </c>
      <c r="Y549">
        <v>-6.7572430000000003E-2</v>
      </c>
      <c r="Z549">
        <v>-4.6570250000000004E-3</v>
      </c>
      <c r="AA549">
        <v>0.99770349999999997</v>
      </c>
      <c r="AB549">
        <v>40</v>
      </c>
      <c r="AC549">
        <v>-19.3141</v>
      </c>
      <c r="AD549">
        <v>-1.10495424466999</v>
      </c>
      <c r="AE549">
        <v>-0.38190000000002999</v>
      </c>
      <c r="AF549">
        <v>-1.33091382460009</v>
      </c>
      <c r="AG549">
        <v>-1.10495424466999</v>
      </c>
      <c r="AH549">
        <v>19.208827615841301</v>
      </c>
      <c r="AI549">
        <v>93.284354828029507</v>
      </c>
      <c r="AJ549">
        <v>93.963493850978494</v>
      </c>
      <c r="AK549">
        <v>19.286557854278598</v>
      </c>
      <c r="AL549">
        <v>83.907316250499505</v>
      </c>
      <c r="AM549">
        <v>91.860342066981005</v>
      </c>
      <c r="AN549">
        <v>0.99999999233918502</v>
      </c>
    </row>
    <row r="550" spans="1:40" x14ac:dyDescent="0.3">
      <c r="A550" t="str">
        <f>"20200111150251824"</f>
        <v>20200111150251824</v>
      </c>
      <c r="B550" t="str">
        <f>"1578726171816906"</f>
        <v>1578726171816906</v>
      </c>
      <c r="C550" t="s">
        <v>40</v>
      </c>
      <c r="D550">
        <v>4.9925280000000001</v>
      </c>
      <c r="E550">
        <v>0.48742489999999999</v>
      </c>
      <c r="F550" t="s">
        <v>59</v>
      </c>
      <c r="G550">
        <v>-303.50839999999999</v>
      </c>
      <c r="H550" s="1">
        <v>3.4570160000000001E-6</v>
      </c>
      <c r="I550">
        <v>283.30380000000002</v>
      </c>
      <c r="J550">
        <v>-282.89249999999998</v>
      </c>
      <c r="K550">
        <v>1.1050390000000001</v>
      </c>
      <c r="L550">
        <v>283.72359999999998</v>
      </c>
      <c r="M550">
        <v>-0.99882130000000002</v>
      </c>
      <c r="N550">
        <v>0</v>
      </c>
      <c r="O550">
        <v>4.7726879999999999E-2</v>
      </c>
      <c r="P550">
        <v>-0.99506680000000003</v>
      </c>
      <c r="Q550">
        <v>9.7830059999999996E-2</v>
      </c>
      <c r="R550">
        <v>1.648092E-2</v>
      </c>
      <c r="S550">
        <v>-3.0314030000000001</v>
      </c>
      <c r="T550">
        <v>-0.15945989999999999</v>
      </c>
      <c r="U550">
        <v>-5.7983399999999997E-2</v>
      </c>
      <c r="V550">
        <v>-3.1456530000000003E-2</v>
      </c>
      <c r="W550">
        <v>0.106515</v>
      </c>
      <c r="X550">
        <v>0.99381339999999996</v>
      </c>
      <c r="Y550">
        <v>-6.6664210000000002E-2</v>
      </c>
      <c r="Z550">
        <v>-4.2602550000000001E-3</v>
      </c>
      <c r="AA550">
        <v>0.99776640000000005</v>
      </c>
      <c r="AB550">
        <v>40</v>
      </c>
      <c r="AC550">
        <v>-20.6159</v>
      </c>
      <c r="AD550">
        <v>-1.105035542984</v>
      </c>
      <c r="AE550">
        <v>-0.41979999999995199</v>
      </c>
      <c r="AF550">
        <v>-1.3992740441634599</v>
      </c>
      <c r="AG550">
        <v>-1.105035542984</v>
      </c>
      <c r="AH550">
        <v>20.513455837132799</v>
      </c>
      <c r="AI550">
        <v>93.076340481212299</v>
      </c>
      <c r="AJ550">
        <v>93.902243370284694</v>
      </c>
      <c r="AK550">
        <v>20.590797502377701</v>
      </c>
      <c r="AL550">
        <v>83.885540883501605</v>
      </c>
      <c r="AM550">
        <v>91.812940808597105</v>
      </c>
      <c r="AN550">
        <v>1.0000000162621001</v>
      </c>
    </row>
    <row r="551" spans="1:40" x14ac:dyDescent="0.3">
      <c r="A551" t="str">
        <f>"20200111150251846"</f>
        <v>20200111150251846</v>
      </c>
      <c r="B551" t="str">
        <f>"1578726171837404"</f>
        <v>1578726171837404</v>
      </c>
      <c r="C551" t="s">
        <v>40</v>
      </c>
      <c r="D551">
        <v>5.0528769999999996</v>
      </c>
      <c r="E551">
        <v>0.48741659999999998</v>
      </c>
      <c r="F551" t="s">
        <v>59</v>
      </c>
      <c r="G551">
        <v>-305.01499999999999</v>
      </c>
      <c r="H551" s="1">
        <v>3.1920289999999998E-6</v>
      </c>
      <c r="I551">
        <v>283.27800000000002</v>
      </c>
      <c r="J551">
        <v>-283.30700000000002</v>
      </c>
      <c r="K551">
        <v>1.105129</v>
      </c>
      <c r="L551">
        <v>283.74189999999999</v>
      </c>
      <c r="M551">
        <v>-0.99890809999999997</v>
      </c>
      <c r="N551">
        <v>0</v>
      </c>
      <c r="O551">
        <v>4.5868630000000001E-2</v>
      </c>
      <c r="P551">
        <v>-0.99509219999999998</v>
      </c>
      <c r="Q551">
        <v>9.7811880000000004E-2</v>
      </c>
      <c r="R551">
        <v>1.4986630000000001E-2</v>
      </c>
      <c r="S551">
        <v>-3.0307620000000002</v>
      </c>
      <c r="T551">
        <v>-0.151389</v>
      </c>
      <c r="U551">
        <v>-6.1035159999999998E-2</v>
      </c>
      <c r="V551">
        <v>-3.1123899999999999E-2</v>
      </c>
      <c r="W551">
        <v>0.1065031</v>
      </c>
      <c r="X551">
        <v>0.99382510000000002</v>
      </c>
      <c r="Y551">
        <v>-6.5835210000000005E-2</v>
      </c>
      <c r="Z551">
        <v>-3.9323370000000002E-3</v>
      </c>
      <c r="AA551">
        <v>0.99782280000000001</v>
      </c>
      <c r="AB551">
        <v>40</v>
      </c>
      <c r="AC551">
        <v>-21.707999999999899</v>
      </c>
      <c r="AD551">
        <v>-1.105125807971</v>
      </c>
      <c r="AE551">
        <v>-0.46389999999996601</v>
      </c>
      <c r="AF551">
        <v>-1.4553968675015101</v>
      </c>
      <c r="AG551">
        <v>-1.105125807971</v>
      </c>
      <c r="AH551">
        <v>21.607895311354799</v>
      </c>
      <c r="AI551">
        <v>92.921207799278605</v>
      </c>
      <c r="AJ551">
        <v>93.853329411358303</v>
      </c>
      <c r="AK551">
        <v>21.685032231468998</v>
      </c>
      <c r="AL551">
        <v>83.886226310249199</v>
      </c>
      <c r="AM551">
        <v>91.793761761115604</v>
      </c>
      <c r="AN551">
        <v>0.99999996842541405</v>
      </c>
    </row>
    <row r="552" spans="1:40" x14ac:dyDescent="0.3">
      <c r="A552" t="str">
        <f>"20200111150251868"</f>
        <v>20200111150251868</v>
      </c>
      <c r="B552" t="str">
        <f>"1578726171856921"</f>
        <v>1578726171856921</v>
      </c>
      <c r="C552" t="s">
        <v>40</v>
      </c>
      <c r="D552">
        <v>5.1424409999999998</v>
      </c>
      <c r="E552">
        <v>0.48736210000000002</v>
      </c>
      <c r="F552" t="s">
        <v>59</v>
      </c>
      <c r="G552">
        <v>-305.81319999999999</v>
      </c>
      <c r="H552" s="1">
        <v>3.0522810000000001E-6</v>
      </c>
      <c r="I552">
        <v>283.2568</v>
      </c>
      <c r="J552">
        <v>-283.70499999999998</v>
      </c>
      <c r="K552">
        <v>1.105218</v>
      </c>
      <c r="L552">
        <v>283.75869999999998</v>
      </c>
      <c r="M552">
        <v>-0.99899269999999996</v>
      </c>
      <c r="N552">
        <v>0</v>
      </c>
      <c r="O552">
        <v>4.3984259999999997E-2</v>
      </c>
      <c r="P552">
        <v>-0.99514190000000002</v>
      </c>
      <c r="Q552">
        <v>9.7390909999999997E-2</v>
      </c>
      <c r="R552">
        <v>1.440717E-2</v>
      </c>
      <c r="S552">
        <v>-3.0303650000000002</v>
      </c>
      <c r="T552">
        <v>-0.1488004</v>
      </c>
      <c r="U552">
        <v>-6.5307619999999997E-2</v>
      </c>
      <c r="V552">
        <v>-2.9851840000000001E-2</v>
      </c>
      <c r="W552">
        <v>0.10609300000000001</v>
      </c>
      <c r="X552">
        <v>0.99390800000000001</v>
      </c>
      <c r="Y552">
        <v>-6.536931E-2</v>
      </c>
      <c r="Z552">
        <v>-3.7618E-3</v>
      </c>
      <c r="AA552">
        <v>0.99785409999999997</v>
      </c>
      <c r="AB552">
        <v>40</v>
      </c>
      <c r="AC552">
        <v>-22.1082</v>
      </c>
      <c r="AD552">
        <v>-1.1052149477190001</v>
      </c>
      <c r="AE552">
        <v>-0.50189999999997703</v>
      </c>
      <c r="AF552">
        <v>-1.47019315666606</v>
      </c>
      <c r="AG552">
        <v>-1.1052149477190001</v>
      </c>
      <c r="AH552">
        <v>22.009749332546999</v>
      </c>
      <c r="AI552">
        <v>92.8682997997998</v>
      </c>
      <c r="AJ552">
        <v>93.8215298305837</v>
      </c>
      <c r="AK552">
        <v>22.0864672068695</v>
      </c>
      <c r="AL552">
        <v>83.909857295253303</v>
      </c>
      <c r="AM552">
        <v>91.720350791045803</v>
      </c>
      <c r="AN552">
        <v>0.99999998473219198</v>
      </c>
    </row>
    <row r="553" spans="1:40" x14ac:dyDescent="0.3">
      <c r="A553" t="str">
        <f>"20200111150251891"</f>
        <v>20200111150251891</v>
      </c>
      <c r="B553" t="str">
        <f>"1578726171887179"</f>
        <v>1578726171887179</v>
      </c>
      <c r="C553" t="s">
        <v>40</v>
      </c>
      <c r="D553">
        <v>5.1409449999999897</v>
      </c>
      <c r="E553">
        <v>0.4871817</v>
      </c>
      <c r="F553" t="s">
        <v>59</v>
      </c>
      <c r="G553">
        <v>-306.65629999999999</v>
      </c>
      <c r="H553" s="1">
        <v>2.9037330000000001E-6</v>
      </c>
      <c r="I553">
        <v>283.24549999999999</v>
      </c>
      <c r="J553">
        <v>-284.09809999999999</v>
      </c>
      <c r="K553">
        <v>1.105316</v>
      </c>
      <c r="L553">
        <v>283.77440000000001</v>
      </c>
      <c r="M553">
        <v>-0.9990772</v>
      </c>
      <c r="N553">
        <v>0</v>
      </c>
      <c r="O553">
        <v>4.2019130000000002E-2</v>
      </c>
      <c r="P553">
        <v>-0.99516139999999997</v>
      </c>
      <c r="Q553">
        <v>9.743976E-2</v>
      </c>
      <c r="R553">
        <v>1.2626699999999999E-2</v>
      </c>
      <c r="S553">
        <v>-3.0299070000000001</v>
      </c>
      <c r="T553">
        <v>-0.14590500000000001</v>
      </c>
      <c r="U553">
        <v>-6.7749019999999993E-2</v>
      </c>
      <c r="V553">
        <v>-2.9700009999999999E-2</v>
      </c>
      <c r="W553">
        <v>0.10614850000000001</v>
      </c>
      <c r="X553">
        <v>0.99390659999999997</v>
      </c>
      <c r="Y553">
        <v>-6.4221990000000007E-2</v>
      </c>
      <c r="Z553">
        <v>-3.5670900000000002E-3</v>
      </c>
      <c r="AA553">
        <v>0.99792930000000002</v>
      </c>
      <c r="AB553">
        <v>40</v>
      </c>
      <c r="AC553">
        <v>-22.558199999999999</v>
      </c>
      <c r="AD553">
        <v>-1.1053130962669999</v>
      </c>
      <c r="AE553">
        <v>-0.52890000000002102</v>
      </c>
      <c r="AF553">
        <v>-1.4728122585933201</v>
      </c>
      <c r="AG553">
        <v>-1.1053130962669999</v>
      </c>
      <c r="AH553">
        <v>22.462152144077098</v>
      </c>
      <c r="AI553">
        <v>92.811100328459801</v>
      </c>
      <c r="AJ553">
        <v>93.7514350807743</v>
      </c>
      <c r="AK553">
        <v>22.537505894253499</v>
      </c>
      <c r="AL553">
        <v>83.906659182762098</v>
      </c>
      <c r="AM553">
        <v>91.711608510325206</v>
      </c>
      <c r="AN553">
        <v>0.99999996208490405</v>
      </c>
    </row>
    <row r="554" spans="1:40" x14ac:dyDescent="0.3">
      <c r="A554" t="str">
        <f>"20200111150251912"</f>
        <v>20200111150251912</v>
      </c>
      <c r="B554" t="str">
        <f>"1578726171906699"</f>
        <v>1578726171906699</v>
      </c>
      <c r="C554" t="s">
        <v>40</v>
      </c>
      <c r="D554">
        <v>5.1314199999999897</v>
      </c>
      <c r="E554">
        <v>0.4868073</v>
      </c>
      <c r="F554" t="s">
        <v>59</v>
      </c>
      <c r="G554">
        <v>-307.06950000000001</v>
      </c>
      <c r="H554" s="1">
        <v>2.8336829999999998E-6</v>
      </c>
      <c r="I554">
        <v>283.20819999999998</v>
      </c>
      <c r="J554">
        <v>-284.49849999999998</v>
      </c>
      <c r="K554">
        <v>1.1054139999999999</v>
      </c>
      <c r="L554">
        <v>283.78949999999998</v>
      </c>
      <c r="M554">
        <v>-0.99916329999999998</v>
      </c>
      <c r="N554">
        <v>0</v>
      </c>
      <c r="O554">
        <v>3.9916710000000001E-2</v>
      </c>
      <c r="P554">
        <v>-0.99519009999999997</v>
      </c>
      <c r="Q554">
        <v>9.7423960000000004E-2</v>
      </c>
      <c r="R554">
        <v>1.025588E-2</v>
      </c>
      <c r="S554">
        <v>-3.0298159999999998</v>
      </c>
      <c r="T554">
        <v>-0.1457852</v>
      </c>
      <c r="U554">
        <v>-7.4676510000000001E-2</v>
      </c>
      <c r="V554">
        <v>-3.000241E-2</v>
      </c>
      <c r="W554">
        <v>0.1061361</v>
      </c>
      <c r="X554">
        <v>0.99389890000000003</v>
      </c>
      <c r="Y554">
        <v>-6.4405630000000005E-2</v>
      </c>
      <c r="Z554">
        <v>-3.4675610000000001E-3</v>
      </c>
      <c r="AA554">
        <v>0.99791779999999997</v>
      </c>
      <c r="AB554">
        <v>40</v>
      </c>
      <c r="AC554">
        <v>-22.571000000000002</v>
      </c>
      <c r="AD554">
        <v>-1.1054111663170001</v>
      </c>
      <c r="AE554">
        <v>-0.58129999999999804</v>
      </c>
      <c r="AF554">
        <v>-1.47828910699272</v>
      </c>
      <c r="AG554">
        <v>-1.1054111663170001</v>
      </c>
      <c r="AH554">
        <v>22.475931638998699</v>
      </c>
      <c r="AI554">
        <v>92.809591210687998</v>
      </c>
      <c r="AJ554">
        <v>93.763043419593004</v>
      </c>
      <c r="AK554">
        <v>22.551602505618401</v>
      </c>
      <c r="AL554">
        <v>83.907374040150998</v>
      </c>
      <c r="AM554">
        <v>91.729038653136797</v>
      </c>
      <c r="AN554">
        <v>1.00000001987511</v>
      </c>
    </row>
    <row r="555" spans="1:40" x14ac:dyDescent="0.3">
      <c r="A555" t="str">
        <f>"20200111150251935"</f>
        <v>20200111150251935</v>
      </c>
      <c r="B555" t="str">
        <f>"1578726171927194"</f>
        <v>1578726171927194</v>
      </c>
      <c r="C555" t="s">
        <v>40</v>
      </c>
      <c r="D555">
        <v>5.1425470000000004</v>
      </c>
      <c r="E555">
        <v>0.48633080000000001</v>
      </c>
      <c r="F555" t="s">
        <v>59</v>
      </c>
      <c r="G555">
        <v>-307.63799999999998</v>
      </c>
      <c r="H555" s="1">
        <v>2.7383390000000001E-6</v>
      </c>
      <c r="I555">
        <v>283.14550000000003</v>
      </c>
      <c r="J555">
        <v>-284.8922</v>
      </c>
      <c r="K555">
        <v>1.1054999999999999</v>
      </c>
      <c r="L555">
        <v>283.80349999999999</v>
      </c>
      <c r="M555">
        <v>-0.99924650000000004</v>
      </c>
      <c r="N555">
        <v>0</v>
      </c>
      <c r="O555">
        <v>3.7772979999999998E-2</v>
      </c>
      <c r="P555">
        <v>-0.9952413</v>
      </c>
      <c r="Q555">
        <v>9.7140450000000003E-2</v>
      </c>
      <c r="R555">
        <v>7.675154E-3</v>
      </c>
      <c r="S555">
        <v>-3.0295100000000001</v>
      </c>
      <c r="T555">
        <v>-0.1447251</v>
      </c>
      <c r="U555">
        <v>-8.4320069999999997E-2</v>
      </c>
      <c r="V555">
        <v>-3.0471089999999999E-2</v>
      </c>
      <c r="W555">
        <v>0.1058564</v>
      </c>
      <c r="X555">
        <v>0.99391439999999998</v>
      </c>
      <c r="Y555">
        <v>-6.5444509999999997E-2</v>
      </c>
      <c r="Z555">
        <v>-3.3651000000000002E-3</v>
      </c>
      <c r="AA555">
        <v>0.99785049999999997</v>
      </c>
      <c r="AB555">
        <v>40</v>
      </c>
      <c r="AC555">
        <v>-22.7457999999999</v>
      </c>
      <c r="AD555">
        <v>-1.1054972616609999</v>
      </c>
      <c r="AE555">
        <v>-0.65799999999995795</v>
      </c>
      <c r="AF555">
        <v>-1.51316984875809</v>
      </c>
      <c r="AG555">
        <v>-1.1054972616609999</v>
      </c>
      <c r="AH555">
        <v>22.651248894817499</v>
      </c>
      <c r="AI555">
        <v>92.787907254501604</v>
      </c>
      <c r="AJ555">
        <v>93.821847669266901</v>
      </c>
      <c r="AK555">
        <v>22.7286357637607</v>
      </c>
      <c r="AL555">
        <v>83.923490032383896</v>
      </c>
      <c r="AM555">
        <v>91.756004528694305</v>
      </c>
      <c r="AN555">
        <v>0.99999994963705197</v>
      </c>
    </row>
    <row r="556" spans="1:40" x14ac:dyDescent="0.3">
      <c r="A556" t="str">
        <f>"20200111150253451"</f>
        <v>20200111150253451</v>
      </c>
      <c r="B556" t="str">
        <f>"1578726173447318"</f>
        <v>1578726173447318</v>
      </c>
      <c r="C556" t="s">
        <v>40</v>
      </c>
      <c r="D556">
        <v>6.3953800000000003</v>
      </c>
      <c r="E556">
        <v>0.45876810000000001</v>
      </c>
      <c r="F556" t="s">
        <v>59</v>
      </c>
      <c r="G556">
        <v>-308.31720000000001</v>
      </c>
      <c r="H556" s="1">
        <v>2.62519E-6</v>
      </c>
      <c r="I556">
        <v>283.06150000000002</v>
      </c>
      <c r="J556">
        <v>-313.43459999999999</v>
      </c>
      <c r="K556">
        <v>1.1036490000000001</v>
      </c>
      <c r="L556">
        <v>283.31229999999999</v>
      </c>
      <c r="M556">
        <v>-0.99937509999999996</v>
      </c>
      <c r="N556">
        <v>0</v>
      </c>
      <c r="O556">
        <v>-3.2948749999999999E-2</v>
      </c>
      <c r="P556">
        <v>-0.99451579999999995</v>
      </c>
      <c r="Q556">
        <v>8.8647169999999997E-2</v>
      </c>
      <c r="R556">
        <v>-5.5498890000000002E-2</v>
      </c>
      <c r="S556">
        <v>-3.0290219999999999</v>
      </c>
      <c r="T556">
        <v>-0.14294849999999901</v>
      </c>
      <c r="U556">
        <v>-9.5947270000000001E-2</v>
      </c>
      <c r="V556">
        <v>-2.2694099999999998E-2</v>
      </c>
      <c r="W556">
        <v>0.101385</v>
      </c>
      <c r="X556">
        <v>0.99458840000000004</v>
      </c>
      <c r="Y556">
        <v>1.2540089999999999E-3</v>
      </c>
      <c r="Z556">
        <v>1.5829749999999999E-3</v>
      </c>
      <c r="AA556">
        <v>0.99999800000000005</v>
      </c>
      <c r="AB556">
        <v>43</v>
      </c>
      <c r="AC556">
        <v>5.1173999999999698</v>
      </c>
      <c r="AD556">
        <v>-1.1036463748099901</v>
      </c>
      <c r="AE556">
        <v>-0.25079999999996899</v>
      </c>
      <c r="AF556">
        <v>-0.40069714469129802</v>
      </c>
      <c r="AG556">
        <v>-1.1036463748099901</v>
      </c>
      <c r="AH556">
        <v>-4.8799274843308398</v>
      </c>
      <c r="AI556">
        <v>102.70229494152601</v>
      </c>
      <c r="AJ556">
        <v>-94.694099693484404</v>
      </c>
      <c r="AK556">
        <v>5.0191917451640098</v>
      </c>
      <c r="AL556">
        <v>84.181069564056799</v>
      </c>
      <c r="AM556">
        <v>91.307124194171294</v>
      </c>
      <c r="AN556">
        <v>1.00000001290718</v>
      </c>
    </row>
    <row r="557" spans="1:40" x14ac:dyDescent="0.3">
      <c r="A557" t="str">
        <f>"20200111150253485"</f>
        <v>20200111150253485</v>
      </c>
      <c r="B557" t="str">
        <f>"1578726173477583"</f>
        <v>1578726173477583</v>
      </c>
      <c r="C557" t="s">
        <v>40</v>
      </c>
      <c r="D557">
        <v>7.2296959999999997</v>
      </c>
      <c r="E557">
        <v>0.46138689999999999</v>
      </c>
      <c r="F557" t="s">
        <v>59</v>
      </c>
      <c r="G557">
        <v>-316.61739999999998</v>
      </c>
      <c r="H557" s="1">
        <v>5.3134190000000001E-6</v>
      </c>
      <c r="I557">
        <v>282.7645</v>
      </c>
      <c r="J557">
        <v>-314.10739999999998</v>
      </c>
      <c r="K557">
        <v>1.1036330000000001</v>
      </c>
      <c r="L557">
        <v>283.2901</v>
      </c>
      <c r="M557">
        <v>-0.99937549999999997</v>
      </c>
      <c r="N557">
        <v>0</v>
      </c>
      <c r="O557">
        <v>-3.2949440000000003E-2</v>
      </c>
      <c r="P557">
        <v>-0.99447359999999896</v>
      </c>
      <c r="Q557">
        <v>8.8544559999999994E-2</v>
      </c>
      <c r="R557">
        <v>-5.6412919999999998E-2</v>
      </c>
      <c r="S557">
        <v>-3.0822449999999999</v>
      </c>
      <c r="T557">
        <v>-1.068767</v>
      </c>
      <c r="U557">
        <v>-0.53042599999999995</v>
      </c>
      <c r="V557">
        <v>-2.3608299999999999E-2</v>
      </c>
      <c r="W557">
        <v>0.1012574</v>
      </c>
      <c r="X557">
        <v>0.99458009999999997</v>
      </c>
      <c r="Y557">
        <v>-0.13144639999999999</v>
      </c>
      <c r="Z557">
        <v>-1.097591E-2</v>
      </c>
      <c r="AA557">
        <v>0.99126250000000005</v>
      </c>
      <c r="AB557">
        <v>43</v>
      </c>
      <c r="AC557">
        <v>-2.50999999999999</v>
      </c>
      <c r="AD557">
        <v>-1.103627686581</v>
      </c>
      <c r="AE557">
        <v>-0.52559999999999696</v>
      </c>
      <c r="AF557">
        <v>-0.37344053066102101</v>
      </c>
      <c r="AG557">
        <v>-1.103627686581</v>
      </c>
      <c r="AH557">
        <v>2.1312346772911002</v>
      </c>
      <c r="AI557">
        <v>117.02448500352</v>
      </c>
      <c r="AJ557">
        <v>99.938621378993801</v>
      </c>
      <c r="AK557">
        <v>2.42891192722516</v>
      </c>
      <c r="AL557">
        <v>84.188418214197995</v>
      </c>
      <c r="AM557">
        <v>91.3597718164729</v>
      </c>
      <c r="AN557">
        <v>0.99999999409982998</v>
      </c>
    </row>
    <row r="558" spans="1:40" x14ac:dyDescent="0.3">
      <c r="A558" t="str">
        <f>"20200111150253499"</f>
        <v>20200111150253499</v>
      </c>
      <c r="B558" t="str">
        <f>"1578726173487334"</f>
        <v>1578726173487334</v>
      </c>
      <c r="C558" t="s">
        <v>40</v>
      </c>
      <c r="D558">
        <v>5.5480999999999998</v>
      </c>
      <c r="E558">
        <v>0.46446320000000002</v>
      </c>
      <c r="F558" t="s">
        <v>42</v>
      </c>
      <c r="G558">
        <v>-314.8134</v>
      </c>
      <c r="H558">
        <v>0.86045899999999997</v>
      </c>
      <c r="I558">
        <v>283.17259999999999</v>
      </c>
      <c r="J558">
        <v>-314.35410000000002</v>
      </c>
      <c r="K558">
        <v>1.1036300000000001</v>
      </c>
      <c r="L558">
        <v>283.28199999999998</v>
      </c>
      <c r="M558">
        <v>-0.99937569999999998</v>
      </c>
      <c r="N558">
        <v>0</v>
      </c>
      <c r="O558">
        <v>-3.2949579999999999E-2</v>
      </c>
      <c r="P558">
        <v>-0.99444350000000004</v>
      </c>
      <c r="Q558">
        <v>8.8710200000000003E-2</v>
      </c>
      <c r="R558">
        <v>-5.668347E-2</v>
      </c>
      <c r="S558">
        <v>-3.0820919999999998</v>
      </c>
      <c r="T558">
        <v>-1.0616190000000001</v>
      </c>
      <c r="U558">
        <v>-0.51309199999999999</v>
      </c>
      <c r="V558">
        <v>-2.387968E-2</v>
      </c>
      <c r="W558">
        <v>0.1014082</v>
      </c>
      <c r="X558">
        <v>0.99455830000000001</v>
      </c>
      <c r="Y558">
        <v>-0.1263823</v>
      </c>
      <c r="Z558">
        <v>-1.006895E-2</v>
      </c>
      <c r="AA558">
        <v>0.99193050000000005</v>
      </c>
      <c r="AB558">
        <v>43</v>
      </c>
      <c r="AC558">
        <v>-0.459299999999984</v>
      </c>
      <c r="AD558">
        <v>-0.243170999999999</v>
      </c>
      <c r="AE558">
        <v>-0.109399999999993</v>
      </c>
      <c r="AF558">
        <v>-7.4455779653597495E-2</v>
      </c>
      <c r="AG558">
        <v>-0.243170999999999</v>
      </c>
      <c r="AH558">
        <v>0.36566163237904298</v>
      </c>
      <c r="AI558">
        <v>123.090066300182</v>
      </c>
      <c r="AJ558">
        <v>101.509189917667</v>
      </c>
      <c r="AK558">
        <v>0.44540344381126101</v>
      </c>
      <c r="AL558">
        <v>84.179733557012199</v>
      </c>
      <c r="AM558">
        <v>91.375426708874201</v>
      </c>
      <c r="AN558">
        <v>1.0000000371215101</v>
      </c>
    </row>
    <row r="559" spans="1:40" x14ac:dyDescent="0.3">
      <c r="A559" t="str">
        <f>"20200111150253512"</f>
        <v>20200111150253512</v>
      </c>
      <c r="B559" t="str">
        <f>"1578726173506854"</f>
        <v>1578726173506854</v>
      </c>
      <c r="C559" t="s">
        <v>40</v>
      </c>
      <c r="D559">
        <v>5.1668010000000004</v>
      </c>
      <c r="E559">
        <v>0.4825023</v>
      </c>
      <c r="F559" t="s">
        <v>59</v>
      </c>
      <c r="G559">
        <v>-317.65600000000001</v>
      </c>
      <c r="H559" s="1">
        <v>5.7745880000000003E-6</v>
      </c>
      <c r="I559">
        <v>282.75760000000002</v>
      </c>
      <c r="J559">
        <v>-314.61619999999999</v>
      </c>
      <c r="K559">
        <v>1.1036269999999999</v>
      </c>
      <c r="L559">
        <v>283.27339999999998</v>
      </c>
      <c r="M559">
        <v>-0.99937589999999998</v>
      </c>
      <c r="N559">
        <v>0</v>
      </c>
      <c r="O559">
        <v>-3.2949590000000001E-2</v>
      </c>
      <c r="P559">
        <v>-0.99440430000000002</v>
      </c>
      <c r="Q559">
        <v>8.9131589999999997E-2</v>
      </c>
      <c r="R559">
        <v>-5.6707750000000001E-2</v>
      </c>
      <c r="S559">
        <v>-3.0807190000000002</v>
      </c>
      <c r="T559">
        <v>-1.0296959999999999</v>
      </c>
      <c r="U559">
        <v>-0.48925780000000002</v>
      </c>
      <c r="V559">
        <v>-2.3905240000000001E-2</v>
      </c>
      <c r="W559">
        <v>0.1018114</v>
      </c>
      <c r="X559">
        <v>0.99451639999999997</v>
      </c>
      <c r="Y559">
        <v>-0.1196232</v>
      </c>
      <c r="Z559">
        <v>-8.6977280000000001E-3</v>
      </c>
      <c r="AA559">
        <v>0.99278129999999998</v>
      </c>
      <c r="AB559">
        <v>43</v>
      </c>
      <c r="AC559">
        <v>-3.0398000000000098</v>
      </c>
      <c r="AD559">
        <v>-1.1036212254119999</v>
      </c>
      <c r="AE559">
        <v>-0.51579999999995596</v>
      </c>
      <c r="AF559">
        <v>-0.36817980099963299</v>
      </c>
      <c r="AG559">
        <v>-1.1036212254119999</v>
      </c>
      <c r="AH559">
        <v>2.7081706905421701</v>
      </c>
      <c r="AI559">
        <v>111.98889501548599</v>
      </c>
      <c r="AJ559">
        <v>97.741980763385499</v>
      </c>
      <c r="AK559">
        <v>2.9474946419214501</v>
      </c>
      <c r="AL559">
        <v>84.156511175139798</v>
      </c>
      <c r="AM559">
        <v>91.376956340370498</v>
      </c>
      <c r="AN559">
        <v>0.99999994576918705</v>
      </c>
    </row>
    <row r="560" spans="1:40" x14ac:dyDescent="0.3">
      <c r="A560" t="str">
        <f>"20200111150255248"</f>
        <v>20200111150255248</v>
      </c>
      <c r="B560" t="str">
        <f>"1578726175237273"</f>
        <v>1578726175237273</v>
      </c>
      <c r="C560" t="s">
        <v>40</v>
      </c>
      <c r="D560">
        <v>6.3770389999999999</v>
      </c>
      <c r="E560">
        <v>0.46213969999999999</v>
      </c>
      <c r="F560" t="s">
        <v>61</v>
      </c>
      <c r="G560">
        <v>-440.28820000000002</v>
      </c>
      <c r="H560">
        <v>3.4213399999999998</v>
      </c>
      <c r="I560">
        <v>270.46339999999998</v>
      </c>
      <c r="J560">
        <v>-347.89010000000002</v>
      </c>
      <c r="K560">
        <v>1.1023860000000001</v>
      </c>
      <c r="L560">
        <v>282.54880000000003</v>
      </c>
      <c r="M560">
        <v>-0.99987199999999998</v>
      </c>
      <c r="N560">
        <v>0</v>
      </c>
      <c r="O560">
        <v>1.044425E-2</v>
      </c>
      <c r="P560">
        <v>-0.99565919999999997</v>
      </c>
      <c r="Q560">
        <v>9.2757820000000005E-2</v>
      </c>
      <c r="R560">
        <v>-7.6809280000000001E-3</v>
      </c>
      <c r="S560">
        <v>-3.0023499999999999</v>
      </c>
      <c r="T560">
        <v>7.4850920000000001E-2</v>
      </c>
      <c r="U560">
        <v>-0.38986209999999999</v>
      </c>
      <c r="V560">
        <v>-1.7753209999999998E-2</v>
      </c>
      <c r="W560">
        <v>0.1048791</v>
      </c>
      <c r="X560">
        <v>0.9943265</v>
      </c>
      <c r="Y560">
        <v>-0.13907649999999999</v>
      </c>
      <c r="Z560">
        <v>1.9854460000000001E-3</v>
      </c>
      <c r="AA560">
        <v>0.99027969999999998</v>
      </c>
      <c r="AB560">
        <v>43</v>
      </c>
      <c r="AC560">
        <v>-92.398099999999999</v>
      </c>
      <c r="AD560">
        <v>2.3189540000000002</v>
      </c>
      <c r="AE560">
        <v>-12.0854</v>
      </c>
      <c r="AF560">
        <v>-13.0417638988243</v>
      </c>
      <c r="AG560">
        <v>2.3189540000000002</v>
      </c>
      <c r="AH560">
        <v>92.209723231033493</v>
      </c>
      <c r="AI560">
        <v>88.573580231043906</v>
      </c>
      <c r="AJ560">
        <v>98.050283142008993</v>
      </c>
      <c r="AK560">
        <v>93.156310637501093</v>
      </c>
      <c r="AL560">
        <v>83.979798930871695</v>
      </c>
      <c r="AM560">
        <v>91.022879244734796</v>
      </c>
      <c r="AN560">
        <v>0.99999999534218198</v>
      </c>
    </row>
    <row r="561" spans="1:40" x14ac:dyDescent="0.3">
      <c r="A561" t="str">
        <f>"20200111150255316"</f>
        <v>20200111150255316</v>
      </c>
      <c r="B561" t="str">
        <f>"1578726175307544"</f>
        <v>1578726175307544</v>
      </c>
      <c r="C561" t="s">
        <v>40</v>
      </c>
      <c r="D561">
        <v>5.1255420000000003</v>
      </c>
      <c r="E561">
        <v>0.47431430000000002</v>
      </c>
      <c r="F561" t="s">
        <v>56</v>
      </c>
      <c r="G561">
        <v>-374.69279999999998</v>
      </c>
      <c r="H561">
        <v>7.9945699999999995E-2</v>
      </c>
      <c r="I561">
        <v>279.58640000000003</v>
      </c>
      <c r="J561">
        <v>-349.18549999999999</v>
      </c>
      <c r="K561">
        <v>1.1024369999999999</v>
      </c>
      <c r="L561">
        <v>282.56619999999998</v>
      </c>
      <c r="M561">
        <v>-0.99983520000000004</v>
      </c>
      <c r="N561">
        <v>0</v>
      </c>
      <c r="O561">
        <v>1.3527829999999999E-2</v>
      </c>
      <c r="P561">
        <v>-0.99547640000000004</v>
      </c>
      <c r="Q561">
        <v>9.4783870000000006E-2</v>
      </c>
      <c r="R561">
        <v>-6.5457049999999998E-3</v>
      </c>
      <c r="S561">
        <v>-3.0212400000000001</v>
      </c>
      <c r="T561">
        <v>-0.1152508</v>
      </c>
      <c r="U561">
        <v>-0.33392329999999998</v>
      </c>
      <c r="V561">
        <v>-1.9691440000000001E-2</v>
      </c>
      <c r="W561">
        <v>0.106895699999999</v>
      </c>
      <c r="X561">
        <v>0.99407520000000005</v>
      </c>
      <c r="Y561">
        <v>-0.123194899999999</v>
      </c>
      <c r="Z561">
        <v>-2.856188E-3</v>
      </c>
      <c r="AA561">
        <v>0.99237839999999999</v>
      </c>
      <c r="AB561">
        <v>43</v>
      </c>
      <c r="AC561">
        <v>-25.507299999999901</v>
      </c>
      <c r="AD561">
        <v>-1.0224913</v>
      </c>
      <c r="AE561">
        <v>-2.9797999999999498</v>
      </c>
      <c r="AF561">
        <v>-3.3193489348637999</v>
      </c>
      <c r="AG561">
        <v>-1.0224913</v>
      </c>
      <c r="AH561">
        <v>25.424347950716601</v>
      </c>
      <c r="AI561">
        <v>92.283664011540196</v>
      </c>
      <c r="AJ561">
        <v>97.438342761050393</v>
      </c>
      <c r="AK561">
        <v>25.6604956017819</v>
      </c>
      <c r="AL561">
        <v>83.863602866739001</v>
      </c>
      <c r="AM561">
        <v>91.134812406749404</v>
      </c>
      <c r="AN561">
        <v>0.99999997337140101</v>
      </c>
    </row>
    <row r="562" spans="1:40" x14ac:dyDescent="0.3">
      <c r="A562" t="str">
        <f>"20200111150255329"</f>
        <v>20200111150255329</v>
      </c>
      <c r="B562" t="str">
        <f>"1578726175327064"</f>
        <v>1578726175327064</v>
      </c>
      <c r="C562" t="s">
        <v>40</v>
      </c>
      <c r="D562">
        <v>6.3988680000000002</v>
      </c>
      <c r="E562">
        <v>0.46478229999999998</v>
      </c>
      <c r="F562" t="s">
        <v>56</v>
      </c>
      <c r="G562">
        <v>-352.1934</v>
      </c>
      <c r="H562" s="1">
        <v>-3.6959579999999898E-7</v>
      </c>
      <c r="I562">
        <v>282.31479999999999</v>
      </c>
      <c r="J562">
        <v>-349.44199999999898</v>
      </c>
      <c r="K562">
        <v>1.1024449999999999</v>
      </c>
      <c r="L562">
        <v>282.57010000000002</v>
      </c>
      <c r="M562">
        <v>-0.99982669999999996</v>
      </c>
      <c r="N562">
        <v>0</v>
      </c>
      <c r="O562">
        <v>1.413064E-2</v>
      </c>
      <c r="P562">
        <v>-0.99545660000000002</v>
      </c>
      <c r="Q562">
        <v>9.5028500000000002E-2</v>
      </c>
      <c r="R562">
        <v>-5.9902059999999997E-3</v>
      </c>
      <c r="S562">
        <v>-3.120819</v>
      </c>
      <c r="T562">
        <v>-1.143859</v>
      </c>
      <c r="U562">
        <v>-0.2608337</v>
      </c>
      <c r="V562">
        <v>-1.9736900000000002E-2</v>
      </c>
      <c r="W562">
        <v>0.10713789999999999</v>
      </c>
      <c r="X562">
        <v>0.99404820000000005</v>
      </c>
      <c r="Y562">
        <v>-9.0593469999999995E-2</v>
      </c>
      <c r="Z562">
        <v>-2.106301E-2</v>
      </c>
      <c r="AA562">
        <v>0.99566520000000003</v>
      </c>
      <c r="AB562">
        <v>43</v>
      </c>
      <c r="AC562">
        <v>-2.7514000000000398</v>
      </c>
      <c r="AD562">
        <v>-1.1024453695958001</v>
      </c>
      <c r="AE562">
        <v>-0.255300000000033</v>
      </c>
      <c r="AF562">
        <v>-0.25376289329924201</v>
      </c>
      <c r="AG562">
        <v>-1.1024453695958001</v>
      </c>
      <c r="AH562">
        <v>2.3702287674896998</v>
      </c>
      <c r="AI562">
        <v>114.819546279173</v>
      </c>
      <c r="AJ562">
        <v>96.110958249333905</v>
      </c>
      <c r="AK562">
        <v>2.6263598019301502</v>
      </c>
      <c r="AL562">
        <v>83.849645527225604</v>
      </c>
      <c r="AM562">
        <v>91.137462453299605</v>
      </c>
      <c r="AN562">
        <v>0.99999994938062797</v>
      </c>
    </row>
    <row r="563" spans="1:40" x14ac:dyDescent="0.3">
      <c r="A563" t="str">
        <f>"20200111150255342"</f>
        <v>20200111150255342</v>
      </c>
      <c r="B563" t="str">
        <f>"1578726175336825"</f>
        <v>1578726175336825</v>
      </c>
      <c r="C563" t="s">
        <v>40</v>
      </c>
      <c r="D563">
        <v>8.5261479999999992</v>
      </c>
      <c r="E563">
        <v>0.46267819999999998</v>
      </c>
      <c r="F563" t="s">
        <v>56</v>
      </c>
      <c r="G563">
        <v>-352.7903</v>
      </c>
      <c r="H563" s="1">
        <v>-5.1948060000000002E-8</v>
      </c>
      <c r="I563">
        <v>282.21249999999998</v>
      </c>
      <c r="J563">
        <v>-349.71370000000002</v>
      </c>
      <c r="K563">
        <v>1.102452</v>
      </c>
      <c r="L563">
        <v>282.5745</v>
      </c>
      <c r="M563">
        <v>-0.99981779999999998</v>
      </c>
      <c r="N563">
        <v>0</v>
      </c>
      <c r="O563">
        <v>1.4766710000000001E-2</v>
      </c>
      <c r="P563">
        <v>-0.99544670000000002</v>
      </c>
      <c r="Q563">
        <v>9.5155539999999997E-2</v>
      </c>
      <c r="R563">
        <v>-5.6213490000000003E-3</v>
      </c>
      <c r="S563">
        <v>-3.1094360000000001</v>
      </c>
      <c r="T563">
        <v>-1.023795</v>
      </c>
      <c r="U563">
        <v>-0.33209229999999901</v>
      </c>
      <c r="V563">
        <v>-2.000207E-2</v>
      </c>
      <c r="W563">
        <v>0.1072641</v>
      </c>
      <c r="X563">
        <v>0.9940293</v>
      </c>
      <c r="Y563">
        <v>-0.1141351</v>
      </c>
      <c r="Z563">
        <v>-2.298389E-2</v>
      </c>
      <c r="AA563">
        <v>0.99319930000000001</v>
      </c>
      <c r="AB563">
        <v>43</v>
      </c>
      <c r="AC563">
        <v>-3.07659999999998</v>
      </c>
      <c r="AD563">
        <v>-1.1024520519480601</v>
      </c>
      <c r="AE563">
        <v>-0.36200000000002303</v>
      </c>
      <c r="AF563">
        <v>-0.36159856192912598</v>
      </c>
      <c r="AG563">
        <v>-1.1024520519480601</v>
      </c>
      <c r="AH563">
        <v>2.7257070903850402</v>
      </c>
      <c r="AI563">
        <v>111.848404502356</v>
      </c>
      <c r="AJ563">
        <v>97.556864042378294</v>
      </c>
      <c r="AK563">
        <v>2.9623695227653499</v>
      </c>
      <c r="AL563">
        <v>83.842372953155802</v>
      </c>
      <c r="AM563">
        <v>91.152762350512404</v>
      </c>
      <c r="AN563">
        <v>0.99999995960579102</v>
      </c>
    </row>
    <row r="564" spans="1:40" x14ac:dyDescent="0.3">
      <c r="A564" t="str">
        <f>"20200111150255355"</f>
        <v>20200111150255355</v>
      </c>
      <c r="B564" t="str">
        <f>"1578726175347562"</f>
        <v>1578726175347562</v>
      </c>
      <c r="C564" t="s">
        <v>40</v>
      </c>
      <c r="D564">
        <v>7.7605539999999902</v>
      </c>
      <c r="E564">
        <v>0.46483390000000002</v>
      </c>
      <c r="F564" t="s">
        <v>42</v>
      </c>
      <c r="G564">
        <v>-350.46940000000001</v>
      </c>
      <c r="H564">
        <v>0.85743250000000004</v>
      </c>
      <c r="I564">
        <v>282.49040000000002</v>
      </c>
      <c r="J564">
        <v>-349.9425</v>
      </c>
      <c r="K564">
        <v>1.1024590000000001</v>
      </c>
      <c r="L564">
        <v>282.57819999999998</v>
      </c>
      <c r="M564">
        <v>-0.99980959999999997</v>
      </c>
      <c r="N564">
        <v>0</v>
      </c>
      <c r="O564">
        <v>1.530165E-2</v>
      </c>
      <c r="P564">
        <v>-0.99543009999999998</v>
      </c>
      <c r="Q564">
        <v>9.5354629999999996E-2</v>
      </c>
      <c r="R564">
        <v>-5.1331049999999998E-3</v>
      </c>
      <c r="S564">
        <v>-3.108063</v>
      </c>
      <c r="T564">
        <v>-1.00763</v>
      </c>
      <c r="U564">
        <v>-0.34671020000000002</v>
      </c>
      <c r="V564">
        <v>-2.0047140000000001E-2</v>
      </c>
      <c r="W564">
        <v>0.10746169999999999</v>
      </c>
      <c r="X564">
        <v>0.99400710000000003</v>
      </c>
      <c r="Y564">
        <v>-0.1192452</v>
      </c>
      <c r="Z564">
        <v>-2.361684E-2</v>
      </c>
      <c r="AA564">
        <v>0.99258389999999996</v>
      </c>
      <c r="AB564">
        <v>43</v>
      </c>
      <c r="AC564">
        <v>-0.52690000000001103</v>
      </c>
      <c r="AD564">
        <v>-0.24502650000000001</v>
      </c>
      <c r="AE564">
        <v>-8.77999999999588E-2</v>
      </c>
      <c r="AF564">
        <v>-7.9190043697419402E-2</v>
      </c>
      <c r="AG564">
        <v>-0.24502650000000001</v>
      </c>
      <c r="AH564">
        <v>0.43414455993164103</v>
      </c>
      <c r="AI564">
        <v>119.04026687930499</v>
      </c>
      <c r="AJ564">
        <v>100.337377296059</v>
      </c>
      <c r="AK564">
        <v>0.50476781557592199</v>
      </c>
      <c r="AL564">
        <v>83.830985796905395</v>
      </c>
      <c r="AM564">
        <v>91.155384924969795</v>
      </c>
      <c r="AN564">
        <v>1.0000000098197399</v>
      </c>
    </row>
    <row r="565" spans="1:40" x14ac:dyDescent="0.3">
      <c r="A565" t="str">
        <f>"20200111150255499"</f>
        <v>20200111150255499</v>
      </c>
      <c r="B565" t="str">
        <f>"1578726175496890"</f>
        <v>1578726175496890</v>
      </c>
      <c r="C565" t="s">
        <v>40</v>
      </c>
      <c r="D565">
        <v>5.5530780000000002</v>
      </c>
      <c r="E565">
        <v>0.46920780000000001</v>
      </c>
      <c r="F565" t="s">
        <v>56</v>
      </c>
      <c r="G565">
        <v>-353.38690000000003</v>
      </c>
      <c r="H565" s="1">
        <v>2.6556509999999997E-7</v>
      </c>
      <c r="I565">
        <v>282.21550000000002</v>
      </c>
      <c r="J565">
        <v>-352.72149999999999</v>
      </c>
      <c r="K565">
        <v>1.1024799999999999</v>
      </c>
      <c r="L565">
        <v>282.63369999999998</v>
      </c>
      <c r="M565">
        <v>-0.99968970000000001</v>
      </c>
      <c r="N565">
        <v>0</v>
      </c>
      <c r="O565">
        <v>2.1766270000000001E-2</v>
      </c>
      <c r="P565">
        <v>-0.99549310000000002</v>
      </c>
      <c r="Q565">
        <v>9.4816170000000005E-2</v>
      </c>
      <c r="R565">
        <v>1.869023E-3</v>
      </c>
      <c r="S565">
        <v>-3.107361</v>
      </c>
      <c r="T565">
        <v>-0.99458349999999995</v>
      </c>
      <c r="U565">
        <v>-0.32730100000000001</v>
      </c>
      <c r="V565">
        <v>-1.9492789999999999E-2</v>
      </c>
      <c r="W565">
        <v>0.1069161</v>
      </c>
      <c r="X565">
        <v>0.99407699999999999</v>
      </c>
      <c r="Y565">
        <v>-0.119391899999999</v>
      </c>
      <c r="Z565">
        <v>-2.537499E-2</v>
      </c>
      <c r="AA565">
        <v>0.99252289999999999</v>
      </c>
      <c r="AB565">
        <v>43</v>
      </c>
      <c r="AC565">
        <v>-0.66540000000003297</v>
      </c>
      <c r="AD565">
        <v>-1.10247973443489</v>
      </c>
      <c r="AE565">
        <v>-0.418199999999956</v>
      </c>
      <c r="AF565">
        <v>-0.14575535065676201</v>
      </c>
      <c r="AG565">
        <v>-1.10247973443489</v>
      </c>
      <c r="AH565">
        <v>0.221079596510036</v>
      </c>
      <c r="AI565">
        <v>166.494036007555</v>
      </c>
      <c r="AJ565">
        <v>123.396426231782</v>
      </c>
      <c r="AK565">
        <v>1.1338352504124001</v>
      </c>
      <c r="AL565">
        <v>83.862427777847898</v>
      </c>
      <c r="AM565">
        <v>91.1233651755267</v>
      </c>
      <c r="AN565">
        <v>1.00000005161509</v>
      </c>
    </row>
    <row r="566" spans="1:40" x14ac:dyDescent="0.3">
      <c r="A566" t="str">
        <f>"20200111150255512"</f>
        <v>20200111150255512</v>
      </c>
      <c r="B566" t="str">
        <f>"1578726175507624"</f>
        <v>1578726175507624</v>
      </c>
      <c r="C566" t="s">
        <v>40</v>
      </c>
      <c r="D566">
        <v>5.1214550000000001</v>
      </c>
      <c r="E566">
        <v>0.46895969999999998</v>
      </c>
      <c r="F566" t="s">
        <v>42</v>
      </c>
      <c r="G566">
        <v>-353.54079999999999</v>
      </c>
      <c r="H566">
        <v>0.83399419999999902</v>
      </c>
      <c r="I566">
        <v>282.56189999999998</v>
      </c>
      <c r="J566">
        <v>-352.9821</v>
      </c>
      <c r="K566">
        <v>1.102481</v>
      </c>
      <c r="L566">
        <v>282.63979999999998</v>
      </c>
      <c r="M566">
        <v>-0.99967660000000003</v>
      </c>
      <c r="N566">
        <v>0</v>
      </c>
      <c r="O566">
        <v>2.2371100000000001E-2</v>
      </c>
      <c r="P566">
        <v>-0.9954906</v>
      </c>
      <c r="Q566">
        <v>9.4817150000000003E-2</v>
      </c>
      <c r="R566">
        <v>2.890063E-3</v>
      </c>
      <c r="S566">
        <v>-3.1112060000000001</v>
      </c>
      <c r="T566">
        <v>-1.019482</v>
      </c>
      <c r="U566">
        <v>-0.27374270000000001</v>
      </c>
      <c r="V566">
        <v>-1.90747E-2</v>
      </c>
      <c r="W566">
        <v>0.1069161</v>
      </c>
      <c r="X566">
        <v>0.99408510000000005</v>
      </c>
      <c r="Y566">
        <v>-0.1033791</v>
      </c>
      <c r="Z566">
        <v>-2.3609120000000001E-2</v>
      </c>
      <c r="AA566">
        <v>0.99436179999999996</v>
      </c>
      <c r="AB566">
        <v>43</v>
      </c>
      <c r="AC566">
        <v>-0.55869999999998698</v>
      </c>
      <c r="AD566">
        <v>-0.26848680000000003</v>
      </c>
      <c r="AE566">
        <v>-7.7899999999999595E-2</v>
      </c>
      <c r="AF566">
        <v>-7.3687656137663204E-2</v>
      </c>
      <c r="AG566">
        <v>-0.26848680000000003</v>
      </c>
      <c r="AH566">
        <v>0.45397760111619101</v>
      </c>
      <c r="AI566">
        <v>120.275087370828</v>
      </c>
      <c r="AJ566">
        <v>99.219593574151205</v>
      </c>
      <c r="AK566">
        <v>0.53255111938340105</v>
      </c>
      <c r="AL566">
        <v>83.8624277144838</v>
      </c>
      <c r="AM566">
        <v>91.099267763540993</v>
      </c>
      <c r="AN566">
        <v>1.00000004133065</v>
      </c>
    </row>
    <row r="567" spans="1:40" x14ac:dyDescent="0.3">
      <c r="A567" t="str">
        <f>"20200111150255538"</f>
        <v>20200111150255538</v>
      </c>
      <c r="B567" t="str">
        <f>"1578726175527144"</f>
        <v>1578726175527144</v>
      </c>
      <c r="C567" t="s">
        <v>40</v>
      </c>
      <c r="D567">
        <v>5.1333479999999998</v>
      </c>
      <c r="E567">
        <v>0.45356770000000002</v>
      </c>
      <c r="F567" t="s">
        <v>56</v>
      </c>
      <c r="G567">
        <v>-356.44959999999998</v>
      </c>
      <c r="H567" s="1">
        <v>1.8953549999999999E-6</v>
      </c>
      <c r="I567">
        <v>282.33730000000003</v>
      </c>
      <c r="J567">
        <v>-353.48050000000001</v>
      </c>
      <c r="K567">
        <v>1.102482</v>
      </c>
      <c r="L567">
        <v>282.65199999999999</v>
      </c>
      <c r="M567">
        <v>-0.99964989999999998</v>
      </c>
      <c r="N567">
        <v>0</v>
      </c>
      <c r="O567">
        <v>2.3528980000000001E-2</v>
      </c>
      <c r="P567">
        <v>-0.99547330000000001</v>
      </c>
      <c r="Q567">
        <v>9.5007560000000005E-2</v>
      </c>
      <c r="R567">
        <v>2.596526E-3</v>
      </c>
      <c r="S567">
        <v>-3.1085509999999998</v>
      </c>
      <c r="T567">
        <v>-0.98834619999999995</v>
      </c>
      <c r="U567">
        <v>-0.2712097</v>
      </c>
      <c r="V567">
        <v>-2.0520480000000001E-2</v>
      </c>
      <c r="W567">
        <v>0.10711</v>
      </c>
      <c r="X567">
        <v>0.99403540000000001</v>
      </c>
      <c r="Y567">
        <v>-0.1040822</v>
      </c>
      <c r="Z567">
        <v>-2.340923E-2</v>
      </c>
      <c r="AA567">
        <v>0.99429319999999999</v>
      </c>
      <c r="AB567">
        <v>43</v>
      </c>
      <c r="AC567">
        <v>-2.9690999999999601</v>
      </c>
      <c r="AD567">
        <v>-1.1024801046449999</v>
      </c>
      <c r="AE567">
        <v>-0.31469999999995901</v>
      </c>
      <c r="AF567">
        <v>-0.33834599611314098</v>
      </c>
      <c r="AG567">
        <v>-1.1024801046449999</v>
      </c>
      <c r="AH567">
        <v>2.60561014581836</v>
      </c>
      <c r="AI567">
        <v>112.76268042694799</v>
      </c>
      <c r="AJ567">
        <v>97.398623020191096</v>
      </c>
      <c r="AK567">
        <v>2.8494112771264501</v>
      </c>
      <c r="AL567">
        <v>83.851253701398207</v>
      </c>
      <c r="AM567">
        <v>91.182623801376394</v>
      </c>
      <c r="AN567">
        <v>1.00000000932629</v>
      </c>
    </row>
    <row r="568" spans="1:40" x14ac:dyDescent="0.3">
      <c r="A568" t="str">
        <f>"20200111150255561"</f>
        <v>20200111150255561</v>
      </c>
      <c r="B568" t="str">
        <f>"1578726175557401"</f>
        <v>1578726175557401</v>
      </c>
      <c r="C568" t="s">
        <v>40</v>
      </c>
      <c r="D568">
        <v>5.9277800000000003</v>
      </c>
      <c r="E568">
        <v>0.45447460000000001</v>
      </c>
      <c r="F568" t="s">
        <v>56</v>
      </c>
      <c r="G568">
        <v>-364.6275</v>
      </c>
      <c r="H568" s="1">
        <v>9.2572290000000004E-7</v>
      </c>
      <c r="I568">
        <v>281.26940000000002</v>
      </c>
      <c r="J568">
        <v>-353.91359999999997</v>
      </c>
      <c r="K568">
        <v>1.102482</v>
      </c>
      <c r="L568">
        <v>282.66309999999999</v>
      </c>
      <c r="M568">
        <v>-0.99962580000000001</v>
      </c>
      <c r="N568">
        <v>0</v>
      </c>
      <c r="O568">
        <v>2.4534400000000001E-2</v>
      </c>
      <c r="P568">
        <v>-0.99544480000000002</v>
      </c>
      <c r="Q568">
        <v>9.5303219999999994E-2</v>
      </c>
      <c r="R568">
        <v>2.6649970000000001E-3</v>
      </c>
      <c r="S568">
        <v>-3.043396</v>
      </c>
      <c r="T568">
        <v>-0.30100490000000002</v>
      </c>
      <c r="U568">
        <v>-0.37747190000000003</v>
      </c>
      <c r="V568">
        <v>-2.1452120000000002E-2</v>
      </c>
      <c r="W568">
        <v>0.10740769999999999</v>
      </c>
      <c r="X568">
        <v>0.99398359999999997</v>
      </c>
      <c r="Y568">
        <v>-0.1465764</v>
      </c>
      <c r="Z568">
        <v>-9.6158660000000007E-3</v>
      </c>
      <c r="AA568">
        <v>0.98915260000000005</v>
      </c>
      <c r="AB568">
        <v>43</v>
      </c>
      <c r="AC568">
        <v>-10.713900000000001</v>
      </c>
      <c r="AD568">
        <v>-1.1024810742771001</v>
      </c>
      <c r="AE568">
        <v>-1.39369999999996</v>
      </c>
      <c r="AF568">
        <v>-1.63909153630562</v>
      </c>
      <c r="AG568">
        <v>-1.1024810742771001</v>
      </c>
      <c r="AH568">
        <v>10.5664540368684</v>
      </c>
      <c r="AI568">
        <v>95.886664714396503</v>
      </c>
      <c r="AJ568">
        <v>98.817569819936296</v>
      </c>
      <c r="AK568">
        <v>10.749513314414701</v>
      </c>
      <c r="AL568">
        <v>83.834097733956696</v>
      </c>
      <c r="AM568">
        <v>91.2363636159306</v>
      </c>
      <c r="AN568">
        <v>1.0000000022703699</v>
      </c>
    </row>
    <row r="569" spans="1:40" x14ac:dyDescent="0.3">
      <c r="A569" t="str">
        <f>"20200111150255584"</f>
        <v>20200111150255584</v>
      </c>
      <c r="B569" t="str">
        <f>"1578726175576924"</f>
        <v>1578726175576924</v>
      </c>
      <c r="C569" t="s">
        <v>40</v>
      </c>
      <c r="D569">
        <v>5.4563759999999997</v>
      </c>
      <c r="E569">
        <v>0.45702579999999998</v>
      </c>
      <c r="F569" t="s">
        <v>56</v>
      </c>
      <c r="G569">
        <v>-379.02330000000001</v>
      </c>
      <c r="H569" s="1">
        <v>3.2649420000000002E-6</v>
      </c>
      <c r="I569">
        <v>279.6318</v>
      </c>
      <c r="J569">
        <v>-354.35849999999999</v>
      </c>
      <c r="K569">
        <v>1.102481</v>
      </c>
      <c r="L569">
        <v>282.6748</v>
      </c>
      <c r="M569">
        <v>-0.99959989999999999</v>
      </c>
      <c r="N569">
        <v>0</v>
      </c>
      <c r="O569">
        <v>2.5566229999999999E-2</v>
      </c>
      <c r="P569">
        <v>-0.99546880000000004</v>
      </c>
      <c r="Q569">
        <v>9.5052449999999997E-2</v>
      </c>
      <c r="R569">
        <v>2.7097050000000002E-3</v>
      </c>
      <c r="S569">
        <v>-3.0274350000000001</v>
      </c>
      <c r="T569">
        <v>-0.1329243</v>
      </c>
      <c r="U569">
        <v>-0.36547849999999998</v>
      </c>
      <c r="V569">
        <v>-2.2435719999999999E-2</v>
      </c>
      <c r="W569">
        <v>0.107160199999999</v>
      </c>
      <c r="X569">
        <v>0.9939886</v>
      </c>
      <c r="Y569">
        <v>-0.14503450000000001</v>
      </c>
      <c r="Z569">
        <v>-4.2893080000000004E-3</v>
      </c>
      <c r="AA569">
        <v>0.98941730000000006</v>
      </c>
      <c r="AB569">
        <v>43</v>
      </c>
      <c r="AC569">
        <v>-24.6648</v>
      </c>
      <c r="AD569">
        <v>-1.102477735058</v>
      </c>
      <c r="AE569">
        <v>-3.0430000000000001</v>
      </c>
      <c r="AF569">
        <v>-3.6654237744134899</v>
      </c>
      <c r="AG569">
        <v>-1.102477735058</v>
      </c>
      <c r="AH569">
        <v>24.530656728573302</v>
      </c>
      <c r="AI569">
        <v>92.545086801780201</v>
      </c>
      <c r="AJ569">
        <v>98.498383745178501</v>
      </c>
      <c r="AK569">
        <v>24.827482919890102</v>
      </c>
      <c r="AL569">
        <v>83.848360766928494</v>
      </c>
      <c r="AM569">
        <v>91.293026731490102</v>
      </c>
      <c r="AN569">
        <v>1.0000000034629499</v>
      </c>
    </row>
    <row r="570" spans="1:40" x14ac:dyDescent="0.3">
      <c r="A570" t="str">
        <f>"20200111150255606"</f>
        <v>20200111150255606</v>
      </c>
      <c r="B570" t="str">
        <f>"1578726175597416"</f>
        <v>1578726175597416</v>
      </c>
      <c r="C570" t="s">
        <v>40</v>
      </c>
      <c r="D570">
        <v>5.494891</v>
      </c>
      <c r="E570">
        <v>0.4570476</v>
      </c>
      <c r="F570" t="s">
        <v>56</v>
      </c>
      <c r="G570">
        <v>-371.54419999999999</v>
      </c>
      <c r="H570" s="1">
        <v>-7.1506950000000005E-7</v>
      </c>
      <c r="I570">
        <v>280.71050000000002</v>
      </c>
      <c r="J570">
        <v>-354.77440000000001</v>
      </c>
      <c r="K570">
        <v>1.102479</v>
      </c>
      <c r="L570">
        <v>282.68619999999999</v>
      </c>
      <c r="M570">
        <v>-0.99957470000000004</v>
      </c>
      <c r="N570">
        <v>0</v>
      </c>
      <c r="O570">
        <v>2.652765E-2</v>
      </c>
      <c r="P570">
        <v>-0.99549929999999998</v>
      </c>
      <c r="Q570">
        <v>9.4719910000000004E-2</v>
      </c>
      <c r="R570">
        <v>3.0781979999999999E-3</v>
      </c>
      <c r="S570">
        <v>-3.0331730000000001</v>
      </c>
      <c r="T570">
        <v>-0.19458210000000001</v>
      </c>
      <c r="U570">
        <v>-0.34667969999999998</v>
      </c>
      <c r="V570">
        <v>-2.302711E-2</v>
      </c>
      <c r="W570">
        <v>0.1068298</v>
      </c>
      <c r="X570">
        <v>0.99401059999999997</v>
      </c>
      <c r="Y570">
        <v>-0.13953750000000001</v>
      </c>
      <c r="Z570">
        <v>-6.1518550000000003E-3</v>
      </c>
      <c r="AA570">
        <v>0.99019769999999896</v>
      </c>
      <c r="AB570">
        <v>43</v>
      </c>
      <c r="AC570">
        <v>-16.769799999999901</v>
      </c>
      <c r="AD570">
        <v>-1.1024797150695</v>
      </c>
      <c r="AE570">
        <v>-1.97569999999996</v>
      </c>
      <c r="AF570">
        <v>-2.409628769852</v>
      </c>
      <c r="AG570">
        <v>-1.1024797150695</v>
      </c>
      <c r="AH570">
        <v>16.6405470086676</v>
      </c>
      <c r="AI570">
        <v>93.751442276030701</v>
      </c>
      <c r="AJ570">
        <v>98.239425297728999</v>
      </c>
      <c r="AK570">
        <v>16.850210001015299</v>
      </c>
      <c r="AL570">
        <v>83.867400343087297</v>
      </c>
      <c r="AM570">
        <v>91.327068624228502</v>
      </c>
      <c r="AN570">
        <v>0.99999996343767505</v>
      </c>
    </row>
    <row r="571" spans="1:40" x14ac:dyDescent="0.3">
      <c r="A571" t="str">
        <f>"20200111150255627"</f>
        <v>20200111150255627</v>
      </c>
      <c r="B571" t="str">
        <f>"1578726175616936"</f>
        <v>1578726175616936</v>
      </c>
      <c r="C571" t="s">
        <v>40</v>
      </c>
      <c r="D571">
        <v>5.6550710000000004</v>
      </c>
      <c r="E571">
        <v>0.45709850000000002</v>
      </c>
      <c r="F571" t="s">
        <v>56</v>
      </c>
      <c r="G571">
        <v>-370.60050000000001</v>
      </c>
      <c r="H571" s="1">
        <v>-1.2172580000000001E-6</v>
      </c>
      <c r="I571">
        <v>280.8836</v>
      </c>
      <c r="J571">
        <v>-355.19199999999898</v>
      </c>
      <c r="K571">
        <v>1.1024879999999999</v>
      </c>
      <c r="L571">
        <v>282.69799999999998</v>
      </c>
      <c r="M571">
        <v>-0.99954889999999996</v>
      </c>
      <c r="N571">
        <v>0</v>
      </c>
      <c r="O571">
        <v>2.7486239999999999E-2</v>
      </c>
      <c r="P571">
        <v>-0.99552669999999999</v>
      </c>
      <c r="Q571">
        <v>9.4397140000000004E-2</v>
      </c>
      <c r="R571">
        <v>4.0225510000000001E-3</v>
      </c>
      <c r="S571">
        <v>-3.0347900000000001</v>
      </c>
      <c r="T571">
        <v>-0.21140999999999999</v>
      </c>
      <c r="U571">
        <v>-0.345672599999999</v>
      </c>
      <c r="V571">
        <v>-2.3040229999999998E-2</v>
      </c>
      <c r="W571">
        <v>0.1065079</v>
      </c>
      <c r="X571">
        <v>0.99404490000000001</v>
      </c>
      <c r="Y571">
        <v>-0.14003929999999901</v>
      </c>
      <c r="Z571">
        <v>-6.7631699999999998E-3</v>
      </c>
      <c r="AA571">
        <v>0.99012290000000003</v>
      </c>
      <c r="AB571">
        <v>43</v>
      </c>
      <c r="AC571">
        <v>-15.4085</v>
      </c>
      <c r="AD571">
        <v>-1.1024892172580001</v>
      </c>
      <c r="AE571">
        <v>-1.81439999999997</v>
      </c>
      <c r="AF571">
        <v>-2.2260268427439698</v>
      </c>
      <c r="AG571">
        <v>-1.1024892172580001</v>
      </c>
      <c r="AH571">
        <v>15.2756685178563</v>
      </c>
      <c r="AI571">
        <v>94.085047075757103</v>
      </c>
      <c r="AJ571">
        <v>98.290993811846803</v>
      </c>
      <c r="AK571">
        <v>15.4763279445162</v>
      </c>
      <c r="AL571">
        <v>83.8859500588934</v>
      </c>
      <c r="AM571">
        <v>91.327778667656702</v>
      </c>
      <c r="AN571">
        <v>1.0000000240884299</v>
      </c>
    </row>
    <row r="572" spans="1:40" x14ac:dyDescent="0.3">
      <c r="A572" t="str">
        <f>"20200111150255651"</f>
        <v>20200111150255651</v>
      </c>
      <c r="B572" t="str">
        <f>"1578726175647193"</f>
        <v>1578726175647193</v>
      </c>
      <c r="C572" t="s">
        <v>40</v>
      </c>
      <c r="D572">
        <v>5.5780279999999998</v>
      </c>
      <c r="E572">
        <v>0.45799430000000002</v>
      </c>
      <c r="F572" t="s">
        <v>56</v>
      </c>
      <c r="G572">
        <v>-368.85860000000002</v>
      </c>
      <c r="H572" s="1">
        <v>3.1773399999999999E-6</v>
      </c>
      <c r="I572">
        <v>281.15460000000002</v>
      </c>
      <c r="J572">
        <v>-355.62959999999998</v>
      </c>
      <c r="K572">
        <v>1.1024940000000001</v>
      </c>
      <c r="L572">
        <v>282.71089999999998</v>
      </c>
      <c r="M572">
        <v>-0.99952129999999995</v>
      </c>
      <c r="N572">
        <v>0</v>
      </c>
      <c r="O572">
        <v>2.8474039999999999E-2</v>
      </c>
      <c r="P572">
        <v>-0.99556820000000001</v>
      </c>
      <c r="Q572">
        <v>9.3919610000000001E-2</v>
      </c>
      <c r="R572">
        <v>4.7984760000000003E-3</v>
      </c>
      <c r="S572">
        <v>-3.038116</v>
      </c>
      <c r="T572">
        <v>-0.2450843</v>
      </c>
      <c r="U572">
        <v>-0.3431091</v>
      </c>
      <c r="V572">
        <v>-2.3253300000000001E-2</v>
      </c>
      <c r="W572">
        <v>0.106031399999999</v>
      </c>
      <c r="X572">
        <v>0.9940909</v>
      </c>
      <c r="Y572">
        <v>-0.13993159999999999</v>
      </c>
      <c r="Z572">
        <v>-7.904098E-3</v>
      </c>
      <c r="AA572">
        <v>0.99012960000000005</v>
      </c>
      <c r="AB572">
        <v>43</v>
      </c>
      <c r="AC572">
        <v>-13.228999999999999</v>
      </c>
      <c r="AD572">
        <v>-1.1024908226600001</v>
      </c>
      <c r="AE572">
        <v>-1.55629999999996</v>
      </c>
      <c r="AF572">
        <v>-1.91923170300347</v>
      </c>
      <c r="AG572">
        <v>-1.1024908226600001</v>
      </c>
      <c r="AH572">
        <v>13.0896463819742</v>
      </c>
      <c r="AI572">
        <v>94.7637459031926</v>
      </c>
      <c r="AJ572">
        <v>98.341392981313206</v>
      </c>
      <c r="AK572">
        <v>13.2754577604312</v>
      </c>
      <c r="AL572">
        <v>83.913407107863605</v>
      </c>
      <c r="AM572">
        <v>91.339991173188807</v>
      </c>
      <c r="AN572">
        <v>1.0000000456048199</v>
      </c>
    </row>
    <row r="573" spans="1:40" x14ac:dyDescent="0.3">
      <c r="A573" t="str">
        <f>"20200111150255673"</f>
        <v>20200111150255673</v>
      </c>
      <c r="B573" t="str">
        <f>"1578726175666712"</f>
        <v>1578726175666712</v>
      </c>
      <c r="C573" t="s">
        <v>40</v>
      </c>
      <c r="D573">
        <v>8.1212059999999902</v>
      </c>
      <c r="E573">
        <v>0.45777620000000002</v>
      </c>
      <c r="F573" t="s">
        <v>56</v>
      </c>
      <c r="G573">
        <v>-369.29390000000001</v>
      </c>
      <c r="H573" s="1">
        <v>3.408944E-6</v>
      </c>
      <c r="I573">
        <v>281.21300000000002</v>
      </c>
      <c r="J573">
        <v>-356.06909999999999</v>
      </c>
      <c r="K573">
        <v>1.102508</v>
      </c>
      <c r="L573">
        <v>282.7242</v>
      </c>
      <c r="M573">
        <v>-0.99949319999999997</v>
      </c>
      <c r="N573">
        <v>0</v>
      </c>
      <c r="O573">
        <v>2.9441479999999999E-2</v>
      </c>
      <c r="P573">
        <v>-0.9956817</v>
      </c>
      <c r="Q573">
        <v>9.2662510000000003E-2</v>
      </c>
      <c r="R573">
        <v>5.6326240000000001E-3</v>
      </c>
      <c r="S573">
        <v>-3.0380859999999998</v>
      </c>
      <c r="T573">
        <v>-0.2451257</v>
      </c>
      <c r="U573">
        <v>-0.33303829999999901</v>
      </c>
      <c r="V573">
        <v>-2.3394370000000001E-2</v>
      </c>
      <c r="W573">
        <v>0.1047752</v>
      </c>
      <c r="X573">
        <v>0.99422069999999996</v>
      </c>
      <c r="Y573">
        <v>-0.13765239999999901</v>
      </c>
      <c r="Z573">
        <v>-7.8931339999999996E-3</v>
      </c>
      <c r="AA573">
        <v>0.99044909999999997</v>
      </c>
      <c r="AB573">
        <v>43</v>
      </c>
      <c r="AC573">
        <v>-13.2248</v>
      </c>
      <c r="AD573">
        <v>-1.1025045910560001</v>
      </c>
      <c r="AE573">
        <v>-1.5112000000000301</v>
      </c>
      <c r="AF573">
        <v>-1.8869855784043399</v>
      </c>
      <c r="AG573">
        <v>-1.1025045910560001</v>
      </c>
      <c r="AH573">
        <v>13.0848042782844</v>
      </c>
      <c r="AI573">
        <v>94.767188238278905</v>
      </c>
      <c r="AJ573">
        <v>98.206161999199296</v>
      </c>
      <c r="AK573">
        <v>13.266059473235201</v>
      </c>
      <c r="AL573">
        <v>83.985784787771195</v>
      </c>
      <c r="AM573">
        <v>91.347941522968497</v>
      </c>
      <c r="AN573">
        <v>0.999999969695613</v>
      </c>
    </row>
    <row r="574" spans="1:40" x14ac:dyDescent="0.3">
      <c r="A574" t="str">
        <f>"20200111150255918"</f>
        <v>20200111150255918</v>
      </c>
      <c r="B574" t="str">
        <f>"1578726175906811"</f>
        <v>1578726175906811</v>
      </c>
      <c r="C574" t="s">
        <v>40</v>
      </c>
      <c r="D574">
        <v>5.6866309999999904</v>
      </c>
      <c r="E574">
        <v>0.45737440000000001</v>
      </c>
      <c r="F574" t="s">
        <v>56</v>
      </c>
      <c r="G574">
        <v>-369.7235</v>
      </c>
      <c r="H574" s="1">
        <v>3.6375669999999998E-6</v>
      </c>
      <c r="I574">
        <v>281.2355</v>
      </c>
      <c r="J574">
        <v>-360.79349999999999</v>
      </c>
      <c r="K574">
        <v>1.103199</v>
      </c>
      <c r="L574">
        <v>282.887</v>
      </c>
      <c r="M574">
        <v>-0.99927200000000005</v>
      </c>
      <c r="N574">
        <v>0</v>
      </c>
      <c r="O574">
        <v>3.6156760000000003E-2</v>
      </c>
      <c r="P574">
        <v>-0.99534109999999998</v>
      </c>
      <c r="Q574">
        <v>9.5761150000000003E-2</v>
      </c>
      <c r="R574">
        <v>1.123116E-2</v>
      </c>
      <c r="S574">
        <v>-3.03775</v>
      </c>
      <c r="T574">
        <v>-0.2452792</v>
      </c>
      <c r="U574">
        <v>-0.33120729999999998</v>
      </c>
      <c r="V574">
        <v>-2.4637180000000002E-2</v>
      </c>
      <c r="W574">
        <v>0.1078988</v>
      </c>
      <c r="X574">
        <v>0.99385650000000003</v>
      </c>
      <c r="Y574">
        <v>-0.1436847</v>
      </c>
      <c r="Z574">
        <v>-8.6816489999999996E-3</v>
      </c>
      <c r="AA574">
        <v>0.98958550000000001</v>
      </c>
      <c r="AB574">
        <v>43</v>
      </c>
      <c r="AC574">
        <v>-8.93</v>
      </c>
      <c r="AD574">
        <v>-1.103195362433</v>
      </c>
      <c r="AE574">
        <v>-1.65149999999999</v>
      </c>
      <c r="AF574">
        <v>-1.94462700799711</v>
      </c>
      <c r="AG574">
        <v>-1.103195362433</v>
      </c>
      <c r="AH574">
        <v>8.7355329832643793</v>
      </c>
      <c r="AI574">
        <v>97.027444937245406</v>
      </c>
      <c r="AJ574">
        <v>102.550041004082</v>
      </c>
      <c r="AK574">
        <v>9.0171032327253204</v>
      </c>
      <c r="AL574">
        <v>83.805794922910906</v>
      </c>
      <c r="AM574">
        <v>91.420041411548993</v>
      </c>
      <c r="AN574">
        <v>0.99999994213601895</v>
      </c>
    </row>
    <row r="575" spans="1:40" x14ac:dyDescent="0.3">
      <c r="A575" t="str">
        <f>"20200111150255940"</f>
        <v>20200111150255940</v>
      </c>
      <c r="B575" t="str">
        <f>"1578726175937065"</f>
        <v>1578726175937065</v>
      </c>
      <c r="C575" t="s">
        <v>40</v>
      </c>
      <c r="D575">
        <v>5.5803089999999997</v>
      </c>
      <c r="E575">
        <v>0.45692490000000002</v>
      </c>
      <c r="F575" t="s">
        <v>56</v>
      </c>
      <c r="G575">
        <v>-375.32170000000002</v>
      </c>
      <c r="H575" s="1">
        <v>1.295149E-6</v>
      </c>
      <c r="I575">
        <v>281.36790000000002</v>
      </c>
      <c r="J575">
        <v>-361.22379999999998</v>
      </c>
      <c r="K575">
        <v>1.103283</v>
      </c>
      <c r="L575">
        <v>282.90269999999998</v>
      </c>
      <c r="M575">
        <v>-0.99926689999999996</v>
      </c>
      <c r="N575">
        <v>0</v>
      </c>
      <c r="O575">
        <v>3.6299560000000002E-2</v>
      </c>
      <c r="P575">
        <v>-0.99526460000000005</v>
      </c>
      <c r="Q575">
        <v>9.6577830000000003E-2</v>
      </c>
      <c r="R575">
        <v>1.1017900000000001E-2</v>
      </c>
      <c r="S575">
        <v>-3.039825</v>
      </c>
      <c r="T575">
        <v>-0.23082920000000001</v>
      </c>
      <c r="U575">
        <v>-0.31784059999999997</v>
      </c>
      <c r="V575">
        <v>-2.5010750000000002E-2</v>
      </c>
      <c r="W575">
        <v>0.1087151</v>
      </c>
      <c r="X575">
        <v>0.99375829999999998</v>
      </c>
      <c r="Y575">
        <v>-0.1395276</v>
      </c>
      <c r="Z575">
        <v>-8.0216279999999994E-3</v>
      </c>
      <c r="AA575">
        <v>0.99018569999999995</v>
      </c>
      <c r="AB575">
        <v>43</v>
      </c>
      <c r="AC575">
        <v>-14.097899999999999</v>
      </c>
      <c r="AD575">
        <v>-1.103281704851</v>
      </c>
      <c r="AE575">
        <v>-1.53479999999996</v>
      </c>
      <c r="AF575">
        <v>-2.0332670942501898</v>
      </c>
      <c r="AG575">
        <v>-1.103281704851</v>
      </c>
      <c r="AH575">
        <v>13.948465319968699</v>
      </c>
      <c r="AI575">
        <v>94.475404751316503</v>
      </c>
      <c r="AJ575">
        <v>98.293588974262505</v>
      </c>
      <c r="AK575">
        <v>14.1389918445124</v>
      </c>
      <c r="AL575">
        <v>83.758748198262595</v>
      </c>
      <c r="AM575">
        <v>91.441706666995501</v>
      </c>
      <c r="AN575">
        <v>1.0000000347012299</v>
      </c>
    </row>
    <row r="576" spans="1:40" x14ac:dyDescent="0.3">
      <c r="A576" t="str">
        <f>"20200111150255963"</f>
        <v>20200111150255963</v>
      </c>
      <c r="B576" t="str">
        <f>"1578726175957561"</f>
        <v>1578726175957561</v>
      </c>
      <c r="C576" t="s">
        <v>40</v>
      </c>
      <c r="D576">
        <v>5.5466730000000002</v>
      </c>
      <c r="E576">
        <v>0.45631179999999899</v>
      </c>
      <c r="F576" t="s">
        <v>56</v>
      </c>
      <c r="G576">
        <v>-377.56779999999998</v>
      </c>
      <c r="H576" s="1">
        <v>2.490441E-6</v>
      </c>
      <c r="I576">
        <v>281.16730000000001</v>
      </c>
      <c r="J576">
        <v>-361.67020000000002</v>
      </c>
      <c r="K576">
        <v>1.103364</v>
      </c>
      <c r="L576">
        <v>282.91899999999998</v>
      </c>
      <c r="M576">
        <v>-0.99926380000000004</v>
      </c>
      <c r="N576">
        <v>0</v>
      </c>
      <c r="O576">
        <v>3.6380660000000002E-2</v>
      </c>
      <c r="P576">
        <v>-0.99522900000000003</v>
      </c>
      <c r="Q576">
        <v>9.6976119999999999E-2</v>
      </c>
      <c r="R576">
        <v>1.0732159999999999E-2</v>
      </c>
      <c r="S576">
        <v>-3.03775</v>
      </c>
      <c r="T576">
        <v>-0.2050582</v>
      </c>
      <c r="U576">
        <v>-0.3225403</v>
      </c>
      <c r="V576">
        <v>-2.539725E-2</v>
      </c>
      <c r="W576">
        <v>0.1091128</v>
      </c>
      <c r="X576">
        <v>0.9937049</v>
      </c>
      <c r="Y576">
        <v>-0.14129369999999999</v>
      </c>
      <c r="Z576">
        <v>-7.1972989999999999E-3</v>
      </c>
      <c r="AA576">
        <v>0.98994150000000003</v>
      </c>
      <c r="AB576">
        <v>43</v>
      </c>
      <c r="AC576">
        <v>-15.897599999999899</v>
      </c>
      <c r="AD576">
        <v>-1.1033615095589999</v>
      </c>
      <c r="AE576">
        <v>-1.75170000000002</v>
      </c>
      <c r="AF576">
        <v>-2.3179169157974702</v>
      </c>
      <c r="AG576">
        <v>-1.1033615095589999</v>
      </c>
      <c r="AH576">
        <v>15.7483922507225</v>
      </c>
      <c r="AI576">
        <v>93.965119366425398</v>
      </c>
      <c r="AJ576">
        <v>98.372926025291804</v>
      </c>
      <c r="AK576">
        <v>15.9562528161198</v>
      </c>
      <c r="AL576">
        <v>83.735825247632505</v>
      </c>
      <c r="AM576">
        <v>91.464054887474703</v>
      </c>
      <c r="AN576">
        <v>1.0000000258577</v>
      </c>
    </row>
    <row r="577" spans="1:40" x14ac:dyDescent="0.3">
      <c r="A577" t="str">
        <f>"20200111150255985"</f>
        <v>20200111150255985</v>
      </c>
      <c r="B577" t="str">
        <f>"1578726175977083"</f>
        <v>1578726175977083</v>
      </c>
      <c r="C577" t="s">
        <v>40</v>
      </c>
      <c r="D577">
        <v>5.6342910000000002</v>
      </c>
      <c r="E577">
        <v>0.45537270000000002</v>
      </c>
      <c r="F577" t="s">
        <v>56</v>
      </c>
      <c r="G577">
        <v>-379.73099999999999</v>
      </c>
      <c r="H577" s="1">
        <v>3.6415409999999999E-6</v>
      </c>
      <c r="I577">
        <v>280.96530000000001</v>
      </c>
      <c r="J577">
        <v>-362.0976</v>
      </c>
      <c r="K577">
        <v>1.103443</v>
      </c>
      <c r="L577">
        <v>282.93470000000002</v>
      </c>
      <c r="M577">
        <v>-0.99926360000000003</v>
      </c>
      <c r="N577">
        <v>0</v>
      </c>
      <c r="O577">
        <v>3.6384979999999997E-2</v>
      </c>
      <c r="P577">
        <v>-0.99520390000000003</v>
      </c>
      <c r="Q577">
        <v>9.7232490000000005E-2</v>
      </c>
      <c r="R577">
        <v>1.0731839999999999E-2</v>
      </c>
      <c r="S577">
        <v>-3.0360109999999998</v>
      </c>
      <c r="T577">
        <v>-0.18547469999999999</v>
      </c>
      <c r="U577">
        <v>-0.32843020000000001</v>
      </c>
      <c r="V577">
        <v>-2.5422119999999999E-2</v>
      </c>
      <c r="W577">
        <v>0.1093678</v>
      </c>
      <c r="X577">
        <v>0.99367620000000001</v>
      </c>
      <c r="Y577">
        <v>-0.1433246</v>
      </c>
      <c r="Z577">
        <v>-6.5763879999999999E-3</v>
      </c>
      <c r="AA577">
        <v>0.98965389999999998</v>
      </c>
      <c r="AB577">
        <v>43</v>
      </c>
      <c r="AC577">
        <v>-17.633399999999899</v>
      </c>
      <c r="AD577">
        <v>-1.1034393584590001</v>
      </c>
      <c r="AE577">
        <v>-1.9694</v>
      </c>
      <c r="AF577">
        <v>-2.5996797675851702</v>
      </c>
      <c r="AG577">
        <v>-1.1034393584590001</v>
      </c>
      <c r="AH577">
        <v>17.482445337894799</v>
      </c>
      <c r="AI577">
        <v>93.5723690732611</v>
      </c>
      <c r="AJ577">
        <v>98.4580349893141</v>
      </c>
      <c r="AK577">
        <v>17.709088296811501</v>
      </c>
      <c r="AL577">
        <v>83.721126666234198</v>
      </c>
      <c r="AM577">
        <v>91.465530232225007</v>
      </c>
      <c r="AN577">
        <v>0.99999999515428695</v>
      </c>
    </row>
    <row r="578" spans="1:40" x14ac:dyDescent="0.3">
      <c r="A578" t="str">
        <f>"20200111150256008"</f>
        <v>20200111150256008</v>
      </c>
      <c r="B578" t="str">
        <f>"1578726175997576"</f>
        <v>1578726175997576</v>
      </c>
      <c r="C578" t="s">
        <v>40</v>
      </c>
      <c r="D578">
        <v>5.629327</v>
      </c>
      <c r="E578">
        <v>0.4546058</v>
      </c>
      <c r="F578" t="s">
        <v>56</v>
      </c>
      <c r="G578">
        <v>-380.4151</v>
      </c>
      <c r="H578" s="1">
        <v>-1.3159129999999999E-6</v>
      </c>
      <c r="I578">
        <v>280.91219999999998</v>
      </c>
      <c r="J578">
        <v>-362.5215</v>
      </c>
      <c r="K578">
        <v>1.103531</v>
      </c>
      <c r="L578">
        <v>282.95010000000002</v>
      </c>
      <c r="M578">
        <v>-0.9992664</v>
      </c>
      <c r="N578">
        <v>0</v>
      </c>
      <c r="O578">
        <v>3.6307220000000001E-2</v>
      </c>
      <c r="P578">
        <v>-0.99526300000000001</v>
      </c>
      <c r="Q578">
        <v>9.6578789999999998E-2</v>
      </c>
      <c r="R578">
        <v>1.1162399999999999E-2</v>
      </c>
      <c r="S578">
        <v>-3.0359189999999998</v>
      </c>
      <c r="T578">
        <v>-0.18288409999999999</v>
      </c>
      <c r="U578">
        <v>-0.33520509999999998</v>
      </c>
      <c r="V578">
        <v>-2.494062E-2</v>
      </c>
      <c r="W578">
        <v>0.1087127</v>
      </c>
      <c r="X578">
        <v>0.99376030000000004</v>
      </c>
      <c r="Y578">
        <v>-0.1454385</v>
      </c>
      <c r="Z578">
        <v>-6.5428869999999998E-3</v>
      </c>
      <c r="AA578">
        <v>0.98934569999999999</v>
      </c>
      <c r="AB578">
        <v>43</v>
      </c>
      <c r="AC578">
        <v>-17.8935999999999</v>
      </c>
      <c r="AD578">
        <v>-1.1035323159129999</v>
      </c>
      <c r="AE578">
        <v>-2.0379000000000298</v>
      </c>
      <c r="AF578">
        <v>-2.6762227906843301</v>
      </c>
      <c r="AG578">
        <v>-1.1035323159129999</v>
      </c>
      <c r="AH578">
        <v>17.7411913568756</v>
      </c>
      <c r="AI578">
        <v>93.519592090836397</v>
      </c>
      <c r="AJ578">
        <v>98.578275962700303</v>
      </c>
      <c r="AK578">
        <v>17.975812158534598</v>
      </c>
      <c r="AL578">
        <v>83.758886371728707</v>
      </c>
      <c r="AM578">
        <v>91.437662936553906</v>
      </c>
      <c r="AN578">
        <v>1.0000000097616799</v>
      </c>
    </row>
    <row r="579" spans="1:40" x14ac:dyDescent="0.3">
      <c r="A579" t="str">
        <f>"20200111150256030"</f>
        <v>20200111150256030</v>
      </c>
      <c r="B579" t="str">
        <f>"1578726176026856"</f>
        <v>1578726176026856</v>
      </c>
      <c r="C579" t="s">
        <v>40</v>
      </c>
      <c r="D579">
        <v>5.5818890000000003</v>
      </c>
      <c r="E579">
        <v>0.45410299999999998</v>
      </c>
      <c r="F579" t="s">
        <v>56</v>
      </c>
      <c r="G579">
        <v>-381.01940000000002</v>
      </c>
      <c r="H579" s="1">
        <v>-9.9428940000000004E-7</v>
      </c>
      <c r="I579">
        <v>280.87939999999998</v>
      </c>
      <c r="J579">
        <v>-362.95119999999997</v>
      </c>
      <c r="K579">
        <v>1.1036300000000001</v>
      </c>
      <c r="L579">
        <v>282.96559999999999</v>
      </c>
      <c r="M579">
        <v>-0.99927279999999996</v>
      </c>
      <c r="N579">
        <v>0</v>
      </c>
      <c r="O579">
        <v>3.6129649999999999E-2</v>
      </c>
      <c r="P579">
        <v>-0.99527560000000004</v>
      </c>
      <c r="Q579">
        <v>9.6409900000000007E-2</v>
      </c>
      <c r="R579">
        <v>1.149063E-2</v>
      </c>
      <c r="S579">
        <v>-3.0356450000000001</v>
      </c>
      <c r="T579">
        <v>-0.18109790000000001</v>
      </c>
      <c r="U579">
        <v>-0.33981319999999998</v>
      </c>
      <c r="V579">
        <v>-2.4462959999999999E-2</v>
      </c>
      <c r="W579">
        <v>0.1085412</v>
      </c>
      <c r="X579">
        <v>0.99379090000000003</v>
      </c>
      <c r="Y579">
        <v>-0.14676020000000001</v>
      </c>
      <c r="Z579">
        <v>-6.5078590000000004E-3</v>
      </c>
      <c r="AA579">
        <v>0.98915070000000005</v>
      </c>
      <c r="AB579">
        <v>43</v>
      </c>
      <c r="AC579">
        <v>-18.068200000000001</v>
      </c>
      <c r="AD579">
        <v>-1.10363099428939</v>
      </c>
      <c r="AE579">
        <v>-2.0862000000000198</v>
      </c>
      <c r="AF579">
        <v>-2.72764119164979</v>
      </c>
      <c r="AG579">
        <v>-1.10363099428939</v>
      </c>
      <c r="AH579">
        <v>17.915061825991899</v>
      </c>
      <c r="AI579">
        <v>93.4851047663185</v>
      </c>
      <c r="AJ579">
        <v>98.657030805675703</v>
      </c>
      <c r="AK579">
        <v>18.155094824072201</v>
      </c>
      <c r="AL579">
        <v>83.7687709706627</v>
      </c>
      <c r="AM579">
        <v>91.410096798289899</v>
      </c>
      <c r="AN579">
        <v>0.99999999071610501</v>
      </c>
    </row>
    <row r="580" spans="1:40" x14ac:dyDescent="0.3">
      <c r="A580" t="str">
        <f>"20200111150256053"</f>
        <v>20200111150256053</v>
      </c>
      <c r="B580" t="str">
        <f>"1578726176047352"</f>
        <v>1578726176047352</v>
      </c>
      <c r="C580" t="s">
        <v>40</v>
      </c>
      <c r="D580">
        <v>5.6219340000000004</v>
      </c>
      <c r="E580">
        <v>0.45464290000000002</v>
      </c>
      <c r="F580" t="s">
        <v>56</v>
      </c>
      <c r="G580">
        <v>-382.89510000000001</v>
      </c>
      <c r="H580" s="1">
        <v>3.8427289999999997E-9</v>
      </c>
      <c r="I580">
        <v>280.71929999999998</v>
      </c>
      <c r="J580">
        <v>-363.39030000000002</v>
      </c>
      <c r="K580">
        <v>1.103745</v>
      </c>
      <c r="L580">
        <v>282.98129999999998</v>
      </c>
      <c r="M580">
        <v>-0.99928309999999998</v>
      </c>
      <c r="N580">
        <v>0</v>
      </c>
      <c r="O580">
        <v>3.5841579999999998E-2</v>
      </c>
      <c r="P580">
        <v>-0.9952512</v>
      </c>
      <c r="Q580">
        <v>9.6572900000000003E-2</v>
      </c>
      <c r="R580">
        <v>1.220098E-2</v>
      </c>
      <c r="S580">
        <v>-3.034424</v>
      </c>
      <c r="T580">
        <v>-0.16791519999999999</v>
      </c>
      <c r="U580">
        <v>-0.34176640000000003</v>
      </c>
      <c r="V580">
        <v>-2.3495820000000001E-2</v>
      </c>
      <c r="W580">
        <v>0.1087014</v>
      </c>
      <c r="X580">
        <v>0.99379680000000004</v>
      </c>
      <c r="Y580">
        <v>-0.1471924</v>
      </c>
      <c r="Z580">
        <v>-6.0331029999999997E-3</v>
      </c>
      <c r="AA580">
        <v>0.98908949999999995</v>
      </c>
      <c r="AB580">
        <v>43</v>
      </c>
      <c r="AC580">
        <v>-19.5047999999999</v>
      </c>
      <c r="AD580">
        <v>-1.1037449961572701</v>
      </c>
      <c r="AE580">
        <v>-2.262</v>
      </c>
      <c r="AF580">
        <v>-2.95035884359798</v>
      </c>
      <c r="AG580">
        <v>-1.1037449961572701</v>
      </c>
      <c r="AH580">
        <v>19.350045047941101</v>
      </c>
      <c r="AI580">
        <v>93.227448072593901</v>
      </c>
      <c r="AJ580">
        <v>98.669287956987006</v>
      </c>
      <c r="AK580">
        <v>19.604772727065399</v>
      </c>
      <c r="AL580">
        <v>83.759538012352294</v>
      </c>
      <c r="AM580">
        <v>91.354361955217698</v>
      </c>
      <c r="AN580">
        <v>1.0000000638048301</v>
      </c>
    </row>
    <row r="581" spans="1:40" x14ac:dyDescent="0.3">
      <c r="A581" t="str">
        <f>"20200111150256066"</f>
        <v>20200111150256066</v>
      </c>
      <c r="B581" t="str">
        <f>"1578726176057112"</f>
        <v>1578726176057112</v>
      </c>
      <c r="C581" t="s">
        <v>40</v>
      </c>
      <c r="D581">
        <v>5.4287409999999996</v>
      </c>
      <c r="E581">
        <v>0.45549390000000001</v>
      </c>
      <c r="F581" t="s">
        <v>56</v>
      </c>
      <c r="G581">
        <v>-382.95609999999999</v>
      </c>
      <c r="H581" s="1">
        <v>3.6311179999999998E-8</v>
      </c>
      <c r="I581">
        <v>280.82040000000001</v>
      </c>
      <c r="J581">
        <v>-363.67419999999998</v>
      </c>
      <c r="K581">
        <v>1.1038209999999999</v>
      </c>
      <c r="L581">
        <v>282.9914</v>
      </c>
      <c r="M581">
        <v>-0.99929109999999999</v>
      </c>
      <c r="N581">
        <v>0</v>
      </c>
      <c r="O581">
        <v>3.5618219999999999E-2</v>
      </c>
      <c r="P581">
        <v>-0.99521950000000003</v>
      </c>
      <c r="Q581">
        <v>9.6839819999999993E-2</v>
      </c>
      <c r="R581">
        <v>1.267239E-2</v>
      </c>
      <c r="S581">
        <v>-3.035034</v>
      </c>
      <c r="T581">
        <v>-0.17121210000000001</v>
      </c>
      <c r="U581">
        <v>-0.33520509999999998</v>
      </c>
      <c r="V581">
        <v>-2.2821290000000001E-2</v>
      </c>
      <c r="W581">
        <v>0.1089659</v>
      </c>
      <c r="X581">
        <v>0.99378350000000004</v>
      </c>
      <c r="Y581">
        <v>-0.14482990000000001</v>
      </c>
      <c r="Z581">
        <v>-6.0719179999999999E-3</v>
      </c>
      <c r="AA581">
        <v>0.98943789999999998</v>
      </c>
      <c r="AB581">
        <v>43</v>
      </c>
      <c r="AC581">
        <v>-19.2819</v>
      </c>
      <c r="AD581">
        <v>-1.1038209636888201</v>
      </c>
      <c r="AE581">
        <v>-2.17099999999999</v>
      </c>
      <c r="AF581">
        <v>-2.84724616112686</v>
      </c>
      <c r="AG581">
        <v>-1.1038209636888201</v>
      </c>
      <c r="AH581">
        <v>19.1304217035525</v>
      </c>
      <c r="AI581">
        <v>93.266391704934307</v>
      </c>
      <c r="AJ581">
        <v>98.465385361890597</v>
      </c>
      <c r="AK581">
        <v>19.372616394738301</v>
      </c>
      <c r="AL581">
        <v>83.744292395318496</v>
      </c>
      <c r="AM581">
        <v>91.315511704494597</v>
      </c>
      <c r="AN581">
        <v>1.00000001175616</v>
      </c>
    </row>
    <row r="582" spans="1:40" x14ac:dyDescent="0.3">
      <c r="A582" t="str">
        <f>"20200111150256086"</f>
        <v>20200111150256086</v>
      </c>
      <c r="B582" t="str">
        <f>"1578726176077608"</f>
        <v>1578726176077608</v>
      </c>
      <c r="C582" t="s">
        <v>40</v>
      </c>
      <c r="D582">
        <v>5.3061930000000004</v>
      </c>
      <c r="E582">
        <v>0.47861029999999999</v>
      </c>
      <c r="F582" t="s">
        <v>56</v>
      </c>
      <c r="G582">
        <v>-383.4314</v>
      </c>
      <c r="H582" s="1">
        <v>2.8923660000000002E-7</v>
      </c>
      <c r="I582">
        <v>280.8623</v>
      </c>
      <c r="J582">
        <v>-364.03989999999999</v>
      </c>
      <c r="K582">
        <v>1.103918</v>
      </c>
      <c r="L582">
        <v>283.00409999999999</v>
      </c>
      <c r="M582">
        <v>-0.99930330000000001</v>
      </c>
      <c r="N582">
        <v>0</v>
      </c>
      <c r="O582">
        <v>3.5271570000000002E-2</v>
      </c>
      <c r="P582">
        <v>-0.99526060000000005</v>
      </c>
      <c r="Q582">
        <v>9.6245769999999994E-2</v>
      </c>
      <c r="R582">
        <v>1.3900829999999999E-2</v>
      </c>
      <c r="S582">
        <v>-3.035034</v>
      </c>
      <c r="T582">
        <v>-0.16956470000000001</v>
      </c>
      <c r="U582">
        <v>-0.32705689999999998</v>
      </c>
      <c r="V582">
        <v>-2.127546E-2</v>
      </c>
      <c r="W582">
        <v>0.108371</v>
      </c>
      <c r="X582">
        <v>0.99388279999999996</v>
      </c>
      <c r="Y582">
        <v>-0.14187139999999901</v>
      </c>
      <c r="Z582">
        <v>-5.9127839999999999E-3</v>
      </c>
      <c r="AA582">
        <v>0.98986739999999995</v>
      </c>
      <c r="AB582">
        <v>43</v>
      </c>
      <c r="AC582">
        <v>-19.391500000000001</v>
      </c>
      <c r="AD582">
        <v>-1.1039177107634</v>
      </c>
      <c r="AE582">
        <v>-2.1417999999999799</v>
      </c>
      <c r="AF582">
        <v>-2.8154722719446701</v>
      </c>
      <c r="AG582">
        <v>-1.1039177107634</v>
      </c>
      <c r="AH582">
        <v>19.2422733114309</v>
      </c>
      <c r="AI582">
        <v>93.248907625384007</v>
      </c>
      <c r="AJ582">
        <v>98.324279718683101</v>
      </c>
      <c r="AK582">
        <v>19.478465047791399</v>
      </c>
      <c r="AL582">
        <v>83.778580444364493</v>
      </c>
      <c r="AM582">
        <v>91.226309501907394</v>
      </c>
      <c r="AN582">
        <v>0.99999996948752501</v>
      </c>
    </row>
    <row r="583" spans="1:40" x14ac:dyDescent="0.3">
      <c r="A583" t="str">
        <f>"20200111150256108"</f>
        <v>20200111150256108</v>
      </c>
      <c r="B583" t="str">
        <f>"1578726176097129"</f>
        <v>1578726176097129</v>
      </c>
      <c r="C583" t="s">
        <v>40</v>
      </c>
      <c r="D583">
        <v>5.325323</v>
      </c>
      <c r="E583">
        <v>0.47858020000000001</v>
      </c>
      <c r="F583" t="s">
        <v>57</v>
      </c>
      <c r="G583">
        <v>-511.95960000000002</v>
      </c>
      <c r="H583">
        <v>2.9478979999999999</v>
      </c>
      <c r="I583">
        <v>276.41379999999998</v>
      </c>
      <c r="J583">
        <v>-364.45830000000001</v>
      </c>
      <c r="K583">
        <v>1.1040209999999999</v>
      </c>
      <c r="L583">
        <v>283.01850000000002</v>
      </c>
      <c r="M583">
        <v>-0.99932010000000004</v>
      </c>
      <c r="N583">
        <v>0</v>
      </c>
      <c r="O583">
        <v>3.4787270000000002E-2</v>
      </c>
      <c r="P583">
        <v>-0.99531480000000006</v>
      </c>
      <c r="Q583">
        <v>9.5615400000000003E-2</v>
      </c>
      <c r="R583">
        <v>1.4357480000000001E-2</v>
      </c>
      <c r="S583">
        <v>-3.0124819999999999</v>
      </c>
      <c r="T583">
        <v>3.7555459999999999E-2</v>
      </c>
      <c r="U583">
        <v>-0.13421629999999901</v>
      </c>
      <c r="V583">
        <v>-2.0366459999999999E-2</v>
      </c>
      <c r="W583">
        <v>0.1077396</v>
      </c>
      <c r="X583">
        <v>0.99397049999999998</v>
      </c>
      <c r="Y583">
        <v>-7.9228850000000003E-2</v>
      </c>
      <c r="Z583">
        <v>9.2709230000000001E-4</v>
      </c>
      <c r="AA583">
        <v>0.99685599999999996</v>
      </c>
      <c r="AB583">
        <v>43</v>
      </c>
      <c r="AC583">
        <v>-147.50129999999999</v>
      </c>
      <c r="AD583">
        <v>1.843877</v>
      </c>
      <c r="AE583">
        <v>-6.6047000000000304</v>
      </c>
      <c r="AF583">
        <v>-11.730422744521199</v>
      </c>
      <c r="AG583">
        <v>1.843877</v>
      </c>
      <c r="AH583">
        <v>147.159282994987</v>
      </c>
      <c r="AI583">
        <v>89.284402309646694</v>
      </c>
      <c r="AJ583">
        <v>94.557548615112296</v>
      </c>
      <c r="AK583">
        <v>147.63758759799299</v>
      </c>
      <c r="AL583">
        <v>83.814970159849395</v>
      </c>
      <c r="AM583">
        <v>91.173826524191298</v>
      </c>
      <c r="AN583">
        <v>0.99999998448566996</v>
      </c>
    </row>
    <row r="584" spans="1:40" x14ac:dyDescent="0.3">
      <c r="A584" t="str">
        <f>"20200111150256131"</f>
        <v>20200111150256131</v>
      </c>
      <c r="B584" t="str">
        <f>"1578726176127385"</f>
        <v>1578726176127385</v>
      </c>
      <c r="C584" t="s">
        <v>40</v>
      </c>
      <c r="D584">
        <v>5.3128909999999996</v>
      </c>
      <c r="E584">
        <v>0.47826150000000001</v>
      </c>
      <c r="F584" t="s">
        <v>57</v>
      </c>
      <c r="G584">
        <v>-511.95949999999999</v>
      </c>
      <c r="H584">
        <v>2.5694910000000002</v>
      </c>
      <c r="I584">
        <v>276.5154</v>
      </c>
      <c r="J584">
        <v>-364.8929</v>
      </c>
      <c r="K584">
        <v>1.1041289999999999</v>
      </c>
      <c r="L584">
        <v>283.03309999999999</v>
      </c>
      <c r="M584">
        <v>-0.99934149999999999</v>
      </c>
      <c r="N584">
        <v>0</v>
      </c>
      <c r="O584">
        <v>3.4170840000000001E-2</v>
      </c>
      <c r="P584">
        <v>-0.99529380000000001</v>
      </c>
      <c r="Q584">
        <v>9.5739009999999999E-2</v>
      </c>
      <c r="R584">
        <v>1.4984920000000001E-2</v>
      </c>
      <c r="S584">
        <v>-3.013153</v>
      </c>
      <c r="T584">
        <v>2.9938220000000001E-2</v>
      </c>
      <c r="U584">
        <v>-0.13284299999999999</v>
      </c>
      <c r="V584">
        <v>-1.9153320000000001E-2</v>
      </c>
      <c r="W584">
        <v>0.1078614</v>
      </c>
      <c r="X584">
        <v>0.99398140000000001</v>
      </c>
      <c r="Y584">
        <v>-7.8153899999999998E-2</v>
      </c>
      <c r="Z584">
        <v>7.2744699999999999E-4</v>
      </c>
      <c r="AA584">
        <v>0.99694099999999997</v>
      </c>
      <c r="AB584">
        <v>43</v>
      </c>
      <c r="AC584">
        <v>-147.06659999999999</v>
      </c>
      <c r="AD584">
        <v>1.4653620000000001</v>
      </c>
      <c r="AE584">
        <v>-6.5176999999999898</v>
      </c>
      <c r="AF584">
        <v>-11.538513329722999</v>
      </c>
      <c r="AG584">
        <v>1.4653620000000001</v>
      </c>
      <c r="AH584">
        <v>146.743429241711</v>
      </c>
      <c r="AI584">
        <v>89.429630739633495</v>
      </c>
      <c r="AJ584">
        <v>94.495946839261194</v>
      </c>
      <c r="AK584">
        <v>147.203663681542</v>
      </c>
      <c r="AL584">
        <v>83.807950583818894</v>
      </c>
      <c r="AM584">
        <v>91.103912614205797</v>
      </c>
      <c r="AN584">
        <v>0.99999997741147095</v>
      </c>
    </row>
    <row r="585" spans="1:40" x14ac:dyDescent="0.3">
      <c r="A585" t="str">
        <f>"20200111150256153"</f>
        <v>20200111150256153</v>
      </c>
      <c r="B585" t="str">
        <f>"1578726176146907"</f>
        <v>1578726176146907</v>
      </c>
      <c r="C585" t="s">
        <v>40</v>
      </c>
      <c r="D585">
        <v>5.3107739999999897</v>
      </c>
      <c r="E585">
        <v>0.47801850000000001</v>
      </c>
      <c r="F585" t="s">
        <v>53</v>
      </c>
      <c r="G585">
        <v>-499.97899999999998</v>
      </c>
      <c r="H585">
        <v>7.1245900000000001E-2</v>
      </c>
      <c r="I585">
        <v>277.02089999999998</v>
      </c>
      <c r="J585">
        <v>-365.34559999999999</v>
      </c>
      <c r="K585">
        <v>1.104236</v>
      </c>
      <c r="L585">
        <v>283.04790000000003</v>
      </c>
      <c r="M585">
        <v>-0.99936659999999999</v>
      </c>
      <c r="N585">
        <v>0</v>
      </c>
      <c r="O585">
        <v>3.3423410000000001E-2</v>
      </c>
      <c r="P585">
        <v>-0.99526460000000005</v>
      </c>
      <c r="Q585">
        <v>9.5909700000000001E-2</v>
      </c>
      <c r="R585">
        <v>1.5803080000000001E-2</v>
      </c>
      <c r="S585">
        <v>-3.0184329999999999</v>
      </c>
      <c r="T585">
        <v>-2.3079280000000001E-2</v>
      </c>
      <c r="U585">
        <v>-0.1343384</v>
      </c>
      <c r="V585">
        <v>-1.7618740000000001E-2</v>
      </c>
      <c r="W585">
        <v>0.1080325</v>
      </c>
      <c r="X585">
        <v>0.99399119999999996</v>
      </c>
      <c r="Y585">
        <v>-7.782675E-2</v>
      </c>
      <c r="Z585">
        <v>-5.5284430000000003E-4</v>
      </c>
      <c r="AA585">
        <v>0.99696669999999998</v>
      </c>
      <c r="AB585">
        <v>43</v>
      </c>
      <c r="AC585">
        <v>-134.63339999999999</v>
      </c>
      <c r="AD585">
        <v>-1.0329900999999999</v>
      </c>
      <c r="AE585">
        <v>-6.0270000000000401</v>
      </c>
      <c r="AF585">
        <v>-10.5232570736684</v>
      </c>
      <c r="AG585">
        <v>-1.0329900999999999</v>
      </c>
      <c r="AH585">
        <v>134.34881553660301</v>
      </c>
      <c r="AI585">
        <v>90.439185770137499</v>
      </c>
      <c r="AJ585">
        <v>94.478712178196403</v>
      </c>
      <c r="AK585">
        <v>134.76427658720701</v>
      </c>
      <c r="AL585">
        <v>83.798089629719001</v>
      </c>
      <c r="AM585">
        <v>91.0154755307355</v>
      </c>
      <c r="AN585">
        <v>0.99999997336643798</v>
      </c>
    </row>
    <row r="586" spans="1:40" x14ac:dyDescent="0.3">
      <c r="A586" t="str">
        <f>"20200111150256177"</f>
        <v>20200111150256177</v>
      </c>
      <c r="B586" t="str">
        <f>"1578726176167400"</f>
        <v>1578726176167400</v>
      </c>
      <c r="C586" t="s">
        <v>40</v>
      </c>
      <c r="D586">
        <v>5.2902959999999997</v>
      </c>
      <c r="E586">
        <v>0.47768749999999999</v>
      </c>
      <c r="F586" t="s">
        <v>59</v>
      </c>
      <c r="G586">
        <v>-433.16559999999998</v>
      </c>
      <c r="H586" s="1">
        <v>4.0220709999999998E-6</v>
      </c>
      <c r="I586">
        <v>280.02609999999999</v>
      </c>
      <c r="J586">
        <v>-365.79140000000001</v>
      </c>
      <c r="K586">
        <v>1.104328</v>
      </c>
      <c r="L586">
        <v>283.06209999999999</v>
      </c>
      <c r="M586">
        <v>-0.99939359999999999</v>
      </c>
      <c r="N586">
        <v>0</v>
      </c>
      <c r="O586">
        <v>3.2608099999999897E-2</v>
      </c>
      <c r="P586">
        <v>-0.99528589999999995</v>
      </c>
      <c r="Q586">
        <v>9.5727980000000004E-2</v>
      </c>
      <c r="R586">
        <v>1.5562930000000001E-2</v>
      </c>
      <c r="S586">
        <v>-3.0211790000000001</v>
      </c>
      <c r="T586">
        <v>-4.9190280000000003E-2</v>
      </c>
      <c r="U586">
        <v>-0.13461300000000001</v>
      </c>
      <c r="V586">
        <v>-1.7071639999999999E-2</v>
      </c>
      <c r="W586">
        <v>0.1078495</v>
      </c>
      <c r="X586">
        <v>0.99402060000000003</v>
      </c>
      <c r="Y586">
        <v>-7.7052319999999994E-2</v>
      </c>
      <c r="Z586">
        <v>-1.157609E-3</v>
      </c>
      <c r="AA586">
        <v>0.99702639999999998</v>
      </c>
      <c r="AB586">
        <v>43</v>
      </c>
      <c r="AC586">
        <v>-67.374199999999902</v>
      </c>
      <c r="AD586">
        <v>-1.1043239779289999</v>
      </c>
      <c r="AE586">
        <v>-3.036</v>
      </c>
      <c r="AF586">
        <v>-5.2300914804995902</v>
      </c>
      <c r="AG586">
        <v>-1.1043239779289999</v>
      </c>
      <c r="AH586">
        <v>67.221337255598598</v>
      </c>
      <c r="AI586">
        <v>90.938345174763597</v>
      </c>
      <c r="AJ586">
        <v>94.448880401695206</v>
      </c>
      <c r="AK586">
        <v>67.4335344674558</v>
      </c>
      <c r="AL586">
        <v>83.8086362611525</v>
      </c>
      <c r="AM586">
        <v>90.983920020478493</v>
      </c>
      <c r="AN586">
        <v>0.99999995438344802</v>
      </c>
    </row>
    <row r="587" spans="1:40" x14ac:dyDescent="0.3">
      <c r="A587" t="str">
        <f>"20200111150256197"</f>
        <v>20200111150256197</v>
      </c>
      <c r="B587" t="str">
        <f>"1578726176186920"</f>
        <v>1578726176186920</v>
      </c>
      <c r="C587" t="s">
        <v>40</v>
      </c>
      <c r="D587">
        <v>5.2999799999999997</v>
      </c>
      <c r="E587">
        <v>0.47787639999999998</v>
      </c>
      <c r="F587" t="s">
        <v>59</v>
      </c>
      <c r="G587">
        <v>-432.70639999999997</v>
      </c>
      <c r="H587" s="1">
        <v>3.8202630000000001E-6</v>
      </c>
      <c r="I587">
        <v>280.00560000000002</v>
      </c>
      <c r="J587">
        <v>-366.1866</v>
      </c>
      <c r="K587">
        <v>1.1043970000000001</v>
      </c>
      <c r="L587">
        <v>283.07440000000003</v>
      </c>
      <c r="M587">
        <v>-0.99941860000000005</v>
      </c>
      <c r="N587">
        <v>0</v>
      </c>
      <c r="O587">
        <v>3.1833050000000002E-2</v>
      </c>
      <c r="P587">
        <v>-0.99530790000000002</v>
      </c>
      <c r="Q587">
        <v>9.5701410000000001E-2</v>
      </c>
      <c r="R587">
        <v>1.42668E-2</v>
      </c>
      <c r="S587">
        <v>-3.0211489999999999</v>
      </c>
      <c r="T587">
        <v>-4.9859170000000001E-2</v>
      </c>
      <c r="U587">
        <v>-0.1380005</v>
      </c>
      <c r="V587">
        <v>-1.7614879999999999E-2</v>
      </c>
      <c r="W587">
        <v>0.1078211</v>
      </c>
      <c r="X587">
        <v>0.99401430000000002</v>
      </c>
      <c r="Y587">
        <v>-7.7394870000000004E-2</v>
      </c>
      <c r="Z587">
        <v>-1.163374E-3</v>
      </c>
      <c r="AA587">
        <v>0.99699990000000005</v>
      </c>
      <c r="AB587">
        <v>43</v>
      </c>
      <c r="AC587">
        <v>-66.519799999999904</v>
      </c>
      <c r="AD587">
        <v>-1.1043931797369999</v>
      </c>
      <c r="AE587">
        <v>-3.0688</v>
      </c>
      <c r="AF587">
        <v>-5.1835047613340102</v>
      </c>
      <c r="AG587">
        <v>-1.1043931797369999</v>
      </c>
      <c r="AH587">
        <v>66.370130641398902</v>
      </c>
      <c r="AI587">
        <v>90.9504151512443</v>
      </c>
      <c r="AJ587">
        <v>94.465733258608793</v>
      </c>
      <c r="AK587">
        <v>66.581398658053004</v>
      </c>
      <c r="AL587">
        <v>83.810273606606103</v>
      </c>
      <c r="AM587">
        <v>91.015229513312505</v>
      </c>
      <c r="AN587">
        <v>1.0000000511035501</v>
      </c>
    </row>
    <row r="588" spans="1:40" x14ac:dyDescent="0.3">
      <c r="A588" t="str">
        <f>"20200111150256214"</f>
        <v>20200111150256214</v>
      </c>
      <c r="B588" t="str">
        <f>"1578726176207416"</f>
        <v>1578726176207416</v>
      </c>
      <c r="C588" t="s">
        <v>40</v>
      </c>
      <c r="D588">
        <v>5.5640809999999998</v>
      </c>
      <c r="E588">
        <v>0.47826980000000002</v>
      </c>
      <c r="F588" t="s">
        <v>53</v>
      </c>
      <c r="G588">
        <v>-479.48289999999997</v>
      </c>
      <c r="H588">
        <v>7.999995E-2</v>
      </c>
      <c r="I588">
        <v>277.80930000000001</v>
      </c>
      <c r="J588">
        <v>-366.49290000000002</v>
      </c>
      <c r="K588">
        <v>1.1044480000000001</v>
      </c>
      <c r="L588">
        <v>283.08370000000002</v>
      </c>
      <c r="M588">
        <v>-0.99943820000000005</v>
      </c>
      <c r="N588">
        <v>0</v>
      </c>
      <c r="O588">
        <v>3.1205759999999999E-2</v>
      </c>
      <c r="P588">
        <v>-0.99538919999999997</v>
      </c>
      <c r="Q588">
        <v>9.5080780000000004E-2</v>
      </c>
      <c r="R588">
        <v>1.2641360000000001E-2</v>
      </c>
      <c r="S588">
        <v>-3.018799</v>
      </c>
      <c r="T588">
        <v>-2.729523E-2</v>
      </c>
      <c r="U588">
        <v>-0.14028929999999901</v>
      </c>
      <c r="V588">
        <v>-1.8629509999999998E-2</v>
      </c>
      <c r="W588">
        <v>0.1071986</v>
      </c>
      <c r="X588">
        <v>0.99406309999999998</v>
      </c>
      <c r="Y588">
        <v>-7.7569200000000005E-2</v>
      </c>
      <c r="Z588">
        <v>-6.3251910000000004E-4</v>
      </c>
      <c r="AA588">
        <v>0.9969867</v>
      </c>
      <c r="AB588">
        <v>43</v>
      </c>
      <c r="AC588">
        <v>-112.989999999999</v>
      </c>
      <c r="AD588">
        <v>-1.0244480499999999</v>
      </c>
      <c r="AE588">
        <v>-5.2744000000000097</v>
      </c>
      <c r="AF588">
        <v>-8.7973116624318397</v>
      </c>
      <c r="AG588">
        <v>-1.0244480499999999</v>
      </c>
      <c r="AH588">
        <v>112.76111019979599</v>
      </c>
      <c r="AI588">
        <v>90.518947771480896</v>
      </c>
      <c r="AJ588">
        <v>94.461022810560806</v>
      </c>
      <c r="AK588">
        <v>113.10840004077301</v>
      </c>
      <c r="AL588">
        <v>83.846147980427702</v>
      </c>
      <c r="AM588">
        <v>91.073641463786998</v>
      </c>
      <c r="AN588">
        <v>1.0000000226332</v>
      </c>
    </row>
    <row r="589" spans="1:40" x14ac:dyDescent="0.3">
      <c r="A589" t="str">
        <f>"20200111150256231"</f>
        <v>20200111150256231</v>
      </c>
      <c r="B589" t="str">
        <f>"1578726176226937"</f>
        <v>1578726176226937</v>
      </c>
      <c r="C589" t="s">
        <v>40</v>
      </c>
      <c r="D589">
        <v>5.2254709999999998</v>
      </c>
      <c r="E589">
        <v>0.47840899999999997</v>
      </c>
      <c r="F589" t="s">
        <v>57</v>
      </c>
      <c r="G589">
        <v>-511.95859999999999</v>
      </c>
      <c r="H589">
        <v>6.3538490000000003E-2</v>
      </c>
      <c r="I589">
        <v>276.2389</v>
      </c>
      <c r="J589">
        <v>-366.83359999999999</v>
      </c>
      <c r="K589">
        <v>1.104495</v>
      </c>
      <c r="L589">
        <v>283.09379999999999</v>
      </c>
      <c r="M589">
        <v>-0.99946049999999997</v>
      </c>
      <c r="N589">
        <v>0</v>
      </c>
      <c r="O589">
        <v>3.048464E-2</v>
      </c>
      <c r="P589">
        <v>-0.9954056</v>
      </c>
      <c r="Q589">
        <v>9.5289879999999993E-2</v>
      </c>
      <c r="R589">
        <v>9.3594479999999994E-3</v>
      </c>
      <c r="S589">
        <v>-3.0177610000000001</v>
      </c>
      <c r="T589">
        <v>-2.1592500000000001E-2</v>
      </c>
      <c r="U589">
        <v>-0.14199829999999999</v>
      </c>
      <c r="V589">
        <v>-2.120615E-2</v>
      </c>
      <c r="W589">
        <v>0.1074001</v>
      </c>
      <c r="X589">
        <v>0.99398969999999998</v>
      </c>
      <c r="Y589">
        <v>-7.7430789999999999E-2</v>
      </c>
      <c r="Z589">
        <v>-4.9488569999999897E-4</v>
      </c>
      <c r="AA589">
        <v>0.99699760000000004</v>
      </c>
      <c r="AB589">
        <v>43</v>
      </c>
      <c r="AC589">
        <v>-145.125</v>
      </c>
      <c r="AD589">
        <v>-1.04095651</v>
      </c>
      <c r="AE589">
        <v>-6.8548999999999802</v>
      </c>
      <c r="AF589">
        <v>-11.275548665873901</v>
      </c>
      <c r="AG589">
        <v>-1.04095651</v>
      </c>
      <c r="AH589">
        <v>144.841120774622</v>
      </c>
      <c r="AI589">
        <v>90.410529065716204</v>
      </c>
      <c r="AJ589">
        <v>94.451367202712007</v>
      </c>
      <c r="AK589">
        <v>145.28307491039999</v>
      </c>
      <c r="AL589">
        <v>83.8345357198626</v>
      </c>
      <c r="AM589">
        <v>91.222184297841395</v>
      </c>
      <c r="AN589">
        <v>1.00000000299196</v>
      </c>
    </row>
    <row r="590" spans="1:40" x14ac:dyDescent="0.3">
      <c r="A590" t="str">
        <f>"20200111150256244"</f>
        <v>20200111150256244</v>
      </c>
      <c r="B590" t="str">
        <f>"1578726176237673"</f>
        <v>1578726176237673</v>
      </c>
      <c r="C590" t="s">
        <v>40</v>
      </c>
      <c r="D590">
        <v>5.4548050000000003</v>
      </c>
      <c r="E590">
        <v>0.4787652</v>
      </c>
      <c r="F590" t="s">
        <v>57</v>
      </c>
      <c r="G590">
        <v>-511.9588</v>
      </c>
      <c r="H590">
        <v>0.45939960000000002</v>
      </c>
      <c r="I590">
        <v>275.83499999999998</v>
      </c>
      <c r="J590">
        <v>-367.09269999999998</v>
      </c>
      <c r="K590">
        <v>1.1045290000000001</v>
      </c>
      <c r="L590">
        <v>283.10129999999998</v>
      </c>
      <c r="M590">
        <v>-0.99947759999999997</v>
      </c>
      <c r="N590">
        <v>0</v>
      </c>
      <c r="O590">
        <v>2.9922230000000001E-2</v>
      </c>
      <c r="P590">
        <v>-0.99542070000000005</v>
      </c>
      <c r="Q590">
        <v>9.5307470000000005E-2</v>
      </c>
      <c r="R590">
        <v>7.3683269999999896E-3</v>
      </c>
      <c r="S590">
        <v>-3.0165410000000001</v>
      </c>
      <c r="T590">
        <v>-1.340711E-2</v>
      </c>
      <c r="U590">
        <v>-0.15087890000000001</v>
      </c>
      <c r="V590">
        <v>-2.2645539999999999E-2</v>
      </c>
      <c r="W590">
        <v>0.10741340000000001</v>
      </c>
      <c r="X590">
        <v>0.99395650000000002</v>
      </c>
      <c r="Y590">
        <v>-7.9818390000000003E-2</v>
      </c>
      <c r="Z590">
        <v>-3.101925E-4</v>
      </c>
      <c r="AA590">
        <v>0.99680939999999996</v>
      </c>
      <c r="AB590">
        <v>43</v>
      </c>
      <c r="AC590">
        <v>-144.86609999999999</v>
      </c>
      <c r="AD590">
        <v>-0.64512939999999996</v>
      </c>
      <c r="AE590">
        <v>-7.2663000000000002</v>
      </c>
      <c r="AF590">
        <v>-11.597856595738399</v>
      </c>
      <c r="AG590">
        <v>-0.64512939999999996</v>
      </c>
      <c r="AH590">
        <v>144.58092338928299</v>
      </c>
      <c r="AI590">
        <v>90.254837180268893</v>
      </c>
      <c r="AJ590">
        <v>94.586278575989297</v>
      </c>
      <c r="AK590">
        <v>145.046785133817</v>
      </c>
      <c r="AL590">
        <v>83.8337691805784</v>
      </c>
      <c r="AM590">
        <v>91.3051571548217</v>
      </c>
      <c r="AN590">
        <v>0.99999999143685003</v>
      </c>
    </row>
    <row r="591" spans="1:40" x14ac:dyDescent="0.3">
      <c r="A591" t="str">
        <f>"20200111150256265"</f>
        <v>20200111150256265</v>
      </c>
      <c r="B591" t="str">
        <f>"1578726176257198"</f>
        <v>1578726176257198</v>
      </c>
      <c r="C591" t="s">
        <v>40</v>
      </c>
      <c r="D591">
        <v>5.2362909999999996</v>
      </c>
      <c r="E591">
        <v>0.47916839999999999</v>
      </c>
      <c r="F591" t="s">
        <v>57</v>
      </c>
      <c r="G591">
        <v>-511.95890000000003</v>
      </c>
      <c r="H591">
        <v>0.74468459999999903</v>
      </c>
      <c r="I591">
        <v>275.70389999999998</v>
      </c>
      <c r="J591">
        <v>-367.49299999999999</v>
      </c>
      <c r="K591">
        <v>1.1045720000000001</v>
      </c>
      <c r="L591">
        <v>283.11250000000001</v>
      </c>
      <c r="M591">
        <v>-0.99950369999999999</v>
      </c>
      <c r="N591">
        <v>0</v>
      </c>
      <c r="O591">
        <v>2.9040699999999999E-2</v>
      </c>
      <c r="P591">
        <v>-0.99541219999999997</v>
      </c>
      <c r="Q591">
        <v>9.5577170000000003E-2</v>
      </c>
      <c r="R591">
        <v>4.4340270000000001E-3</v>
      </c>
      <c r="S591">
        <v>-3.0156860000000001</v>
      </c>
      <c r="T591">
        <v>-7.4892040000000002E-3</v>
      </c>
      <c r="U591">
        <v>-0.15399170000000001</v>
      </c>
      <c r="V591">
        <v>-2.4713599999999999E-2</v>
      </c>
      <c r="W591">
        <v>0.10767599999999999</v>
      </c>
      <c r="X591">
        <v>0.99387879999999995</v>
      </c>
      <c r="Y591">
        <v>-7.998036E-2</v>
      </c>
      <c r="Z591">
        <v>-1.7133169999999901E-4</v>
      </c>
      <c r="AA591">
        <v>0.99679640000000003</v>
      </c>
      <c r="AB591">
        <v>43</v>
      </c>
      <c r="AC591">
        <v>-144.46589999999901</v>
      </c>
      <c r="AD591">
        <v>-0.35988740000000002</v>
      </c>
      <c r="AE591">
        <v>-7.4086000000000301</v>
      </c>
      <c r="AF591">
        <v>-11.601106438110101</v>
      </c>
      <c r="AG591">
        <v>-0.35988740000000002</v>
      </c>
      <c r="AH591">
        <v>144.188900095344</v>
      </c>
      <c r="AI591">
        <v>90.142546116444507</v>
      </c>
      <c r="AJ591">
        <v>94.599977492968804</v>
      </c>
      <c r="AK591">
        <v>144.655294062244</v>
      </c>
      <c r="AL591">
        <v>83.818635441846197</v>
      </c>
      <c r="AM591">
        <v>91.424412359241998</v>
      </c>
      <c r="AN591">
        <v>0.99999997604519897</v>
      </c>
    </row>
    <row r="592" spans="1:40" x14ac:dyDescent="0.3">
      <c r="A592" t="str">
        <f>"20200111150256286"</f>
        <v>20200111150256286</v>
      </c>
      <c r="B592" t="str">
        <f>"1578726176277688"</f>
        <v>1578726176277688</v>
      </c>
      <c r="C592" t="s">
        <v>40</v>
      </c>
      <c r="D592">
        <v>5.3949350000000003</v>
      </c>
      <c r="E592">
        <v>0.47963749999999999</v>
      </c>
      <c r="F592" t="s">
        <v>57</v>
      </c>
      <c r="G592">
        <v>-512.82560000000001</v>
      </c>
      <c r="H592">
        <v>1.156328</v>
      </c>
      <c r="I592">
        <v>275.40269999999998</v>
      </c>
      <c r="J592">
        <v>-367.90550000000002</v>
      </c>
      <c r="K592">
        <v>1.104614</v>
      </c>
      <c r="L592">
        <v>283.12380000000002</v>
      </c>
      <c r="M592">
        <v>-0.99953000000000003</v>
      </c>
      <c r="N592">
        <v>0</v>
      </c>
      <c r="O592">
        <v>2.8118859999999999E-2</v>
      </c>
      <c r="P592">
        <v>-0.99540079999999997</v>
      </c>
      <c r="Q592">
        <v>9.5780050000000005E-2</v>
      </c>
      <c r="R592">
        <v>1.8640639999999999E-3</v>
      </c>
      <c r="S592">
        <v>-3.0144039999999999</v>
      </c>
      <c r="T592">
        <v>1.0751490000000001E-3</v>
      </c>
      <c r="U592">
        <v>-0.1599121</v>
      </c>
      <c r="V592">
        <v>-2.6376449999999999E-2</v>
      </c>
      <c r="W592">
        <v>0.1078732</v>
      </c>
      <c r="X592">
        <v>0.99381470000000005</v>
      </c>
      <c r="Y592">
        <v>-8.1035350000000006E-2</v>
      </c>
      <c r="Z592" s="1">
        <v>2.446504E-5</v>
      </c>
      <c r="AA592">
        <v>0.99671129999999997</v>
      </c>
      <c r="AB592">
        <v>43</v>
      </c>
      <c r="AC592">
        <v>-144.92009999999999</v>
      </c>
      <c r="AD592">
        <v>5.1714000000000003E-2</v>
      </c>
      <c r="AE592">
        <v>-7.7211000000000301</v>
      </c>
      <c r="AF592">
        <v>-11.7933368667099</v>
      </c>
      <c r="AG592">
        <v>5.1714000000000003E-2</v>
      </c>
      <c r="AH592">
        <v>144.64564502982299</v>
      </c>
      <c r="AI592">
        <v>89.979583247757503</v>
      </c>
      <c r="AJ592">
        <v>94.661164186496904</v>
      </c>
      <c r="AK592">
        <v>145.12562866318001</v>
      </c>
      <c r="AL592">
        <v>83.807270673341904</v>
      </c>
      <c r="AM592">
        <v>91.520308129585601</v>
      </c>
      <c r="AN592">
        <v>1.0000000011644601</v>
      </c>
    </row>
    <row r="593" spans="1:40" x14ac:dyDescent="0.3">
      <c r="A593" t="str">
        <f>"20200111150256309"</f>
        <v>20200111150256309</v>
      </c>
      <c r="B593" t="str">
        <f>"1578726176306969"</f>
        <v>1578726176306969</v>
      </c>
      <c r="C593" t="s">
        <v>40</v>
      </c>
      <c r="D593">
        <v>5.2278310000000001</v>
      </c>
      <c r="E593">
        <v>0.47983569999999998</v>
      </c>
      <c r="F593" t="s">
        <v>57</v>
      </c>
      <c r="G593">
        <v>-512.82569999999998</v>
      </c>
      <c r="H593">
        <v>1.5798190000000001</v>
      </c>
      <c r="I593">
        <v>275.23480000000001</v>
      </c>
      <c r="J593">
        <v>-368.33749999999998</v>
      </c>
      <c r="K593">
        <v>1.104651</v>
      </c>
      <c r="L593">
        <v>283.13529999999997</v>
      </c>
      <c r="M593">
        <v>-0.99955680000000002</v>
      </c>
      <c r="N593">
        <v>0</v>
      </c>
      <c r="O593">
        <v>2.7145059999999999E-2</v>
      </c>
      <c r="P593">
        <v>-0.99545620000000001</v>
      </c>
      <c r="Q593">
        <v>9.5220280000000004E-2</v>
      </c>
      <c r="R593">
        <v>-3.1838670000000001E-4</v>
      </c>
      <c r="S593">
        <v>-3.013245</v>
      </c>
      <c r="T593">
        <v>9.8823309999999994E-3</v>
      </c>
      <c r="U593">
        <v>-0.16403199999999901</v>
      </c>
      <c r="V593">
        <v>-2.759839E-2</v>
      </c>
      <c r="W593">
        <v>0.1073091</v>
      </c>
      <c r="X593">
        <v>0.99384260000000002</v>
      </c>
      <c r="Y593">
        <v>-8.1442840000000002E-2</v>
      </c>
      <c r="Z593">
        <v>2.224266E-4</v>
      </c>
      <c r="AA593">
        <v>0.99667799999999995</v>
      </c>
      <c r="AB593">
        <v>43</v>
      </c>
      <c r="AC593">
        <v>-144.48820000000001</v>
      </c>
      <c r="AD593">
        <v>0.47516799999999998</v>
      </c>
      <c r="AE593">
        <v>-7.9004999999999601</v>
      </c>
      <c r="AF593">
        <v>-11.8198945935982</v>
      </c>
      <c r="AG593">
        <v>0.47516799999999998</v>
      </c>
      <c r="AH593">
        <v>144.21891820885801</v>
      </c>
      <c r="AI593">
        <v>89.811855166268998</v>
      </c>
      <c r="AJ593">
        <v>94.685375684783693</v>
      </c>
      <c r="AK593">
        <v>144.70325518855901</v>
      </c>
      <c r="AL593">
        <v>83.8397800102112</v>
      </c>
      <c r="AM593">
        <v>91.590659322409394</v>
      </c>
      <c r="AN593">
        <v>1.0000000138240801</v>
      </c>
    </row>
    <row r="594" spans="1:40" x14ac:dyDescent="0.3">
      <c r="A594" t="str">
        <f>"20200111150256322"</f>
        <v>20200111150256322</v>
      </c>
      <c r="B594" t="str">
        <f>"1578726176317704"</f>
        <v>1578726176317704</v>
      </c>
      <c r="C594" t="s">
        <v>40</v>
      </c>
      <c r="D594">
        <v>5.3041299999999998</v>
      </c>
      <c r="E594">
        <v>0.47972179999999998</v>
      </c>
      <c r="F594" t="s">
        <v>57</v>
      </c>
      <c r="G594">
        <v>-512.82569999999998</v>
      </c>
      <c r="H594">
        <v>1.7226399999999999</v>
      </c>
      <c r="I594">
        <v>275.04360000000003</v>
      </c>
      <c r="J594">
        <v>-368.60270000000003</v>
      </c>
      <c r="K594">
        <v>1.104673</v>
      </c>
      <c r="L594">
        <v>283.142</v>
      </c>
      <c r="M594">
        <v>-0.99957289999999999</v>
      </c>
      <c r="N594">
        <v>0</v>
      </c>
      <c r="O594">
        <v>2.6544209999999999E-2</v>
      </c>
      <c r="P594">
        <v>-0.99548950000000003</v>
      </c>
      <c r="Q594">
        <v>9.4863550000000005E-2</v>
      </c>
      <c r="R594">
        <v>-1.122105E-3</v>
      </c>
      <c r="S594">
        <v>-3.0124209999999998</v>
      </c>
      <c r="T594">
        <v>1.288605E-2</v>
      </c>
      <c r="U594">
        <v>-0.1687012</v>
      </c>
      <c r="V594">
        <v>-2.7808920000000001E-2</v>
      </c>
      <c r="W594">
        <v>0.10695159999999999</v>
      </c>
      <c r="X594">
        <v>0.99387530000000002</v>
      </c>
      <c r="Y594">
        <v>-8.2398219999999994E-2</v>
      </c>
      <c r="Z594">
        <v>2.8957290000000002E-4</v>
      </c>
      <c r="AA594">
        <v>0.99659940000000002</v>
      </c>
      <c r="AB594">
        <v>43</v>
      </c>
      <c r="AC594">
        <v>-144.22299999999899</v>
      </c>
      <c r="AD594">
        <v>0.61796700000000004</v>
      </c>
      <c r="AE594">
        <v>-8.0983999999999696</v>
      </c>
      <c r="AF594">
        <v>-11.9238994421302</v>
      </c>
      <c r="AG594">
        <v>0.61796700000000004</v>
      </c>
      <c r="AH594">
        <v>143.95455771942301</v>
      </c>
      <c r="AI594">
        <v>89.754882062673104</v>
      </c>
      <c r="AJ594">
        <v>94.735057209677905</v>
      </c>
      <c r="AK594">
        <v>144.44886967129099</v>
      </c>
      <c r="AL594">
        <v>83.860382015470904</v>
      </c>
      <c r="AM594">
        <v>91.602734406211994</v>
      </c>
      <c r="AN594">
        <v>1.0000000463620999</v>
      </c>
    </row>
    <row r="595" spans="1:40" x14ac:dyDescent="0.3">
      <c r="A595" t="str">
        <f>"20200111150256336"</f>
        <v>20200111150256336</v>
      </c>
      <c r="B595" t="str">
        <f>"1578726176327466"</f>
        <v>1578726176327466</v>
      </c>
      <c r="C595" t="s">
        <v>40</v>
      </c>
      <c r="D595">
        <v>5.3654979999999997</v>
      </c>
      <c r="E595">
        <v>0.47972179999999998</v>
      </c>
      <c r="F595" t="s">
        <v>57</v>
      </c>
      <c r="G595">
        <v>-512.82579999999996</v>
      </c>
      <c r="H595">
        <v>1.9520550000000001</v>
      </c>
      <c r="I595">
        <v>274.8997</v>
      </c>
      <c r="J595">
        <v>-368.86599999999999</v>
      </c>
      <c r="K595">
        <v>1.104692</v>
      </c>
      <c r="L595">
        <v>283.14850000000001</v>
      </c>
      <c r="M595">
        <v>-0.9995887</v>
      </c>
      <c r="N595">
        <v>0</v>
      </c>
      <c r="O595">
        <v>2.5945840000000001E-2</v>
      </c>
      <c r="P595">
        <v>-0.99549390000000004</v>
      </c>
      <c r="Q595">
        <v>9.4812999999999995E-2</v>
      </c>
      <c r="R595">
        <v>-1.5181039999999999E-3</v>
      </c>
      <c r="S595">
        <v>-3.0117189999999998</v>
      </c>
      <c r="T595">
        <v>1.7696980000000001E-2</v>
      </c>
      <c r="U595">
        <v>-0.1721191</v>
      </c>
      <c r="V595">
        <v>-2.7613349999999998E-2</v>
      </c>
      <c r="W595">
        <v>0.10690139999999999</v>
      </c>
      <c r="X595">
        <v>0.99388609999999999</v>
      </c>
      <c r="Y595">
        <v>-8.2941139999999997E-2</v>
      </c>
      <c r="Z595">
        <v>3.958419E-4</v>
      </c>
      <c r="AA595">
        <v>0.99655439999999995</v>
      </c>
      <c r="AB595">
        <v>43</v>
      </c>
      <c r="AC595">
        <v>-143.95979999999901</v>
      </c>
      <c r="AD595">
        <v>0.84736299999999898</v>
      </c>
      <c r="AE595">
        <v>-8.2488000000000099</v>
      </c>
      <c r="AF595">
        <v>-11.981045580743301</v>
      </c>
      <c r="AG595">
        <v>0.84736299999999898</v>
      </c>
      <c r="AH595">
        <v>143.69232857236099</v>
      </c>
      <c r="AI595">
        <v>89.663295345988303</v>
      </c>
      <c r="AJ595">
        <v>94.766288816630507</v>
      </c>
      <c r="AK595">
        <v>144.19344218031901</v>
      </c>
      <c r="AL595">
        <v>83.863274520156494</v>
      </c>
      <c r="AM595">
        <v>91.591451491611593</v>
      </c>
      <c r="AN595">
        <v>0.99999999309669596</v>
      </c>
    </row>
    <row r="596" spans="1:40" x14ac:dyDescent="0.3">
      <c r="A596" t="str">
        <f>"20200111150256351"</f>
        <v>20200111150256351</v>
      </c>
      <c r="B596" t="str">
        <f>"1578726176346985"</f>
        <v>1578726176346985</v>
      </c>
      <c r="C596" t="s">
        <v>40</v>
      </c>
      <c r="D596">
        <v>5.2857599999999998</v>
      </c>
      <c r="E596">
        <v>0.44670700000000002</v>
      </c>
      <c r="F596" t="s">
        <v>57</v>
      </c>
      <c r="G596">
        <v>-512.82579999999996</v>
      </c>
      <c r="H596">
        <v>1.950013</v>
      </c>
      <c r="I596">
        <v>274.86130000000003</v>
      </c>
      <c r="J596">
        <v>-369.14760000000001</v>
      </c>
      <c r="K596">
        <v>1.104708</v>
      </c>
      <c r="L596">
        <v>283.15539999999999</v>
      </c>
      <c r="M596">
        <v>-0.99960510000000002</v>
      </c>
      <c r="N596">
        <v>0</v>
      </c>
      <c r="O596">
        <v>2.5304759999999999E-2</v>
      </c>
      <c r="P596">
        <v>-0.99549929999999998</v>
      </c>
      <c r="Q596">
        <v>9.4756980000000005E-2</v>
      </c>
      <c r="R596">
        <v>-1.464751E-3</v>
      </c>
      <c r="S596">
        <v>-3.0116580000000002</v>
      </c>
      <c r="T596">
        <v>1.7685889999999999E-2</v>
      </c>
      <c r="U596">
        <v>-0.17337040000000001</v>
      </c>
      <c r="V596">
        <v>-2.6925839999999999E-2</v>
      </c>
      <c r="W596">
        <v>0.10684639999999999</v>
      </c>
      <c r="X596">
        <v>0.99391090000000004</v>
      </c>
      <c r="Y596">
        <v>-8.2715830000000004E-2</v>
      </c>
      <c r="Z596">
        <v>3.9117399999999999E-4</v>
      </c>
      <c r="AA596">
        <v>0.99657309999999999</v>
      </c>
      <c r="AB596">
        <v>43</v>
      </c>
      <c r="AC596">
        <v>-143.67819999999901</v>
      </c>
      <c r="AD596">
        <v>0.84530499999999997</v>
      </c>
      <c r="AE596">
        <v>-8.2940999999999505</v>
      </c>
      <c r="AF596">
        <v>-11.927046059396799</v>
      </c>
      <c r="AG596">
        <v>0.84530499999999997</v>
      </c>
      <c r="AH596">
        <v>143.41734140336399</v>
      </c>
      <c r="AI596">
        <v>89.663463044386503</v>
      </c>
      <c r="AJ596">
        <v>94.753961261444204</v>
      </c>
      <c r="AK596">
        <v>143.91491508337501</v>
      </c>
      <c r="AL596">
        <v>83.866444079173306</v>
      </c>
      <c r="AM596">
        <v>91.551808866579904</v>
      </c>
      <c r="AN596">
        <v>1.00000001559573</v>
      </c>
    </row>
    <row r="597" spans="1:40" x14ac:dyDescent="0.3">
      <c r="A597" t="str">
        <f>"20200111150256365"</f>
        <v>20200111150256365</v>
      </c>
      <c r="B597" t="str">
        <f>"1578726176357721"</f>
        <v>1578726176357721</v>
      </c>
      <c r="C597" t="s">
        <v>40</v>
      </c>
      <c r="D597">
        <v>5.3434549999999996</v>
      </c>
      <c r="E597">
        <v>0.44621230000000001</v>
      </c>
      <c r="F597" t="s">
        <v>57</v>
      </c>
      <c r="G597">
        <v>-512.82539999999995</v>
      </c>
      <c r="H597">
        <v>0.64339999999999997</v>
      </c>
      <c r="I597">
        <v>262.28250000000003</v>
      </c>
      <c r="J597">
        <v>-369.43889999999999</v>
      </c>
      <c r="K597">
        <v>1.1047199999999999</v>
      </c>
      <c r="L597">
        <v>283.16230000000002</v>
      </c>
      <c r="M597">
        <v>-0.9996218</v>
      </c>
      <c r="N597">
        <v>0</v>
      </c>
      <c r="O597">
        <v>2.4640289999999999E-2</v>
      </c>
      <c r="P597">
        <v>-0.99550680000000003</v>
      </c>
      <c r="Q597">
        <v>9.468907E-2</v>
      </c>
      <c r="R597">
        <v>-7.3760109999999998E-4</v>
      </c>
      <c r="S597">
        <v>-3.0138240000000001</v>
      </c>
      <c r="T597">
        <v>-9.674907E-3</v>
      </c>
      <c r="U597">
        <v>-0.43783569999999999</v>
      </c>
      <c r="V597">
        <v>-2.5541640000000001E-2</v>
      </c>
      <c r="W597">
        <v>0.1067795</v>
      </c>
      <c r="X597">
        <v>0.99395460000000002</v>
      </c>
      <c r="Y597">
        <v>-0.16810810000000001</v>
      </c>
      <c r="Z597">
        <v>-3.4714019999999997E-4</v>
      </c>
      <c r="AA597">
        <v>0.98576850000000005</v>
      </c>
      <c r="AB597">
        <v>43</v>
      </c>
      <c r="AC597">
        <v>-143.38649999999899</v>
      </c>
      <c r="AD597">
        <v>-0.46132000000000001</v>
      </c>
      <c r="AE597">
        <v>-20.8797999999999</v>
      </c>
      <c r="AF597">
        <v>-24.406560566871299</v>
      </c>
      <c r="AG597">
        <v>-0.46132000000000001</v>
      </c>
      <c r="AH597">
        <v>142.82698836624701</v>
      </c>
      <c r="AI597">
        <v>90.182416089925198</v>
      </c>
      <c r="AJ597">
        <v>99.697153254010303</v>
      </c>
      <c r="AK597">
        <v>144.898038705218</v>
      </c>
      <c r="AL597">
        <v>83.870299075886507</v>
      </c>
      <c r="AM597">
        <v>91.472005042969897</v>
      </c>
      <c r="AN597">
        <v>0.99999999192764899</v>
      </c>
    </row>
    <row r="598" spans="1:40" x14ac:dyDescent="0.3">
      <c r="A598" t="str">
        <f>"20200111150256387"</f>
        <v>20200111150256387</v>
      </c>
      <c r="B598" t="str">
        <f>"1578726176377241"</f>
        <v>1578726176377241</v>
      </c>
      <c r="C598" t="s">
        <v>40</v>
      </c>
      <c r="D598">
        <v>5.2835609999999997</v>
      </c>
      <c r="E598">
        <v>0.445739</v>
      </c>
      <c r="F598" t="s">
        <v>43</v>
      </c>
      <c r="G598">
        <v>-449.75819999999999</v>
      </c>
      <c r="H598">
        <v>-0.05</v>
      </c>
      <c r="I598">
        <v>271.43740000000003</v>
      </c>
      <c r="J598">
        <v>-369.84859999999998</v>
      </c>
      <c r="K598">
        <v>1.1047400000000001</v>
      </c>
      <c r="L598">
        <v>283.17160000000001</v>
      </c>
      <c r="M598">
        <v>-0.99964430000000004</v>
      </c>
      <c r="N598">
        <v>0</v>
      </c>
      <c r="O598">
        <v>2.3703950000000001E-2</v>
      </c>
      <c r="P598">
        <v>-0.99550039999999995</v>
      </c>
      <c r="Q598">
        <v>9.475401E-2</v>
      </c>
      <c r="R598">
        <v>-8.4152839999999897E-4</v>
      </c>
      <c r="S598">
        <v>-3.0173030000000001</v>
      </c>
      <c r="T598">
        <v>-4.3378590000000002E-2</v>
      </c>
      <c r="U598">
        <v>-0.44046020000000002</v>
      </c>
      <c r="V598">
        <v>-2.4717739999999998E-2</v>
      </c>
      <c r="W598">
        <v>0.1068412</v>
      </c>
      <c r="X598">
        <v>0.99396879999999999</v>
      </c>
      <c r="Y598">
        <v>-0.1678443</v>
      </c>
      <c r="Z598">
        <v>-1.539211E-3</v>
      </c>
      <c r="AA598">
        <v>0.98581229999999997</v>
      </c>
      <c r="AB598">
        <v>43</v>
      </c>
      <c r="AC598">
        <v>-79.909599999999998</v>
      </c>
      <c r="AD598">
        <v>-1.1547399999999901</v>
      </c>
      <c r="AE598">
        <v>-11.7341999999999</v>
      </c>
      <c r="AF598">
        <v>-13.622432541988401</v>
      </c>
      <c r="AG598">
        <v>-1.1547399999999901</v>
      </c>
      <c r="AH598">
        <v>79.592706462231206</v>
      </c>
      <c r="AI598">
        <v>90.819284001274696</v>
      </c>
      <c r="AJ598">
        <v>99.712171025026194</v>
      </c>
      <c r="AK598">
        <v>80.758299974748894</v>
      </c>
      <c r="AL598">
        <v>83.866743587407797</v>
      </c>
      <c r="AM598">
        <v>91.424521933757902</v>
      </c>
      <c r="AN598">
        <v>0.99999999203079304</v>
      </c>
    </row>
    <row r="599" spans="1:40" x14ac:dyDescent="0.3">
      <c r="A599" t="str">
        <f>"20200111150256411"</f>
        <v>20200111150256411</v>
      </c>
      <c r="B599" t="str">
        <f>"1578726176407497"</f>
        <v>1578726176407497</v>
      </c>
      <c r="C599" t="s">
        <v>40</v>
      </c>
      <c r="D599">
        <v>5.257307</v>
      </c>
      <c r="E599">
        <v>0.44543509999999997</v>
      </c>
      <c r="F599" t="s">
        <v>59</v>
      </c>
      <c r="G599">
        <v>-409.423</v>
      </c>
      <c r="H599">
        <v>8.0001219999999998E-2</v>
      </c>
      <c r="I599">
        <v>277.34059999999999</v>
      </c>
      <c r="J599">
        <v>-370.28800000000001</v>
      </c>
      <c r="K599">
        <v>1.104751</v>
      </c>
      <c r="L599">
        <v>283.18130000000002</v>
      </c>
      <c r="M599">
        <v>-0.99966790000000005</v>
      </c>
      <c r="N599">
        <v>0</v>
      </c>
      <c r="O599">
        <v>2.269792E-2</v>
      </c>
      <c r="P599">
        <v>-0.99548449999999999</v>
      </c>
      <c r="Q599">
        <v>9.4922259999999994E-2</v>
      </c>
      <c r="R599">
        <v>-8.2204479999999905E-4</v>
      </c>
      <c r="S599">
        <v>-3.0206300000000001</v>
      </c>
      <c r="T599">
        <v>-7.8216079999999993E-2</v>
      </c>
      <c r="U599">
        <v>-0.44506839999999998</v>
      </c>
      <c r="V599">
        <v>-2.3701130000000001E-2</v>
      </c>
      <c r="W599">
        <v>0.1070043</v>
      </c>
      <c r="X599">
        <v>0.99397610000000003</v>
      </c>
      <c r="Y599">
        <v>-0.168126</v>
      </c>
      <c r="Z599">
        <v>-2.7494160000000002E-3</v>
      </c>
      <c r="AA599">
        <v>0.98576169999999996</v>
      </c>
      <c r="AB599">
        <v>43</v>
      </c>
      <c r="AC599">
        <v>-39.134999999999899</v>
      </c>
      <c r="AD599">
        <v>-1.0247497800000001</v>
      </c>
      <c r="AE599">
        <v>-5.8407000000000204</v>
      </c>
      <c r="AF599">
        <v>-6.7230350306528504</v>
      </c>
      <c r="AG599">
        <v>-1.0247497800000001</v>
      </c>
      <c r="AH599">
        <v>38.966199305698701</v>
      </c>
      <c r="AI599">
        <v>91.484517947635297</v>
      </c>
      <c r="AJ599">
        <v>99.789153676014294</v>
      </c>
      <c r="AK599">
        <v>39.555201939396497</v>
      </c>
      <c r="AL599">
        <v>83.857345280515005</v>
      </c>
      <c r="AM599">
        <v>91.365945757859507</v>
      </c>
      <c r="AN599">
        <v>1.00000007557648</v>
      </c>
    </row>
    <row r="600" spans="1:40" x14ac:dyDescent="0.3">
      <c r="A600" t="str">
        <f>"20200111150256424"</f>
        <v>20200111150256424</v>
      </c>
      <c r="B600" t="str">
        <f>"1578726176417257"</f>
        <v>1578726176417257</v>
      </c>
      <c r="C600" t="s">
        <v>40</v>
      </c>
      <c r="D600">
        <v>5.2743710000000004</v>
      </c>
      <c r="E600">
        <v>0.44563199999999997</v>
      </c>
      <c r="F600" t="s">
        <v>59</v>
      </c>
      <c r="G600">
        <v>-403.47710000000001</v>
      </c>
      <c r="H600">
        <v>8.0001340000000004E-2</v>
      </c>
      <c r="I600">
        <v>278.26170000000002</v>
      </c>
      <c r="J600">
        <v>-370.57650000000001</v>
      </c>
      <c r="K600">
        <v>1.1047640000000001</v>
      </c>
      <c r="L600">
        <v>283.18729999999999</v>
      </c>
      <c r="M600">
        <v>-0.99968279999999998</v>
      </c>
      <c r="N600">
        <v>0</v>
      </c>
      <c r="O600">
        <v>2.2036759999999999E-2</v>
      </c>
      <c r="P600">
        <v>-0.99550660000000002</v>
      </c>
      <c r="Q600">
        <v>9.4687389999999996E-2</v>
      </c>
      <c r="R600">
        <v>-1.055376E-3</v>
      </c>
      <c r="S600">
        <v>-3.022125</v>
      </c>
      <c r="T600">
        <v>-9.3311309999999995E-2</v>
      </c>
      <c r="U600">
        <v>-0.44796750000000002</v>
      </c>
      <c r="V600">
        <v>-2.3278009999999998E-2</v>
      </c>
      <c r="W600">
        <v>0.10676529999999999</v>
      </c>
      <c r="X600">
        <v>0.99401170000000005</v>
      </c>
      <c r="Y600">
        <v>-0.16830300000000001</v>
      </c>
      <c r="Z600">
        <v>-3.2603789999999999E-3</v>
      </c>
      <c r="AA600">
        <v>0.98572990000000005</v>
      </c>
      <c r="AB600">
        <v>43</v>
      </c>
      <c r="AC600">
        <v>-32.900599999999997</v>
      </c>
      <c r="AD600">
        <v>-1.0247626599999999</v>
      </c>
      <c r="AE600">
        <v>-4.92559999999997</v>
      </c>
      <c r="AF600">
        <v>-5.6441246153581099</v>
      </c>
      <c r="AG600">
        <v>-1.0247626599999999</v>
      </c>
      <c r="AH600">
        <v>32.752978209982899</v>
      </c>
      <c r="AI600">
        <v>91.766050582878606</v>
      </c>
      <c r="AJ600">
        <v>99.777411388465396</v>
      </c>
      <c r="AK600">
        <v>33.251524217795499</v>
      </c>
      <c r="AL600">
        <v>83.871117264186907</v>
      </c>
      <c r="AM600">
        <v>91.341521428948596</v>
      </c>
      <c r="AN600">
        <v>0.99999997738526902</v>
      </c>
    </row>
    <row r="601" spans="1:40" x14ac:dyDescent="0.3">
      <c r="A601" t="str">
        <f>"20200111150256444"</f>
        <v>20200111150256444</v>
      </c>
      <c r="B601" t="str">
        <f>"1578726176436776"</f>
        <v>1578726176436776</v>
      </c>
      <c r="C601" t="s">
        <v>40</v>
      </c>
      <c r="D601">
        <v>5.2525870000000001</v>
      </c>
      <c r="E601">
        <v>0.44573679999999899</v>
      </c>
      <c r="F601" t="s">
        <v>59</v>
      </c>
      <c r="G601">
        <v>-402.25029999999998</v>
      </c>
      <c r="H601">
        <v>8.0001500000000003E-2</v>
      </c>
      <c r="I601">
        <v>278.49979999999999</v>
      </c>
      <c r="J601">
        <v>-370.94600000000003</v>
      </c>
      <c r="K601">
        <v>1.1047739999999999</v>
      </c>
      <c r="L601">
        <v>283.19479999999999</v>
      </c>
      <c r="M601">
        <v>-0.99970110000000001</v>
      </c>
      <c r="N601">
        <v>0</v>
      </c>
      <c r="O601">
        <v>2.118921E-2</v>
      </c>
      <c r="P601">
        <v>-0.99548349999999997</v>
      </c>
      <c r="Q601">
        <v>9.492362E-2</v>
      </c>
      <c r="R601">
        <v>-1.47775799999999E-3</v>
      </c>
      <c r="S601">
        <v>-3.0223689999999999</v>
      </c>
      <c r="T601">
        <v>-9.7784640000000006E-2</v>
      </c>
      <c r="U601">
        <v>-0.44729609999999898</v>
      </c>
      <c r="V601">
        <v>-2.2859850000000001E-2</v>
      </c>
      <c r="W601">
        <v>0.1069962</v>
      </c>
      <c r="X601">
        <v>0.99399660000000001</v>
      </c>
      <c r="Y601">
        <v>-0.16723360000000001</v>
      </c>
      <c r="Z601">
        <v>-3.3719000000000002E-3</v>
      </c>
      <c r="AA601">
        <v>0.98591150000000005</v>
      </c>
      <c r="AB601">
        <v>43</v>
      </c>
      <c r="AC601">
        <v>-31.304300000000001</v>
      </c>
      <c r="AD601">
        <v>-1.0247725000000001</v>
      </c>
      <c r="AE601">
        <v>-4.6949999999999896</v>
      </c>
      <c r="AF601">
        <v>-5.3516995534626899</v>
      </c>
      <c r="AG601">
        <v>-1.0247725000000001</v>
      </c>
      <c r="AH601">
        <v>31.165116962824101</v>
      </c>
      <c r="AI601">
        <v>91.856174103947396</v>
      </c>
      <c r="AJ601">
        <v>99.743844533175604</v>
      </c>
      <c r="AK601">
        <v>31.637878596609401</v>
      </c>
      <c r="AL601">
        <v>83.857811591198001</v>
      </c>
      <c r="AM601">
        <v>91.317451270744201</v>
      </c>
      <c r="AN601">
        <v>1.0000000001840099</v>
      </c>
    </row>
    <row r="602" spans="1:40" x14ac:dyDescent="0.3">
      <c r="A602" t="str">
        <f>"20200111150256466"</f>
        <v>20200111150256466</v>
      </c>
      <c r="B602" t="str">
        <f>"1578726176457272"</f>
        <v>1578726176457272</v>
      </c>
      <c r="C602" t="s">
        <v>40</v>
      </c>
      <c r="D602">
        <v>5.2575469999999997</v>
      </c>
      <c r="E602">
        <v>0.44578909999999999</v>
      </c>
      <c r="F602" t="s">
        <v>59</v>
      </c>
      <c r="G602">
        <v>-400.90890000000002</v>
      </c>
      <c r="H602">
        <v>8.000169E-2</v>
      </c>
      <c r="I602">
        <v>278.75599999999997</v>
      </c>
      <c r="J602">
        <v>-371.36380000000003</v>
      </c>
      <c r="K602">
        <v>1.1047849999999999</v>
      </c>
      <c r="L602">
        <v>283.2029</v>
      </c>
      <c r="M602">
        <v>-0.99972110000000003</v>
      </c>
      <c r="N602">
        <v>0</v>
      </c>
      <c r="O602">
        <v>2.0230919999999999E-2</v>
      </c>
      <c r="P602">
        <v>-0.99540810000000002</v>
      </c>
      <c r="Q602">
        <v>9.5674499999999996E-2</v>
      </c>
      <c r="R602">
        <v>-3.0902999999999998E-3</v>
      </c>
      <c r="S602">
        <v>-3.0228269999999999</v>
      </c>
      <c r="T602">
        <v>-0.1033849</v>
      </c>
      <c r="U602">
        <v>-0.44781490000000002</v>
      </c>
      <c r="V602">
        <v>-2.3520099999999999E-2</v>
      </c>
      <c r="W602">
        <v>0.10773770000000001</v>
      </c>
      <c r="X602">
        <v>0.99390109999999998</v>
      </c>
      <c r="Y602">
        <v>-0.16642219999999999</v>
      </c>
      <c r="Z602">
        <v>-3.517919E-3</v>
      </c>
      <c r="AA602">
        <v>0.98604829999999999</v>
      </c>
      <c r="AB602">
        <v>43</v>
      </c>
      <c r="AC602">
        <v>-29.545099999999898</v>
      </c>
      <c r="AD602">
        <v>-1.0247833099999999</v>
      </c>
      <c r="AE602">
        <v>-4.4469000000000198</v>
      </c>
      <c r="AF602">
        <v>-5.0378320213005798</v>
      </c>
      <c r="AG602">
        <v>-1.0247833099999999</v>
      </c>
      <c r="AH602">
        <v>29.414476725821299</v>
      </c>
      <c r="AI602">
        <v>91.966730529448398</v>
      </c>
      <c r="AJ602">
        <v>99.718779838193598</v>
      </c>
      <c r="AK602">
        <v>29.860364588550802</v>
      </c>
      <c r="AL602">
        <v>83.815079766974705</v>
      </c>
      <c r="AM602">
        <v>91.355618776820293</v>
      </c>
      <c r="AN602">
        <v>1.00000000184325</v>
      </c>
    </row>
    <row r="603" spans="1:40" x14ac:dyDescent="0.3">
      <c r="A603" t="str">
        <f>"20200111150256479"</f>
        <v>20200111150256479</v>
      </c>
      <c r="B603" t="str">
        <f>"1578726176467033"</f>
        <v>1578726176467033</v>
      </c>
      <c r="C603" t="s">
        <v>40</v>
      </c>
      <c r="D603">
        <v>5.2464950000000004</v>
      </c>
      <c r="E603">
        <v>0.44588499999999998</v>
      </c>
      <c r="F603" t="s">
        <v>59</v>
      </c>
      <c r="G603">
        <v>-400.76710000000003</v>
      </c>
      <c r="H603">
        <v>8.0001699999999995E-2</v>
      </c>
      <c r="I603">
        <v>278.8023</v>
      </c>
      <c r="J603">
        <v>-371.6189</v>
      </c>
      <c r="K603">
        <v>1.104792</v>
      </c>
      <c r="L603">
        <v>283.20760000000001</v>
      </c>
      <c r="M603">
        <v>-0.99973270000000003</v>
      </c>
      <c r="N603">
        <v>0</v>
      </c>
      <c r="O603">
        <v>1.964521E-2</v>
      </c>
      <c r="P603">
        <v>-0.99536449999999999</v>
      </c>
      <c r="Q603">
        <v>9.6079739999999997E-2</v>
      </c>
      <c r="R603">
        <v>-4.2741960000000001E-3</v>
      </c>
      <c r="S603">
        <v>-3.0225520000000001</v>
      </c>
      <c r="T603">
        <v>-0.1053439</v>
      </c>
      <c r="U603">
        <v>-0.45236209999999999</v>
      </c>
      <c r="V603">
        <v>-2.4122830000000001E-2</v>
      </c>
      <c r="W603">
        <v>0.1081363</v>
      </c>
      <c r="X603">
        <v>0.99384340000000004</v>
      </c>
      <c r="Y603">
        <v>-0.16730439999999999</v>
      </c>
      <c r="Z603">
        <v>-3.5794469999999999E-3</v>
      </c>
      <c r="AA603">
        <v>0.98589879999999996</v>
      </c>
      <c r="AB603">
        <v>43</v>
      </c>
      <c r="AC603">
        <v>-29.148199999999999</v>
      </c>
      <c r="AD603">
        <v>-1.0247903</v>
      </c>
      <c r="AE603">
        <v>-4.4053000000000102</v>
      </c>
      <c r="AF603">
        <v>-4.9711073073486203</v>
      </c>
      <c r="AG603">
        <v>-1.0247903</v>
      </c>
      <c r="AH603">
        <v>29.020953368782099</v>
      </c>
      <c r="AI603">
        <v>91.993383857727594</v>
      </c>
      <c r="AJ603">
        <v>99.720073018376297</v>
      </c>
      <c r="AK603">
        <v>29.461463599983801</v>
      </c>
      <c r="AL603">
        <v>83.792107678052105</v>
      </c>
      <c r="AM603">
        <v>91.390425312052301</v>
      </c>
      <c r="AN603">
        <v>1.0000000370142199</v>
      </c>
    </row>
    <row r="604" spans="1:40" x14ac:dyDescent="0.3">
      <c r="A604" t="str">
        <f>"20200111150256500"</f>
        <v>20200111150256500</v>
      </c>
      <c r="B604" t="str">
        <f>"1578726176497288"</f>
        <v>1578726176497288</v>
      </c>
      <c r="C604" t="s">
        <v>40</v>
      </c>
      <c r="D604">
        <v>5.2747279999999996</v>
      </c>
      <c r="E604">
        <v>0.44567329999999999</v>
      </c>
      <c r="F604" t="s">
        <v>59</v>
      </c>
      <c r="G604">
        <v>-400.37959999999998</v>
      </c>
      <c r="H604">
        <v>8.0001749999999996E-2</v>
      </c>
      <c r="I604">
        <v>278.87430000000001</v>
      </c>
      <c r="J604">
        <v>-372.01870000000002</v>
      </c>
      <c r="K604">
        <v>1.1047959999999999</v>
      </c>
      <c r="L604">
        <v>283.21469999999999</v>
      </c>
      <c r="M604">
        <v>-0.99975040000000004</v>
      </c>
      <c r="N604">
        <v>0</v>
      </c>
      <c r="O604">
        <v>1.8726429999999999E-2</v>
      </c>
      <c r="P604">
        <v>-0.99536210000000003</v>
      </c>
      <c r="Q604">
        <v>9.6000920000000003E-2</v>
      </c>
      <c r="R604">
        <v>-6.188944E-3</v>
      </c>
      <c r="S604">
        <v>-3.0224299999999999</v>
      </c>
      <c r="T604">
        <v>-0.107694</v>
      </c>
      <c r="U604">
        <v>-0.45538329999999999</v>
      </c>
      <c r="V604">
        <v>-2.5123940000000001E-2</v>
      </c>
      <c r="W604">
        <v>0.10804859999999999</v>
      </c>
      <c r="X604">
        <v>0.99382809999999999</v>
      </c>
      <c r="Y604">
        <v>-0.1673635</v>
      </c>
      <c r="Z604">
        <v>-3.6276120000000001E-3</v>
      </c>
      <c r="AA604">
        <v>0.9858886</v>
      </c>
      <c r="AB604">
        <v>43</v>
      </c>
      <c r="AC604">
        <v>-28.360899999999901</v>
      </c>
      <c r="AD604">
        <v>-1.02479424999999</v>
      </c>
      <c r="AE604">
        <v>-4.3403999999999803</v>
      </c>
      <c r="AF604">
        <v>-4.8645704490751003</v>
      </c>
      <c r="AG604">
        <v>-1.02479424999999</v>
      </c>
      <c r="AH604">
        <v>28.238613306811601</v>
      </c>
      <c r="AI604">
        <v>92.048239029040303</v>
      </c>
      <c r="AJ604">
        <v>99.774217824874199</v>
      </c>
      <c r="AK604">
        <v>28.6728709828731</v>
      </c>
      <c r="AL604">
        <v>83.797161916609198</v>
      </c>
      <c r="AM604">
        <v>91.448126889247803</v>
      </c>
      <c r="AN604">
        <v>1.00000000233634</v>
      </c>
    </row>
    <row r="605" spans="1:40" x14ac:dyDescent="0.3">
      <c r="A605" t="str">
        <f>"20200111150256522"</f>
        <v>20200111150256522</v>
      </c>
      <c r="B605" t="str">
        <f>"1578726176517785"</f>
        <v>1578726176517785</v>
      </c>
      <c r="C605" t="s">
        <v>40</v>
      </c>
      <c r="D605">
        <v>5.2790629999999998</v>
      </c>
      <c r="E605">
        <v>0.44553569999999998</v>
      </c>
      <c r="F605" t="s">
        <v>56</v>
      </c>
      <c r="G605">
        <v>-399.39519999999999</v>
      </c>
      <c r="H605">
        <v>8.0000160000000001E-2</v>
      </c>
      <c r="I605">
        <v>279.02</v>
      </c>
      <c r="J605">
        <v>-372.4486</v>
      </c>
      <c r="K605">
        <v>1.1048070000000001</v>
      </c>
      <c r="L605">
        <v>283.22199999999998</v>
      </c>
      <c r="M605">
        <v>-0.99976860000000001</v>
      </c>
      <c r="N605">
        <v>0</v>
      </c>
      <c r="O605">
        <v>1.7737869999999999E-2</v>
      </c>
      <c r="P605">
        <v>-0.99526300000000001</v>
      </c>
      <c r="Q605">
        <v>9.6863469999999993E-2</v>
      </c>
      <c r="R605">
        <v>-8.3302519999999998E-3</v>
      </c>
      <c r="S605">
        <v>-3.0220340000000001</v>
      </c>
      <c r="T605">
        <v>-0.1131248</v>
      </c>
      <c r="U605">
        <v>-0.46304319999999999</v>
      </c>
      <c r="V605">
        <v>-2.6282969999999999E-2</v>
      </c>
      <c r="W605">
        <v>0.1089019</v>
      </c>
      <c r="X605">
        <v>0.99370499999999995</v>
      </c>
      <c r="Y605">
        <v>-0.16883779999999901</v>
      </c>
      <c r="Z605">
        <v>-3.800823E-3</v>
      </c>
      <c r="AA605">
        <v>0.98563650000000003</v>
      </c>
      <c r="AB605">
        <v>43</v>
      </c>
      <c r="AC605">
        <v>-26.946599999999901</v>
      </c>
      <c r="AD605">
        <v>-1.0248068400000001</v>
      </c>
      <c r="AE605">
        <v>-4.2019999999999902</v>
      </c>
      <c r="AF605">
        <v>-4.6727514637896803</v>
      </c>
      <c r="AG605">
        <v>-1.0248068400000001</v>
      </c>
      <c r="AH605">
        <v>26.829935364838398</v>
      </c>
      <c r="AI605">
        <v>92.155020914686105</v>
      </c>
      <c r="AJ605">
        <v>99.879644004592606</v>
      </c>
      <c r="AK605">
        <v>27.253078119417399</v>
      </c>
      <c r="AL605">
        <v>83.747981346290501</v>
      </c>
      <c r="AM605">
        <v>91.515089727423998</v>
      </c>
      <c r="AN605">
        <v>1.0000000226803101</v>
      </c>
    </row>
    <row r="606" spans="1:40" x14ac:dyDescent="0.3">
      <c r="A606" t="str">
        <f>"20200111150256545"</f>
        <v>20200111150256545</v>
      </c>
      <c r="B606" t="str">
        <f>"1578726176537304"</f>
        <v>1578726176537304</v>
      </c>
      <c r="C606" t="s">
        <v>40</v>
      </c>
      <c r="D606">
        <v>5.2338760000000004</v>
      </c>
      <c r="E606">
        <v>0.44551750000000001</v>
      </c>
      <c r="F606" t="s">
        <v>56</v>
      </c>
      <c r="G606">
        <v>-399.68740000000003</v>
      </c>
      <c r="H606">
        <v>8.0000089999999996E-2</v>
      </c>
      <c r="I606">
        <v>278.98230000000001</v>
      </c>
      <c r="J606">
        <v>-372.89370000000002</v>
      </c>
      <c r="K606">
        <v>1.1048119999999999</v>
      </c>
      <c r="L606">
        <v>283.22899999999998</v>
      </c>
      <c r="M606">
        <v>-0.99978619999999996</v>
      </c>
      <c r="N606">
        <v>0</v>
      </c>
      <c r="O606">
        <v>1.671744E-2</v>
      </c>
      <c r="P606">
        <v>-0.99521780000000004</v>
      </c>
      <c r="Q606">
        <v>9.7101000000000007E-2</v>
      </c>
      <c r="R606">
        <v>-1.06379E-2</v>
      </c>
      <c r="S606">
        <v>-3.0213930000000002</v>
      </c>
      <c r="T606">
        <v>-0.11367389999999999</v>
      </c>
      <c r="U606">
        <v>-0.47027590000000002</v>
      </c>
      <c r="V606">
        <v>-2.7574870000000001E-2</v>
      </c>
      <c r="W606">
        <v>0.1091308</v>
      </c>
      <c r="X606">
        <v>0.99364479999999999</v>
      </c>
      <c r="Y606">
        <v>-0.17016600000000001</v>
      </c>
      <c r="Z606">
        <v>-3.806023E-3</v>
      </c>
      <c r="AA606">
        <v>0.98540810000000001</v>
      </c>
      <c r="AB606">
        <v>43</v>
      </c>
      <c r="AC606">
        <v>-26.793700000000001</v>
      </c>
      <c r="AD606">
        <v>-1.0248119099999999</v>
      </c>
      <c r="AE606">
        <v>-4.2467000000000299</v>
      </c>
      <c r="AF606">
        <v>-4.6873724449601903</v>
      </c>
      <c r="AG606">
        <v>-1.0248119099999999</v>
      </c>
      <c r="AH606">
        <v>26.680880214527399</v>
      </c>
      <c r="AI606">
        <v>92.166500573185402</v>
      </c>
      <c r="AJ606">
        <v>99.964201625860596</v>
      </c>
      <c r="AK606">
        <v>27.108874357129</v>
      </c>
      <c r="AL606">
        <v>83.734787230448205</v>
      </c>
      <c r="AM606">
        <v>91.589620633232997</v>
      </c>
      <c r="AN606">
        <v>0.999999946765597</v>
      </c>
    </row>
    <row r="607" spans="1:40" x14ac:dyDescent="0.3">
      <c r="A607" t="str">
        <f>"20200111150256566"</f>
        <v>20200111150256566</v>
      </c>
      <c r="B607" t="str">
        <f>"1578726176556827"</f>
        <v>1578726176556827</v>
      </c>
      <c r="C607" t="s">
        <v>40</v>
      </c>
      <c r="D607">
        <v>5.2522669999999998</v>
      </c>
      <c r="E607">
        <v>0.4454516</v>
      </c>
      <c r="F607" t="s">
        <v>56</v>
      </c>
      <c r="G607">
        <v>-399.23860000000002</v>
      </c>
      <c r="H607">
        <v>8.0000210000000002E-2</v>
      </c>
      <c r="I607">
        <v>279.0684</v>
      </c>
      <c r="J607">
        <v>-373.3091</v>
      </c>
      <c r="K607">
        <v>1.1048089999999999</v>
      </c>
      <c r="L607">
        <v>283.23520000000002</v>
      </c>
      <c r="M607">
        <v>-0.99980150000000001</v>
      </c>
      <c r="N607">
        <v>0</v>
      </c>
      <c r="O607">
        <v>1.5773079999999998E-2</v>
      </c>
      <c r="P607">
        <v>-0.99509449999999999</v>
      </c>
      <c r="Q607">
        <v>9.8135630000000001E-2</v>
      </c>
      <c r="R607">
        <v>-1.24934E-2</v>
      </c>
      <c r="S607">
        <v>-3.020813</v>
      </c>
      <c r="T607">
        <v>-0.117509199999999</v>
      </c>
      <c r="U607">
        <v>-0.47708129999999999</v>
      </c>
      <c r="V607">
        <v>-2.849175E-2</v>
      </c>
      <c r="W607">
        <v>0.1101579</v>
      </c>
      <c r="X607">
        <v>0.99350570000000005</v>
      </c>
      <c r="Y607">
        <v>-0.1714215</v>
      </c>
      <c r="Z607">
        <v>-3.9221530000000003E-3</v>
      </c>
      <c r="AA607">
        <v>0.98519000000000001</v>
      </c>
      <c r="AB607">
        <v>43</v>
      </c>
      <c r="AC607">
        <v>-25.929500000000001</v>
      </c>
      <c r="AD607">
        <v>-1.02480879</v>
      </c>
      <c r="AE607">
        <v>-4.1668000000000198</v>
      </c>
      <c r="AF607">
        <v>-4.5683435602966398</v>
      </c>
      <c r="AG607">
        <v>-1.02480879</v>
      </c>
      <c r="AH607">
        <v>25.8212267612274</v>
      </c>
      <c r="AI607">
        <v>92.238076022353596</v>
      </c>
      <c r="AJ607">
        <v>100.033061755113</v>
      </c>
      <c r="AK607">
        <v>26.242251187649501</v>
      </c>
      <c r="AL607">
        <v>83.675582487684906</v>
      </c>
      <c r="AM607">
        <v>91.642677763096202</v>
      </c>
      <c r="AN607">
        <v>1.00000005934147</v>
      </c>
    </row>
    <row r="608" spans="1:40" x14ac:dyDescent="0.3">
      <c r="A608" t="str">
        <f>"20200111150256588"</f>
        <v>20200111150256588</v>
      </c>
      <c r="B608" t="str">
        <f>"1578726176577320"</f>
        <v>1578726176577320</v>
      </c>
      <c r="C608" t="s">
        <v>40</v>
      </c>
      <c r="D608">
        <v>5.2648260000000002</v>
      </c>
      <c r="E608">
        <v>0.44537870000000002</v>
      </c>
      <c r="F608" t="s">
        <v>59</v>
      </c>
      <c r="G608">
        <v>-400.51429999999999</v>
      </c>
      <c r="H608">
        <v>8.0001729999999993E-2</v>
      </c>
      <c r="I608">
        <v>278.88380000000001</v>
      </c>
      <c r="J608">
        <v>-373.73649999999998</v>
      </c>
      <c r="K608">
        <v>1.1048039999999999</v>
      </c>
      <c r="L608">
        <v>283.24119999999999</v>
      </c>
      <c r="M608">
        <v>-0.99981640000000005</v>
      </c>
      <c r="N608">
        <v>0</v>
      </c>
      <c r="O608">
        <v>1.4814870000000001E-2</v>
      </c>
      <c r="P608">
        <v>-0.99505319999999997</v>
      </c>
      <c r="Q608">
        <v>9.8426130000000001E-2</v>
      </c>
      <c r="R608">
        <v>-1.348472E-2</v>
      </c>
      <c r="S608">
        <v>-3.0199280000000002</v>
      </c>
      <c r="T608">
        <v>-0.1137595</v>
      </c>
      <c r="U608">
        <v>-0.48303220000000002</v>
      </c>
      <c r="V608">
        <v>-2.8527790000000001E-2</v>
      </c>
      <c r="W608">
        <v>0.1104446</v>
      </c>
      <c r="X608">
        <v>0.99347280000000004</v>
      </c>
      <c r="Y608">
        <v>-0.17242379999999999</v>
      </c>
      <c r="Z608">
        <v>-3.780477E-3</v>
      </c>
      <c r="AA608">
        <v>0.98501559999999999</v>
      </c>
      <c r="AB608">
        <v>43</v>
      </c>
      <c r="AC608">
        <v>-26.777799999999999</v>
      </c>
      <c r="AD608">
        <v>-1.0248022699999999</v>
      </c>
      <c r="AE608">
        <v>-4.3573999999999797</v>
      </c>
      <c r="AF608">
        <v>-4.7468875186147201</v>
      </c>
      <c r="AG608">
        <v>-1.0248022699999999</v>
      </c>
      <c r="AH608">
        <v>26.672244264412601</v>
      </c>
      <c r="AI608">
        <v>92.166331686437204</v>
      </c>
      <c r="AJ608">
        <v>100.09133247035101</v>
      </c>
      <c r="AK608">
        <v>27.110731729473301</v>
      </c>
      <c r="AL608">
        <v>83.659054718424898</v>
      </c>
      <c r="AM608">
        <v>91.644808928896396</v>
      </c>
      <c r="AN608">
        <v>1.00000002440564</v>
      </c>
    </row>
    <row r="609" spans="1:40" x14ac:dyDescent="0.3">
      <c r="A609" t="str">
        <f>"20200111150256611"</f>
        <v>20200111150256611</v>
      </c>
      <c r="B609" t="str">
        <f>"1578726176607577"</f>
        <v>1578726176607577</v>
      </c>
      <c r="C609" t="s">
        <v>40</v>
      </c>
      <c r="D609">
        <v>5.2663159999999998</v>
      </c>
      <c r="E609">
        <v>0.44519730000000002</v>
      </c>
      <c r="F609" t="s">
        <v>59</v>
      </c>
      <c r="G609">
        <v>-401.42660000000001</v>
      </c>
      <c r="H609">
        <v>8.0001610000000001E-2</v>
      </c>
      <c r="I609">
        <v>278.77519999999998</v>
      </c>
      <c r="J609">
        <v>-374.17419999999998</v>
      </c>
      <c r="K609">
        <v>1.104792</v>
      </c>
      <c r="L609">
        <v>283.24689999999998</v>
      </c>
      <c r="M609">
        <v>-0.99983010000000005</v>
      </c>
      <c r="N609">
        <v>0</v>
      </c>
      <c r="O609">
        <v>1.3853310000000001E-2</v>
      </c>
      <c r="P609">
        <v>-0.99504840000000006</v>
      </c>
      <c r="Q609">
        <v>9.8363190000000003E-2</v>
      </c>
      <c r="R609">
        <v>-1.426349E-2</v>
      </c>
      <c r="S609">
        <v>-3.0193479999999999</v>
      </c>
      <c r="T609">
        <v>-0.11174480000000001</v>
      </c>
      <c r="U609">
        <v>-0.48696899999999999</v>
      </c>
      <c r="V609">
        <v>-2.8346079999999999E-2</v>
      </c>
      <c r="W609">
        <v>0.110380199999999</v>
      </c>
      <c r="X609">
        <v>0.99348519999999896</v>
      </c>
      <c r="Y609">
        <v>-0.1727629</v>
      </c>
      <c r="Z609">
        <v>-3.68476E-3</v>
      </c>
      <c r="AA609">
        <v>0.98495659999999896</v>
      </c>
      <c r="AB609">
        <v>43</v>
      </c>
      <c r="AC609">
        <v>-27.252400000000002</v>
      </c>
      <c r="AD609">
        <v>-1.0247903899999999</v>
      </c>
      <c r="AE609">
        <v>-4.4716999999999896</v>
      </c>
      <c r="AF609">
        <v>-4.8421671971278899</v>
      </c>
      <c r="AG609">
        <v>-1.0247903899999999</v>
      </c>
      <c r="AH609">
        <v>27.1504468303654</v>
      </c>
      <c r="AI609">
        <v>92.128049128525504</v>
      </c>
      <c r="AJ609">
        <v>100.112141123676</v>
      </c>
      <c r="AK609">
        <v>27.597890165678901</v>
      </c>
      <c r="AL609">
        <v>83.662767528405297</v>
      </c>
      <c r="AM609">
        <v>91.634317501776096</v>
      </c>
      <c r="AN609">
        <v>1.00000006571122</v>
      </c>
    </row>
    <row r="610" spans="1:40" x14ac:dyDescent="0.3">
      <c r="A610" t="str">
        <f>"20200111150256633"</f>
        <v>20200111150256633</v>
      </c>
      <c r="B610" t="str">
        <f>"1578726176627096"</f>
        <v>1578726176627096</v>
      </c>
      <c r="C610" t="s">
        <v>40</v>
      </c>
      <c r="D610">
        <v>5.2990640000000004</v>
      </c>
      <c r="E610">
        <v>0.44513330000000001</v>
      </c>
      <c r="F610" t="s">
        <v>59</v>
      </c>
      <c r="G610">
        <v>-401.3802</v>
      </c>
      <c r="H610">
        <v>8.0001610000000001E-2</v>
      </c>
      <c r="I610">
        <v>278.82429999999999</v>
      </c>
      <c r="J610">
        <v>-374.61</v>
      </c>
      <c r="K610">
        <v>1.104779</v>
      </c>
      <c r="L610">
        <v>283.25209999999998</v>
      </c>
      <c r="M610">
        <v>-0.99984280000000003</v>
      </c>
      <c r="N610">
        <v>0</v>
      </c>
      <c r="O610">
        <v>1.291541E-2</v>
      </c>
      <c r="P610">
        <v>-0.99506709999999998</v>
      </c>
      <c r="Q610">
        <v>9.8003980000000004E-2</v>
      </c>
      <c r="R610">
        <v>-1.539767E-2</v>
      </c>
      <c r="S610">
        <v>-3.0191650000000001</v>
      </c>
      <c r="T610">
        <v>-0.1137251</v>
      </c>
      <c r="U610">
        <v>-0.49078369999999999</v>
      </c>
      <c r="V610">
        <v>-2.8541939999999998E-2</v>
      </c>
      <c r="W610">
        <v>0.11001900000000001</v>
      </c>
      <c r="X610">
        <v>0.99351959999999995</v>
      </c>
      <c r="Y610">
        <v>-0.17305709999999999</v>
      </c>
      <c r="Z610">
        <v>-3.7202609999999999E-3</v>
      </c>
      <c r="AA610">
        <v>0.98490480000000002</v>
      </c>
      <c r="AB610">
        <v>43</v>
      </c>
      <c r="AC610">
        <v>-26.7701999999999</v>
      </c>
      <c r="AD610">
        <v>-1.0247773899999999</v>
      </c>
      <c r="AE610">
        <v>-4.4277999999999897</v>
      </c>
      <c r="AF610">
        <v>-4.7664055649991699</v>
      </c>
      <c r="AG610">
        <v>-1.0247773899999999</v>
      </c>
      <c r="AH610">
        <v>26.672730395482901</v>
      </c>
      <c r="AI610">
        <v>92.165967211590399</v>
      </c>
      <c r="AJ610">
        <v>100.13178681111501</v>
      </c>
      <c r="AK610">
        <v>27.1146332717082</v>
      </c>
      <c r="AL610">
        <v>83.683589221125004</v>
      </c>
      <c r="AM610">
        <v>91.645546843159593</v>
      </c>
      <c r="AN610">
        <v>1.00000000914206</v>
      </c>
    </row>
    <row r="611" spans="1:40" x14ac:dyDescent="0.3">
      <c r="A611" t="str">
        <f>"20200111150257181"</f>
        <v>20200111150257181</v>
      </c>
      <c r="B611" t="str">
        <f>"1578726177177162"</f>
        <v>1578726177177162</v>
      </c>
      <c r="C611" t="s">
        <v>40</v>
      </c>
      <c r="D611">
        <v>5.0876349999999997</v>
      </c>
      <c r="E611">
        <v>0.58831829999999996</v>
      </c>
      <c r="F611" t="s">
        <v>59</v>
      </c>
      <c r="G611">
        <v>-401.52449999999999</v>
      </c>
      <c r="H611">
        <v>8.0001589999999997E-2</v>
      </c>
      <c r="I611">
        <v>278.84199999999998</v>
      </c>
      <c r="J611">
        <v>-385.19200000000001</v>
      </c>
      <c r="K611">
        <v>1.104697</v>
      </c>
      <c r="L611">
        <v>283.26429999999999</v>
      </c>
      <c r="M611">
        <v>-0.99988639999999995</v>
      </c>
      <c r="N611">
        <v>0</v>
      </c>
      <c r="O611">
        <v>-7.9053679999999994E-3</v>
      </c>
      <c r="P611">
        <v>-0.99512619999999896</v>
      </c>
      <c r="Q611">
        <v>9.2107309999999998E-2</v>
      </c>
      <c r="R611">
        <v>-3.521875E-2</v>
      </c>
      <c r="S611">
        <v>-3.0185240000000002</v>
      </c>
      <c r="T611">
        <v>-0.11493100000000001</v>
      </c>
      <c r="U611">
        <v>-0.49459839999999999</v>
      </c>
      <c r="V611">
        <v>-2.759532E-2</v>
      </c>
      <c r="W611">
        <v>0.1048231</v>
      </c>
      <c r="X611">
        <v>0.99410799999999999</v>
      </c>
      <c r="Y611">
        <v>-0.15378820000000001</v>
      </c>
      <c r="Z611">
        <v>-2.6084620000000002E-3</v>
      </c>
      <c r="AA611">
        <v>0.98810039999999999</v>
      </c>
      <c r="AB611">
        <v>43</v>
      </c>
      <c r="AC611">
        <v>-16.3325</v>
      </c>
      <c r="AD611">
        <v>-1.0246954100000001</v>
      </c>
      <c r="AE611">
        <v>-4.4222999999999999</v>
      </c>
      <c r="AF611">
        <v>-4.2773500200104397</v>
      </c>
      <c r="AG611">
        <v>-1.0246954100000001</v>
      </c>
      <c r="AH611">
        <v>16.3071476670987</v>
      </c>
      <c r="AI611">
        <v>93.478220218949204</v>
      </c>
      <c r="AJ611">
        <v>104.697534227391</v>
      </c>
      <c r="AK611">
        <v>16.889901980577701</v>
      </c>
      <c r="AL611">
        <v>83.983025607399597</v>
      </c>
      <c r="AM611">
        <v>91.590058073068803</v>
      </c>
      <c r="AN611">
        <v>1.0000000498217501</v>
      </c>
    </row>
    <row r="612" spans="1:40" x14ac:dyDescent="0.3">
      <c r="A612" t="str">
        <f>"20200111150257204"</f>
        <v>20200111150257204</v>
      </c>
      <c r="B612" t="str">
        <f>"1578726177197658"</f>
        <v>1578726177197658</v>
      </c>
      <c r="C612" t="s">
        <v>40</v>
      </c>
      <c r="D612">
        <v>5.4101470000000003</v>
      </c>
      <c r="E612">
        <v>0.58745879999999995</v>
      </c>
      <c r="F612" t="s">
        <v>59</v>
      </c>
      <c r="G612">
        <v>-414.74849999999998</v>
      </c>
      <c r="H612" s="1">
        <v>2.6675080000000001E-6</v>
      </c>
      <c r="I612">
        <v>288.96940000000001</v>
      </c>
      <c r="J612">
        <v>-385.63580000000002</v>
      </c>
      <c r="K612">
        <v>1.1047</v>
      </c>
      <c r="L612">
        <v>283.26010000000002</v>
      </c>
      <c r="M612">
        <v>-0.99987910000000002</v>
      </c>
      <c r="N612">
        <v>0</v>
      </c>
      <c r="O612">
        <v>-8.7689780000000002E-3</v>
      </c>
      <c r="P612">
        <v>-0.99503929999999996</v>
      </c>
      <c r="Q612">
        <v>9.2599050000000002E-2</v>
      </c>
      <c r="R612">
        <v>-3.6360730000000001E-2</v>
      </c>
      <c r="S612">
        <v>-3.0460509999999998</v>
      </c>
      <c r="T612">
        <v>-0.113848</v>
      </c>
      <c r="U612">
        <v>0.58795169999999997</v>
      </c>
      <c r="V612">
        <v>-2.787972E-2</v>
      </c>
      <c r="W612">
        <v>0.10530970000000001</v>
      </c>
      <c r="X612">
        <v>0.99404859999999995</v>
      </c>
      <c r="Y612">
        <v>0.197987</v>
      </c>
      <c r="Z612">
        <v>3.9895920000000001E-3</v>
      </c>
      <c r="AA612">
        <v>0.98019650000000003</v>
      </c>
      <c r="AB612">
        <v>43</v>
      </c>
      <c r="AC612">
        <v>-29.112699999999901</v>
      </c>
      <c r="AD612">
        <v>-1.104697332492</v>
      </c>
      <c r="AE612">
        <v>5.7092999999999803</v>
      </c>
      <c r="AF612">
        <v>5.9561317163909804</v>
      </c>
      <c r="AG612">
        <v>-1.104697332492</v>
      </c>
      <c r="AH612">
        <v>29.021272494695701</v>
      </c>
      <c r="AI612">
        <v>92.1354495485554</v>
      </c>
      <c r="AJ612">
        <v>78.402045991858401</v>
      </c>
      <c r="AK612">
        <v>29.646755613908201</v>
      </c>
      <c r="AL612">
        <v>83.954990104041102</v>
      </c>
      <c r="AM612">
        <v>91.606532763565497</v>
      </c>
      <c r="AN612">
        <v>1.0000000154316599</v>
      </c>
    </row>
    <row r="613" spans="1:40" x14ac:dyDescent="0.3">
      <c r="A613" t="str">
        <f>"20200111150257225"</f>
        <v>20200111150257225</v>
      </c>
      <c r="B613" t="str">
        <f>"1578726177217690"</f>
        <v>1578726177217690</v>
      </c>
      <c r="C613" t="s">
        <v>40</v>
      </c>
      <c r="D613">
        <v>5.2129079999999997</v>
      </c>
      <c r="E613">
        <v>0.58087759999999999</v>
      </c>
      <c r="F613" t="s">
        <v>59</v>
      </c>
      <c r="G613">
        <v>-416.80309999999997</v>
      </c>
      <c r="H613" s="1">
        <v>3.0143909999999999E-6</v>
      </c>
      <c r="I613">
        <v>289.1703</v>
      </c>
      <c r="J613">
        <v>-386.05720000000002</v>
      </c>
      <c r="K613">
        <v>1.1047</v>
      </c>
      <c r="L613">
        <v>283.25569999999999</v>
      </c>
      <c r="M613">
        <v>-0.99987170000000003</v>
      </c>
      <c r="N613">
        <v>0</v>
      </c>
      <c r="O613">
        <v>-9.5893139999999998E-3</v>
      </c>
      <c r="P613">
        <v>-0.99496289999999998</v>
      </c>
      <c r="Q613">
        <v>9.3030730000000006E-2</v>
      </c>
      <c r="R613">
        <v>-3.7344620000000002E-2</v>
      </c>
      <c r="S613">
        <v>-3.0461119999999999</v>
      </c>
      <c r="T613">
        <v>-0.107966699999999</v>
      </c>
      <c r="U613">
        <v>0.577636699999999</v>
      </c>
      <c r="V613">
        <v>-2.80486E-2</v>
      </c>
      <c r="W613">
        <v>0.1057374</v>
      </c>
      <c r="X613">
        <v>0.99399839999999995</v>
      </c>
      <c r="Y613">
        <v>0.19559969999999999</v>
      </c>
      <c r="Z613">
        <v>3.7716410000000001E-3</v>
      </c>
      <c r="AA613">
        <v>0.98067649999999995</v>
      </c>
      <c r="AB613">
        <v>43</v>
      </c>
      <c r="AC613">
        <v>-30.745899999999899</v>
      </c>
      <c r="AD613">
        <v>-1.1046969856090001</v>
      </c>
      <c r="AE613">
        <v>5.9146000000000001</v>
      </c>
      <c r="AF613">
        <v>6.2014642395362598</v>
      </c>
      <c r="AG613">
        <v>-1.1046969856090001</v>
      </c>
      <c r="AH613">
        <v>30.649609140448799</v>
      </c>
      <c r="AI613">
        <v>92.023241042054906</v>
      </c>
      <c r="AJ613">
        <v>78.561529302287497</v>
      </c>
      <c r="AK613">
        <v>31.2902070080487</v>
      </c>
      <c r="AL613">
        <v>83.930346838705503</v>
      </c>
      <c r="AM613">
        <v>91.616340691469205</v>
      </c>
      <c r="AN613">
        <v>0.99999997046163902</v>
      </c>
    </row>
    <row r="614" spans="1:40" x14ac:dyDescent="0.3">
      <c r="A614" t="str">
        <f>"20200111150257246"</f>
        <v>20200111150257246</v>
      </c>
      <c r="B614" t="str">
        <f>"1578726177237209"</f>
        <v>1578726177237209</v>
      </c>
      <c r="C614" t="s">
        <v>40</v>
      </c>
      <c r="D614">
        <v>5.2149939999999999</v>
      </c>
      <c r="E614">
        <v>0.57694009999999996</v>
      </c>
      <c r="F614" t="s">
        <v>59</v>
      </c>
      <c r="G614">
        <v>-413.30259999999998</v>
      </c>
      <c r="H614" s="1">
        <v>2.502901E-6</v>
      </c>
      <c r="I614">
        <v>287.91840000000002</v>
      </c>
      <c r="J614">
        <v>-386.4735</v>
      </c>
      <c r="K614">
        <v>1.1047020000000001</v>
      </c>
      <c r="L614">
        <v>283.25099999999998</v>
      </c>
      <c r="M614">
        <v>-0.99986359999999996</v>
      </c>
      <c r="N614">
        <v>0</v>
      </c>
      <c r="O614">
        <v>-1.039938E-2</v>
      </c>
      <c r="P614">
        <v>-0.9948726</v>
      </c>
      <c r="Q614">
        <v>9.3449489999999996E-2</v>
      </c>
      <c r="R614">
        <v>-3.8675349999999997E-2</v>
      </c>
      <c r="S614">
        <v>-3.0462950000000002</v>
      </c>
      <c r="T614">
        <v>-0.12351570000000001</v>
      </c>
      <c r="U614">
        <v>0.52133180000000001</v>
      </c>
      <c r="V614">
        <v>-2.85744E-2</v>
      </c>
      <c r="W614">
        <v>0.10614750000000001</v>
      </c>
      <c r="X614">
        <v>0.99393980000000004</v>
      </c>
      <c r="Y614">
        <v>0.17877499999999999</v>
      </c>
      <c r="Z614">
        <v>4.0152859999999999E-3</v>
      </c>
      <c r="AA614">
        <v>0.98388180000000003</v>
      </c>
      <c r="AB614">
        <v>43</v>
      </c>
      <c r="AC614">
        <v>-26.829099999999901</v>
      </c>
      <c r="AD614">
        <v>-1.1046994970990001</v>
      </c>
      <c r="AE614">
        <v>4.6674000000000397</v>
      </c>
      <c r="AF614">
        <v>4.93805043326274</v>
      </c>
      <c r="AG614">
        <v>-1.1046994970990001</v>
      </c>
      <c r="AH614">
        <v>26.735111315608201</v>
      </c>
      <c r="AI614">
        <v>92.3268131260361</v>
      </c>
      <c r="AJ614">
        <v>79.535246461538506</v>
      </c>
      <c r="AK614">
        <v>27.209757075694299</v>
      </c>
      <c r="AL614">
        <v>83.906717384973007</v>
      </c>
      <c r="AM614">
        <v>91.646721167852306</v>
      </c>
      <c r="AN614">
        <v>1.00000005705782</v>
      </c>
    </row>
    <row r="615" spans="1:40" x14ac:dyDescent="0.3">
      <c r="A615" t="str">
        <f>"20200111150257270"</f>
        <v>20200111150257270</v>
      </c>
      <c r="B615" t="str">
        <f>"1578726177267466"</f>
        <v>1578726177267466</v>
      </c>
      <c r="C615" t="s">
        <v>40</v>
      </c>
      <c r="D615">
        <v>5.2100229999999996</v>
      </c>
      <c r="E615">
        <v>0.57397989999999999</v>
      </c>
      <c r="F615" t="s">
        <v>59</v>
      </c>
      <c r="G615">
        <v>-412.37400000000002</v>
      </c>
      <c r="H615" s="1">
        <v>2.3851260000000001E-6</v>
      </c>
      <c r="I615">
        <v>287.38139999999999</v>
      </c>
      <c r="J615">
        <v>-386.90480000000002</v>
      </c>
      <c r="K615">
        <v>1.104698</v>
      </c>
      <c r="L615">
        <v>283.24579999999997</v>
      </c>
      <c r="M615">
        <v>-0.99985460000000004</v>
      </c>
      <c r="N615">
        <v>0</v>
      </c>
      <c r="O615">
        <v>-1.1238740000000001E-2</v>
      </c>
      <c r="P615">
        <v>-0.99481779999999997</v>
      </c>
      <c r="Q615">
        <v>9.3541979999999997E-2</v>
      </c>
      <c r="R615">
        <v>-3.984712E-2</v>
      </c>
      <c r="S615">
        <v>-3.0465390000000001</v>
      </c>
      <c r="T615">
        <v>-0.12994020000000001</v>
      </c>
      <c r="U615">
        <v>0.48583979999999999</v>
      </c>
      <c r="V615">
        <v>-2.8911599999999999E-2</v>
      </c>
      <c r="W615">
        <v>0.10622910000000001</v>
      </c>
      <c r="X615">
        <v>0.99392130000000001</v>
      </c>
      <c r="Y615">
        <v>0.1684129</v>
      </c>
      <c r="Z615">
        <v>4.0436760000000004E-3</v>
      </c>
      <c r="AA615">
        <v>0.98570820000000003</v>
      </c>
      <c r="AB615">
        <v>43</v>
      </c>
      <c r="AC615">
        <v>-25.469200000000001</v>
      </c>
      <c r="AD615">
        <v>-1.1046956148739999</v>
      </c>
      <c r="AE615">
        <v>4.1356000000000099</v>
      </c>
      <c r="AF615">
        <v>4.4135142422158804</v>
      </c>
      <c r="AG615">
        <v>-1.1046956148739999</v>
      </c>
      <c r="AH615">
        <v>25.374597877195399</v>
      </c>
      <c r="AI615">
        <v>92.455997991267097</v>
      </c>
      <c r="AJ615">
        <v>80.133008008428007</v>
      </c>
      <c r="AK615">
        <v>25.779248976592299</v>
      </c>
      <c r="AL615">
        <v>83.902015277792003</v>
      </c>
      <c r="AM615">
        <v>91.666173855279794</v>
      </c>
      <c r="AN615">
        <v>1.00000002644752</v>
      </c>
    </row>
    <row r="616" spans="1:40" x14ac:dyDescent="0.3">
      <c r="A616" t="str">
        <f>"20200111150257283"</f>
        <v>20200111150257283</v>
      </c>
      <c r="B616" t="str">
        <f>"1578726177277226"</f>
        <v>1578726177277226</v>
      </c>
      <c r="C616" t="s">
        <v>40</v>
      </c>
      <c r="D616">
        <v>5.2107330000000003</v>
      </c>
      <c r="E616">
        <v>0.57340859999999905</v>
      </c>
      <c r="F616" t="s">
        <v>59</v>
      </c>
      <c r="G616">
        <v>-412.08479999999997</v>
      </c>
      <c r="H616" s="1">
        <v>2.3641349999999999E-6</v>
      </c>
      <c r="I616">
        <v>287.03480000000002</v>
      </c>
      <c r="J616">
        <v>-387.16699999999997</v>
      </c>
      <c r="K616">
        <v>1.1047</v>
      </c>
      <c r="L616">
        <v>283.24239999999998</v>
      </c>
      <c r="M616">
        <v>-0.99984899999999999</v>
      </c>
      <c r="N616">
        <v>0</v>
      </c>
      <c r="O616">
        <v>-1.1749239999999999E-2</v>
      </c>
      <c r="P616">
        <v>-0.99480049999999998</v>
      </c>
      <c r="Q616">
        <v>9.354287E-2</v>
      </c>
      <c r="R616">
        <v>-4.0274770000000001E-2</v>
      </c>
      <c r="S616">
        <v>-3.04657</v>
      </c>
      <c r="T616">
        <v>-0.1336591</v>
      </c>
      <c r="U616">
        <v>0.45843509999999998</v>
      </c>
      <c r="V616">
        <v>-2.8831519999999999E-2</v>
      </c>
      <c r="W616">
        <v>0.1062229</v>
      </c>
      <c r="X616">
        <v>0.99392429999999998</v>
      </c>
      <c r="Y616">
        <v>0.1602478</v>
      </c>
      <c r="Z616">
        <v>4.0063490000000002E-3</v>
      </c>
      <c r="AA616">
        <v>0.98706870000000002</v>
      </c>
      <c r="AB616">
        <v>43</v>
      </c>
      <c r="AC616">
        <v>-24.9178</v>
      </c>
      <c r="AD616">
        <v>-1.104697635865</v>
      </c>
      <c r="AE616">
        <v>3.7924000000000402</v>
      </c>
      <c r="AF616">
        <v>4.0770953909640202</v>
      </c>
      <c r="AG616">
        <v>-1.104697635865</v>
      </c>
      <c r="AH616">
        <v>24.823832276752501</v>
      </c>
      <c r="AI616">
        <v>92.514422949615906</v>
      </c>
      <c r="AJ616">
        <v>80.672945200483497</v>
      </c>
      <c r="AK616">
        <v>25.180661480549801</v>
      </c>
      <c r="AL616">
        <v>83.902372601101305</v>
      </c>
      <c r="AM616">
        <v>91.661556427697903</v>
      </c>
      <c r="AN616">
        <v>1.0000000375802001</v>
      </c>
    </row>
    <row r="617" spans="1:40" x14ac:dyDescent="0.3">
      <c r="A617" t="str">
        <f>"20200111150257296"</f>
        <v>20200111150257296</v>
      </c>
      <c r="B617" t="str">
        <f>"1578726177286985"</f>
        <v>1578726177286985</v>
      </c>
      <c r="C617" t="s">
        <v>40</v>
      </c>
      <c r="D617">
        <v>5.2216680000000002</v>
      </c>
      <c r="E617">
        <v>0.57287060000000001</v>
      </c>
      <c r="F617" t="s">
        <v>59</v>
      </c>
      <c r="G617">
        <v>-412.1542</v>
      </c>
      <c r="H617" s="1">
        <v>2.3834240000000002E-6</v>
      </c>
      <c r="I617">
        <v>286.95499999999998</v>
      </c>
      <c r="J617">
        <v>-387.42489999999998</v>
      </c>
      <c r="K617">
        <v>1.104698</v>
      </c>
      <c r="L617">
        <v>283.23899999999998</v>
      </c>
      <c r="M617">
        <v>-0.99984309999999998</v>
      </c>
      <c r="N617">
        <v>0</v>
      </c>
      <c r="O617">
        <v>-1.225187E-2</v>
      </c>
      <c r="P617">
        <v>-0.99479709999999999</v>
      </c>
      <c r="Q617">
        <v>9.3311699999999997E-2</v>
      </c>
      <c r="R617">
        <v>-4.0889740000000001E-2</v>
      </c>
      <c r="S617">
        <v>-3.0466609999999998</v>
      </c>
      <c r="T617">
        <v>-0.13469410000000001</v>
      </c>
      <c r="U617">
        <v>0.45266719999999999</v>
      </c>
      <c r="V617">
        <v>-2.8945530000000001E-2</v>
      </c>
      <c r="W617">
        <v>0.10598490000000001</v>
      </c>
      <c r="X617">
        <v>0.99394640000000001</v>
      </c>
      <c r="Y617">
        <v>0.15891</v>
      </c>
      <c r="Z617">
        <v>4.0304829999999996E-3</v>
      </c>
      <c r="AA617">
        <v>0.98728479999999996</v>
      </c>
      <c r="AB617">
        <v>43</v>
      </c>
      <c r="AC617">
        <v>-24.729299999999999</v>
      </c>
      <c r="AD617">
        <v>-1.104695616576</v>
      </c>
      <c r="AE617">
        <v>3.71599999999995</v>
      </c>
      <c r="AF617">
        <v>4.0108988171972797</v>
      </c>
      <c r="AG617">
        <v>-1.104695616576</v>
      </c>
      <c r="AH617">
        <v>24.6338394550103</v>
      </c>
      <c r="AI617">
        <v>92.534358643116406</v>
      </c>
      <c r="AJ617">
        <v>80.752213012150094</v>
      </c>
      <c r="AK617">
        <v>24.982668152587301</v>
      </c>
      <c r="AL617">
        <v>83.9160864515989</v>
      </c>
      <c r="AM617">
        <v>91.668086033870196</v>
      </c>
      <c r="AN617">
        <v>1.0000000444039701</v>
      </c>
    </row>
    <row r="618" spans="1:40" x14ac:dyDescent="0.3">
      <c r="A618" t="str">
        <f>"20200111150257314"</f>
        <v>20200111150257314</v>
      </c>
      <c r="B618" t="str">
        <f>"1578726177307481"</f>
        <v>1578726177307481</v>
      </c>
      <c r="C618" t="s">
        <v>40</v>
      </c>
      <c r="D618">
        <v>5.2276619999999996</v>
      </c>
      <c r="E618">
        <v>0.57223669999999904</v>
      </c>
      <c r="F618" t="s">
        <v>59</v>
      </c>
      <c r="G618">
        <v>-411.87490000000003</v>
      </c>
      <c r="H618" s="1">
        <v>2.345715E-6</v>
      </c>
      <c r="I618">
        <v>286.81950000000001</v>
      </c>
      <c r="J618">
        <v>-387.77170000000001</v>
      </c>
      <c r="K618">
        <v>1.104695</v>
      </c>
      <c r="L618">
        <v>283.23430000000002</v>
      </c>
      <c r="M618">
        <v>-0.99983449999999996</v>
      </c>
      <c r="N618">
        <v>0</v>
      </c>
      <c r="O618">
        <v>-1.292744E-2</v>
      </c>
      <c r="P618">
        <v>-0.99477519999999997</v>
      </c>
      <c r="Q618">
        <v>9.3336810000000006E-2</v>
      </c>
      <c r="R618">
        <v>-4.1361380000000003E-2</v>
      </c>
      <c r="S618">
        <v>-3.0469360000000001</v>
      </c>
      <c r="T618">
        <v>-0.1376665</v>
      </c>
      <c r="U618">
        <v>0.44619750000000002</v>
      </c>
      <c r="V618">
        <v>-2.8745E-2</v>
      </c>
      <c r="W618">
        <v>0.1060015</v>
      </c>
      <c r="X618">
        <v>0.99395040000000001</v>
      </c>
      <c r="Y618">
        <v>0.1575056</v>
      </c>
      <c r="Z618">
        <v>4.1184230000000004E-3</v>
      </c>
      <c r="AA618">
        <v>0.98750950000000004</v>
      </c>
      <c r="AB618">
        <v>43</v>
      </c>
      <c r="AC618">
        <v>-24.103200000000001</v>
      </c>
      <c r="AD618">
        <v>-1.104692654285</v>
      </c>
      <c r="AE618">
        <v>3.58519999999998</v>
      </c>
      <c r="AF618">
        <v>3.8885273127592002</v>
      </c>
      <c r="AG618">
        <v>-1.104692654285</v>
      </c>
      <c r="AH618">
        <v>24.005500954465401</v>
      </c>
      <c r="AI618">
        <v>92.600941519755693</v>
      </c>
      <c r="AJ618">
        <v>80.798873035772502</v>
      </c>
      <c r="AK618">
        <v>24.343480987675999</v>
      </c>
      <c r="AL618">
        <v>83.915129653956697</v>
      </c>
      <c r="AM618">
        <v>91.656529599293407</v>
      </c>
      <c r="AN618">
        <v>0.99999999534370398</v>
      </c>
    </row>
    <row r="619" spans="1:40" x14ac:dyDescent="0.3">
      <c r="A619" t="str">
        <f>"20200111150257336"</f>
        <v>20200111150257336</v>
      </c>
      <c r="B619" t="str">
        <f>"1578726177327004"</f>
        <v>1578726177327004</v>
      </c>
      <c r="C619" t="s">
        <v>40</v>
      </c>
      <c r="D619">
        <v>5.2270859999999999</v>
      </c>
      <c r="E619">
        <v>0.57182860000000002</v>
      </c>
      <c r="F619" t="s">
        <v>59</v>
      </c>
      <c r="G619">
        <v>-411.94929999999999</v>
      </c>
      <c r="H619" s="1">
        <v>2.3672969999999999E-6</v>
      </c>
      <c r="I619">
        <v>286.72359999999998</v>
      </c>
      <c r="J619">
        <v>-388.2</v>
      </c>
      <c r="K619">
        <v>1.104697</v>
      </c>
      <c r="L619">
        <v>283.22800000000001</v>
      </c>
      <c r="M619">
        <v>-0.99982369999999998</v>
      </c>
      <c r="N619">
        <v>0</v>
      </c>
      <c r="O619">
        <v>-1.3761900000000001E-2</v>
      </c>
      <c r="P619">
        <v>-0.99473489999999998</v>
      </c>
      <c r="Q619">
        <v>9.3501139999999996E-2</v>
      </c>
      <c r="R619">
        <v>-4.1958860000000001E-2</v>
      </c>
      <c r="S619">
        <v>-3.0470890000000002</v>
      </c>
      <c r="T619">
        <v>-0.13922390000000001</v>
      </c>
      <c r="U619">
        <v>0.43975829999999999</v>
      </c>
      <c r="V619">
        <v>-2.851277E-2</v>
      </c>
      <c r="W619">
        <v>0.1061542</v>
      </c>
      <c r="X619">
        <v>0.99394079999999996</v>
      </c>
      <c r="Y619">
        <v>0.15627539999999901</v>
      </c>
      <c r="Z619">
        <v>4.1753729999999996E-3</v>
      </c>
      <c r="AA619">
        <v>0.98770469999999999</v>
      </c>
      <c r="AB619">
        <v>43</v>
      </c>
      <c r="AC619">
        <v>-23.749300000000002</v>
      </c>
      <c r="AD619">
        <v>-1.1046946327030001</v>
      </c>
      <c r="AE619">
        <v>3.4955999999999601</v>
      </c>
      <c r="AF619">
        <v>3.8140538631301402</v>
      </c>
      <c r="AG619">
        <v>-1.1046946327030001</v>
      </c>
      <c r="AH619">
        <v>23.648858193828399</v>
      </c>
      <c r="AI619">
        <v>92.640408646031503</v>
      </c>
      <c r="AJ619">
        <v>80.838309653296704</v>
      </c>
      <c r="AK619">
        <v>23.979905149399201</v>
      </c>
      <c r="AL619">
        <v>83.906330991787101</v>
      </c>
      <c r="AM619">
        <v>91.643169774274199</v>
      </c>
      <c r="AN619">
        <v>1.0000000030676699</v>
      </c>
    </row>
    <row r="620" spans="1:40" x14ac:dyDescent="0.3">
      <c r="A620" t="str">
        <f>"20200111150257359"</f>
        <v>20200111150257359</v>
      </c>
      <c r="B620" t="str">
        <f>"1578726177347497"</f>
        <v>1578726177347497</v>
      </c>
      <c r="C620" t="s">
        <v>40</v>
      </c>
      <c r="D620">
        <v>5.2424879999999998</v>
      </c>
      <c r="E620">
        <v>0.57141379999999997</v>
      </c>
      <c r="F620" t="s">
        <v>59</v>
      </c>
      <c r="G620">
        <v>-412.31490000000002</v>
      </c>
      <c r="H620" s="1">
        <v>2.4373590000000001E-6</v>
      </c>
      <c r="I620">
        <v>286.66399999999999</v>
      </c>
      <c r="J620">
        <v>-388.63200000000001</v>
      </c>
      <c r="K620">
        <v>1.1046959999999999</v>
      </c>
      <c r="L620">
        <v>283.22129999999999</v>
      </c>
      <c r="M620">
        <v>-0.99981189999999998</v>
      </c>
      <c r="N620">
        <v>0</v>
      </c>
      <c r="O620">
        <v>-1.460361E-2</v>
      </c>
      <c r="P620">
        <v>-0.99466270000000001</v>
      </c>
      <c r="Q620">
        <v>9.3903200000000006E-2</v>
      </c>
      <c r="R620">
        <v>-4.2762080000000001E-2</v>
      </c>
      <c r="S620">
        <v>-3.0473330000000001</v>
      </c>
      <c r="T620">
        <v>-0.13959750000000001</v>
      </c>
      <c r="U620">
        <v>0.43420409999999998</v>
      </c>
      <c r="V620">
        <v>-2.8479830000000001E-2</v>
      </c>
      <c r="W620">
        <v>0.1065411</v>
      </c>
      <c r="X620">
        <v>0.99390040000000002</v>
      </c>
      <c r="Y620">
        <v>0.15533079999999999</v>
      </c>
      <c r="Z620">
        <v>4.2036189999999996E-3</v>
      </c>
      <c r="AA620">
        <v>0.9878536</v>
      </c>
      <c r="AB620">
        <v>43</v>
      </c>
      <c r="AC620">
        <v>-23.6829</v>
      </c>
      <c r="AD620">
        <v>-1.1046935626409999</v>
      </c>
      <c r="AE620">
        <v>3.4426999999999999</v>
      </c>
      <c r="AF620">
        <v>3.7801622486376898</v>
      </c>
      <c r="AG620">
        <v>-1.1046935626409999</v>
      </c>
      <c r="AH620">
        <v>23.579851399030598</v>
      </c>
      <c r="AI620">
        <v>92.648522440788696</v>
      </c>
      <c r="AJ620">
        <v>80.892224891024398</v>
      </c>
      <c r="AK620">
        <v>23.906471226296201</v>
      </c>
      <c r="AL620">
        <v>83.884037149020898</v>
      </c>
      <c r="AM620">
        <v>91.641339183262204</v>
      </c>
      <c r="AN620">
        <v>1.0000000559130899</v>
      </c>
    </row>
    <row r="621" spans="1:40" x14ac:dyDescent="0.3">
      <c r="A621" t="str">
        <f>"20200111150257381"</f>
        <v>20200111150257381</v>
      </c>
      <c r="B621" t="str">
        <f>"1578726177377753"</f>
        <v>1578726177377753</v>
      </c>
      <c r="C621" t="s">
        <v>40</v>
      </c>
      <c r="D621">
        <v>5.2452959999999997</v>
      </c>
      <c r="E621">
        <v>0.57134010000000002</v>
      </c>
      <c r="F621" t="s">
        <v>59</v>
      </c>
      <c r="G621">
        <v>-412.90660000000003</v>
      </c>
      <c r="H621" s="1">
        <v>2.5449699999999998E-6</v>
      </c>
      <c r="I621">
        <v>286.6336</v>
      </c>
      <c r="J621">
        <v>-389.06290000000001</v>
      </c>
      <c r="K621">
        <v>1.1046959999999999</v>
      </c>
      <c r="L621">
        <v>283.21429999999998</v>
      </c>
      <c r="M621">
        <v>-0.99979949999999995</v>
      </c>
      <c r="N621">
        <v>0</v>
      </c>
      <c r="O621">
        <v>-1.544304E-2</v>
      </c>
      <c r="P621">
        <v>-0.9946218</v>
      </c>
      <c r="Q621">
        <v>9.4037889999999999E-2</v>
      </c>
      <c r="R621">
        <v>-4.341888E-2</v>
      </c>
      <c r="S621">
        <v>-3.0476070000000002</v>
      </c>
      <c r="T621">
        <v>-0.13869119999999999</v>
      </c>
      <c r="U621">
        <v>0.4284058</v>
      </c>
      <c r="V621">
        <v>-2.830127E-2</v>
      </c>
      <c r="W621">
        <v>0.10665910000000001</v>
      </c>
      <c r="X621">
        <v>0.99389280000000002</v>
      </c>
      <c r="Y621">
        <v>0.15430749999999999</v>
      </c>
      <c r="Z621">
        <v>4.1913899999999997E-3</v>
      </c>
      <c r="AA621">
        <v>0.98801399999999995</v>
      </c>
      <c r="AB621">
        <v>43</v>
      </c>
      <c r="AC621">
        <v>-23.843699999999998</v>
      </c>
      <c r="AD621">
        <v>-1.1046934550299901</v>
      </c>
      <c r="AE621">
        <v>3.4193000000000202</v>
      </c>
      <c r="AF621">
        <v>3.7791926350519498</v>
      </c>
      <c r="AG621">
        <v>-1.1046934550299901</v>
      </c>
      <c r="AH621">
        <v>23.738119735624199</v>
      </c>
      <c r="AI621">
        <v>92.631342882360599</v>
      </c>
      <c r="AJ621">
        <v>80.954223471711899</v>
      </c>
      <c r="AK621">
        <v>24.062439053122802</v>
      </c>
      <c r="AL621">
        <v>83.877237231089396</v>
      </c>
      <c r="AM621">
        <v>91.631066520103005</v>
      </c>
      <c r="AN621">
        <v>1.0000000116941301</v>
      </c>
    </row>
    <row r="622" spans="1:40" x14ac:dyDescent="0.3">
      <c r="A622" t="str">
        <f>"20200111150257395"</f>
        <v>20200111150257395</v>
      </c>
      <c r="B622" t="str">
        <f>"1578726177387513"</f>
        <v>1578726177387513</v>
      </c>
      <c r="C622" t="s">
        <v>40</v>
      </c>
      <c r="D622">
        <v>5.2512030000000003</v>
      </c>
      <c r="E622">
        <v>0.57118230000000003</v>
      </c>
      <c r="F622" t="s">
        <v>59</v>
      </c>
      <c r="G622">
        <v>-413.24169999999998</v>
      </c>
      <c r="H622" s="1">
        <v>2.6080669999999998E-6</v>
      </c>
      <c r="I622">
        <v>286.59190000000001</v>
      </c>
      <c r="J622">
        <v>-389.32310000000001</v>
      </c>
      <c r="K622">
        <v>1.1046959999999999</v>
      </c>
      <c r="L622">
        <v>283.2099</v>
      </c>
      <c r="M622">
        <v>-0.9997916</v>
      </c>
      <c r="N622">
        <v>0</v>
      </c>
      <c r="O622">
        <v>-1.5949580000000001E-2</v>
      </c>
      <c r="P622">
        <v>-0.99460490000000001</v>
      </c>
      <c r="Q622">
        <v>9.4039079999999997E-2</v>
      </c>
      <c r="R622">
        <v>-4.3789439999999999E-2</v>
      </c>
      <c r="S622">
        <v>-3.047974</v>
      </c>
      <c r="T622">
        <v>-0.139257399999999</v>
      </c>
      <c r="U622">
        <v>0.42578129999999997</v>
      </c>
      <c r="V622">
        <v>-2.8168599999999999E-2</v>
      </c>
      <c r="W622">
        <v>0.1066501</v>
      </c>
      <c r="X622">
        <v>0.99389749999999999</v>
      </c>
      <c r="Y622">
        <v>0.1539558</v>
      </c>
      <c r="Z622">
        <v>4.2232720000000001E-3</v>
      </c>
      <c r="AA622">
        <v>0.98806870000000002</v>
      </c>
      <c r="AB622">
        <v>43</v>
      </c>
      <c r="AC622">
        <v>-23.918599999999898</v>
      </c>
      <c r="AD622">
        <v>-1.104693391933</v>
      </c>
      <c r="AE622">
        <v>3.3820000000000001</v>
      </c>
      <c r="AF622">
        <v>3.7552390251358201</v>
      </c>
      <c r="AG622">
        <v>-1.104693391933</v>
      </c>
      <c r="AH622">
        <v>23.811813661763999</v>
      </c>
      <c r="AI622">
        <v>92.623817418290201</v>
      </c>
      <c r="AJ622">
        <v>81.037987539652605</v>
      </c>
      <c r="AK622">
        <v>24.131403554054899</v>
      </c>
      <c r="AL622">
        <v>83.877755639135202</v>
      </c>
      <c r="AM622">
        <v>91.623416874860595</v>
      </c>
      <c r="AN622">
        <v>0.999999977181109</v>
      </c>
    </row>
    <row r="623" spans="1:40" x14ac:dyDescent="0.3">
      <c r="A623" t="str">
        <f>"20200111150257429"</f>
        <v>20200111150257429</v>
      </c>
      <c r="B623" t="str">
        <f>"1578726177417770"</f>
        <v>1578726177417770</v>
      </c>
      <c r="C623" t="s">
        <v>40</v>
      </c>
      <c r="D623">
        <v>6.6129319999999998</v>
      </c>
      <c r="E623">
        <v>0.57118230000000003</v>
      </c>
      <c r="F623" t="s">
        <v>59</v>
      </c>
      <c r="G623">
        <v>-413.59120000000001</v>
      </c>
      <c r="H623" s="1">
        <v>2.6709990000000001E-6</v>
      </c>
      <c r="I623">
        <v>286.58120000000002</v>
      </c>
      <c r="J623">
        <v>-389.97919999999999</v>
      </c>
      <c r="K623">
        <v>1.104697</v>
      </c>
      <c r="L623">
        <v>283.19819999999999</v>
      </c>
      <c r="M623">
        <v>-0.99977079999999996</v>
      </c>
      <c r="N623">
        <v>0</v>
      </c>
      <c r="O623">
        <v>-1.722796E-2</v>
      </c>
      <c r="P623">
        <v>-0.99450380000000005</v>
      </c>
      <c r="Q623">
        <v>9.4568819999999998E-2</v>
      </c>
      <c r="R623">
        <v>-4.49366E-2</v>
      </c>
      <c r="S623">
        <v>-3.0480040000000002</v>
      </c>
      <c r="T623">
        <v>-0.13874610000000001</v>
      </c>
      <c r="U623">
        <v>0.42343140000000001</v>
      </c>
      <c r="V623">
        <v>-2.8045270000000001E-2</v>
      </c>
      <c r="W623">
        <v>0.1071526</v>
      </c>
      <c r="X623">
        <v>0.99384700000000004</v>
      </c>
      <c r="Y623">
        <v>0.15447</v>
      </c>
      <c r="Z623">
        <v>4.2775180000000001E-3</v>
      </c>
      <c r="AA623">
        <v>0.98798819999999998</v>
      </c>
      <c r="AB623">
        <v>43</v>
      </c>
      <c r="AC623">
        <v>-23.611999999999998</v>
      </c>
      <c r="AD623">
        <v>-1.1046943290009901</v>
      </c>
      <c r="AE623">
        <v>3.3830000000000302</v>
      </c>
      <c r="AF623">
        <v>3.7812072260799399</v>
      </c>
      <c r="AG623">
        <v>-1.1046943290009901</v>
      </c>
      <c r="AH623">
        <v>23.499805014994099</v>
      </c>
      <c r="AI623">
        <v>92.657287567300401</v>
      </c>
      <c r="AJ623">
        <v>80.859240527243699</v>
      </c>
      <c r="AK623">
        <v>23.827687957286699</v>
      </c>
      <c r="AL623">
        <v>83.848798950686103</v>
      </c>
      <c r="AM623">
        <v>91.616394966443494</v>
      </c>
      <c r="AN623">
        <v>1.00000003813256</v>
      </c>
    </row>
    <row r="624" spans="1:40" x14ac:dyDescent="0.3">
      <c r="A624" t="str">
        <f>"20200111150257448"</f>
        <v>20200111150257448</v>
      </c>
      <c r="B624" t="str">
        <f>"1578726177437289"</f>
        <v>1578726177437289</v>
      </c>
      <c r="C624" t="s">
        <v>40</v>
      </c>
      <c r="D624">
        <v>5.45608</v>
      </c>
      <c r="E624">
        <v>0.4525613</v>
      </c>
      <c r="F624" t="s">
        <v>59</v>
      </c>
      <c r="G624">
        <v>-414.5324</v>
      </c>
      <c r="H624" s="1">
        <v>2.838155E-6</v>
      </c>
      <c r="I624">
        <v>286.5788</v>
      </c>
      <c r="J624">
        <v>-390.35359999999997</v>
      </c>
      <c r="K624">
        <v>1.1047</v>
      </c>
      <c r="L624">
        <v>283.19119999999998</v>
      </c>
      <c r="M624">
        <v>-0.99975820000000004</v>
      </c>
      <c r="N624">
        <v>0</v>
      </c>
      <c r="O624">
        <v>-1.7956880000000001E-2</v>
      </c>
      <c r="P624">
        <v>-0.99439319999999998</v>
      </c>
      <c r="Q624">
        <v>9.536124E-2</v>
      </c>
      <c r="R624">
        <v>-4.5702329999999999E-2</v>
      </c>
      <c r="S624">
        <v>-3.048584</v>
      </c>
      <c r="T624">
        <v>-0.13716159999999999</v>
      </c>
      <c r="U624">
        <v>0.41973880000000002</v>
      </c>
      <c r="V624">
        <v>-2.8089349999999999E-2</v>
      </c>
      <c r="W624">
        <v>0.1079263</v>
      </c>
      <c r="X624">
        <v>0.99376200000000003</v>
      </c>
      <c r="Y624">
        <v>0.1539942</v>
      </c>
      <c r="Z624">
        <v>4.2502620000000003E-3</v>
      </c>
      <c r="AA624">
        <v>0.98806260000000001</v>
      </c>
      <c r="AB624">
        <v>43</v>
      </c>
      <c r="AC624">
        <v>-24.178799999999999</v>
      </c>
      <c r="AD624">
        <v>-1.1046971618449899</v>
      </c>
      <c r="AE624">
        <v>3.3876000000000199</v>
      </c>
      <c r="AF624">
        <v>3.8134573229732101</v>
      </c>
      <c r="AG624">
        <v>-1.1046971618449899</v>
      </c>
      <c r="AH624">
        <v>24.064798141320299</v>
      </c>
      <c r="AI624">
        <v>92.595976544571798</v>
      </c>
      <c r="AJ624">
        <v>80.995429728373793</v>
      </c>
      <c r="AK624">
        <v>24.390107055034001</v>
      </c>
      <c r="AL624">
        <v>83.804210426192995</v>
      </c>
      <c r="AM624">
        <v>91.619072574949897</v>
      </c>
      <c r="AN624">
        <v>1.0000000052295499</v>
      </c>
    </row>
    <row r="625" spans="1:40" x14ac:dyDescent="0.3">
      <c r="A625" t="str">
        <f>"20200111150257471"</f>
        <v>20200111150257471</v>
      </c>
      <c r="B625" t="str">
        <f>"1578726177467546"</f>
        <v>1578726177467546</v>
      </c>
      <c r="C625" t="s">
        <v>40</v>
      </c>
      <c r="D625">
        <v>5.4669879999999997</v>
      </c>
      <c r="E625">
        <v>0.45273469999999999</v>
      </c>
      <c r="F625" t="s">
        <v>59</v>
      </c>
      <c r="G625">
        <v>-414.20949999999999</v>
      </c>
      <c r="H625" s="1">
        <v>3.606871E-6</v>
      </c>
      <c r="I625">
        <v>279.0016</v>
      </c>
      <c r="J625">
        <v>-390.78210000000001</v>
      </c>
      <c r="K625">
        <v>1.104697</v>
      </c>
      <c r="L625">
        <v>283.18279999999999</v>
      </c>
      <c r="M625">
        <v>-0.99974300000000005</v>
      </c>
      <c r="N625">
        <v>0</v>
      </c>
      <c r="O625">
        <v>-1.8791639999999998E-2</v>
      </c>
      <c r="P625">
        <v>-0.99430640000000003</v>
      </c>
      <c r="Q625">
        <v>9.5826610000000007E-2</v>
      </c>
      <c r="R625">
        <v>-4.6609100000000001E-2</v>
      </c>
      <c r="S625">
        <v>-3.0060120000000001</v>
      </c>
      <c r="T625">
        <v>-0.1391994</v>
      </c>
      <c r="U625">
        <v>-0.52792359999999905</v>
      </c>
      <c r="V625">
        <v>-2.8167589999999999E-2</v>
      </c>
      <c r="W625">
        <v>0.10837049999999999</v>
      </c>
      <c r="X625">
        <v>0.99371140000000002</v>
      </c>
      <c r="Y625">
        <v>-0.15429409999999999</v>
      </c>
      <c r="Z625">
        <v>-2.6806629999999998E-3</v>
      </c>
      <c r="AA625">
        <v>0.98802129999999999</v>
      </c>
      <c r="AB625">
        <v>43</v>
      </c>
      <c r="AC625">
        <v>-23.427399999999899</v>
      </c>
      <c r="AD625">
        <v>-1.1046933931289999</v>
      </c>
      <c r="AE625">
        <v>-4.1811999999999898</v>
      </c>
      <c r="AF625">
        <v>-3.7321446847157498</v>
      </c>
      <c r="AG625">
        <v>-1.1046933931289999</v>
      </c>
      <c r="AH625">
        <v>23.4513063957029</v>
      </c>
      <c r="AI625">
        <v>92.663502833083299</v>
      </c>
      <c r="AJ625">
        <v>99.042473354467603</v>
      </c>
      <c r="AK625">
        <v>23.772105988019099</v>
      </c>
      <c r="AL625">
        <v>83.778609217977206</v>
      </c>
      <c r="AM625">
        <v>91.623662553725197</v>
      </c>
      <c r="AN625">
        <v>0.99999996244330802</v>
      </c>
    </row>
    <row r="626" spans="1:40" x14ac:dyDescent="0.3">
      <c r="A626" t="str">
        <f>"20200111150257493"</f>
        <v>20200111150257493</v>
      </c>
      <c r="B626" t="str">
        <f>"1578726177487069"</f>
        <v>1578726177487069</v>
      </c>
      <c r="C626" t="s">
        <v>40</v>
      </c>
      <c r="D626">
        <v>5.3101349999999998</v>
      </c>
      <c r="E626">
        <v>0.45297700000000002</v>
      </c>
      <c r="F626" t="s">
        <v>59</v>
      </c>
      <c r="G626">
        <v>-409.00720000000001</v>
      </c>
      <c r="H626" s="1">
        <v>5.3681149999999997E-6</v>
      </c>
      <c r="I626">
        <v>279.96949999999998</v>
      </c>
      <c r="J626">
        <v>-391.23309999999998</v>
      </c>
      <c r="K626">
        <v>1.1046959999999999</v>
      </c>
      <c r="L626">
        <v>283.17360000000002</v>
      </c>
      <c r="M626">
        <v>-0.99972649999999996</v>
      </c>
      <c r="N626">
        <v>0</v>
      </c>
      <c r="O626">
        <v>-1.967002E-2</v>
      </c>
      <c r="P626">
        <v>-0.99426700000000001</v>
      </c>
      <c r="Q626">
        <v>9.5760960000000006E-2</v>
      </c>
      <c r="R626">
        <v>-4.7574190000000002E-2</v>
      </c>
      <c r="S626">
        <v>-3.0098880000000001</v>
      </c>
      <c r="T626">
        <v>-0.18244050000000001</v>
      </c>
      <c r="U626">
        <v>-0.53067019999999998</v>
      </c>
      <c r="V626">
        <v>-2.825884E-2</v>
      </c>
      <c r="W626">
        <v>0.1082838</v>
      </c>
      <c r="X626">
        <v>0.99371830000000005</v>
      </c>
      <c r="Y626">
        <v>-0.1539857</v>
      </c>
      <c r="Z626">
        <v>-3.4453410000000002E-3</v>
      </c>
      <c r="AA626">
        <v>0.98806709999999998</v>
      </c>
      <c r="AB626">
        <v>43</v>
      </c>
      <c r="AC626">
        <v>-17.774100000000001</v>
      </c>
      <c r="AD626">
        <v>-1.1046906318849901</v>
      </c>
      <c r="AE626">
        <v>-3.2041000000000301</v>
      </c>
      <c r="AF626">
        <v>-2.8431979807852499</v>
      </c>
      <c r="AG626">
        <v>-1.1046906318849901</v>
      </c>
      <c r="AH626">
        <v>17.767218659725799</v>
      </c>
      <c r="AI626">
        <v>93.513244600575604</v>
      </c>
      <c r="AJ626">
        <v>99.0916698291431</v>
      </c>
      <c r="AK626">
        <v>18.027151052027701</v>
      </c>
      <c r="AL626">
        <v>83.783606411976606</v>
      </c>
      <c r="AM626">
        <v>91.628908337779606</v>
      </c>
      <c r="AN626">
        <v>1.0000000015677299</v>
      </c>
    </row>
    <row r="627" spans="1:40" x14ac:dyDescent="0.3">
      <c r="A627" t="str">
        <f>"20200111150257515"</f>
        <v>20200111150257515</v>
      </c>
      <c r="B627" t="str">
        <f>"1578726177507561"</f>
        <v>1578726177507561</v>
      </c>
      <c r="C627" t="s">
        <v>40</v>
      </c>
      <c r="D627">
        <v>5.2602760000000002</v>
      </c>
      <c r="E627">
        <v>0.45372370000000001</v>
      </c>
      <c r="F627" t="s">
        <v>59</v>
      </c>
      <c r="G627">
        <v>-408.8913</v>
      </c>
      <c r="H627" s="1">
        <v>5.4021979999999899E-6</v>
      </c>
      <c r="I627">
        <v>280.05340000000001</v>
      </c>
      <c r="J627">
        <v>-391.64780000000002</v>
      </c>
      <c r="K627">
        <v>1.104695</v>
      </c>
      <c r="L627">
        <v>283.16469999999998</v>
      </c>
      <c r="M627">
        <v>-0.99971049999999995</v>
      </c>
      <c r="N627">
        <v>0</v>
      </c>
      <c r="O627">
        <v>-2.0478099999999999E-2</v>
      </c>
      <c r="P627">
        <v>-0.99426970000000003</v>
      </c>
      <c r="Q627">
        <v>9.5407339999999993E-2</v>
      </c>
      <c r="R627">
        <v>-4.8224099999999999E-2</v>
      </c>
      <c r="S627">
        <v>-3.0099490000000002</v>
      </c>
      <c r="T627">
        <v>-0.1883011</v>
      </c>
      <c r="U627">
        <v>-0.53186040000000001</v>
      </c>
      <c r="V627">
        <v>-2.810313E-2</v>
      </c>
      <c r="W627">
        <v>0.107914</v>
      </c>
      <c r="X627">
        <v>0.99376299999999995</v>
      </c>
      <c r="Y627">
        <v>-0.1535494</v>
      </c>
      <c r="Z627">
        <v>-3.4920200000000002E-3</v>
      </c>
      <c r="AA627">
        <v>0.98813479999999998</v>
      </c>
      <c r="AB627">
        <v>43</v>
      </c>
      <c r="AC627">
        <v>-17.243499999999901</v>
      </c>
      <c r="AD627">
        <v>-1.1046895978019999</v>
      </c>
      <c r="AE627">
        <v>-3.1112999999999702</v>
      </c>
      <c r="AF627">
        <v>-2.7465880124147701</v>
      </c>
      <c r="AG627">
        <v>-1.1046895978019999</v>
      </c>
      <c r="AH627">
        <v>17.235095912456899</v>
      </c>
      <c r="AI627">
        <v>93.621799981724806</v>
      </c>
      <c r="AJ627">
        <v>99.054529499160097</v>
      </c>
      <c r="AK627">
        <v>17.487498847148501</v>
      </c>
      <c r="AL627">
        <v>83.804919637236196</v>
      </c>
      <c r="AM627">
        <v>91.619864803105401</v>
      </c>
      <c r="AN627">
        <v>1.0000000587403901</v>
      </c>
    </row>
    <row r="628" spans="1:40" x14ac:dyDescent="0.3">
      <c r="A628" t="str">
        <f>"20200111150257537"</f>
        <v>20200111150257537</v>
      </c>
      <c r="B628" t="str">
        <f>"1578726177527081"</f>
        <v>1578726177527081</v>
      </c>
      <c r="C628" t="s">
        <v>40</v>
      </c>
      <c r="D628">
        <v>5.3050769999999998</v>
      </c>
      <c r="E628">
        <v>0.45450560000000001</v>
      </c>
      <c r="F628" t="s">
        <v>59</v>
      </c>
      <c r="G628">
        <v>-408.40780000000001</v>
      </c>
      <c r="H628" s="1">
        <v>5.5813379999999899E-6</v>
      </c>
      <c r="I628">
        <v>280.22399999999999</v>
      </c>
      <c r="J628">
        <v>-392.07260000000002</v>
      </c>
      <c r="K628">
        <v>1.1046940000000001</v>
      </c>
      <c r="L628">
        <v>283.15530000000001</v>
      </c>
      <c r="M628">
        <v>-0.99969319999999895</v>
      </c>
      <c r="N628">
        <v>0</v>
      </c>
      <c r="O628">
        <v>-2.1306329999999998E-2</v>
      </c>
      <c r="P628">
        <v>-0.99430479999999999</v>
      </c>
      <c r="Q628">
        <v>9.4749379999999994E-2</v>
      </c>
      <c r="R628">
        <v>-4.87888E-2</v>
      </c>
      <c r="S628">
        <v>-3.0106809999999999</v>
      </c>
      <c r="T628">
        <v>-0.19844020000000001</v>
      </c>
      <c r="U628">
        <v>-0.52825929999999999</v>
      </c>
      <c r="V628">
        <v>-2.78417E-2</v>
      </c>
      <c r="W628">
        <v>0.1072413</v>
      </c>
      <c r="X628">
        <v>0.99384309999999998</v>
      </c>
      <c r="Y628">
        <v>-0.15152109999999999</v>
      </c>
      <c r="Z628">
        <v>-3.5588199999999999E-3</v>
      </c>
      <c r="AA628">
        <v>0.98844759999999998</v>
      </c>
      <c r="AB628">
        <v>43</v>
      </c>
      <c r="AC628">
        <v>-16.335199999999901</v>
      </c>
      <c r="AD628">
        <v>-1.1046884186620001</v>
      </c>
      <c r="AE628">
        <v>-2.9313000000000198</v>
      </c>
      <c r="AF628">
        <v>-2.5711716100078599</v>
      </c>
      <c r="AG628">
        <v>-1.1046884186620001</v>
      </c>
      <c r="AH628">
        <v>16.321636179998499</v>
      </c>
      <c r="AI628">
        <v>93.824986521348194</v>
      </c>
      <c r="AJ628">
        <v>98.952319024543002</v>
      </c>
      <c r="AK628">
        <v>16.559802762795002</v>
      </c>
      <c r="AL628">
        <v>83.843687014675297</v>
      </c>
      <c r="AM628">
        <v>91.604674617602896</v>
      </c>
      <c r="AN628">
        <v>0.99999998205109397</v>
      </c>
    </row>
    <row r="629" spans="1:40" x14ac:dyDescent="0.3">
      <c r="A629" t="str">
        <f>"20200111150257560"</f>
        <v>20200111150257560</v>
      </c>
      <c r="B629" t="str">
        <f>"1578726177557337"</f>
        <v>1578726177557337</v>
      </c>
      <c r="C629" t="s">
        <v>40</v>
      </c>
      <c r="D629">
        <v>5.3136109999999999</v>
      </c>
      <c r="E629">
        <v>0.4555072</v>
      </c>
      <c r="F629" t="s">
        <v>59</v>
      </c>
      <c r="G629">
        <v>-408.83850000000001</v>
      </c>
      <c r="H629" s="1">
        <v>5.3874899999999998E-6</v>
      </c>
      <c r="I629">
        <v>280.23770000000002</v>
      </c>
      <c r="J629">
        <v>-392.49970000000002</v>
      </c>
      <c r="K629">
        <v>1.104684</v>
      </c>
      <c r="L629">
        <v>283.14550000000003</v>
      </c>
      <c r="M629">
        <v>-0.99967550000000005</v>
      </c>
      <c r="N629">
        <v>0</v>
      </c>
      <c r="O629">
        <v>-2.2138749999999999E-2</v>
      </c>
      <c r="P629">
        <v>-0.99422370000000004</v>
      </c>
      <c r="Q629">
        <v>9.4906270000000001E-2</v>
      </c>
      <c r="R629">
        <v>-5.0124580000000002E-2</v>
      </c>
      <c r="S629">
        <v>-3.0103759999999999</v>
      </c>
      <c r="T629">
        <v>-0.19835040000000001</v>
      </c>
      <c r="U629">
        <v>-0.52386469999999996</v>
      </c>
      <c r="V629">
        <v>-2.8350710000000001E-2</v>
      </c>
      <c r="W629">
        <v>0.10738209999999999</v>
      </c>
      <c r="X629">
        <v>0.99381350000000002</v>
      </c>
      <c r="Y629">
        <v>-0.14932100000000001</v>
      </c>
      <c r="Z629">
        <v>-3.431819E-3</v>
      </c>
      <c r="AA629">
        <v>0.98878279999999996</v>
      </c>
      <c r="AB629">
        <v>43</v>
      </c>
      <c r="AC629">
        <v>-16.3387999999999</v>
      </c>
      <c r="AD629">
        <v>-1.1046786125100001</v>
      </c>
      <c r="AE629">
        <v>-2.9077999999999999</v>
      </c>
      <c r="AF629">
        <v>-2.5341095572049701</v>
      </c>
      <c r="AG629">
        <v>-1.1046786125100001</v>
      </c>
      <c r="AH629">
        <v>16.326832860131901</v>
      </c>
      <c r="AI629">
        <v>93.8250892113048</v>
      </c>
      <c r="AJ629">
        <v>98.822557238989006</v>
      </c>
      <c r="AK629">
        <v>16.559211857076299</v>
      </c>
      <c r="AL629">
        <v>83.835572872567596</v>
      </c>
      <c r="AM629">
        <v>91.634044621795994</v>
      </c>
      <c r="AN629">
        <v>0.99999997547008102</v>
      </c>
    </row>
    <row r="630" spans="1:40" x14ac:dyDescent="0.3">
      <c r="A630" t="str">
        <f>"20200111150257583"</f>
        <v>20200111150257583</v>
      </c>
      <c r="B630" t="str">
        <f>"1578726177577833"</f>
        <v>1578726177577833</v>
      </c>
      <c r="C630" t="s">
        <v>40</v>
      </c>
      <c r="D630">
        <v>5.2571300000000001</v>
      </c>
      <c r="E630">
        <v>0.45618890000000001</v>
      </c>
      <c r="F630" t="s">
        <v>59</v>
      </c>
      <c r="G630">
        <v>-409.5043</v>
      </c>
      <c r="H630" s="1">
        <v>5.097702E-6</v>
      </c>
      <c r="I630">
        <v>280.21129999999999</v>
      </c>
      <c r="J630">
        <v>-392.95049999999998</v>
      </c>
      <c r="K630">
        <v>1.104681</v>
      </c>
      <c r="L630">
        <v>283.13479999999998</v>
      </c>
      <c r="M630">
        <v>-0.99965579999999998</v>
      </c>
      <c r="N630">
        <v>0</v>
      </c>
      <c r="O630">
        <v>-2.3017429999999998E-2</v>
      </c>
      <c r="P630">
        <v>-0.99419060000000004</v>
      </c>
      <c r="Q630">
        <v>9.444284E-2</v>
      </c>
      <c r="R630">
        <v>-5.1634010000000001E-2</v>
      </c>
      <c r="S630">
        <v>-3.0099179999999999</v>
      </c>
      <c r="T630">
        <v>-0.19553499999999999</v>
      </c>
      <c r="U630">
        <v>-0.51937869999999997</v>
      </c>
      <c r="V630">
        <v>-2.898485E-2</v>
      </c>
      <c r="W630">
        <v>0.1069042</v>
      </c>
      <c r="X630">
        <v>0.99384680000000003</v>
      </c>
      <c r="Y630">
        <v>-0.14706</v>
      </c>
      <c r="Z630">
        <v>-3.2547629999999999E-3</v>
      </c>
      <c r="AA630">
        <v>0.98912219999999995</v>
      </c>
      <c r="AB630">
        <v>43</v>
      </c>
      <c r="AC630">
        <v>-16.553799999999999</v>
      </c>
      <c r="AD630">
        <v>-1.1046759022979999</v>
      </c>
      <c r="AE630">
        <v>-2.92349999999999</v>
      </c>
      <c r="AF630">
        <v>-2.5307401340889299</v>
      </c>
      <c r="AG630">
        <v>-1.1046759022979999</v>
      </c>
      <c r="AH630">
        <v>16.545259219389202</v>
      </c>
      <c r="AI630">
        <v>93.776005442755704</v>
      </c>
      <c r="AJ630">
        <v>98.696479865611195</v>
      </c>
      <c r="AK630">
        <v>16.774103764797399</v>
      </c>
      <c r="AL630">
        <v>83.863113491327695</v>
      </c>
      <c r="AM630">
        <v>91.670518003836705</v>
      </c>
      <c r="AN630">
        <v>1.0000000456886999</v>
      </c>
    </row>
    <row r="631" spans="1:40" x14ac:dyDescent="0.3">
      <c r="A631" t="str">
        <f>"20200111150257606"</f>
        <v>20200111150257606</v>
      </c>
      <c r="B631" t="str">
        <f>"1578726177597353"</f>
        <v>1578726177597353</v>
      </c>
      <c r="C631" t="s">
        <v>40</v>
      </c>
      <c r="D631">
        <v>5.2905629999999997</v>
      </c>
      <c r="E631">
        <v>0.45608460000000001</v>
      </c>
      <c r="F631" t="s">
        <v>59</v>
      </c>
      <c r="G631">
        <v>-409.92399999999998</v>
      </c>
      <c r="H631" s="1">
        <v>4.9109020000000003E-6</v>
      </c>
      <c r="I631">
        <v>280.21480000000003</v>
      </c>
      <c r="J631">
        <v>-393.38720000000001</v>
      </c>
      <c r="K631">
        <v>1.104679</v>
      </c>
      <c r="L631">
        <v>283.12400000000002</v>
      </c>
      <c r="M631">
        <v>-0.99963610000000003</v>
      </c>
      <c r="N631">
        <v>0</v>
      </c>
      <c r="O631">
        <v>-2.386547E-2</v>
      </c>
      <c r="P631">
        <v>-0.99424420000000002</v>
      </c>
      <c r="Q631">
        <v>9.3715909999999999E-2</v>
      </c>
      <c r="R631">
        <v>-5.1922610000000001E-2</v>
      </c>
      <c r="S631">
        <v>-3.009277</v>
      </c>
      <c r="T631">
        <v>-0.19585169999999999</v>
      </c>
      <c r="U631">
        <v>-0.51770020000000005</v>
      </c>
      <c r="V631">
        <v>-2.8425519999999999E-2</v>
      </c>
      <c r="W631">
        <v>0.1061684</v>
      </c>
      <c r="X631">
        <v>0.99394179999999999</v>
      </c>
      <c r="Y631">
        <v>-0.14572379999999999</v>
      </c>
      <c r="Z631">
        <v>-3.1630650000000001E-3</v>
      </c>
      <c r="AA631">
        <v>0.98932030000000004</v>
      </c>
      <c r="AB631">
        <v>43</v>
      </c>
      <c r="AC631">
        <v>-16.536799999999999</v>
      </c>
      <c r="AD631">
        <v>-1.104674089098</v>
      </c>
      <c r="AE631">
        <v>-2.90919999999999</v>
      </c>
      <c r="AF631">
        <v>-2.5028482105252099</v>
      </c>
      <c r="AG631">
        <v>-1.104674089098</v>
      </c>
      <c r="AH631">
        <v>16.529975650487401</v>
      </c>
      <c r="AI631">
        <v>93.780347070019801</v>
      </c>
      <c r="AJ631">
        <v>98.609909677042296</v>
      </c>
      <c r="AK631">
        <v>16.754839569920001</v>
      </c>
      <c r="AL631">
        <v>83.905512874923801</v>
      </c>
      <c r="AM631">
        <v>91.638142718211299</v>
      </c>
      <c r="AN631">
        <v>1.00000002056653</v>
      </c>
    </row>
    <row r="632" spans="1:40" x14ac:dyDescent="0.3">
      <c r="A632" t="str">
        <f>"20200111150257626"</f>
        <v>20200111150257626</v>
      </c>
      <c r="B632" t="str">
        <f>"1578726177616873"</f>
        <v>1578726177616873</v>
      </c>
      <c r="C632" t="s">
        <v>40</v>
      </c>
      <c r="D632">
        <v>5.3481759999999996</v>
      </c>
      <c r="E632">
        <v>0.45594459999999998</v>
      </c>
      <c r="F632" t="s">
        <v>59</v>
      </c>
      <c r="G632">
        <v>-410.08539999999999</v>
      </c>
      <c r="H632" s="1">
        <v>2.6040419999999999E-6</v>
      </c>
      <c r="I632">
        <v>280.23360000000002</v>
      </c>
      <c r="J632">
        <v>-393.79649999999998</v>
      </c>
      <c r="K632">
        <v>1.1046750000000001</v>
      </c>
      <c r="L632">
        <v>283.11360000000002</v>
      </c>
      <c r="M632">
        <v>-0.99961699999999998</v>
      </c>
      <c r="N632">
        <v>0</v>
      </c>
      <c r="O632">
        <v>-2.4651240000000001E-2</v>
      </c>
      <c r="P632">
        <v>-0.99422809999999995</v>
      </c>
      <c r="Q632">
        <v>9.3840380000000001E-2</v>
      </c>
      <c r="R632">
        <v>-5.2006669999999998E-2</v>
      </c>
      <c r="S632">
        <v>-3.0090029999999999</v>
      </c>
      <c r="T632">
        <v>-0.19906219999999999</v>
      </c>
      <c r="U632">
        <v>-0.52084350000000001</v>
      </c>
      <c r="V632">
        <v>-2.7727040000000001E-2</v>
      </c>
      <c r="W632">
        <v>0.1062855</v>
      </c>
      <c r="X632">
        <v>0.99394899999999997</v>
      </c>
      <c r="Y632">
        <v>-0.1459578</v>
      </c>
      <c r="Z632">
        <v>-3.1710079999999999E-3</v>
      </c>
      <c r="AA632">
        <v>0.98928570000000005</v>
      </c>
      <c r="AB632">
        <v>43</v>
      </c>
      <c r="AC632">
        <v>-16.288900000000002</v>
      </c>
      <c r="AD632">
        <v>-1.104672395958</v>
      </c>
      <c r="AE632">
        <v>-2.8799999999999901</v>
      </c>
      <c r="AF632">
        <v>-2.4665510083490498</v>
      </c>
      <c r="AG632">
        <v>-1.104672395958</v>
      </c>
      <c r="AH632">
        <v>16.282334521208899</v>
      </c>
      <c r="AI632">
        <v>93.837624988213094</v>
      </c>
      <c r="AJ632">
        <v>98.614033568320195</v>
      </c>
      <c r="AK632">
        <v>16.505108071131499</v>
      </c>
      <c r="AL632">
        <v>83.898765268535399</v>
      </c>
      <c r="AM632">
        <v>91.597899369718803</v>
      </c>
      <c r="AN632">
        <v>1.0000000054292</v>
      </c>
    </row>
    <row r="633" spans="1:40" x14ac:dyDescent="0.3">
      <c r="A633" t="str">
        <f>"20200111150257650"</f>
        <v>20200111150257650</v>
      </c>
      <c r="B633" t="str">
        <f>"1578726177637369"</f>
        <v>1578726177637369</v>
      </c>
      <c r="C633" t="s">
        <v>40</v>
      </c>
      <c r="D633">
        <v>5.3448190000000002</v>
      </c>
      <c r="E633">
        <v>0.45550550000000001</v>
      </c>
      <c r="F633" t="s">
        <v>59</v>
      </c>
      <c r="G633">
        <v>-410.61040000000003</v>
      </c>
      <c r="H633" s="1">
        <v>2.7007900000000002E-6</v>
      </c>
      <c r="I633">
        <v>280.19240000000002</v>
      </c>
      <c r="J633">
        <v>-394.22370000000001</v>
      </c>
      <c r="K633">
        <v>1.104668</v>
      </c>
      <c r="L633">
        <v>283.10239999999999</v>
      </c>
      <c r="M633">
        <v>-0.99959730000000002</v>
      </c>
      <c r="N633">
        <v>0</v>
      </c>
      <c r="O633">
        <v>-2.5447190000000001E-2</v>
      </c>
      <c r="P633">
        <v>-0.99411179999999999</v>
      </c>
      <c r="Q633">
        <v>9.4303059999999994E-2</v>
      </c>
      <c r="R633">
        <v>-5.3374369999999997E-2</v>
      </c>
      <c r="S633">
        <v>-3.0087280000000001</v>
      </c>
      <c r="T633">
        <v>-0.19767280000000001</v>
      </c>
      <c r="U633">
        <v>-0.52273559999999997</v>
      </c>
      <c r="V633">
        <v>-2.8302460000000002E-2</v>
      </c>
      <c r="W633">
        <v>0.10673489999999999</v>
      </c>
      <c r="X633">
        <v>0.99388460000000001</v>
      </c>
      <c r="Y633">
        <v>-0.145794799999999</v>
      </c>
      <c r="Z633">
        <v>-3.0919459999999999E-3</v>
      </c>
      <c r="AA633">
        <v>0.98931000000000002</v>
      </c>
      <c r="AB633">
        <v>43</v>
      </c>
      <c r="AC633">
        <v>-16.386700000000001</v>
      </c>
      <c r="AD633">
        <v>-1.1046652992099999</v>
      </c>
      <c r="AE633">
        <v>-2.9099999999999602</v>
      </c>
      <c r="AF633">
        <v>-2.48109869841287</v>
      </c>
      <c r="AG633">
        <v>-1.1046652992099999</v>
      </c>
      <c r="AH633">
        <v>16.383273450046499</v>
      </c>
      <c r="AI633">
        <v>93.814052123670393</v>
      </c>
      <c r="AJ633">
        <v>98.611492808149407</v>
      </c>
      <c r="AK633">
        <v>16.6068595801116</v>
      </c>
      <c r="AL633">
        <v>83.8728691011884</v>
      </c>
      <c r="AM633">
        <v>91.631148515794905</v>
      </c>
      <c r="AN633">
        <v>0.99999998311861005</v>
      </c>
    </row>
    <row r="634" spans="1:40" x14ac:dyDescent="0.3">
      <c r="A634" t="str">
        <f>"20200111150257672"</f>
        <v>20200111150257672</v>
      </c>
      <c r="B634" t="str">
        <f>"1578726177667626"</f>
        <v>1578726177667626</v>
      </c>
      <c r="C634" t="s">
        <v>40</v>
      </c>
      <c r="D634">
        <v>5.3375870000000001</v>
      </c>
      <c r="E634">
        <v>0.45530229999999999</v>
      </c>
      <c r="F634" t="s">
        <v>59</v>
      </c>
      <c r="G634">
        <v>-411.13869999999997</v>
      </c>
      <c r="H634" s="1">
        <v>2.8002950000000002E-6</v>
      </c>
      <c r="I634">
        <v>280.1259</v>
      </c>
      <c r="J634">
        <v>-394.6601</v>
      </c>
      <c r="K634">
        <v>1.104638</v>
      </c>
      <c r="L634">
        <v>283.09059999999999</v>
      </c>
      <c r="M634">
        <v>-0.99957790000000002</v>
      </c>
      <c r="N634">
        <v>0</v>
      </c>
      <c r="O634">
        <v>-2.6210870000000001E-2</v>
      </c>
      <c r="P634">
        <v>-0.9939211</v>
      </c>
      <c r="Q634">
        <v>9.5675869999999996E-2</v>
      </c>
      <c r="R634">
        <v>-5.4474920000000003E-2</v>
      </c>
      <c r="S634">
        <v>-3.007965</v>
      </c>
      <c r="T634">
        <v>-0.19644139999999999</v>
      </c>
      <c r="U634">
        <v>-0.52929689999999996</v>
      </c>
      <c r="V634">
        <v>-2.8642299999999999E-2</v>
      </c>
      <c r="W634">
        <v>0.1080922</v>
      </c>
      <c r="X634">
        <v>0.99372819999999995</v>
      </c>
      <c r="Y634">
        <v>-0.147177</v>
      </c>
      <c r="Z634">
        <v>-3.068295E-3</v>
      </c>
      <c r="AA634">
        <v>0.98910540000000002</v>
      </c>
      <c r="AB634">
        <v>43</v>
      </c>
      <c r="AC634">
        <v>-16.478599999999901</v>
      </c>
      <c r="AD634">
        <v>-1.1046351997049999</v>
      </c>
      <c r="AE634">
        <v>-2.9646999999999899</v>
      </c>
      <c r="AF634">
        <v>-2.5207567301865499</v>
      </c>
      <c r="AG634">
        <v>-1.1046351997049999</v>
      </c>
      <c r="AH634">
        <v>16.478922707839299</v>
      </c>
      <c r="AI634">
        <v>93.791016771061393</v>
      </c>
      <c r="AJ634">
        <v>98.697034792902699</v>
      </c>
      <c r="AK634">
        <v>16.707163943295399</v>
      </c>
      <c r="AL634">
        <v>83.794649215370995</v>
      </c>
      <c r="AM634">
        <v>91.650983315216394</v>
      </c>
      <c r="AN634">
        <v>1.00000002026268</v>
      </c>
    </row>
    <row r="635" spans="1:40" x14ac:dyDescent="0.3">
      <c r="A635" t="str">
        <f>"20200111150257694"</f>
        <v>20200111150257694</v>
      </c>
      <c r="B635" t="str">
        <f>"1578726177687148"</f>
        <v>1578726177687148</v>
      </c>
      <c r="C635" t="s">
        <v>40</v>
      </c>
      <c r="D635">
        <v>5.1726609999999997</v>
      </c>
      <c r="E635">
        <v>0.47423500000000002</v>
      </c>
      <c r="F635" t="s">
        <v>59</v>
      </c>
      <c r="G635">
        <v>-411.72879999999998</v>
      </c>
      <c r="H635" s="1">
        <v>2.9109700000000002E-6</v>
      </c>
      <c r="I635">
        <v>280.0573</v>
      </c>
      <c r="J635">
        <v>-395.10109999999997</v>
      </c>
      <c r="K635">
        <v>1.1045969999999901</v>
      </c>
      <c r="L635">
        <v>283.07839999999999</v>
      </c>
      <c r="M635">
        <v>-0.99955870000000002</v>
      </c>
      <c r="N635">
        <v>0</v>
      </c>
      <c r="O635">
        <v>-2.6931190000000001E-2</v>
      </c>
      <c r="P635">
        <v>-0.9938323</v>
      </c>
      <c r="Q635">
        <v>9.6117880000000003E-2</v>
      </c>
      <c r="R635">
        <v>-5.5307889999999998E-2</v>
      </c>
      <c r="S635">
        <v>-3.0077509999999998</v>
      </c>
      <c r="T635">
        <v>-0.1946534</v>
      </c>
      <c r="U635">
        <v>-0.53451539999999997</v>
      </c>
      <c r="V635">
        <v>-2.874993E-2</v>
      </c>
      <c r="W635">
        <v>0.1085208</v>
      </c>
      <c r="X635">
        <v>0.99367839999999996</v>
      </c>
      <c r="Y635">
        <v>-0.14814430000000001</v>
      </c>
      <c r="Z635">
        <v>-3.025074E-3</v>
      </c>
      <c r="AA635">
        <v>0.98896110000000004</v>
      </c>
      <c r="AB635">
        <v>43</v>
      </c>
      <c r="AC635">
        <v>-16.627700000000001</v>
      </c>
      <c r="AD635">
        <v>-1.1045940890299999</v>
      </c>
      <c r="AE635">
        <v>-3.0210999999999899</v>
      </c>
      <c r="AF635">
        <v>-2.56122344929268</v>
      </c>
      <c r="AG635">
        <v>-1.1045940890299999</v>
      </c>
      <c r="AH635">
        <v>16.631983630071801</v>
      </c>
      <c r="AI635">
        <v>93.755513935672198</v>
      </c>
      <c r="AJ635">
        <v>98.754429648325996</v>
      </c>
      <c r="AK635">
        <v>16.8642483713239</v>
      </c>
      <c r="AL635">
        <v>83.769947074140404</v>
      </c>
      <c r="AM635">
        <v>91.657266816560394</v>
      </c>
      <c r="AN635">
        <v>1.0000000425671001</v>
      </c>
    </row>
    <row r="636" spans="1:40" x14ac:dyDescent="0.3">
      <c r="A636" t="str">
        <f>"20200111150257716"</f>
        <v>20200111150257716</v>
      </c>
      <c r="B636" t="str">
        <f>"1578726177707641"</f>
        <v>1578726177707641</v>
      </c>
      <c r="C636" t="s">
        <v>40</v>
      </c>
      <c r="D636">
        <v>5.1794659999999997</v>
      </c>
      <c r="E636">
        <v>0.4746764</v>
      </c>
      <c r="F636" t="s">
        <v>59</v>
      </c>
      <c r="G636">
        <v>-426.49250000000001</v>
      </c>
      <c r="H636" s="1">
        <v>3.3929510000000001E-6</v>
      </c>
      <c r="I636">
        <v>279.07670000000002</v>
      </c>
      <c r="J636">
        <v>-395.52010000000001</v>
      </c>
      <c r="K636">
        <v>1.104528</v>
      </c>
      <c r="L636">
        <v>283.06659999999999</v>
      </c>
      <c r="M636">
        <v>-0.99954229999999999</v>
      </c>
      <c r="N636">
        <v>0</v>
      </c>
      <c r="O636">
        <v>-2.7542199999999999E-2</v>
      </c>
      <c r="P636">
        <v>-0.99371900000000002</v>
      </c>
      <c r="Q636">
        <v>9.617995E-2</v>
      </c>
      <c r="R636">
        <v>-5.7201460000000003E-2</v>
      </c>
      <c r="S636">
        <v>-3.0075379999999998</v>
      </c>
      <c r="T636">
        <v>-0.1058283</v>
      </c>
      <c r="U636">
        <v>-0.38339230000000002</v>
      </c>
      <c r="V636">
        <v>-3.0022920000000002E-2</v>
      </c>
      <c r="W636">
        <v>0.1085696</v>
      </c>
      <c r="X636">
        <v>0.99363539999999995</v>
      </c>
      <c r="Y636">
        <v>-9.9039100000000005E-2</v>
      </c>
      <c r="Z636">
        <v>-7.7041800000000004E-4</v>
      </c>
      <c r="AA636">
        <v>0.9950833</v>
      </c>
      <c r="AB636">
        <v>43</v>
      </c>
      <c r="AC636">
        <v>-30.9724</v>
      </c>
      <c r="AD636">
        <v>-1.104524607049</v>
      </c>
      <c r="AE636">
        <v>-3.9898999999999698</v>
      </c>
      <c r="AF636">
        <v>-3.13135403025731</v>
      </c>
      <c r="AG636">
        <v>-1.104524607049</v>
      </c>
      <c r="AH636">
        <v>31.031727431580801</v>
      </c>
      <c r="AI636">
        <v>92.028199689582905</v>
      </c>
      <c r="AJ636">
        <v>95.762106152103996</v>
      </c>
      <c r="AK636">
        <v>31.208868291854301</v>
      </c>
      <c r="AL636">
        <v>83.767134286442499</v>
      </c>
      <c r="AM636">
        <v>91.730678480297698</v>
      </c>
      <c r="AN636">
        <v>1.00000002095132</v>
      </c>
    </row>
    <row r="637" spans="1:40" x14ac:dyDescent="0.3">
      <c r="A637" t="str">
        <f>"20200111150257738"</f>
        <v>20200111150257738</v>
      </c>
      <c r="B637" t="str">
        <f>"1578726177727161"</f>
        <v>1578726177727161</v>
      </c>
      <c r="C637" t="s">
        <v>40</v>
      </c>
      <c r="D637">
        <v>5.1863950000000001</v>
      </c>
      <c r="E637">
        <v>0.47543829999999998</v>
      </c>
      <c r="F637" t="s">
        <v>59</v>
      </c>
      <c r="G637">
        <v>-427.2885</v>
      </c>
      <c r="H637" s="1">
        <v>3.272337E-6</v>
      </c>
      <c r="I637">
        <v>278.99900000000002</v>
      </c>
      <c r="J637">
        <v>-395.94729999999998</v>
      </c>
      <c r="K637">
        <v>1.1044419999999999</v>
      </c>
      <c r="L637">
        <v>283.05439999999999</v>
      </c>
      <c r="M637">
        <v>-0.99952830000000004</v>
      </c>
      <c r="N637">
        <v>0</v>
      </c>
      <c r="O637">
        <v>-2.805301E-2</v>
      </c>
      <c r="P637">
        <v>-0.99369359999999995</v>
      </c>
      <c r="Q637">
        <v>9.526954E-2</v>
      </c>
      <c r="R637">
        <v>-5.9138309999999999E-2</v>
      </c>
      <c r="S637">
        <v>-3.0069270000000001</v>
      </c>
      <c r="T637">
        <v>-0.1045447</v>
      </c>
      <c r="U637">
        <v>-0.38500980000000001</v>
      </c>
      <c r="V637">
        <v>-3.1427549999999999E-2</v>
      </c>
      <c r="W637">
        <v>0.10765</v>
      </c>
      <c r="X637">
        <v>0.99369200000000002</v>
      </c>
      <c r="Y637">
        <v>-9.9083870000000004E-2</v>
      </c>
      <c r="Z637">
        <v>-7.4432019999999999E-4</v>
      </c>
      <c r="AA637">
        <v>0.99507880000000004</v>
      </c>
      <c r="AB637">
        <v>43</v>
      </c>
      <c r="AC637">
        <v>-31.341200000000001</v>
      </c>
      <c r="AD637">
        <v>-1.1044387276630001</v>
      </c>
      <c r="AE637">
        <v>-4.0553999999999597</v>
      </c>
      <c r="AF637">
        <v>-3.1706475441740598</v>
      </c>
      <c r="AG637">
        <v>-1.1044387276630001</v>
      </c>
      <c r="AH637">
        <v>31.404282718072199</v>
      </c>
      <c r="AI637">
        <v>92.003991961120505</v>
      </c>
      <c r="AJ637">
        <v>95.765175820164501</v>
      </c>
      <c r="AK637">
        <v>31.583251317575701</v>
      </c>
      <c r="AL637">
        <v>83.820134003517097</v>
      </c>
      <c r="AM637">
        <v>91.811492848034604</v>
      </c>
      <c r="AN637">
        <v>1.0000000021315001</v>
      </c>
    </row>
    <row r="638" spans="1:40" x14ac:dyDescent="0.3">
      <c r="A638" t="str">
        <f>"20200111150257761"</f>
        <v>20200111150257761</v>
      </c>
      <c r="B638" t="str">
        <f>"1578726177757417"</f>
        <v>1578726177757417</v>
      </c>
      <c r="C638" t="s">
        <v>40</v>
      </c>
      <c r="D638">
        <v>5.0424439999999997</v>
      </c>
      <c r="E638">
        <v>0.47544920000000002</v>
      </c>
      <c r="F638" t="s">
        <v>59</v>
      </c>
      <c r="G638">
        <v>-424.72410000000002</v>
      </c>
      <c r="H638" s="1">
        <v>3.6285480000000001E-6</v>
      </c>
      <c r="I638">
        <v>279.3716</v>
      </c>
      <c r="J638">
        <v>-396.3904</v>
      </c>
      <c r="K638">
        <v>1.104331</v>
      </c>
      <c r="L638">
        <v>283.04160000000002</v>
      </c>
      <c r="M638">
        <v>-0.99951730000000005</v>
      </c>
      <c r="N638">
        <v>0</v>
      </c>
      <c r="O638">
        <v>-2.8444649999999998E-2</v>
      </c>
      <c r="P638">
        <v>-0.99367729999999999</v>
      </c>
      <c r="Q638">
        <v>9.4862429999999998E-2</v>
      </c>
      <c r="R638">
        <v>-6.0054629999999998E-2</v>
      </c>
      <c r="S638">
        <v>-3.0072019999999999</v>
      </c>
      <c r="T638">
        <v>-0.1154149</v>
      </c>
      <c r="U638">
        <v>-0.38485720000000001</v>
      </c>
      <c r="V638">
        <v>-3.1925549999999997E-2</v>
      </c>
      <c r="W638">
        <v>0.107238</v>
      </c>
      <c r="X638">
        <v>0.99372070000000001</v>
      </c>
      <c r="Y638">
        <v>-9.8624249999999997E-2</v>
      </c>
      <c r="Z638">
        <v>-7.9785749999999997E-4</v>
      </c>
      <c r="AA638">
        <v>0.99512440000000002</v>
      </c>
      <c r="AB638">
        <v>43</v>
      </c>
      <c r="AC638">
        <v>-28.3337</v>
      </c>
      <c r="AD638">
        <v>-1.1043273714520001</v>
      </c>
      <c r="AE638">
        <v>-3.6700000000000101</v>
      </c>
      <c r="AF638">
        <v>-2.8582393609247099</v>
      </c>
      <c r="AG638">
        <v>-1.1043273714520001</v>
      </c>
      <c r="AH638">
        <v>28.384226267814402</v>
      </c>
      <c r="AI638">
        <v>92.216847445430503</v>
      </c>
      <c r="AJ638">
        <v>95.750195964883901</v>
      </c>
      <c r="AK638">
        <v>28.549139601924299</v>
      </c>
      <c r="AL638">
        <v>83.843877480655294</v>
      </c>
      <c r="AM638">
        <v>91.840125016444006</v>
      </c>
      <c r="AN638">
        <v>1.0000000294976401</v>
      </c>
    </row>
    <row r="639" spans="1:40" x14ac:dyDescent="0.3">
      <c r="A639" t="str">
        <f>"20200111150302166"</f>
        <v>20200111150302166</v>
      </c>
      <c r="B639" t="str">
        <f>"1578726182157108"</f>
        <v>1578726182157108</v>
      </c>
      <c r="C639" t="s">
        <v>40</v>
      </c>
      <c r="D639">
        <v>5.5244269999999904</v>
      </c>
      <c r="E639">
        <v>0.46598479999999998</v>
      </c>
      <c r="F639" t="s">
        <v>59</v>
      </c>
      <c r="G639">
        <v>-422.61360000000002</v>
      </c>
      <c r="H639" s="1">
        <v>3.934432E-6</v>
      </c>
      <c r="I639">
        <v>279.65839999999997</v>
      </c>
      <c r="J639">
        <v>-477.77760000000001</v>
      </c>
      <c r="K639">
        <v>1.119389</v>
      </c>
      <c r="L639">
        <v>280.3578</v>
      </c>
      <c r="M639">
        <v>-0.91632630000000004</v>
      </c>
      <c r="N639">
        <v>0</v>
      </c>
      <c r="O639">
        <v>-0.40012809999999999</v>
      </c>
      <c r="P639">
        <v>-0.872687199999999</v>
      </c>
      <c r="Q639">
        <v>0.1056754</v>
      </c>
      <c r="R639">
        <v>-0.47670750000000001</v>
      </c>
      <c r="S639">
        <v>-3.0076900000000002</v>
      </c>
      <c r="T639">
        <v>-0.12666179999999999</v>
      </c>
      <c r="U639">
        <v>-0.38803100000000001</v>
      </c>
      <c r="V639">
        <v>-9.221857E-2</v>
      </c>
      <c r="W639">
        <v>0.1176836</v>
      </c>
      <c r="X639">
        <v>0.98875999999999997</v>
      </c>
      <c r="Y639">
        <v>0.27905750000000001</v>
      </c>
      <c r="Z639">
        <v>2.2152709999999999E-2</v>
      </c>
      <c r="AA639">
        <v>0.96001879999999995</v>
      </c>
      <c r="AB639">
        <v>39</v>
      </c>
      <c r="AC639">
        <v>55.163999999999902</v>
      </c>
      <c r="AD639">
        <v>-1.119385065568</v>
      </c>
      <c r="AE639">
        <v>-0.699400000000025</v>
      </c>
      <c r="AF639">
        <v>-22.706963925136002</v>
      </c>
      <c r="AG639">
        <v>-1.119385065568</v>
      </c>
      <c r="AH639">
        <v>-50.253809274131797</v>
      </c>
      <c r="AI639">
        <v>91.162868513767705</v>
      </c>
      <c r="AJ639">
        <v>-114.315623512261</v>
      </c>
      <c r="AK639">
        <v>55.157090026425998</v>
      </c>
      <c r="AL639">
        <v>83.241564777011902</v>
      </c>
      <c r="AM639">
        <v>95.328384803039</v>
      </c>
      <c r="AN639">
        <v>1.0000000159808999</v>
      </c>
    </row>
    <row r="640" spans="1:40" x14ac:dyDescent="0.3">
      <c r="A640" t="str">
        <f>"20200111150302855"</f>
        <v>20200111150302855</v>
      </c>
      <c r="B640" t="str">
        <f>"1578726182847682"</f>
        <v>1578726182847682</v>
      </c>
      <c r="C640" t="s">
        <v>40</v>
      </c>
      <c r="D640">
        <v>5.2248950000000001</v>
      </c>
      <c r="E640">
        <v>0.42509819999999998</v>
      </c>
      <c r="F640" t="s">
        <v>57</v>
      </c>
      <c r="G640">
        <v>-512.83249999999998</v>
      </c>
      <c r="H640">
        <v>22.185210000000001</v>
      </c>
      <c r="I640">
        <v>256.84750000000003</v>
      </c>
      <c r="J640">
        <v>-486.608</v>
      </c>
      <c r="K640">
        <v>1.1205609999999999</v>
      </c>
      <c r="L640">
        <v>273.22640000000001</v>
      </c>
      <c r="M640">
        <v>-0.60379090000000002</v>
      </c>
      <c r="N640">
        <v>0</v>
      </c>
      <c r="O640">
        <v>-0.79698359999999902</v>
      </c>
      <c r="P640">
        <v>-0.50703220000000004</v>
      </c>
      <c r="Q640">
        <v>0.1039238</v>
      </c>
      <c r="R640">
        <v>-0.85563909999999999</v>
      </c>
      <c r="S640">
        <v>-2.3887330000000002</v>
      </c>
      <c r="T640">
        <v>1.435478</v>
      </c>
      <c r="U640">
        <v>-1.6020509999999999</v>
      </c>
      <c r="V640">
        <v>-0.1174182</v>
      </c>
      <c r="W640">
        <v>0.11487559999999999</v>
      </c>
      <c r="X640">
        <v>0.98641599999999996</v>
      </c>
      <c r="Y640">
        <v>0.23936640000000001</v>
      </c>
      <c r="Z640">
        <v>-0.39850799999999997</v>
      </c>
      <c r="AA640">
        <v>0.88537849999999996</v>
      </c>
      <c r="AB640">
        <v>37</v>
      </c>
      <c r="AC640">
        <v>-26.2244999999999</v>
      </c>
      <c r="AD640">
        <v>21.064648999999999</v>
      </c>
      <c r="AE640">
        <v>-16.378899999999899</v>
      </c>
      <c r="AF640">
        <v>7.5214280232631197</v>
      </c>
      <c r="AG640">
        <v>21.064648999999999</v>
      </c>
      <c r="AH640">
        <v>19.732670263686501</v>
      </c>
      <c r="AI640">
        <v>45.071830512922503</v>
      </c>
      <c r="AJ640">
        <v>69.134841639773398</v>
      </c>
      <c r="AK640">
        <v>29.8273296280057</v>
      </c>
      <c r="AL640">
        <v>83.403549973010101</v>
      </c>
      <c r="AM640">
        <v>96.7882714778072</v>
      </c>
      <c r="AN640">
        <v>0.99999998111129895</v>
      </c>
    </row>
    <row r="641" spans="1:40" x14ac:dyDescent="0.3">
      <c r="A641" t="str">
        <f>"20200111150302866"</f>
        <v>20200111150302866</v>
      </c>
      <c r="B641" t="str">
        <f>"1578726182857442"</f>
        <v>1578726182857442</v>
      </c>
      <c r="C641" t="s">
        <v>40</v>
      </c>
      <c r="D641">
        <v>5.3511419999999896</v>
      </c>
      <c r="E641">
        <v>0.42845260000000002</v>
      </c>
      <c r="F641" t="s">
        <v>41</v>
      </c>
      <c r="G641">
        <v>-491.28719999999998</v>
      </c>
      <c r="H641" s="1">
        <v>-5.2746669999999899E-7</v>
      </c>
      <c r="I641">
        <v>260.02030000000002</v>
      </c>
      <c r="J641">
        <v>-486.71850000000001</v>
      </c>
      <c r="K641">
        <v>1.1205590000000001</v>
      </c>
      <c r="L641">
        <v>273.07420000000002</v>
      </c>
      <c r="M641">
        <v>-0.5968677</v>
      </c>
      <c r="N641">
        <v>0</v>
      </c>
      <c r="O641">
        <v>-0.802181699999999</v>
      </c>
      <c r="P641">
        <v>-0.50097999999999998</v>
      </c>
      <c r="Q641">
        <v>0.10442650000000001</v>
      </c>
      <c r="R641">
        <v>-0.8591356</v>
      </c>
      <c r="S641">
        <v>-1.0355529999999999</v>
      </c>
      <c r="T641">
        <v>-0.2479934</v>
      </c>
      <c r="U641">
        <v>-2.9226679999999998</v>
      </c>
      <c r="V641">
        <v>-0.11582099999999999</v>
      </c>
      <c r="W641">
        <v>0.115444</v>
      </c>
      <c r="X641">
        <v>0.98653849999999998</v>
      </c>
      <c r="Y641">
        <v>-0.29534769999999999</v>
      </c>
      <c r="Z641">
        <v>5.6801329999999997E-2</v>
      </c>
      <c r="AA641">
        <v>0.95369979999999999</v>
      </c>
      <c r="AB641">
        <v>37</v>
      </c>
      <c r="AC641">
        <v>-4.5686999999999696</v>
      </c>
      <c r="AD641">
        <v>-1.1205595274667</v>
      </c>
      <c r="AE641">
        <v>-13.053900000000001</v>
      </c>
      <c r="AF641">
        <v>-4.1001312043581901</v>
      </c>
      <c r="AG641">
        <v>-1.1205595274667</v>
      </c>
      <c r="AH641">
        <v>13.114093773558</v>
      </c>
      <c r="AI641">
        <v>94.662376996468296</v>
      </c>
      <c r="AJ641">
        <v>107.361892993691</v>
      </c>
      <c r="AK641">
        <v>13.785723958110401</v>
      </c>
      <c r="AL641">
        <v>83.370765167457094</v>
      </c>
      <c r="AM641">
        <v>96.695953291185205</v>
      </c>
      <c r="AN641">
        <v>1.0000000165796199</v>
      </c>
    </row>
    <row r="642" spans="1:40" x14ac:dyDescent="0.3">
      <c r="A642" t="str">
        <f>"20200111150302889"</f>
        <v>20200111150302889</v>
      </c>
      <c r="B642" t="str">
        <f>"1578726182877939"</f>
        <v>1578726182877939</v>
      </c>
      <c r="C642" t="s">
        <v>40</v>
      </c>
      <c r="D642">
        <v>5.2784559999999896</v>
      </c>
      <c r="E642">
        <v>0.42946190000000001</v>
      </c>
      <c r="F642" t="s">
        <v>41</v>
      </c>
      <c r="G642">
        <v>-491.2758</v>
      </c>
      <c r="H642" s="1">
        <v>-6.3422319999999903E-7</v>
      </c>
      <c r="I642">
        <v>260.27620000000002</v>
      </c>
      <c r="J642">
        <v>-486.93099999999998</v>
      </c>
      <c r="K642">
        <v>1.120557</v>
      </c>
      <c r="L642">
        <v>272.7722</v>
      </c>
      <c r="M642">
        <v>-0.58311979999999997</v>
      </c>
      <c r="N642">
        <v>0</v>
      </c>
      <c r="O642">
        <v>-0.81223020000000001</v>
      </c>
      <c r="P642">
        <v>-0.4892763</v>
      </c>
      <c r="Q642">
        <v>0.1046916</v>
      </c>
      <c r="R642">
        <v>-0.86582239999999999</v>
      </c>
      <c r="S642">
        <v>-1.0387879999999901</v>
      </c>
      <c r="T642">
        <v>-0.25541710000000001</v>
      </c>
      <c r="U642">
        <v>-2.9171450000000001</v>
      </c>
      <c r="V642">
        <v>-0.11239209999999999</v>
      </c>
      <c r="W642">
        <v>0.1158532</v>
      </c>
      <c r="X642">
        <v>0.98688699999999996</v>
      </c>
      <c r="Y642">
        <v>-0.27759020000000001</v>
      </c>
      <c r="Z642">
        <v>6.0019490000000002E-2</v>
      </c>
      <c r="AA642">
        <v>0.95882290000000003</v>
      </c>
      <c r="AB642">
        <v>37</v>
      </c>
      <c r="AC642">
        <v>-4.3448000000000198</v>
      </c>
      <c r="AD642">
        <v>-1.1205576342232</v>
      </c>
      <c r="AE642">
        <v>-12.495999999999899</v>
      </c>
      <c r="AF642">
        <v>-3.7313943408388499</v>
      </c>
      <c r="AG642">
        <v>-1.1205576342232</v>
      </c>
      <c r="AH642">
        <v>12.5944221167612</v>
      </c>
      <c r="AI642">
        <v>94.875938874216601</v>
      </c>
      <c r="AJ642">
        <v>106.50316408430299</v>
      </c>
      <c r="AK642">
        <v>13.183262934251999</v>
      </c>
      <c r="AL642">
        <v>83.347160908871004</v>
      </c>
      <c r="AM642">
        <v>96.497164667430695</v>
      </c>
      <c r="AN642">
        <v>0.99999994943082304</v>
      </c>
    </row>
    <row r="643" spans="1:40" x14ac:dyDescent="0.3">
      <c r="A643" t="str">
        <f>"20200111150302903"</f>
        <v>20200111150302903</v>
      </c>
      <c r="B643" t="str">
        <f>"1578726182897458"</f>
        <v>1578726182897458</v>
      </c>
      <c r="C643" t="s">
        <v>40</v>
      </c>
      <c r="D643">
        <v>5.2379059999999997</v>
      </c>
      <c r="E643">
        <v>0.43267709999999998</v>
      </c>
      <c r="F643" t="s">
        <v>41</v>
      </c>
      <c r="G643">
        <v>-491.2192</v>
      </c>
      <c r="H643" s="1">
        <v>-6.260807E-7</v>
      </c>
      <c r="I643">
        <v>260.29239999999999</v>
      </c>
      <c r="J643">
        <v>-487.0496</v>
      </c>
      <c r="K643">
        <v>1.120555</v>
      </c>
      <c r="L643">
        <v>272.59789999999998</v>
      </c>
      <c r="M643">
        <v>-0.57517609999999997</v>
      </c>
      <c r="N643">
        <v>0</v>
      </c>
      <c r="O643">
        <v>-0.81787480000000001</v>
      </c>
      <c r="P643">
        <v>-0.4822823</v>
      </c>
      <c r="Q643">
        <v>0.104366899999999</v>
      </c>
      <c r="R643">
        <v>-0.86977649999999995</v>
      </c>
      <c r="S643">
        <v>-1.0061340000000001</v>
      </c>
      <c r="T643">
        <v>-0.2629167</v>
      </c>
      <c r="U643">
        <v>-2.9281619999999999</v>
      </c>
      <c r="V643">
        <v>-0.1107341</v>
      </c>
      <c r="W643">
        <v>0.1155989</v>
      </c>
      <c r="X643">
        <v>0.98710430000000005</v>
      </c>
      <c r="Y643">
        <v>-0.27894429999999998</v>
      </c>
      <c r="Z643">
        <v>6.2315809999999999E-2</v>
      </c>
      <c r="AA643">
        <v>0.95828329999999995</v>
      </c>
      <c r="AB643">
        <v>37</v>
      </c>
      <c r="AC643">
        <v>-4.1696</v>
      </c>
      <c r="AD643">
        <v>-1.1205556260806999</v>
      </c>
      <c r="AE643">
        <v>-12.305499999999901</v>
      </c>
      <c r="AF643">
        <v>-3.64100086116663</v>
      </c>
      <c r="AG643">
        <v>-1.1205556260806999</v>
      </c>
      <c r="AH643">
        <v>12.3721647707419</v>
      </c>
      <c r="AI643">
        <v>94.965750731446704</v>
      </c>
      <c r="AJ643">
        <v>106.398613816305</v>
      </c>
      <c r="AK643">
        <v>12.945385019247</v>
      </c>
      <c r="AL643">
        <v>83.3618302735144</v>
      </c>
      <c r="AM643">
        <v>96.400722983003803</v>
      </c>
      <c r="AN643">
        <v>1.00000002283125</v>
      </c>
    </row>
    <row r="644" spans="1:40" x14ac:dyDescent="0.3">
      <c r="A644" t="str">
        <f>"20200111150302915"</f>
        <v>20200111150302915</v>
      </c>
      <c r="B644" t="str">
        <f>"1578726182907218"</f>
        <v>1578726182907218</v>
      </c>
      <c r="C644" t="s">
        <v>40</v>
      </c>
      <c r="D644">
        <v>5.2480229999999999</v>
      </c>
      <c r="E644">
        <v>0.43312810000000002</v>
      </c>
      <c r="F644" t="s">
        <v>41</v>
      </c>
      <c r="G644">
        <v>-491.32350000000002</v>
      </c>
      <c r="H644" s="1">
        <v>-5.9534279999999998E-7</v>
      </c>
      <c r="I644">
        <v>260.15600000000001</v>
      </c>
      <c r="J644">
        <v>-487.16579999999999</v>
      </c>
      <c r="K644">
        <v>1.1205529999999999</v>
      </c>
      <c r="L644">
        <v>272.42399999999998</v>
      </c>
      <c r="M644">
        <v>-0.56722989999999995</v>
      </c>
      <c r="N644">
        <v>0</v>
      </c>
      <c r="O644">
        <v>-0.82340590000000002</v>
      </c>
      <c r="P644">
        <v>-0.47535169999999999</v>
      </c>
      <c r="Q644">
        <v>0.1040285</v>
      </c>
      <c r="R644">
        <v>-0.87362459999999997</v>
      </c>
      <c r="S644">
        <v>-1.004364</v>
      </c>
      <c r="T644">
        <v>-0.26332939999999999</v>
      </c>
      <c r="U644">
        <v>-2.9238279999999999</v>
      </c>
      <c r="V644">
        <v>-0.10903110000000001</v>
      </c>
      <c r="W644">
        <v>0.115333199999999</v>
      </c>
      <c r="X644">
        <v>0.98732489999999995</v>
      </c>
      <c r="Y644">
        <v>-0.26973659999999999</v>
      </c>
      <c r="Z644">
        <v>6.3306760000000004E-2</v>
      </c>
      <c r="AA644">
        <v>0.96085089999999995</v>
      </c>
      <c r="AB644">
        <v>37</v>
      </c>
      <c r="AC644">
        <v>-4.1577000000000304</v>
      </c>
      <c r="AD644">
        <v>-1.1205535953428001</v>
      </c>
      <c r="AE644">
        <v>-12.268000000000001</v>
      </c>
      <c r="AF644">
        <v>-3.5094860839919502</v>
      </c>
      <c r="AG644">
        <v>-1.1205535953428001</v>
      </c>
      <c r="AH644">
        <v>12.3689300538783</v>
      </c>
      <c r="AI644">
        <v>94.980967873352697</v>
      </c>
      <c r="AJ644">
        <v>105.840442635266</v>
      </c>
      <c r="AK644">
        <v>12.905911963573301</v>
      </c>
      <c r="AL644">
        <v>83.377156072255403</v>
      </c>
      <c r="AM644">
        <v>96.3016865029917</v>
      </c>
      <c r="AN644">
        <v>0.99999999297472997</v>
      </c>
    </row>
    <row r="645" spans="1:40" x14ac:dyDescent="0.3">
      <c r="A645" t="str">
        <f>"20200111150302926"</f>
        <v>20200111150302926</v>
      </c>
      <c r="B645" t="str">
        <f>"1578726182917954"</f>
        <v>1578726182917954</v>
      </c>
      <c r="C645" t="s">
        <v>40</v>
      </c>
      <c r="D645">
        <v>5.2783249999999997</v>
      </c>
      <c r="E645">
        <v>0.43377769999999999</v>
      </c>
      <c r="F645" t="s">
        <v>41</v>
      </c>
      <c r="G645">
        <v>-491.26490000000001</v>
      </c>
      <c r="H645" s="1">
        <v>-6.0751690000000001E-7</v>
      </c>
      <c r="I645">
        <v>260.2208</v>
      </c>
      <c r="J645">
        <v>-487.27499999999998</v>
      </c>
      <c r="K645">
        <v>1.1205560000000001</v>
      </c>
      <c r="L645">
        <v>272.25810000000001</v>
      </c>
      <c r="M645">
        <v>-0.55962529999999999</v>
      </c>
      <c r="N645">
        <v>0</v>
      </c>
      <c r="O645">
        <v>-0.82859280000000002</v>
      </c>
      <c r="P645">
        <v>-0.46855540000000001</v>
      </c>
      <c r="Q645">
        <v>0.10415190000000001</v>
      </c>
      <c r="R645">
        <v>-0.87727289999999902</v>
      </c>
      <c r="S645">
        <v>-0.98431400000000002</v>
      </c>
      <c r="T645">
        <v>-0.26908280000000001</v>
      </c>
      <c r="U645">
        <v>-2.9304199999999998</v>
      </c>
      <c r="V645">
        <v>-0.10760169999999999</v>
      </c>
      <c r="W645">
        <v>0.11551740000000001</v>
      </c>
      <c r="X645">
        <v>0.98746020000000001</v>
      </c>
      <c r="Y645">
        <v>-0.26747209999999899</v>
      </c>
      <c r="Z645">
        <v>6.5283250000000001E-2</v>
      </c>
      <c r="AA645">
        <v>0.96135150000000003</v>
      </c>
      <c r="AB645">
        <v>37</v>
      </c>
      <c r="AC645">
        <v>-3.9899000000000302</v>
      </c>
      <c r="AD645">
        <v>-1.12055660751689</v>
      </c>
      <c r="AE645">
        <v>-12.0373</v>
      </c>
      <c r="AF645">
        <v>-3.4042299301430901</v>
      </c>
      <c r="AG645">
        <v>-1.12055660751689</v>
      </c>
      <c r="AH645">
        <v>12.1138320370165</v>
      </c>
      <c r="AI645">
        <v>95.088920043919003</v>
      </c>
      <c r="AJ645">
        <v>105.69642878998</v>
      </c>
      <c r="AK645">
        <v>12.6328680492191</v>
      </c>
      <c r="AL645">
        <v>83.366531361667796</v>
      </c>
      <c r="AM645">
        <v>96.218877473790101</v>
      </c>
      <c r="AN645">
        <v>1.0000000210648401</v>
      </c>
    </row>
    <row r="646" spans="1:40" x14ac:dyDescent="0.3">
      <c r="A646" t="str">
        <f>"20200111150302939"</f>
        <v>20200111150302939</v>
      </c>
      <c r="B646" t="str">
        <f>"1578726182927714"</f>
        <v>1578726182927714</v>
      </c>
      <c r="C646" t="s">
        <v>40</v>
      </c>
      <c r="D646">
        <v>5.2414719999999999</v>
      </c>
      <c r="E646">
        <v>0.434616</v>
      </c>
      <c r="F646" t="s">
        <v>41</v>
      </c>
      <c r="G646">
        <v>-491.34019999999998</v>
      </c>
      <c r="H646" s="1">
        <v>-4.9156879999999999E-7</v>
      </c>
      <c r="I646">
        <v>259.90370000000001</v>
      </c>
      <c r="J646">
        <v>-487.37459999999999</v>
      </c>
      <c r="K646">
        <v>1.1205579999999999</v>
      </c>
      <c r="L646">
        <v>272.10210000000001</v>
      </c>
      <c r="M646">
        <v>-0.5524751</v>
      </c>
      <c r="N646">
        <v>0</v>
      </c>
      <c r="O646">
        <v>-0.83337739999999905</v>
      </c>
      <c r="P646">
        <v>-0.46224359999999998</v>
      </c>
      <c r="Q646">
        <v>0.1043892</v>
      </c>
      <c r="R646">
        <v>-0.88058729999999996</v>
      </c>
      <c r="S646">
        <v>-0.96591190000000005</v>
      </c>
      <c r="T646">
        <v>-0.26624969999999998</v>
      </c>
      <c r="U646">
        <v>-2.9354550000000001</v>
      </c>
      <c r="V646">
        <v>-0.10618859999999999</v>
      </c>
      <c r="W646">
        <v>0.115814899999999</v>
      </c>
      <c r="X646">
        <v>0.98757830000000002</v>
      </c>
      <c r="Y646">
        <v>-0.26509919999999998</v>
      </c>
      <c r="Z646">
        <v>6.5174860000000001E-2</v>
      </c>
      <c r="AA646">
        <v>0.96201590000000003</v>
      </c>
      <c r="AB646">
        <v>37</v>
      </c>
      <c r="AC646">
        <v>-3.96559999999999</v>
      </c>
      <c r="AD646">
        <v>-1.1205584915688001</v>
      </c>
      <c r="AE646">
        <v>-12.1983999999999</v>
      </c>
      <c r="AF646">
        <v>-3.40888975917427</v>
      </c>
      <c r="AG646">
        <v>-1.1205584915688001</v>
      </c>
      <c r="AH646">
        <v>12.264728821196</v>
      </c>
      <c r="AI646">
        <v>95.030631897868702</v>
      </c>
      <c r="AJ646">
        <v>105.532874045436</v>
      </c>
      <c r="AK646">
        <v>12.778879206749901</v>
      </c>
      <c r="AL646">
        <v>83.3493705751698</v>
      </c>
      <c r="AM646">
        <v>96.137105967200398</v>
      </c>
      <c r="AN646">
        <v>1.0000000042314201</v>
      </c>
    </row>
    <row r="647" spans="1:40" x14ac:dyDescent="0.3">
      <c r="A647" t="str">
        <f>"20200111150302952"</f>
        <v>20200111150302952</v>
      </c>
      <c r="B647" t="str">
        <f>"1578726182947182"</f>
        <v>1578726182947182</v>
      </c>
      <c r="C647" t="s">
        <v>40</v>
      </c>
      <c r="D647">
        <v>5.2018940000000002</v>
      </c>
      <c r="E647">
        <v>0.43597760000000002</v>
      </c>
      <c r="F647" t="s">
        <v>41</v>
      </c>
      <c r="G647">
        <v>-491.42829999999998</v>
      </c>
      <c r="H647" s="1">
        <v>-4.5327120000000001E-6</v>
      </c>
      <c r="I647">
        <v>259.56189999999998</v>
      </c>
      <c r="J647">
        <v>-487.488</v>
      </c>
      <c r="K647">
        <v>1.12056</v>
      </c>
      <c r="L647">
        <v>271.92230000000001</v>
      </c>
      <c r="M647">
        <v>-0.54420800000000003</v>
      </c>
      <c r="N647">
        <v>0</v>
      </c>
      <c r="O647">
        <v>-0.83879930000000003</v>
      </c>
      <c r="P647">
        <v>-0.4548237</v>
      </c>
      <c r="Q647">
        <v>0.1047783</v>
      </c>
      <c r="R647">
        <v>-0.88439639999999997</v>
      </c>
      <c r="S647">
        <v>-0.95010380000000005</v>
      </c>
      <c r="T647">
        <v>-0.26264140000000002</v>
      </c>
      <c r="U647">
        <v>-2.939209</v>
      </c>
      <c r="V647">
        <v>-0.104717</v>
      </c>
      <c r="W647">
        <v>0.1162681</v>
      </c>
      <c r="X647">
        <v>0.98768219999999995</v>
      </c>
      <c r="Y647">
        <v>-0.2605962</v>
      </c>
      <c r="Z647">
        <v>6.4987530000000002E-2</v>
      </c>
      <c r="AA647">
        <v>0.96325810000000001</v>
      </c>
      <c r="AB647">
        <v>37</v>
      </c>
      <c r="AC647">
        <v>-3.9402999999999202</v>
      </c>
      <c r="AD647">
        <v>-1.120564532712</v>
      </c>
      <c r="AE647">
        <v>-12.3604</v>
      </c>
      <c r="AF647">
        <v>-3.3966004640201302</v>
      </c>
      <c r="AG647">
        <v>-1.120564532712</v>
      </c>
      <c r="AH647">
        <v>12.421153528088199</v>
      </c>
      <c r="AI647">
        <v>94.973313816299694</v>
      </c>
      <c r="AJ647">
        <v>105.29380869996599</v>
      </c>
      <c r="AK647">
        <v>12.9258506316796</v>
      </c>
      <c r="AL647">
        <v>83.323227651983302</v>
      </c>
      <c r="AM647">
        <v>96.052059470402099</v>
      </c>
      <c r="AN647">
        <v>1.00000002468172</v>
      </c>
    </row>
    <row r="648" spans="1:40" x14ac:dyDescent="0.3">
      <c r="A648" t="str">
        <f>"20200111150302966"</f>
        <v>20200111150302966</v>
      </c>
      <c r="B648" t="str">
        <f>"1578726182957918"</f>
        <v>1578726182957918</v>
      </c>
      <c r="C648" t="s">
        <v>40</v>
      </c>
      <c r="D648">
        <v>5.1601990000000004</v>
      </c>
      <c r="E648">
        <v>0.43659389999999998</v>
      </c>
      <c r="F648" t="s">
        <v>41</v>
      </c>
      <c r="G648">
        <v>-491.44560000000001</v>
      </c>
      <c r="H648" s="1">
        <v>-4.505219E-6</v>
      </c>
      <c r="I648">
        <v>259.47210000000001</v>
      </c>
      <c r="J648">
        <v>-487.61360000000002</v>
      </c>
      <c r="K648">
        <v>1.1205609999999999</v>
      </c>
      <c r="L648">
        <v>271.71820000000002</v>
      </c>
      <c r="M648">
        <v>-0.53480319999999903</v>
      </c>
      <c r="N648">
        <v>0</v>
      </c>
      <c r="O648">
        <v>-0.84482690000000005</v>
      </c>
      <c r="P648">
        <v>-0.44655440000000002</v>
      </c>
      <c r="Q648">
        <v>0.1055502</v>
      </c>
      <c r="R648">
        <v>-0.88850929999999995</v>
      </c>
      <c r="S648">
        <v>-0.93533330000000003</v>
      </c>
      <c r="T648">
        <v>-0.26483640000000003</v>
      </c>
      <c r="U648">
        <v>-2.9425050000000001</v>
      </c>
      <c r="V648">
        <v>-0.1028781</v>
      </c>
      <c r="W648">
        <v>0.1171196</v>
      </c>
      <c r="X648">
        <v>0.98777479999999995</v>
      </c>
      <c r="Y648">
        <v>-0.25453189999999998</v>
      </c>
      <c r="Z648">
        <v>6.6322999999999993E-2</v>
      </c>
      <c r="AA648">
        <v>0.96478739999999996</v>
      </c>
      <c r="AB648">
        <v>37</v>
      </c>
      <c r="AC648">
        <v>-3.8319999999999901</v>
      </c>
      <c r="AD648">
        <v>-1.120565505219</v>
      </c>
      <c r="AE648">
        <v>-12.2461</v>
      </c>
      <c r="AF648">
        <v>-3.2872267637098802</v>
      </c>
      <c r="AG648">
        <v>-1.120565505219</v>
      </c>
      <c r="AH648">
        <v>12.3029441173511</v>
      </c>
      <c r="AI648">
        <v>95.028746450650601</v>
      </c>
      <c r="AJ648">
        <v>104.959421212368</v>
      </c>
      <c r="AK648">
        <v>12.783738138831</v>
      </c>
      <c r="AL648">
        <v>83.274104381041695</v>
      </c>
      <c r="AM648">
        <v>95.945996102240898</v>
      </c>
      <c r="AN648">
        <v>0.99999997983940403</v>
      </c>
    </row>
    <row r="649" spans="1:40" x14ac:dyDescent="0.3">
      <c r="A649" t="str">
        <f>"20200111150302979"</f>
        <v>20200111150302979</v>
      </c>
      <c r="B649" t="str">
        <f>"1578726182967679"</f>
        <v>1578726182967679</v>
      </c>
      <c r="C649" t="s">
        <v>40</v>
      </c>
      <c r="D649">
        <v>5.1667339999999999</v>
      </c>
      <c r="E649">
        <v>0.43729109999999999</v>
      </c>
      <c r="F649" t="s">
        <v>41</v>
      </c>
      <c r="G649">
        <v>-491.45100000000002</v>
      </c>
      <c r="H649" s="1">
        <v>-4.4476590000000001E-6</v>
      </c>
      <c r="I649">
        <v>259.30009999999999</v>
      </c>
      <c r="J649">
        <v>-487.72</v>
      </c>
      <c r="K649">
        <v>1.1205620000000001</v>
      </c>
      <c r="L649">
        <v>271.53989999999999</v>
      </c>
      <c r="M649">
        <v>-0.52657730000000003</v>
      </c>
      <c r="N649">
        <v>0</v>
      </c>
      <c r="O649">
        <v>-0.84997829999999996</v>
      </c>
      <c r="P649">
        <v>-0.43826929999999997</v>
      </c>
      <c r="Q649">
        <v>0.1060277</v>
      </c>
      <c r="R649">
        <v>-0.89256840000000004</v>
      </c>
      <c r="S649">
        <v>-0.91156009999999998</v>
      </c>
      <c r="T649">
        <v>-0.26618890000000001</v>
      </c>
      <c r="U649">
        <v>-2.9498899999999999</v>
      </c>
      <c r="V649">
        <v>-0.1024684</v>
      </c>
      <c r="W649">
        <v>0.11761539999999999</v>
      </c>
      <c r="X649">
        <v>0.98775849999999998</v>
      </c>
      <c r="Y649">
        <v>-0.2529382</v>
      </c>
      <c r="Z649">
        <v>6.7231929999999995E-2</v>
      </c>
      <c r="AA649">
        <v>0.96514359999999999</v>
      </c>
      <c r="AB649">
        <v>37</v>
      </c>
      <c r="AC649">
        <v>-3.7309999999999302</v>
      </c>
      <c r="AD649">
        <v>-1.120566447659</v>
      </c>
      <c r="AE649">
        <v>-12.239800000000001</v>
      </c>
      <c r="AF649">
        <v>-3.24942655975704</v>
      </c>
      <c r="AG649">
        <v>-1.120566447659</v>
      </c>
      <c r="AH649">
        <v>12.2756486727547</v>
      </c>
      <c r="AI649">
        <v>95.042970649409298</v>
      </c>
      <c r="AJ649">
        <v>104.826436990774</v>
      </c>
      <c r="AK649">
        <v>12.7477838257392</v>
      </c>
      <c r="AL649">
        <v>83.245499600525704</v>
      </c>
      <c r="AM649">
        <v>95.922582549532507</v>
      </c>
      <c r="AN649">
        <v>1.0000000048189801</v>
      </c>
    </row>
    <row r="650" spans="1:40" x14ac:dyDescent="0.3">
      <c r="A650" t="str">
        <f>"20200111150302992"</f>
        <v>20200111150302992</v>
      </c>
      <c r="B650" t="str">
        <f>"1578726182987198"</f>
        <v>1578726182987198</v>
      </c>
      <c r="C650" t="s">
        <v>40</v>
      </c>
      <c r="D650">
        <v>5.0928250000000004</v>
      </c>
      <c r="E650">
        <v>0.4386737</v>
      </c>
      <c r="F650" t="s">
        <v>41</v>
      </c>
      <c r="G650">
        <v>-491.54050000000001</v>
      </c>
      <c r="H650" s="1">
        <v>-4.3057969999999996E-6</v>
      </c>
      <c r="I650">
        <v>258.83659999999998</v>
      </c>
      <c r="J650">
        <v>-487.81979999999999</v>
      </c>
      <c r="K650">
        <v>1.1205639999999999</v>
      </c>
      <c r="L650">
        <v>271.37040000000002</v>
      </c>
      <c r="M650">
        <v>-0.51872989999999997</v>
      </c>
      <c r="N650">
        <v>0</v>
      </c>
      <c r="O650">
        <v>-0.85479020000000006</v>
      </c>
      <c r="P650">
        <v>-0.43044529999999998</v>
      </c>
      <c r="Q650">
        <v>0.10631359999999999</v>
      </c>
      <c r="R650">
        <v>-0.89633419999999897</v>
      </c>
      <c r="S650">
        <v>-0.8888855</v>
      </c>
      <c r="T650">
        <v>-0.26071499999999997</v>
      </c>
      <c r="U650">
        <v>-2.955597</v>
      </c>
      <c r="V650">
        <v>-0.10200919999999999</v>
      </c>
      <c r="W650">
        <v>0.11792270000000001</v>
      </c>
      <c r="X650">
        <v>0.98776940000000002</v>
      </c>
      <c r="Y650">
        <v>-0.25130999999999998</v>
      </c>
      <c r="Z650">
        <v>6.6409250000000003E-2</v>
      </c>
      <c r="AA650">
        <v>0.96562579999999998</v>
      </c>
      <c r="AB650">
        <v>37</v>
      </c>
      <c r="AC650">
        <v>-3.7207000000000199</v>
      </c>
      <c r="AD650">
        <v>-1.120568305797</v>
      </c>
      <c r="AE650">
        <v>-12.533799999999999</v>
      </c>
      <c r="AF650">
        <v>-3.2974371408206098</v>
      </c>
      <c r="AG650">
        <v>-1.120568305797</v>
      </c>
      <c r="AH650">
        <v>12.553195427730101</v>
      </c>
      <c r="AI650">
        <v>94.934491021339497</v>
      </c>
      <c r="AJ650">
        <v>104.71779717153299</v>
      </c>
      <c r="AK650">
        <v>13.0273358931289</v>
      </c>
      <c r="AL650">
        <v>83.227769283226706</v>
      </c>
      <c r="AM650">
        <v>95.896163995684702</v>
      </c>
      <c r="AN650">
        <v>1.00000001381814</v>
      </c>
    </row>
    <row r="651" spans="1:40" x14ac:dyDescent="0.3">
      <c r="A651" t="str">
        <f>"20200111150303003"</f>
        <v>20200111150303003</v>
      </c>
      <c r="B651" t="str">
        <f>"1578726182997934"</f>
        <v>1578726182997934</v>
      </c>
      <c r="C651" t="s">
        <v>40</v>
      </c>
      <c r="D651">
        <v>5.2245599999999897</v>
      </c>
      <c r="E651">
        <v>0.43915779999999899</v>
      </c>
      <c r="F651" t="s">
        <v>41</v>
      </c>
      <c r="G651">
        <v>-491.48919999999998</v>
      </c>
      <c r="H651" s="1">
        <v>-4.3310690000000001E-6</v>
      </c>
      <c r="I651">
        <v>258.93759999999997</v>
      </c>
      <c r="J651">
        <v>-487.91800000000001</v>
      </c>
      <c r="K651">
        <v>1.1205670000000001</v>
      </c>
      <c r="L651">
        <v>271.19909999999999</v>
      </c>
      <c r="M651">
        <v>-0.51079279999999905</v>
      </c>
      <c r="N651">
        <v>0</v>
      </c>
      <c r="O651">
        <v>-0.859556599999999</v>
      </c>
      <c r="P651">
        <v>-0.42188219999999998</v>
      </c>
      <c r="Q651">
        <v>0.1064845</v>
      </c>
      <c r="R651">
        <v>-0.90037579999999995</v>
      </c>
      <c r="S651">
        <v>-0.87335209999999996</v>
      </c>
      <c r="T651">
        <v>-0.26671060000000002</v>
      </c>
      <c r="U651">
        <v>-2.9591669999999999</v>
      </c>
      <c r="V651">
        <v>-0.1022753</v>
      </c>
      <c r="W651">
        <v>0.1180832</v>
      </c>
      <c r="X651">
        <v>0.98772269999999895</v>
      </c>
      <c r="Y651">
        <v>-0.2473649</v>
      </c>
      <c r="Z651">
        <v>6.8536879999999994E-2</v>
      </c>
      <c r="AA651">
        <v>0.9664954</v>
      </c>
      <c r="AB651">
        <v>37</v>
      </c>
      <c r="AC651">
        <v>-3.57119999999997</v>
      </c>
      <c r="AD651">
        <v>-1.120571331069</v>
      </c>
      <c r="AE651">
        <v>-12.2615</v>
      </c>
      <c r="AF651">
        <v>-3.1694403780726299</v>
      </c>
      <c r="AG651">
        <v>-1.120571331069</v>
      </c>
      <c r="AH651">
        <v>12.2706905467649</v>
      </c>
      <c r="AI651">
        <v>95.0529019717995</v>
      </c>
      <c r="AJ651">
        <v>104.482597407295</v>
      </c>
      <c r="AK651">
        <v>12.7228486948732</v>
      </c>
      <c r="AL651">
        <v>83.2185085526976</v>
      </c>
      <c r="AM651">
        <v>95.9117133979329</v>
      </c>
      <c r="AN651">
        <v>1.0000000056038001</v>
      </c>
    </row>
    <row r="652" spans="1:40" x14ac:dyDescent="0.3">
      <c r="A652" t="str">
        <f>"20200111150303015"</f>
        <v>20200111150303015</v>
      </c>
      <c r="B652" t="str">
        <f>"1578726183007694"</f>
        <v>1578726183007694</v>
      </c>
      <c r="C652" t="s">
        <v>40</v>
      </c>
      <c r="D652">
        <v>5.1754439999999997</v>
      </c>
      <c r="E652">
        <v>0.4395153</v>
      </c>
      <c r="F652" t="s">
        <v>41</v>
      </c>
      <c r="G652">
        <v>-491.48480000000001</v>
      </c>
      <c r="H652" s="1">
        <v>-4.2606789999999998E-6</v>
      </c>
      <c r="I652">
        <v>258.733</v>
      </c>
      <c r="J652">
        <v>-488.01420000000002</v>
      </c>
      <c r="K652">
        <v>1.1205689999999999</v>
      </c>
      <c r="L652">
        <v>271.02789999999999</v>
      </c>
      <c r="M652">
        <v>-0.50284200000000001</v>
      </c>
      <c r="N652">
        <v>0</v>
      </c>
      <c r="O652">
        <v>-0.86423159999999899</v>
      </c>
      <c r="P652">
        <v>-0.41336319999999999</v>
      </c>
      <c r="Q652">
        <v>0.10662000000000001</v>
      </c>
      <c r="R652">
        <v>-0.90430259999999996</v>
      </c>
      <c r="S652">
        <v>-0.84860230000000003</v>
      </c>
      <c r="T652">
        <v>-0.2666017</v>
      </c>
      <c r="U652">
        <v>-2.965881</v>
      </c>
      <c r="V652">
        <v>-0.10248699999999999</v>
      </c>
      <c r="W652">
        <v>0.118211999999999</v>
      </c>
      <c r="X652">
        <v>0.98768529999999999</v>
      </c>
      <c r="Y652">
        <v>-0.24646509999999999</v>
      </c>
      <c r="Z652">
        <v>6.9027480000000002E-2</v>
      </c>
      <c r="AA652">
        <v>0.9666903</v>
      </c>
      <c r="AB652">
        <v>37</v>
      </c>
      <c r="AC652">
        <v>-3.4705999999999899</v>
      </c>
      <c r="AD652">
        <v>-1.120573260679</v>
      </c>
      <c r="AE652">
        <v>-12.294899999999901</v>
      </c>
      <c r="AF652">
        <v>-3.1590886463164001</v>
      </c>
      <c r="AG652">
        <v>-1.120573260679</v>
      </c>
      <c r="AH652">
        <v>12.2779114060876</v>
      </c>
      <c r="AI652">
        <v>95.051162810772496</v>
      </c>
      <c r="AJ652">
        <v>104.42913941132301</v>
      </c>
      <c r="AK652">
        <v>12.7272398423056</v>
      </c>
      <c r="AL652">
        <v>83.211076473007296</v>
      </c>
      <c r="AM652">
        <v>95.924085864697204</v>
      </c>
      <c r="AN652">
        <v>0.99999995697454402</v>
      </c>
    </row>
    <row r="653" spans="1:40" x14ac:dyDescent="0.3">
      <c r="A653" t="str">
        <f>"20200111150303028"</f>
        <v>20200111150303028</v>
      </c>
      <c r="B653" t="str">
        <f>"1578726183017455"</f>
        <v>1578726183017455</v>
      </c>
      <c r="C653" t="s">
        <v>40</v>
      </c>
      <c r="D653">
        <v>5.2168570000000001</v>
      </c>
      <c r="E653">
        <v>0.43998379999999998</v>
      </c>
      <c r="F653" t="s">
        <v>41</v>
      </c>
      <c r="G653">
        <v>-491.42899999999997</v>
      </c>
      <c r="H653" s="1">
        <v>-4.236245E-6</v>
      </c>
      <c r="I653">
        <v>258.69029999999998</v>
      </c>
      <c r="J653">
        <v>-488.11279999999999</v>
      </c>
      <c r="K653">
        <v>1.120566</v>
      </c>
      <c r="L653">
        <v>270.8494</v>
      </c>
      <c r="M653">
        <v>-0.494529</v>
      </c>
      <c r="N653">
        <v>0</v>
      </c>
      <c r="O653">
        <v>-0.86901530000000005</v>
      </c>
      <c r="P653">
        <v>-0.40452129999999997</v>
      </c>
      <c r="Q653">
        <v>0.1067555</v>
      </c>
      <c r="R653">
        <v>-0.90827639999999998</v>
      </c>
      <c r="S653">
        <v>-0.82293700000000003</v>
      </c>
      <c r="T653">
        <v>-0.2700419</v>
      </c>
      <c r="U653">
        <v>-2.9731749999999999</v>
      </c>
      <c r="V653">
        <v>-0.1026469</v>
      </c>
      <c r="W653">
        <v>0.11834219999999999</v>
      </c>
      <c r="X653">
        <v>0.98765309999999995</v>
      </c>
      <c r="Y653">
        <v>-0.24555389999999999</v>
      </c>
      <c r="Z653">
        <v>7.0438299999999995E-2</v>
      </c>
      <c r="AA653">
        <v>0.96682040000000002</v>
      </c>
      <c r="AB653">
        <v>37</v>
      </c>
      <c r="AC653">
        <v>-3.31620000000003</v>
      </c>
      <c r="AD653">
        <v>-1.1205702362450001</v>
      </c>
      <c r="AE653">
        <v>-12.1591</v>
      </c>
      <c r="AF653">
        <v>-3.1070340502463498</v>
      </c>
      <c r="AG653">
        <v>-1.1205702362450001</v>
      </c>
      <c r="AH653">
        <v>12.112198309683</v>
      </c>
      <c r="AI653">
        <v>95.1208460474069</v>
      </c>
      <c r="AJ653">
        <v>104.387351812443</v>
      </c>
      <c r="AK653">
        <v>12.554468771590299</v>
      </c>
      <c r="AL653">
        <v>83.203563808915703</v>
      </c>
      <c r="AM653">
        <v>95.9334547854547</v>
      </c>
      <c r="AN653">
        <v>0.99999995416002796</v>
      </c>
    </row>
    <row r="654" spans="1:40" x14ac:dyDescent="0.3">
      <c r="A654" t="str">
        <f>"20200111150303057"</f>
        <v>20200111150303057</v>
      </c>
      <c r="B654" t="str">
        <f>"1578726183047398"</f>
        <v>1578726183047398</v>
      </c>
      <c r="C654" t="s">
        <v>40</v>
      </c>
      <c r="D654">
        <v>5.2517250000000004</v>
      </c>
      <c r="E654">
        <v>0.44057370000000001</v>
      </c>
      <c r="F654" t="s">
        <v>41</v>
      </c>
      <c r="G654">
        <v>-491.42750000000001</v>
      </c>
      <c r="H654" s="1">
        <v>-4.1547180000000003E-6</v>
      </c>
      <c r="I654">
        <v>258.45150000000001</v>
      </c>
      <c r="J654">
        <v>-488.32459999999998</v>
      </c>
      <c r="K654">
        <v>1.120563</v>
      </c>
      <c r="L654">
        <v>270.44819999999999</v>
      </c>
      <c r="M654">
        <v>-0.47581649999999998</v>
      </c>
      <c r="N654">
        <v>0</v>
      </c>
      <c r="O654">
        <v>-0.87940030000000002</v>
      </c>
      <c r="P654">
        <v>-0.3842643</v>
      </c>
      <c r="Q654">
        <v>0.10625859999999999</v>
      </c>
      <c r="R654">
        <v>-0.91708800000000001</v>
      </c>
      <c r="S654">
        <v>-0.79669190000000001</v>
      </c>
      <c r="T654">
        <v>-0.26932830000000002</v>
      </c>
      <c r="U654">
        <v>-2.9798279999999999</v>
      </c>
      <c r="V654">
        <v>-0.1034347</v>
      </c>
      <c r="W654">
        <v>0.11781709999999999</v>
      </c>
      <c r="X654">
        <v>0.98763369999999995</v>
      </c>
      <c r="Y654">
        <v>-0.23328750000000001</v>
      </c>
      <c r="Z654">
        <v>7.1634279999999995E-2</v>
      </c>
      <c r="AA654">
        <v>0.96976569999999995</v>
      </c>
      <c r="AB654">
        <v>37</v>
      </c>
      <c r="AC654">
        <v>-3.1029000000000302</v>
      </c>
      <c r="AD654">
        <v>-1.1205671547180001</v>
      </c>
      <c r="AE654">
        <v>-11.996699999999899</v>
      </c>
      <c r="AF654">
        <v>-2.9557436626311802</v>
      </c>
      <c r="AG654">
        <v>-1.1205671547180001</v>
      </c>
      <c r="AH654">
        <v>11.9302770329636</v>
      </c>
      <c r="AI654">
        <v>95.209252553856501</v>
      </c>
      <c r="AJ654">
        <v>103.91492645157599</v>
      </c>
      <c r="AK654">
        <v>12.3419447993692</v>
      </c>
      <c r="AL654">
        <v>83.233861864396005</v>
      </c>
      <c r="AM654">
        <v>95.978781175339094</v>
      </c>
      <c r="AN654">
        <v>0.99999996579609396</v>
      </c>
    </row>
    <row r="655" spans="1:40" x14ac:dyDescent="0.3">
      <c r="A655" t="str">
        <f>"20200111150303069"</f>
        <v>20200111150303069</v>
      </c>
      <c r="B655" t="str">
        <f>"1578726183058132"</f>
        <v>1578726183058132</v>
      </c>
      <c r="C655" t="s">
        <v>40</v>
      </c>
      <c r="D655">
        <v>5.2428460000000001</v>
      </c>
      <c r="E655">
        <v>0.44106329999999999</v>
      </c>
      <c r="F655" t="s">
        <v>41</v>
      </c>
      <c r="G655">
        <v>-491.36779999999999</v>
      </c>
      <c r="H655" s="1">
        <v>-3.9819160000000004E-6</v>
      </c>
      <c r="I655">
        <v>258.02269999999999</v>
      </c>
      <c r="J655">
        <v>-488.42099999999999</v>
      </c>
      <c r="K655">
        <v>1.1205620000000001</v>
      </c>
      <c r="L655">
        <v>270.25990000000002</v>
      </c>
      <c r="M655">
        <v>-0.46699869999999999</v>
      </c>
      <c r="N655">
        <v>0</v>
      </c>
      <c r="O655">
        <v>-0.88411459999999997</v>
      </c>
      <c r="P655">
        <v>-0.3748533</v>
      </c>
      <c r="Q655">
        <v>0.1061618</v>
      </c>
      <c r="R655">
        <v>-0.92098590000000002</v>
      </c>
      <c r="S655">
        <v>-0.73355099999999995</v>
      </c>
      <c r="T655">
        <v>-0.27011069999999998</v>
      </c>
      <c r="U655">
        <v>-2.9951479999999999</v>
      </c>
      <c r="V655">
        <v>-0.1036729</v>
      </c>
      <c r="W655">
        <v>0.1177125</v>
      </c>
      <c r="X655">
        <v>0.98762119999999998</v>
      </c>
      <c r="Y655">
        <v>-0.24397949999999999</v>
      </c>
      <c r="Z655">
        <v>7.2133550000000005E-2</v>
      </c>
      <c r="AA655">
        <v>0.96709389999999995</v>
      </c>
      <c r="AB655">
        <v>37</v>
      </c>
      <c r="AC655">
        <v>-2.9467999999999899</v>
      </c>
      <c r="AD655">
        <v>-1.1205659819159901</v>
      </c>
      <c r="AE655">
        <v>-12.2372</v>
      </c>
      <c r="AF655">
        <v>-3.0853884857208098</v>
      </c>
      <c r="AG655">
        <v>-1.1205659819159901</v>
      </c>
      <c r="AH655">
        <v>12.1008792638386</v>
      </c>
      <c r="AI655">
        <v>95.127486998413701</v>
      </c>
      <c r="AJ655">
        <v>104.304059277389</v>
      </c>
      <c r="AK655">
        <v>12.5382043844262</v>
      </c>
      <c r="AL655">
        <v>83.239897018728101</v>
      </c>
      <c r="AM655">
        <v>95.992524943377106</v>
      </c>
      <c r="AN655">
        <v>0.99999996877004904</v>
      </c>
    </row>
    <row r="656" spans="1:40" x14ac:dyDescent="0.3">
      <c r="A656" t="str">
        <f>"20200111150303082"</f>
        <v>20200111150303082</v>
      </c>
      <c r="B656" t="str">
        <f>"1578726183077651"</f>
        <v>1578726183077651</v>
      </c>
      <c r="C656" t="s">
        <v>40</v>
      </c>
      <c r="D656">
        <v>5.2290239999999999</v>
      </c>
      <c r="E656">
        <v>0.4421948</v>
      </c>
      <c r="F656" t="s">
        <v>41</v>
      </c>
      <c r="G656">
        <v>-491.29430000000002</v>
      </c>
      <c r="H656" s="1">
        <v>-3.9708579999999996E-6</v>
      </c>
      <c r="I656">
        <v>258.04250000000002</v>
      </c>
      <c r="J656">
        <v>-488.51690000000002</v>
      </c>
      <c r="K656">
        <v>1.1205609999999999</v>
      </c>
      <c r="L656">
        <v>270.06569999999999</v>
      </c>
      <c r="M656">
        <v>-0.45789920000000001</v>
      </c>
      <c r="N656">
        <v>0</v>
      </c>
      <c r="O656">
        <v>-0.88886119999999902</v>
      </c>
      <c r="P656">
        <v>-0.36524020000000001</v>
      </c>
      <c r="Q656">
        <v>0.1057535</v>
      </c>
      <c r="R656">
        <v>-0.92488689999999996</v>
      </c>
      <c r="S656">
        <v>-0.70596309999999995</v>
      </c>
      <c r="T656">
        <v>-0.27531739999999999</v>
      </c>
      <c r="U656">
        <v>-3.00177</v>
      </c>
      <c r="V656">
        <v>-0.1038264</v>
      </c>
      <c r="W656">
        <v>0.1173</v>
      </c>
      <c r="X656">
        <v>0.98765420000000004</v>
      </c>
      <c r="Y656">
        <v>-0.2429538</v>
      </c>
      <c r="Z656">
        <v>7.4057399999999995E-2</v>
      </c>
      <c r="AA656">
        <v>0.96720680000000003</v>
      </c>
      <c r="AB656">
        <v>37</v>
      </c>
      <c r="AC656">
        <v>-2.7774000000000001</v>
      </c>
      <c r="AD656">
        <v>-1.1205649708580001</v>
      </c>
      <c r="AE656">
        <v>-12.0231999999999</v>
      </c>
      <c r="AF656">
        <v>-3.01223680136667</v>
      </c>
      <c r="AG656">
        <v>-1.1205649708580001</v>
      </c>
      <c r="AH656">
        <v>11.8624243837204</v>
      </c>
      <c r="AI656">
        <v>95.231281916051699</v>
      </c>
      <c r="AJ656">
        <v>104.24802531773</v>
      </c>
      <c r="AK656">
        <v>12.2900914830162</v>
      </c>
      <c r="AL656">
        <v>83.263696720714094</v>
      </c>
      <c r="AM656">
        <v>96.001133824101899</v>
      </c>
      <c r="AN656">
        <v>1.0000000150572901</v>
      </c>
    </row>
    <row r="657" spans="1:40" x14ac:dyDescent="0.3">
      <c r="A657" t="str">
        <f>"20200111150303096"</f>
        <v>20200111150303096</v>
      </c>
      <c r="B657" t="str">
        <f>"1578726183087412"</f>
        <v>1578726183087412</v>
      </c>
      <c r="C657" t="s">
        <v>40</v>
      </c>
      <c r="D657">
        <v>5.2244169999999999</v>
      </c>
      <c r="E657">
        <v>0.44282929999999998</v>
      </c>
      <c r="F657" t="s">
        <v>41</v>
      </c>
      <c r="G657">
        <v>-491.24740000000003</v>
      </c>
      <c r="H657" s="1">
        <v>-3.9656029999999996E-6</v>
      </c>
      <c r="I657">
        <v>258.05939999999998</v>
      </c>
      <c r="J657">
        <v>-488.60919999999999</v>
      </c>
      <c r="K657">
        <v>1.12056</v>
      </c>
      <c r="L657">
        <v>269.87479999999999</v>
      </c>
      <c r="M657">
        <v>-0.448934</v>
      </c>
      <c r="N657">
        <v>0</v>
      </c>
      <c r="O657">
        <v>-0.89342299999999997</v>
      </c>
      <c r="P657">
        <v>-0.35558269999999997</v>
      </c>
      <c r="Q657">
        <v>0.1061954</v>
      </c>
      <c r="R657">
        <v>-0.92859259999999999</v>
      </c>
      <c r="S657">
        <v>-0.68356319999999904</v>
      </c>
      <c r="T657">
        <v>-0.28053250000000002</v>
      </c>
      <c r="U657">
        <v>-3.0057680000000002</v>
      </c>
      <c r="V657">
        <v>-0.1041776</v>
      </c>
      <c r="W657">
        <v>0.1177276</v>
      </c>
      <c r="X657">
        <v>0.98756639999999996</v>
      </c>
      <c r="Y657">
        <v>-0.24035509999999999</v>
      </c>
      <c r="Z657">
        <v>7.6045829999999995E-2</v>
      </c>
      <c r="AA657">
        <v>0.96770160000000005</v>
      </c>
      <c r="AB657">
        <v>37</v>
      </c>
      <c r="AC657">
        <v>-2.6382000000000398</v>
      </c>
      <c r="AD657">
        <v>-1.120563965603</v>
      </c>
      <c r="AE657">
        <v>-11.8154</v>
      </c>
      <c r="AF657">
        <v>-2.9226407297687902</v>
      </c>
      <c r="AG657">
        <v>-1.120563965603</v>
      </c>
      <c r="AH657">
        <v>11.642273349727899</v>
      </c>
      <c r="AI657">
        <v>95.333275431995105</v>
      </c>
      <c r="AJ657">
        <v>104.09214750299</v>
      </c>
      <c r="AK657">
        <v>12.055704922819499</v>
      </c>
      <c r="AL657">
        <v>83.239026531685099</v>
      </c>
      <c r="AM657">
        <v>96.021815586324806</v>
      </c>
      <c r="AN657">
        <v>1.0000000772762301</v>
      </c>
    </row>
    <row r="658" spans="1:40" x14ac:dyDescent="0.3">
      <c r="A658" t="str">
        <f>"20200111150303107"</f>
        <v>20200111150303107</v>
      </c>
      <c r="B658" t="str">
        <f>"1578726183098147"</f>
        <v>1578726183098147</v>
      </c>
      <c r="C658" t="s">
        <v>40</v>
      </c>
      <c r="D658">
        <v>5.2197579999999997</v>
      </c>
      <c r="E658">
        <v>0.44282929999999998</v>
      </c>
      <c r="F658" t="s">
        <v>41</v>
      </c>
      <c r="G658">
        <v>-491.23399999999998</v>
      </c>
      <c r="H658" s="1">
        <v>-3.8682130000000002E-6</v>
      </c>
      <c r="I658">
        <v>257.84059999999999</v>
      </c>
      <c r="J658">
        <v>-488.69200000000001</v>
      </c>
      <c r="K658">
        <v>1.1205620000000001</v>
      </c>
      <c r="L658">
        <v>269.70030000000003</v>
      </c>
      <c r="M658">
        <v>-0.44072600000000001</v>
      </c>
      <c r="N658">
        <v>0</v>
      </c>
      <c r="O658">
        <v>-0.89750039999999998</v>
      </c>
      <c r="P658">
        <v>-0.34673340000000002</v>
      </c>
      <c r="Q658">
        <v>0.10644869999999999</v>
      </c>
      <c r="R658">
        <v>-0.93190410000000001</v>
      </c>
      <c r="S658">
        <v>-0.65679929999999997</v>
      </c>
      <c r="T658">
        <v>-0.28039209999999998</v>
      </c>
      <c r="U658">
        <v>-3.0112299999999999</v>
      </c>
      <c r="V658">
        <v>-0.1045174</v>
      </c>
      <c r="W658">
        <v>0.1179682</v>
      </c>
      <c r="X658">
        <v>0.98750170000000004</v>
      </c>
      <c r="Y658">
        <v>-0.24003630000000001</v>
      </c>
      <c r="Z658">
        <v>7.6485860000000003E-2</v>
      </c>
      <c r="AA658">
        <v>0.96774610000000005</v>
      </c>
      <c r="AB658">
        <v>37</v>
      </c>
      <c r="AC658">
        <v>-2.5420000000000802</v>
      </c>
      <c r="AD658">
        <v>-1.120565868213</v>
      </c>
      <c r="AE658">
        <v>-11.8597</v>
      </c>
      <c r="AF658">
        <v>-2.9208750968120598</v>
      </c>
      <c r="AG658">
        <v>-1.120565868213</v>
      </c>
      <c r="AH658">
        <v>11.666327253306999</v>
      </c>
      <c r="AI658">
        <v>95.323186400679504</v>
      </c>
      <c r="AJ658">
        <v>104.05608665760001</v>
      </c>
      <c r="AK658">
        <v>12.0785086321712</v>
      </c>
      <c r="AL658">
        <v>83.225143875035997</v>
      </c>
      <c r="AM658">
        <v>96.041705037824698</v>
      </c>
      <c r="AN658">
        <v>0.99999999530844497</v>
      </c>
    </row>
    <row r="659" spans="1:40" x14ac:dyDescent="0.3">
      <c r="A659" t="str">
        <f>"20200111150303124"</f>
        <v>20200111150303124</v>
      </c>
      <c r="B659" t="str">
        <f>"1578726183117666"</f>
        <v>1578726183117666</v>
      </c>
      <c r="C659" t="s">
        <v>40</v>
      </c>
      <c r="D659">
        <v>5.1365949999999998</v>
      </c>
      <c r="E659">
        <v>0.4640821</v>
      </c>
      <c r="F659" t="s">
        <v>41</v>
      </c>
      <c r="G659">
        <v>-491.21039999999999</v>
      </c>
      <c r="H659" s="1">
        <v>-3.7629969999999999E-6</v>
      </c>
      <c r="I659">
        <v>257.61</v>
      </c>
      <c r="J659">
        <v>-488.79829999999998</v>
      </c>
      <c r="K659">
        <v>1.120566</v>
      </c>
      <c r="L659">
        <v>269.46789999999999</v>
      </c>
      <c r="M659">
        <v>-0.4297801</v>
      </c>
      <c r="N659">
        <v>0</v>
      </c>
      <c r="O659">
        <v>-0.90279310000000002</v>
      </c>
      <c r="P659">
        <v>-0.33492110000000003</v>
      </c>
      <c r="Q659">
        <v>0.1075116</v>
      </c>
      <c r="R659">
        <v>-0.93609290000000001</v>
      </c>
      <c r="S659">
        <v>-0.62847900000000001</v>
      </c>
      <c r="T659">
        <v>-0.27965279999999998</v>
      </c>
      <c r="U659">
        <v>-3.0173030000000001</v>
      </c>
      <c r="V659">
        <v>-0.1049882</v>
      </c>
      <c r="W659">
        <v>0.1190122</v>
      </c>
      <c r="X659">
        <v>0.9873265</v>
      </c>
      <c r="Y659">
        <v>-0.23732900000000001</v>
      </c>
      <c r="Z659">
        <v>7.6937480000000003E-2</v>
      </c>
      <c r="AA659">
        <v>0.96837779999999996</v>
      </c>
      <c r="AB659">
        <v>37</v>
      </c>
      <c r="AC659">
        <v>-2.4121000000000001</v>
      </c>
      <c r="AD659">
        <v>-1.120569762997</v>
      </c>
      <c r="AE659">
        <v>-11.8578999999999</v>
      </c>
      <c r="AF659">
        <v>-2.8942134968600199</v>
      </c>
      <c r="AG659">
        <v>-1.120569762997</v>
      </c>
      <c r="AH659">
        <v>11.643544656147</v>
      </c>
      <c r="AI659">
        <v>95.335802604296902</v>
      </c>
      <c r="AJ659">
        <v>103.959000376509</v>
      </c>
      <c r="AK659">
        <v>12.0500738802232</v>
      </c>
      <c r="AL659">
        <v>83.164902873855695</v>
      </c>
      <c r="AM659">
        <v>96.069786185505393</v>
      </c>
      <c r="AN659">
        <v>1.0000000217451599</v>
      </c>
    </row>
    <row r="660" spans="1:40" x14ac:dyDescent="0.3">
      <c r="A660" t="str">
        <f>"20200111150303146"</f>
        <v>20200111150303146</v>
      </c>
      <c r="B660" t="str">
        <f>"1578726183138163"</f>
        <v>1578726183138163</v>
      </c>
      <c r="C660" t="s">
        <v>40</v>
      </c>
      <c r="D660">
        <v>5.180574</v>
      </c>
      <c r="E660">
        <v>0.46513500000000002</v>
      </c>
      <c r="F660" t="s">
        <v>41</v>
      </c>
      <c r="G660">
        <v>-491.3623</v>
      </c>
      <c r="H660" s="1">
        <v>-4.4379689999999999E-6</v>
      </c>
      <c r="I660">
        <v>259.31790000000001</v>
      </c>
      <c r="J660">
        <v>-488.94349999999997</v>
      </c>
      <c r="K660">
        <v>1.1205609999999999</v>
      </c>
      <c r="L660">
        <v>269.13909999999998</v>
      </c>
      <c r="M660">
        <v>-0.41425699999999999</v>
      </c>
      <c r="N660">
        <v>0</v>
      </c>
      <c r="O660">
        <v>-0.91002050000000001</v>
      </c>
      <c r="P660">
        <v>-0.31877290000000003</v>
      </c>
      <c r="Q660">
        <v>0.1077944</v>
      </c>
      <c r="R660">
        <v>-0.94168169999999995</v>
      </c>
      <c r="S660">
        <v>-0.75119019999999903</v>
      </c>
      <c r="T660">
        <v>-0.32830169999999997</v>
      </c>
      <c r="U660">
        <v>-2.9737239999999998</v>
      </c>
      <c r="V660">
        <v>-0.1050567</v>
      </c>
      <c r="W660">
        <v>0.119293899999999</v>
      </c>
      <c r="X660">
        <v>0.98728519999999997</v>
      </c>
      <c r="Y660">
        <v>-0.17992839999999999</v>
      </c>
      <c r="Z660">
        <v>9.2903899999999998E-2</v>
      </c>
      <c r="AA660">
        <v>0.97928269999999995</v>
      </c>
      <c r="AB660">
        <v>37</v>
      </c>
      <c r="AC660">
        <v>-2.4188000000000298</v>
      </c>
      <c r="AD660">
        <v>-1.120565437969</v>
      </c>
      <c r="AE660">
        <v>-9.8211999999999708</v>
      </c>
      <c r="AF660">
        <v>-1.8449363418323299</v>
      </c>
      <c r="AG660">
        <v>-1.120565437969</v>
      </c>
      <c r="AH660">
        <v>9.8202305648603403</v>
      </c>
      <c r="AI660">
        <v>96.398750691590195</v>
      </c>
      <c r="AJ660">
        <v>100.64018760602301</v>
      </c>
      <c r="AK660">
        <v>10.0546698281545</v>
      </c>
      <c r="AL660">
        <v>83.148646731390897</v>
      </c>
      <c r="AM660">
        <v>96.073969026823093</v>
      </c>
      <c r="AN660">
        <v>1.00000000546557</v>
      </c>
    </row>
    <row r="661" spans="1:40" x14ac:dyDescent="0.3">
      <c r="A661" t="str">
        <f>"20200111150303159"</f>
        <v>20200111150303159</v>
      </c>
      <c r="B661" t="str">
        <f>"1578726183147336"</f>
        <v>1578726183147336</v>
      </c>
      <c r="C661" t="s">
        <v>40</v>
      </c>
      <c r="D661">
        <v>5.244904</v>
      </c>
      <c r="E661">
        <v>0.46369510000000003</v>
      </c>
      <c r="F661" t="s">
        <v>41</v>
      </c>
      <c r="G661">
        <v>-491.36860000000001</v>
      </c>
      <c r="H661" s="1">
        <v>-4.3083690000000003E-6</v>
      </c>
      <c r="I661">
        <v>258.93369999999999</v>
      </c>
      <c r="J661">
        <v>-489.02179999999998</v>
      </c>
      <c r="K661">
        <v>1.12056</v>
      </c>
      <c r="L661">
        <v>268.9538</v>
      </c>
      <c r="M661">
        <v>-0.40549859999999999</v>
      </c>
      <c r="N661">
        <v>0</v>
      </c>
      <c r="O661">
        <v>-0.91395689999999996</v>
      </c>
      <c r="P661">
        <v>-0.30973919999999999</v>
      </c>
      <c r="Q661">
        <v>0.1074058</v>
      </c>
      <c r="R661">
        <v>-0.94473600000000002</v>
      </c>
      <c r="S661">
        <v>-0.70892330000000003</v>
      </c>
      <c r="T661">
        <v>-0.32757039999999998</v>
      </c>
      <c r="U661">
        <v>-2.983276</v>
      </c>
      <c r="V661">
        <v>-0.1050319</v>
      </c>
      <c r="W661">
        <v>0.118908</v>
      </c>
      <c r="X661">
        <v>0.98733439999999995</v>
      </c>
      <c r="Y661">
        <v>-0.1843127</v>
      </c>
      <c r="Z661">
        <v>9.3126520000000004E-2</v>
      </c>
      <c r="AA661">
        <v>0.97844580000000003</v>
      </c>
      <c r="AB661">
        <v>37</v>
      </c>
      <c r="AC661">
        <v>-2.34680000000002</v>
      </c>
      <c r="AD661">
        <v>-1.120564308369</v>
      </c>
      <c r="AE661">
        <v>-10.020099999999999</v>
      </c>
      <c r="AF661">
        <v>-1.8960265827164799</v>
      </c>
      <c r="AG661">
        <v>-1.120564308369</v>
      </c>
      <c r="AH661">
        <v>9.9923768133704396</v>
      </c>
      <c r="AI661">
        <v>96.287265487305504</v>
      </c>
      <c r="AJ661">
        <v>100.743992607358</v>
      </c>
      <c r="AK661">
        <v>10.2322126420408</v>
      </c>
      <c r="AL661">
        <v>83.170915744858107</v>
      </c>
      <c r="AM661">
        <v>96.072245561113405</v>
      </c>
      <c r="AN661">
        <v>1.0000000149524799</v>
      </c>
    </row>
    <row r="662" spans="1:40" x14ac:dyDescent="0.3">
      <c r="A662" t="str">
        <f>"20200111150303171"</f>
        <v>20200111150303171</v>
      </c>
      <c r="B662" t="str">
        <f>"1578726183167831"</f>
        <v>1578726183167831</v>
      </c>
      <c r="C662" t="s">
        <v>40</v>
      </c>
      <c r="D662">
        <v>5.2036619999999996</v>
      </c>
      <c r="E662">
        <v>0.4511136</v>
      </c>
      <c r="F662" t="s">
        <v>41</v>
      </c>
      <c r="G662">
        <v>-491.33629999999999</v>
      </c>
      <c r="H662" s="1">
        <v>-4.1898479999999997E-6</v>
      </c>
      <c r="I662">
        <v>258.60230000000001</v>
      </c>
      <c r="J662">
        <v>-489.09859999999998</v>
      </c>
      <c r="K662">
        <v>1.120555</v>
      </c>
      <c r="L662">
        <v>268.76909999999998</v>
      </c>
      <c r="M662">
        <v>-0.39674949999999998</v>
      </c>
      <c r="N662">
        <v>0</v>
      </c>
      <c r="O662">
        <v>-0.91778859999999995</v>
      </c>
      <c r="P662">
        <v>-0.30115249999999999</v>
      </c>
      <c r="Q662">
        <v>0.1076286</v>
      </c>
      <c r="R662">
        <v>-0.94748279999999996</v>
      </c>
      <c r="S662">
        <v>-0.66918949999999999</v>
      </c>
      <c r="T662">
        <v>-0.32398890000000002</v>
      </c>
      <c r="U662">
        <v>-2.9929199999999998</v>
      </c>
      <c r="V662">
        <v>-0.1045585</v>
      </c>
      <c r="W662">
        <v>0.1191514</v>
      </c>
      <c r="X662">
        <v>0.98735530000000005</v>
      </c>
      <c r="Y662">
        <v>-0.18794749999999999</v>
      </c>
      <c r="Z662">
        <v>9.251355E-2</v>
      </c>
      <c r="AA662">
        <v>0.97781229999999997</v>
      </c>
      <c r="AB662">
        <v>37</v>
      </c>
      <c r="AC662">
        <v>-2.23770000000001</v>
      </c>
      <c r="AD662">
        <v>-1.1205591898480001</v>
      </c>
      <c r="AE662">
        <v>-10.166799999999901</v>
      </c>
      <c r="AF662">
        <v>-1.95750782619064</v>
      </c>
      <c r="AG662">
        <v>-1.1205591898480001</v>
      </c>
      <c r="AH662">
        <v>10.103017491775301</v>
      </c>
      <c r="AI662">
        <v>96.2143547673152</v>
      </c>
      <c r="AJ662">
        <v>100.965460074365</v>
      </c>
      <c r="AK662">
        <v>10.3517366768416</v>
      </c>
      <c r="AL662">
        <v>83.156870078853999</v>
      </c>
      <c r="AM662">
        <v>96.044952818621098</v>
      </c>
      <c r="AN662">
        <v>1.0000000122411501</v>
      </c>
    </row>
    <row r="663" spans="1:40" x14ac:dyDescent="0.3">
      <c r="A663" t="str">
        <f>"20200111150303247"</f>
        <v>20200111150303247</v>
      </c>
      <c r="B663" t="str">
        <f>"1578726183238105"</f>
        <v>1578726183238105</v>
      </c>
      <c r="C663" t="s">
        <v>40</v>
      </c>
      <c r="D663">
        <v>5.2148370000000002</v>
      </c>
      <c r="E663">
        <v>0.44623289999999999</v>
      </c>
      <c r="F663" t="s">
        <v>41</v>
      </c>
      <c r="G663">
        <v>-491.3997</v>
      </c>
      <c r="H663" s="1">
        <v>-3.122825E-6</v>
      </c>
      <c r="I663">
        <v>256.00040000000001</v>
      </c>
      <c r="J663">
        <v>-489.52339999999998</v>
      </c>
      <c r="K663">
        <v>1.12053</v>
      </c>
      <c r="L663">
        <v>267.63400000000001</v>
      </c>
      <c r="M663">
        <v>-0.34277729999999901</v>
      </c>
      <c r="N663">
        <v>0</v>
      </c>
      <c r="O663">
        <v>-0.93928149999999999</v>
      </c>
      <c r="P663">
        <v>-0.24854380000000001</v>
      </c>
      <c r="Q663">
        <v>0.1064346</v>
      </c>
      <c r="R663">
        <v>-0.96275540000000004</v>
      </c>
      <c r="S663">
        <v>-0.54483029999999999</v>
      </c>
      <c r="T663">
        <v>-0.26531480000000002</v>
      </c>
      <c r="U663">
        <v>-3.0232540000000001</v>
      </c>
      <c r="V663">
        <v>-0.1015418</v>
      </c>
      <c r="W663">
        <v>0.1180903</v>
      </c>
      <c r="X663">
        <v>0.98779749999999999</v>
      </c>
      <c r="Y663">
        <v>-0.17134730000000001</v>
      </c>
      <c r="Z663">
        <v>7.8299350000000004E-2</v>
      </c>
      <c r="AA663">
        <v>0.98209429999999998</v>
      </c>
      <c r="AB663">
        <v>37</v>
      </c>
      <c r="AC663">
        <v>-1.8763000000000101</v>
      </c>
      <c r="AD663">
        <v>-1.1205331228249999</v>
      </c>
      <c r="AE663">
        <v>-11.633599999999999</v>
      </c>
      <c r="AF663">
        <v>-2.2056986610442002</v>
      </c>
      <c r="AG663">
        <v>-1.1205331228249999</v>
      </c>
      <c r="AH663">
        <v>11.468151928415599</v>
      </c>
      <c r="AI663">
        <v>95.480734498979999</v>
      </c>
      <c r="AJ663">
        <v>100.88689932461</v>
      </c>
      <c r="AK663">
        <v>11.7319738201167</v>
      </c>
      <c r="AL663">
        <v>83.218098702033501</v>
      </c>
      <c r="AM663">
        <v>95.869171360161701</v>
      </c>
      <c r="AN663">
        <v>0.99999997855378897</v>
      </c>
    </row>
    <row r="664" spans="1:40" x14ac:dyDescent="0.3">
      <c r="A664" t="str">
        <f>"20200111150303260"</f>
        <v>20200111150303260</v>
      </c>
      <c r="B664" t="str">
        <f>"1578726183247393"</f>
        <v>1578726183247393</v>
      </c>
      <c r="C664" t="s">
        <v>40</v>
      </c>
      <c r="D664">
        <v>5.2736199999999904</v>
      </c>
      <c r="E664">
        <v>0.4432972</v>
      </c>
      <c r="F664" t="s">
        <v>41</v>
      </c>
      <c r="G664">
        <v>-490.959</v>
      </c>
      <c r="H664" s="1">
        <v>-2.4522489999999999E-6</v>
      </c>
      <c r="I664">
        <v>254.7105</v>
      </c>
      <c r="J664">
        <v>-489.58659999999998</v>
      </c>
      <c r="K664">
        <v>1.120519</v>
      </c>
      <c r="L664">
        <v>267.44450000000001</v>
      </c>
      <c r="M664">
        <v>-0.33373320000000001</v>
      </c>
      <c r="N664">
        <v>0</v>
      </c>
      <c r="O664">
        <v>-0.94253299999999995</v>
      </c>
      <c r="P664">
        <v>-0.24026549999999999</v>
      </c>
      <c r="Q664">
        <v>0.105631</v>
      </c>
      <c r="R664">
        <v>-0.96494259999999998</v>
      </c>
      <c r="S664">
        <v>-0.33966059999999998</v>
      </c>
      <c r="T664">
        <v>-0.2651191</v>
      </c>
      <c r="U664">
        <v>-3.057709</v>
      </c>
      <c r="V664">
        <v>-0.100525</v>
      </c>
      <c r="W664">
        <v>0.1173308</v>
      </c>
      <c r="X664">
        <v>0.98799199999999998</v>
      </c>
      <c r="Y664">
        <v>-0.2279988</v>
      </c>
      <c r="Z664">
        <v>7.7633960000000002E-2</v>
      </c>
      <c r="AA664">
        <v>0.97056140000000002</v>
      </c>
      <c r="AB664">
        <v>37</v>
      </c>
      <c r="AC664">
        <v>-1.37240000000002</v>
      </c>
      <c r="AD664">
        <v>-1.1205214522489999</v>
      </c>
      <c r="AE664">
        <v>-12.734</v>
      </c>
      <c r="AF664">
        <v>-2.9341430585634498</v>
      </c>
      <c r="AG664">
        <v>-1.1205214522489999</v>
      </c>
      <c r="AH664">
        <v>12.367151854407901</v>
      </c>
      <c r="AI664">
        <v>95.038026432197796</v>
      </c>
      <c r="AJ664">
        <v>103.346817687038</v>
      </c>
      <c r="AK664">
        <v>12.7597495587904</v>
      </c>
      <c r="AL664">
        <v>83.261919585153393</v>
      </c>
      <c r="AM664">
        <v>95.809667835802301</v>
      </c>
      <c r="AN664">
        <v>0.99999999215881896</v>
      </c>
    </row>
    <row r="665" spans="1:40" x14ac:dyDescent="0.3">
      <c r="A665" t="str">
        <f>"20200111150303272"</f>
        <v>20200111150303272</v>
      </c>
      <c r="B665" t="str">
        <f>"1578726183267890"</f>
        <v>1578726183267890</v>
      </c>
      <c r="C665" t="s">
        <v>40</v>
      </c>
      <c r="D665">
        <v>5.2545149999999996</v>
      </c>
      <c r="E665">
        <v>0.43946390000000002</v>
      </c>
      <c r="F665" t="s">
        <v>41</v>
      </c>
      <c r="G665">
        <v>-490.8143</v>
      </c>
      <c r="H665" s="1">
        <v>-2.3263289999999998E-6</v>
      </c>
      <c r="I665">
        <v>254.5068</v>
      </c>
      <c r="J665">
        <v>-489.65159999999997</v>
      </c>
      <c r="K665">
        <v>1.120512</v>
      </c>
      <c r="L665">
        <v>267.24560000000002</v>
      </c>
      <c r="M665">
        <v>-0.32422610000000002</v>
      </c>
      <c r="N665">
        <v>0</v>
      </c>
      <c r="O665">
        <v>-0.94584550000000001</v>
      </c>
      <c r="P665">
        <v>-0.23152629999999999</v>
      </c>
      <c r="Q665">
        <v>0.1050142</v>
      </c>
      <c r="R665">
        <v>-0.96714409999999895</v>
      </c>
      <c r="S665">
        <v>-0.29089359999999997</v>
      </c>
      <c r="T665">
        <v>-0.26550810000000002</v>
      </c>
      <c r="U665">
        <v>-3.065582</v>
      </c>
      <c r="V665">
        <v>-9.9507990000000004E-2</v>
      </c>
      <c r="W665">
        <v>0.11675729999999999</v>
      </c>
      <c r="X665">
        <v>0.98816289999999996</v>
      </c>
      <c r="Y665">
        <v>-0.23374249999999999</v>
      </c>
      <c r="Z665">
        <v>7.7970680000000001E-2</v>
      </c>
      <c r="AA665">
        <v>0.96916720000000001</v>
      </c>
      <c r="AB665">
        <v>36</v>
      </c>
      <c r="AC665">
        <v>-1.1627000000000201</v>
      </c>
      <c r="AD665">
        <v>-1.1205143263290001</v>
      </c>
      <c r="AE665">
        <v>-12.738799999999999</v>
      </c>
      <c r="AF665">
        <v>-3.0078218848757201</v>
      </c>
      <c r="AG665">
        <v>-1.1205143263290001</v>
      </c>
      <c r="AH665">
        <v>12.332858907938</v>
      </c>
      <c r="AI665">
        <v>95.044354654246604</v>
      </c>
      <c r="AJ665">
        <v>103.706116976945</v>
      </c>
      <c r="AK665">
        <v>12.7437025110347</v>
      </c>
      <c r="AL665">
        <v>83.295006262405195</v>
      </c>
      <c r="AM665">
        <v>95.750299520033394</v>
      </c>
      <c r="AN665">
        <v>1.00000001205676</v>
      </c>
    </row>
    <row r="666" spans="1:40" x14ac:dyDescent="0.3">
      <c r="A666" t="str">
        <f>"20200111150303285"</f>
        <v>20200111150303285</v>
      </c>
      <c r="B666" t="str">
        <f>"1578726183277650"</f>
        <v>1578726183277650</v>
      </c>
      <c r="C666" t="s">
        <v>40</v>
      </c>
      <c r="D666">
        <v>5.3099759999999998</v>
      </c>
      <c r="E666">
        <v>0.43829889999999999</v>
      </c>
      <c r="F666" t="s">
        <v>41</v>
      </c>
      <c r="G666">
        <v>-490.64359999999999</v>
      </c>
      <c r="H666" s="1">
        <v>-2.1357109999999998E-6</v>
      </c>
      <c r="I666">
        <v>254.16829999999999</v>
      </c>
      <c r="J666">
        <v>-489.71420000000001</v>
      </c>
      <c r="K666">
        <v>1.1205050000000001</v>
      </c>
      <c r="L666">
        <v>267.04610000000002</v>
      </c>
      <c r="M666">
        <v>-0.31468099999999999</v>
      </c>
      <c r="N666">
        <v>0</v>
      </c>
      <c r="O666">
        <v>-0.94906380000000001</v>
      </c>
      <c r="P666">
        <v>-0.2227777</v>
      </c>
      <c r="Q666">
        <v>0.10445980000000001</v>
      </c>
      <c r="R666">
        <v>-0.96925680000000003</v>
      </c>
      <c r="S666">
        <v>-0.2332458</v>
      </c>
      <c r="T666">
        <v>-0.26344840000000003</v>
      </c>
      <c r="U666">
        <v>-3.074646</v>
      </c>
      <c r="V666">
        <v>-9.8475370000000007E-2</v>
      </c>
      <c r="W666">
        <v>0.1162459</v>
      </c>
      <c r="X666">
        <v>0.98832660000000006</v>
      </c>
      <c r="Y666">
        <v>-0.2422415</v>
      </c>
      <c r="Z666">
        <v>7.7517730000000007E-2</v>
      </c>
      <c r="AA666">
        <v>0.96711429999999998</v>
      </c>
      <c r="AB666">
        <v>36</v>
      </c>
      <c r="AC666">
        <v>-0.92939999999998602</v>
      </c>
      <c r="AD666">
        <v>-1.1205071357109999</v>
      </c>
      <c r="AE666">
        <v>-12.877800000000001</v>
      </c>
      <c r="AF666">
        <v>-3.1470390606224399</v>
      </c>
      <c r="AG666">
        <v>-1.1205071357109999</v>
      </c>
      <c r="AH666">
        <v>12.422345849023801</v>
      </c>
      <c r="AI666">
        <v>94.997157348122698</v>
      </c>
      <c r="AJ666">
        <v>104.21604755224401</v>
      </c>
      <c r="AK666">
        <v>12.863672394888701</v>
      </c>
      <c r="AL666">
        <v>83.324508056255297</v>
      </c>
      <c r="AM666">
        <v>95.690084483318799</v>
      </c>
      <c r="AN666">
        <v>0.99999998801550305</v>
      </c>
    </row>
    <row r="667" spans="1:40" x14ac:dyDescent="0.3">
      <c r="A667" t="str">
        <f>"20200111150303303"</f>
        <v>20200111150303303</v>
      </c>
      <c r="B667" t="str">
        <f>"1578726183298145"</f>
        <v>1578726183298145</v>
      </c>
      <c r="C667" t="s">
        <v>40</v>
      </c>
      <c r="D667">
        <v>5.2627600000000001</v>
      </c>
      <c r="E667">
        <v>0.43677270000000001</v>
      </c>
      <c r="F667" t="s">
        <v>41</v>
      </c>
      <c r="G667">
        <v>-490.54950000000002</v>
      </c>
      <c r="H667" s="1">
        <v>-2.0249540000000001E-6</v>
      </c>
      <c r="I667">
        <v>253.96850000000001</v>
      </c>
      <c r="J667">
        <v>-489.791</v>
      </c>
      <c r="K667">
        <v>1.1205020000000001</v>
      </c>
      <c r="L667">
        <v>266.79020000000003</v>
      </c>
      <c r="M667">
        <v>-0.3024251</v>
      </c>
      <c r="N667">
        <v>0</v>
      </c>
      <c r="O667">
        <v>-0.95304029999999995</v>
      </c>
      <c r="P667">
        <v>-0.21259649999999999</v>
      </c>
      <c r="Q667">
        <v>0.10347389999999999</v>
      </c>
      <c r="R667">
        <v>-0.97164609999999996</v>
      </c>
      <c r="S667">
        <v>-0.19662479999999999</v>
      </c>
      <c r="T667">
        <v>-0.26376260000000001</v>
      </c>
      <c r="U667">
        <v>-3.0783999999999998</v>
      </c>
      <c r="V667">
        <v>-9.6095269999999997E-2</v>
      </c>
      <c r="W667">
        <v>0.1153583</v>
      </c>
      <c r="X667">
        <v>0.98866489999999996</v>
      </c>
      <c r="Y667">
        <v>-0.24127879999999999</v>
      </c>
      <c r="Z667">
        <v>7.8059080000000003E-2</v>
      </c>
      <c r="AA667">
        <v>0.96731140000000004</v>
      </c>
      <c r="AB667">
        <v>36</v>
      </c>
      <c r="AC667">
        <v>-0.75850000000002604</v>
      </c>
      <c r="AD667">
        <v>-1.1205040249539999</v>
      </c>
      <c r="AE667">
        <v>-12.8217</v>
      </c>
      <c r="AF667">
        <v>-3.1312913930425399</v>
      </c>
      <c r="AG667">
        <v>-1.1205040249539999</v>
      </c>
      <c r="AH667">
        <v>12.356522432656099</v>
      </c>
      <c r="AI667">
        <v>95.023538206560602</v>
      </c>
      <c r="AJ667">
        <v>104.22009028010901</v>
      </c>
      <c r="AK667">
        <v>12.7962557682633</v>
      </c>
      <c r="AL667">
        <v>83.375708740039698</v>
      </c>
      <c r="AM667">
        <v>95.551539877247194</v>
      </c>
      <c r="AN667">
        <v>1.00000006139363</v>
      </c>
    </row>
    <row r="668" spans="1:40" x14ac:dyDescent="0.3">
      <c r="A668" t="str">
        <f>"20200111150303314"</f>
        <v>20200111150303314</v>
      </c>
      <c r="B668" t="str">
        <f>"1578726183307906"</f>
        <v>1578726183307906</v>
      </c>
      <c r="C668" t="s">
        <v>40</v>
      </c>
      <c r="D668">
        <v>5.3839439999999996</v>
      </c>
      <c r="E668">
        <v>0.436276</v>
      </c>
      <c r="F668" t="s">
        <v>41</v>
      </c>
      <c r="G668">
        <v>-490.43529999999998</v>
      </c>
      <c r="H668" s="1">
        <v>-1.8987670000000001E-6</v>
      </c>
      <c r="I668">
        <v>253.74520000000001</v>
      </c>
      <c r="J668">
        <v>-489.84500000000003</v>
      </c>
      <c r="K668">
        <v>1.1204989999999999</v>
      </c>
      <c r="L668">
        <v>266.60300000000001</v>
      </c>
      <c r="M668">
        <v>-0.29345179999999998</v>
      </c>
      <c r="N668">
        <v>0</v>
      </c>
      <c r="O668">
        <v>-0.95584139999999995</v>
      </c>
      <c r="P668">
        <v>-0.2047649</v>
      </c>
      <c r="Q668">
        <v>0.1024024</v>
      </c>
      <c r="R668">
        <v>-0.97343990000000002</v>
      </c>
      <c r="S668">
        <v>-0.1522522</v>
      </c>
      <c r="T668">
        <v>-0.26476680000000002</v>
      </c>
      <c r="U668">
        <v>-3.0824280000000002</v>
      </c>
      <c r="V668">
        <v>-9.4747730000000002E-2</v>
      </c>
      <c r="W668">
        <v>0.11434179999999999</v>
      </c>
      <c r="X668">
        <v>0.98891289999999998</v>
      </c>
      <c r="Y668">
        <v>-0.24611330000000001</v>
      </c>
      <c r="Z668">
        <v>7.8585199999999994E-2</v>
      </c>
      <c r="AA668">
        <v>0.96604999999999996</v>
      </c>
      <c r="AB668">
        <v>36</v>
      </c>
      <c r="AC668">
        <v>-0.59029999999995597</v>
      </c>
      <c r="AD668">
        <v>-1.120500898767</v>
      </c>
      <c r="AE668">
        <v>-12.8577999999999</v>
      </c>
      <c r="AF668">
        <v>-3.1851792801417602</v>
      </c>
      <c r="AG668">
        <v>-1.120500898767</v>
      </c>
      <c r="AH668">
        <v>12.371067946170401</v>
      </c>
      <c r="AI668">
        <v>95.012792590631605</v>
      </c>
      <c r="AJ668">
        <v>104.438354927925</v>
      </c>
      <c r="AK668">
        <v>12.8235802894334</v>
      </c>
      <c r="AL668">
        <v>83.434337133673694</v>
      </c>
      <c r="AM668">
        <v>95.472802604317195</v>
      </c>
      <c r="AN668">
        <v>0.99999995167690003</v>
      </c>
    </row>
    <row r="669" spans="1:40" x14ac:dyDescent="0.3">
      <c r="A669" t="str">
        <f>"20200111150303325"</f>
        <v>20200111150303325</v>
      </c>
      <c r="B669" t="str">
        <f>"1578726183317665"</f>
        <v>1578726183317665</v>
      </c>
      <c r="C669" t="s">
        <v>40</v>
      </c>
      <c r="D669">
        <v>5.3292190000000002</v>
      </c>
      <c r="E669">
        <v>0.43586639999999999</v>
      </c>
      <c r="F669" t="s">
        <v>41</v>
      </c>
      <c r="G669">
        <v>-490.3698</v>
      </c>
      <c r="H669" s="1">
        <v>-1.77672E-6</v>
      </c>
      <c r="I669">
        <v>253.50129999999999</v>
      </c>
      <c r="J669">
        <v>-489.89429999999999</v>
      </c>
      <c r="K669">
        <v>1.12049</v>
      </c>
      <c r="L669">
        <v>266.42720000000003</v>
      </c>
      <c r="M669">
        <v>-0.28501399999999999</v>
      </c>
      <c r="N669">
        <v>0</v>
      </c>
      <c r="O669">
        <v>-0.9583914</v>
      </c>
      <c r="P669">
        <v>-0.19789039999999999</v>
      </c>
      <c r="Q669">
        <v>0.10137359999999999</v>
      </c>
      <c r="R669">
        <v>-0.97496819999999895</v>
      </c>
      <c r="S669">
        <v>-0.123535199999999</v>
      </c>
      <c r="T669">
        <v>-0.26372050000000002</v>
      </c>
      <c r="U669">
        <v>-3.083618</v>
      </c>
      <c r="V669">
        <v>-9.2992829999999999E-2</v>
      </c>
      <c r="W669">
        <v>0.11338429999999999</v>
      </c>
      <c r="X669">
        <v>0.98918969999999995</v>
      </c>
      <c r="Y669">
        <v>-0.24656539999999999</v>
      </c>
      <c r="Z669">
        <v>7.8579819999999995E-2</v>
      </c>
      <c r="AA669">
        <v>0.96593519999999999</v>
      </c>
      <c r="AB669">
        <v>36</v>
      </c>
      <c r="AC669">
        <v>-0.47550000000001003</v>
      </c>
      <c r="AD669">
        <v>-1.12049177672</v>
      </c>
      <c r="AE669">
        <v>-12.9259</v>
      </c>
      <c r="AF669">
        <v>-3.2047067406741601</v>
      </c>
      <c r="AG669">
        <v>-1.12049177672</v>
      </c>
      <c r="AH669">
        <v>12.431887500145701</v>
      </c>
      <c r="AI669">
        <v>94.987979452601294</v>
      </c>
      <c r="AJ669">
        <v>104.455073206284</v>
      </c>
      <c r="AK669">
        <v>12.887104947648099</v>
      </c>
      <c r="AL669">
        <v>83.489557054385401</v>
      </c>
      <c r="AM669">
        <v>95.3705404881335</v>
      </c>
      <c r="AN669">
        <v>0.999999964251993</v>
      </c>
    </row>
    <row r="670" spans="1:40" x14ac:dyDescent="0.3">
      <c r="A670" t="str">
        <f>"20200111150303339"</f>
        <v>20200111150303339</v>
      </c>
      <c r="B670" t="str">
        <f>"1578726183327426"</f>
        <v>1578726183327426</v>
      </c>
      <c r="C670" t="s">
        <v>40</v>
      </c>
      <c r="D670">
        <v>5.3671769999999999</v>
      </c>
      <c r="E670">
        <v>0.43550949999999999</v>
      </c>
      <c r="F670" t="s">
        <v>41</v>
      </c>
      <c r="G670">
        <v>-490.30680000000001</v>
      </c>
      <c r="H670" s="1">
        <v>-1.761977E-6</v>
      </c>
      <c r="I670">
        <v>253.5061</v>
      </c>
      <c r="J670">
        <v>-489.94510000000002</v>
      </c>
      <c r="K670">
        <v>1.1204780000000001</v>
      </c>
      <c r="L670">
        <v>266.23700000000002</v>
      </c>
      <c r="M670">
        <v>-0.27588309999999999</v>
      </c>
      <c r="N670">
        <v>0</v>
      </c>
      <c r="O670">
        <v>-0.96105960000000001</v>
      </c>
      <c r="P670">
        <v>-0.19054750000000001</v>
      </c>
      <c r="Q670">
        <v>0.1005614</v>
      </c>
      <c r="R670">
        <v>-0.97651390000000005</v>
      </c>
      <c r="S670">
        <v>-9.8480219999999993E-2</v>
      </c>
      <c r="T670">
        <v>-0.2675092</v>
      </c>
      <c r="U670">
        <v>-3.0848390000000001</v>
      </c>
      <c r="V670">
        <v>-9.1011670000000003E-2</v>
      </c>
      <c r="W670">
        <v>0.1126519</v>
      </c>
      <c r="X670">
        <v>0.9894577</v>
      </c>
      <c r="Y670">
        <v>-0.24519879999999999</v>
      </c>
      <c r="Z670">
        <v>8.0038049999999999E-2</v>
      </c>
      <c r="AA670">
        <v>0.96616329999999995</v>
      </c>
      <c r="AB670">
        <v>36</v>
      </c>
      <c r="AC670">
        <v>-0.36169999999998398</v>
      </c>
      <c r="AD670">
        <v>-1.1204797619769999</v>
      </c>
      <c r="AE670">
        <v>-12.7309</v>
      </c>
      <c r="AF670">
        <v>-3.1407161828507801</v>
      </c>
      <c r="AG670">
        <v>-1.1204797619769999</v>
      </c>
      <c r="AH670">
        <v>12.2417501944485</v>
      </c>
      <c r="AI670">
        <v>95.066485306238405</v>
      </c>
      <c r="AJ670">
        <v>104.38932504359499</v>
      </c>
      <c r="AK670">
        <v>12.687790227675601</v>
      </c>
      <c r="AL670">
        <v>83.531791687086695</v>
      </c>
      <c r="AM670">
        <v>95.255356202299495</v>
      </c>
      <c r="AN670">
        <v>1.00000005736954</v>
      </c>
    </row>
    <row r="671" spans="1:40" x14ac:dyDescent="0.3">
      <c r="A671" t="str">
        <f>"20200111150303354"</f>
        <v>20200111150303354</v>
      </c>
      <c r="B671" t="str">
        <f>"1578726183347454"</f>
        <v>1578726183347454</v>
      </c>
      <c r="C671" t="s">
        <v>40</v>
      </c>
      <c r="D671">
        <v>5.3052960000000002</v>
      </c>
      <c r="E671">
        <v>0.43586920000000001</v>
      </c>
      <c r="F671" t="s">
        <v>41</v>
      </c>
      <c r="G671">
        <v>-490.24900000000002</v>
      </c>
      <c r="H671" s="1">
        <v>-1.6707590000000001E-6</v>
      </c>
      <c r="I671">
        <v>253.32919999999999</v>
      </c>
      <c r="J671">
        <v>-490.00549999999998</v>
      </c>
      <c r="K671">
        <v>1.120463</v>
      </c>
      <c r="L671">
        <v>266.00310000000002</v>
      </c>
      <c r="M671">
        <v>-0.26464660000000001</v>
      </c>
      <c r="N671">
        <v>0</v>
      </c>
      <c r="O671">
        <v>-0.96421460000000003</v>
      </c>
      <c r="P671">
        <v>-0.1811662</v>
      </c>
      <c r="Q671">
        <v>9.992666E-2</v>
      </c>
      <c r="R671">
        <v>-0.97836259999999997</v>
      </c>
      <c r="S671">
        <v>-7.2662350000000001E-2</v>
      </c>
      <c r="T671">
        <v>-0.26784580000000002</v>
      </c>
      <c r="U671">
        <v>-3.0855410000000001</v>
      </c>
      <c r="V671">
        <v>-8.8945360000000001E-2</v>
      </c>
      <c r="W671">
        <v>0.1120989</v>
      </c>
      <c r="X671">
        <v>0.98970829999999999</v>
      </c>
      <c r="Y671">
        <v>-0.24196780000000001</v>
      </c>
      <c r="Z671">
        <v>8.0570139999999998E-2</v>
      </c>
      <c r="AA671">
        <v>0.9669333</v>
      </c>
      <c r="AB671">
        <v>36</v>
      </c>
      <c r="AC671">
        <v>-0.24350000000003999</v>
      </c>
      <c r="AD671">
        <v>-1.120464670759</v>
      </c>
      <c r="AE671">
        <v>-12.6739</v>
      </c>
      <c r="AF671">
        <v>-3.0955267721270299</v>
      </c>
      <c r="AG671">
        <v>-1.120464670759</v>
      </c>
      <c r="AH671">
        <v>12.191102815499001</v>
      </c>
      <c r="AI671">
        <v>95.090558919898498</v>
      </c>
      <c r="AJ671">
        <v>104.24726742289801</v>
      </c>
      <c r="AK671">
        <v>12.627775533855599</v>
      </c>
      <c r="AL671">
        <v>83.563677725118595</v>
      </c>
      <c r="AM671">
        <v>95.135391665695394</v>
      </c>
      <c r="AN671">
        <v>0.99999997976781396</v>
      </c>
    </row>
    <row r="672" spans="1:40" x14ac:dyDescent="0.3">
      <c r="A672" t="str">
        <f>"20200111150303369"</f>
        <v>20200111150303369</v>
      </c>
      <c r="B672" t="str">
        <f>"1578726183357215"</f>
        <v>1578726183357215</v>
      </c>
      <c r="C672" t="s">
        <v>40</v>
      </c>
      <c r="D672">
        <v>5.3577940000000002</v>
      </c>
      <c r="E672">
        <v>0.43610169999999998</v>
      </c>
      <c r="F672" t="s">
        <v>41</v>
      </c>
      <c r="G672">
        <v>-490.19549999999998</v>
      </c>
      <c r="H672" s="1">
        <v>-1.611125E-6</v>
      </c>
      <c r="I672">
        <v>253.2234</v>
      </c>
      <c r="J672">
        <v>-490.06569999999999</v>
      </c>
      <c r="K672">
        <v>1.120449</v>
      </c>
      <c r="L672">
        <v>265.75869999999998</v>
      </c>
      <c r="M672">
        <v>-0.25290079999999998</v>
      </c>
      <c r="N672">
        <v>0</v>
      </c>
      <c r="O672">
        <v>-0.96736200000000006</v>
      </c>
      <c r="P672">
        <v>-0.17375739999999901</v>
      </c>
      <c r="Q672">
        <v>0.1016387</v>
      </c>
      <c r="R672">
        <v>-0.9795296</v>
      </c>
      <c r="S672">
        <v>-4.586792E-2</v>
      </c>
      <c r="T672">
        <v>-0.27051900000000001</v>
      </c>
      <c r="U672">
        <v>-3.0854490000000001</v>
      </c>
      <c r="V672">
        <v>-8.441448E-2</v>
      </c>
      <c r="W672">
        <v>0.113995</v>
      </c>
      <c r="X672">
        <v>0.98988849999999995</v>
      </c>
      <c r="Y672">
        <v>-0.2385611</v>
      </c>
      <c r="Z672">
        <v>8.1823690000000004E-2</v>
      </c>
      <c r="AA672">
        <v>0.96767429999999999</v>
      </c>
      <c r="AB672">
        <v>36</v>
      </c>
      <c r="AC672">
        <v>-0.12979999999998801</v>
      </c>
      <c r="AD672">
        <v>-1.1204506111249899</v>
      </c>
      <c r="AE672">
        <v>-12.5352999999999</v>
      </c>
      <c r="AF672">
        <v>-3.0208749329530402</v>
      </c>
      <c r="AG672">
        <v>-1.1204506111249899</v>
      </c>
      <c r="AH672">
        <v>12.0641559644443</v>
      </c>
      <c r="AI672">
        <v>95.148041551754005</v>
      </c>
      <c r="AJ672">
        <v>104.057857552147</v>
      </c>
      <c r="AK672">
        <v>12.486991393724599</v>
      </c>
      <c r="AL672">
        <v>83.454338100727696</v>
      </c>
      <c r="AM672">
        <v>94.874205752351799</v>
      </c>
      <c r="AN672">
        <v>0.999999953445459</v>
      </c>
    </row>
    <row r="673" spans="1:40" x14ac:dyDescent="0.3">
      <c r="A673" t="str">
        <f>"20200111150303392"</f>
        <v>20200111150303392</v>
      </c>
      <c r="B673" t="str">
        <f>"1578726183387470"</f>
        <v>1578726183387470</v>
      </c>
      <c r="C673" t="s">
        <v>40</v>
      </c>
      <c r="D673">
        <v>5.3278809999999996</v>
      </c>
      <c r="E673">
        <v>0.43698700000000001</v>
      </c>
      <c r="F673" t="s">
        <v>41</v>
      </c>
      <c r="G673">
        <v>-490.16489999999999</v>
      </c>
      <c r="H673" s="1">
        <v>-1.388894E-6</v>
      </c>
      <c r="I673">
        <v>252.7243</v>
      </c>
      <c r="J673">
        <v>-490.14569999999998</v>
      </c>
      <c r="K673">
        <v>1.1204339999999999</v>
      </c>
      <c r="L673">
        <v>265.40839999999997</v>
      </c>
      <c r="M673">
        <v>-0.23608399999999999</v>
      </c>
      <c r="N673">
        <v>0</v>
      </c>
      <c r="O673">
        <v>-0.9716032</v>
      </c>
      <c r="P673">
        <v>-0.16122429999999999</v>
      </c>
      <c r="Q673">
        <v>0.10626430000000001</v>
      </c>
      <c r="R673">
        <v>-0.98118039999999995</v>
      </c>
      <c r="S673">
        <v>-2.3498539999999998E-2</v>
      </c>
      <c r="T673">
        <v>-0.26528249999999998</v>
      </c>
      <c r="U673">
        <v>-3.0860599999999998</v>
      </c>
      <c r="V673">
        <v>-7.9956899999999997E-2</v>
      </c>
      <c r="W673">
        <v>0.1187935</v>
      </c>
      <c r="X673">
        <v>0.98969439999999997</v>
      </c>
      <c r="Y673">
        <v>-0.22872190000000001</v>
      </c>
      <c r="Z673">
        <v>8.0882640000000006E-2</v>
      </c>
      <c r="AA673">
        <v>0.97012589999999999</v>
      </c>
      <c r="AB673">
        <v>36</v>
      </c>
      <c r="AC673">
        <v>-1.9200000000011999E-2</v>
      </c>
      <c r="AD673">
        <v>-1.120435388894</v>
      </c>
      <c r="AE673">
        <v>-12.6840999999999</v>
      </c>
      <c r="AF673">
        <v>-2.95318936977614</v>
      </c>
      <c r="AG673">
        <v>-1.120435388894</v>
      </c>
      <c r="AH673">
        <v>12.234531736907201</v>
      </c>
      <c r="AI673">
        <v>95.087231764452596</v>
      </c>
      <c r="AJ673">
        <v>103.570551817701</v>
      </c>
      <c r="AK673">
        <v>12.6356824008771</v>
      </c>
      <c r="AL673">
        <v>83.177522863591506</v>
      </c>
      <c r="AM673">
        <v>94.618864880218894</v>
      </c>
      <c r="AN673">
        <v>1.00000000344561</v>
      </c>
    </row>
    <row r="674" spans="1:40" x14ac:dyDescent="0.3">
      <c r="A674" t="str">
        <f>"20200111150303405"</f>
        <v>20200111150303405</v>
      </c>
      <c r="B674" t="str">
        <f>"1578726183397229"</f>
        <v>1578726183397229</v>
      </c>
      <c r="C674" t="s">
        <v>40</v>
      </c>
      <c r="D674">
        <v>5.3499629999999998</v>
      </c>
      <c r="E674">
        <v>0.43743949999999998</v>
      </c>
      <c r="F674" t="s">
        <v>41</v>
      </c>
      <c r="G674">
        <v>-490.09930000000003</v>
      </c>
      <c r="H674" s="1">
        <v>-7.9410460000000001E-7</v>
      </c>
      <c r="I674">
        <v>251.37860000000001</v>
      </c>
      <c r="J674">
        <v>-490.18950000000001</v>
      </c>
      <c r="K674">
        <v>1.1204149999999999</v>
      </c>
      <c r="L674">
        <v>265.20370000000003</v>
      </c>
      <c r="M674">
        <v>-0.22626270000000001</v>
      </c>
      <c r="N674">
        <v>0</v>
      </c>
      <c r="O674">
        <v>-0.97393739999999995</v>
      </c>
      <c r="P674">
        <v>-0.15344530000000001</v>
      </c>
      <c r="Q674">
        <v>0.1076983</v>
      </c>
      <c r="R674">
        <v>-0.9822708</v>
      </c>
      <c r="S674">
        <v>1.019287E-2</v>
      </c>
      <c r="T674">
        <v>-0.2464452</v>
      </c>
      <c r="U674">
        <v>-3.0859380000000001</v>
      </c>
      <c r="V674">
        <v>-7.7820650000000005E-2</v>
      </c>
      <c r="W674">
        <v>0.1203079</v>
      </c>
      <c r="X674">
        <v>0.9896817</v>
      </c>
      <c r="Y674">
        <v>-0.22948779999999999</v>
      </c>
      <c r="Z674">
        <v>7.5450020000000007E-2</v>
      </c>
      <c r="AA674">
        <v>0.97038279999999999</v>
      </c>
      <c r="AB674">
        <v>36</v>
      </c>
      <c r="AC674">
        <v>9.01999999999816E-2</v>
      </c>
      <c r="AD674">
        <v>-1.1204157941046</v>
      </c>
      <c r="AE674">
        <v>-13.825100000000001</v>
      </c>
      <c r="AF674">
        <v>-3.1953717329052398</v>
      </c>
      <c r="AG674">
        <v>-1.1204157941046</v>
      </c>
      <c r="AH674">
        <v>13.358330021919601</v>
      </c>
      <c r="AI674">
        <v>94.663443746975503</v>
      </c>
      <c r="AJ674">
        <v>103.45262533410001</v>
      </c>
      <c r="AK674">
        <v>13.7808095929683</v>
      </c>
      <c r="AL674">
        <v>83.090127003821607</v>
      </c>
      <c r="AM674">
        <v>94.496030574789302</v>
      </c>
      <c r="AN674">
        <v>0.99999995584185997</v>
      </c>
    </row>
    <row r="675" spans="1:40" x14ac:dyDescent="0.3">
      <c r="A675" t="str">
        <f>"20200111150303417"</f>
        <v>20200111150303417</v>
      </c>
      <c r="B675" t="str">
        <f>"1578726183407966"</f>
        <v>1578726183407966</v>
      </c>
      <c r="C675" t="s">
        <v>40</v>
      </c>
      <c r="D675">
        <v>5.3481920000000001</v>
      </c>
      <c r="E675">
        <v>0.4379034</v>
      </c>
      <c r="F675" t="s">
        <v>41</v>
      </c>
      <c r="G675">
        <v>-490.04169999999999</v>
      </c>
      <c r="H675" s="1">
        <v>-5.5987860000000001E-7</v>
      </c>
      <c r="I675">
        <v>250.8683</v>
      </c>
      <c r="J675">
        <v>-490.23</v>
      </c>
      <c r="K675">
        <v>1.120385</v>
      </c>
      <c r="L675">
        <v>265.00380000000001</v>
      </c>
      <c r="M675">
        <v>-0.21668599999999999</v>
      </c>
      <c r="N675">
        <v>0</v>
      </c>
      <c r="O675">
        <v>-0.97611300000000001</v>
      </c>
      <c r="P675">
        <v>-0.1454907</v>
      </c>
      <c r="Q675">
        <v>0.1082621</v>
      </c>
      <c r="R675">
        <v>-0.98341829999999997</v>
      </c>
      <c r="S675">
        <v>3.1829830000000003E-2</v>
      </c>
      <c r="T675">
        <v>-0.24115539999999999</v>
      </c>
      <c r="U675">
        <v>-3.0855100000000002</v>
      </c>
      <c r="V675">
        <v>-7.6110150000000001E-2</v>
      </c>
      <c r="W675">
        <v>0.1209332</v>
      </c>
      <c r="X675">
        <v>0.98973849999999997</v>
      </c>
      <c r="Y675">
        <v>-0.2267342</v>
      </c>
      <c r="Z675">
        <v>7.4127189999999996E-2</v>
      </c>
      <c r="AA675">
        <v>0.97113170000000004</v>
      </c>
      <c r="AB675">
        <v>36</v>
      </c>
      <c r="AC675">
        <v>0.188300000000026</v>
      </c>
      <c r="AD675">
        <v>-1.1203855598785999</v>
      </c>
      <c r="AE675">
        <v>-14.1355</v>
      </c>
      <c r="AF675">
        <v>-3.2269053985218701</v>
      </c>
      <c r="AG675">
        <v>-1.1203855598785999</v>
      </c>
      <c r="AH675">
        <v>13.672886595074701</v>
      </c>
      <c r="AI675">
        <v>94.559755260652395</v>
      </c>
      <c r="AJ675">
        <v>103.279249761388</v>
      </c>
      <c r="AK675">
        <v>14.0931192464822</v>
      </c>
      <c r="AL675">
        <v>83.054036374098004</v>
      </c>
      <c r="AM675">
        <v>94.397348296054602</v>
      </c>
      <c r="AN675">
        <v>0.99999994608875398</v>
      </c>
    </row>
    <row r="676" spans="1:40" x14ac:dyDescent="0.3">
      <c r="A676" t="str">
        <f>"20200111150303430"</f>
        <v>20200111150303430</v>
      </c>
      <c r="B676" t="str">
        <f>"1578726183427486"</f>
        <v>1578726183427486</v>
      </c>
      <c r="C676" t="s">
        <v>40</v>
      </c>
      <c r="D676">
        <v>5.4973939999999999</v>
      </c>
      <c r="E676">
        <v>0.43819550000000002</v>
      </c>
      <c r="F676" t="s">
        <v>41</v>
      </c>
      <c r="G676">
        <v>-489.98230000000001</v>
      </c>
      <c r="H676" s="1">
        <v>-3.8409289999999998E-7</v>
      </c>
      <c r="I676">
        <v>250.49539999999999</v>
      </c>
      <c r="J676">
        <v>-490.26639999999998</v>
      </c>
      <c r="K676">
        <v>1.1203479999999999</v>
      </c>
      <c r="L676">
        <v>264.81889999999999</v>
      </c>
      <c r="M676">
        <v>-0.20783579999999999</v>
      </c>
      <c r="N676">
        <v>0</v>
      </c>
      <c r="O676">
        <v>-0.97803600000000002</v>
      </c>
      <c r="P676">
        <v>-0.13795769999999999</v>
      </c>
      <c r="Q676">
        <v>0.10757510000000001</v>
      </c>
      <c r="R676">
        <v>-0.98457870000000003</v>
      </c>
      <c r="S676">
        <v>5.2673339999999999E-2</v>
      </c>
      <c r="T676">
        <v>-0.2382029</v>
      </c>
      <c r="U676">
        <v>-3.0845950000000002</v>
      </c>
      <c r="V676">
        <v>-7.4699580000000002E-2</v>
      </c>
      <c r="W676">
        <v>0.1202961</v>
      </c>
      <c r="X676">
        <v>0.98992369999999996</v>
      </c>
      <c r="Y676">
        <v>-0.22447719999999999</v>
      </c>
      <c r="Z676">
        <v>7.3484629999999995E-2</v>
      </c>
      <c r="AA676">
        <v>0.97170469999999998</v>
      </c>
      <c r="AB676">
        <v>36</v>
      </c>
      <c r="AC676">
        <v>0.28409999999996599</v>
      </c>
      <c r="AD676">
        <v>-1.1203483840928901</v>
      </c>
      <c r="AE676">
        <v>-14.3234999999999</v>
      </c>
      <c r="AF676">
        <v>-3.2354163908736502</v>
      </c>
      <c r="AG676">
        <v>-1.1203483840928901</v>
      </c>
      <c r="AH676">
        <v>13.866792236198901</v>
      </c>
      <c r="AI676">
        <v>94.498785074599397</v>
      </c>
      <c r="AJ676">
        <v>103.133362172833</v>
      </c>
      <c r="AK676">
        <v>14.283242861688599</v>
      </c>
      <c r="AL676">
        <v>83.090808731227995</v>
      </c>
      <c r="AM676">
        <v>94.315357471571204</v>
      </c>
      <c r="AN676">
        <v>1.0000000553745301</v>
      </c>
    </row>
    <row r="677" spans="1:40" x14ac:dyDescent="0.3">
      <c r="A677" t="str">
        <f>"20200111150303442"</f>
        <v>20200111150303442</v>
      </c>
      <c r="B677" t="str">
        <f>"1578726183437246"</f>
        <v>1578726183437246</v>
      </c>
      <c r="C677" t="s">
        <v>40</v>
      </c>
      <c r="D677">
        <v>5.4018920000000001</v>
      </c>
      <c r="E677">
        <v>0.43861630000000001</v>
      </c>
      <c r="F677" t="s">
        <v>41</v>
      </c>
      <c r="G677">
        <v>-489.90750000000003</v>
      </c>
      <c r="H677" s="1">
        <v>-1.528181E-7</v>
      </c>
      <c r="I677">
        <v>249.95070000000001</v>
      </c>
      <c r="J677">
        <v>-490.30149999999998</v>
      </c>
      <c r="K677">
        <v>1.1202909999999999</v>
      </c>
      <c r="L677">
        <v>264.62670000000003</v>
      </c>
      <c r="M677">
        <v>-0.19868669999999999</v>
      </c>
      <c r="N677">
        <v>0</v>
      </c>
      <c r="O677">
        <v>-0.97993549999999996</v>
      </c>
      <c r="P677">
        <v>-0.1293665</v>
      </c>
      <c r="Q677">
        <v>0.1061627</v>
      </c>
      <c r="R677">
        <v>-0.98589740000000003</v>
      </c>
      <c r="S677">
        <v>7.4432369999999998E-2</v>
      </c>
      <c r="T677">
        <v>-0.23229030000000001</v>
      </c>
      <c r="U677">
        <v>-3.0827330000000002</v>
      </c>
      <c r="V677">
        <v>-7.4040400000000006E-2</v>
      </c>
      <c r="W677">
        <v>0.11890050000000001</v>
      </c>
      <c r="X677">
        <v>0.99014170000000001</v>
      </c>
      <c r="Y677">
        <v>-0.2222393</v>
      </c>
      <c r="Z677">
        <v>7.1941489999999997E-2</v>
      </c>
      <c r="AA677">
        <v>0.97233440000000004</v>
      </c>
      <c r="AB677">
        <v>36</v>
      </c>
      <c r="AC677">
        <v>0.393999999999948</v>
      </c>
      <c r="AD677">
        <v>-1.1202911528181001</v>
      </c>
      <c r="AE677">
        <v>-14.676</v>
      </c>
      <c r="AF677">
        <v>-3.28331528433938</v>
      </c>
      <c r="AG677">
        <v>-1.1202911528181001</v>
      </c>
      <c r="AH677">
        <v>14.222225672016499</v>
      </c>
      <c r="AI677">
        <v>94.388946181007597</v>
      </c>
      <c r="AJ677">
        <v>102.999448353939</v>
      </c>
      <c r="AK677">
        <v>14.6392252045395</v>
      </c>
      <c r="AL677">
        <v>83.171348073499999</v>
      </c>
      <c r="AM677">
        <v>94.276480663496201</v>
      </c>
      <c r="AN677">
        <v>0.99999994790564795</v>
      </c>
    </row>
    <row r="678" spans="1:40" x14ac:dyDescent="0.3">
      <c r="A678" t="str">
        <f>"20200111150303460"</f>
        <v>20200111150303460</v>
      </c>
      <c r="B678" t="str">
        <f>"1578726183457742"</f>
        <v>1578726183457742</v>
      </c>
      <c r="C678" t="s">
        <v>40</v>
      </c>
      <c r="D678">
        <v>5.4033470000000001</v>
      </c>
      <c r="E678">
        <v>0.43925059999999999</v>
      </c>
      <c r="F678" t="s">
        <v>41</v>
      </c>
      <c r="G678">
        <v>-489.83620000000002</v>
      </c>
      <c r="H678" s="1">
        <v>-2.1383859999999999E-7</v>
      </c>
      <c r="I678">
        <v>250.0635</v>
      </c>
      <c r="J678">
        <v>-490.35</v>
      </c>
      <c r="K678">
        <v>1.1201840000000001</v>
      </c>
      <c r="L678">
        <v>264.34519999999998</v>
      </c>
      <c r="M678">
        <v>-0.1853572</v>
      </c>
      <c r="N678">
        <v>0</v>
      </c>
      <c r="O678">
        <v>-0.9825448</v>
      </c>
      <c r="P678">
        <v>-0.1164989</v>
      </c>
      <c r="Q678">
        <v>0.1015442</v>
      </c>
      <c r="R678">
        <v>-0.98798640000000004</v>
      </c>
      <c r="S678">
        <v>9.8449709999999996E-2</v>
      </c>
      <c r="T678">
        <v>-0.23704249999999999</v>
      </c>
      <c r="U678">
        <v>-3.0814210000000002</v>
      </c>
      <c r="V678">
        <v>-7.3381109999999999E-2</v>
      </c>
      <c r="W678">
        <v>0.1142939</v>
      </c>
      <c r="X678">
        <v>0.99073310000000003</v>
      </c>
      <c r="Y678">
        <v>-0.21657029999999999</v>
      </c>
      <c r="Z678">
        <v>7.3776359999999999E-2</v>
      </c>
      <c r="AA678">
        <v>0.97347539999999999</v>
      </c>
      <c r="AB678">
        <v>36</v>
      </c>
      <c r="AC678">
        <v>0.51380000000000303</v>
      </c>
      <c r="AD678">
        <v>-1.1201842138386</v>
      </c>
      <c r="AE678">
        <v>-14.281699999999899</v>
      </c>
      <c r="AF678">
        <v>-3.13318845509338</v>
      </c>
      <c r="AG678">
        <v>-1.1201842138386</v>
      </c>
      <c r="AH678">
        <v>13.853786164514</v>
      </c>
      <c r="AI678">
        <v>94.509345302116799</v>
      </c>
      <c r="AJ678">
        <v>102.743691939096</v>
      </c>
      <c r="AK678">
        <v>14.2477743405819</v>
      </c>
      <c r="AL678">
        <v>83.437099893644898</v>
      </c>
      <c r="AM678">
        <v>94.236019389089805</v>
      </c>
      <c r="AN678">
        <v>0.99999997915882499</v>
      </c>
    </row>
    <row r="679" spans="1:40" x14ac:dyDescent="0.3">
      <c r="A679" t="str">
        <f>"20200111150303474"</f>
        <v>20200111150303474</v>
      </c>
      <c r="B679" t="str">
        <f>"1578726183467502"</f>
        <v>1578726183467502</v>
      </c>
      <c r="C679" t="s">
        <v>40</v>
      </c>
      <c r="D679">
        <v>5.4070529999999897</v>
      </c>
      <c r="E679">
        <v>0.43969960000000002</v>
      </c>
      <c r="F679" t="s">
        <v>41</v>
      </c>
      <c r="G679">
        <v>-489.75740000000002</v>
      </c>
      <c r="H679" s="1">
        <v>-4.8391929999999996E-7</v>
      </c>
      <c r="I679">
        <v>250.66050000000001</v>
      </c>
      <c r="J679">
        <v>-490.38299999999998</v>
      </c>
      <c r="K679">
        <v>1.120099</v>
      </c>
      <c r="L679">
        <v>264.14139999999998</v>
      </c>
      <c r="M679">
        <v>-0.1757707</v>
      </c>
      <c r="N679">
        <v>0</v>
      </c>
      <c r="O679">
        <v>-0.98430550000000006</v>
      </c>
      <c r="P679">
        <v>-0.1068915</v>
      </c>
      <c r="Q679">
        <v>9.9692020000000006E-2</v>
      </c>
      <c r="R679">
        <v>-0.98926060000000005</v>
      </c>
      <c r="S679">
        <v>0.133300799999999</v>
      </c>
      <c r="T679">
        <v>-0.25195899999999999</v>
      </c>
      <c r="U679">
        <v>-3.0780639999999999</v>
      </c>
      <c r="V679">
        <v>-7.3290019999999997E-2</v>
      </c>
      <c r="W679">
        <v>0.11243010000000001</v>
      </c>
      <c r="X679">
        <v>0.99095310000000003</v>
      </c>
      <c r="Y679">
        <v>-0.21807699999999999</v>
      </c>
      <c r="Z679">
        <v>7.8658480000000003E-2</v>
      </c>
      <c r="AA679">
        <v>0.97275659999999997</v>
      </c>
      <c r="AB679">
        <v>36</v>
      </c>
      <c r="AC679">
        <v>0.62560000000001903</v>
      </c>
      <c r="AD679">
        <v>-1.1200994839192999</v>
      </c>
      <c r="AE679">
        <v>-13.480899999999901</v>
      </c>
      <c r="AF679">
        <v>-2.9652709755136502</v>
      </c>
      <c r="AG679">
        <v>-1.1200994839192999</v>
      </c>
      <c r="AH679">
        <v>13.0709469732718</v>
      </c>
      <c r="AI679">
        <v>94.777126149668803</v>
      </c>
      <c r="AJ679">
        <v>102.781761095692</v>
      </c>
      <c r="AK679">
        <v>13.449799611525201</v>
      </c>
      <c r="AL679">
        <v>83.544580771352301</v>
      </c>
      <c r="AM679">
        <v>94.229844346255604</v>
      </c>
      <c r="AN679">
        <v>1.00000000040861</v>
      </c>
    </row>
    <row r="680" spans="1:40" x14ac:dyDescent="0.3">
      <c r="A680" t="str">
        <f>"20200111150303487"</f>
        <v>20200111150303487</v>
      </c>
      <c r="B680" t="str">
        <f>"1578726183478238"</f>
        <v>1578726183478238</v>
      </c>
      <c r="C680" t="s">
        <v>40</v>
      </c>
      <c r="D680">
        <v>5.3644889999999998</v>
      </c>
      <c r="E680">
        <v>0.44024930000000001</v>
      </c>
      <c r="F680" t="s">
        <v>41</v>
      </c>
      <c r="G680">
        <v>-489.68959999999998</v>
      </c>
      <c r="H680" s="1">
        <v>-5.142188E-7</v>
      </c>
      <c r="I680">
        <v>250.70310000000001</v>
      </c>
      <c r="J680">
        <v>-490.41649999999998</v>
      </c>
      <c r="K680">
        <v>1.11999</v>
      </c>
      <c r="L680">
        <v>263.92110000000002</v>
      </c>
      <c r="M680">
        <v>-0.16548789999999999</v>
      </c>
      <c r="N680">
        <v>0</v>
      </c>
      <c r="O680">
        <v>-0.98608700000000005</v>
      </c>
      <c r="P680">
        <v>-9.6996200000000005E-2</v>
      </c>
      <c r="Q680">
        <v>9.820922E-2</v>
      </c>
      <c r="R680">
        <v>-0.99042779999999997</v>
      </c>
      <c r="S680">
        <v>0.15869140000000001</v>
      </c>
      <c r="T680">
        <v>-0.25635160000000001</v>
      </c>
      <c r="U680">
        <v>-3.0755620000000001</v>
      </c>
      <c r="V680">
        <v>-7.2790930000000004E-2</v>
      </c>
      <c r="W680">
        <v>0.1109498</v>
      </c>
      <c r="X680">
        <v>0.9911567</v>
      </c>
      <c r="Y680">
        <v>-0.21593119999999999</v>
      </c>
      <c r="Z680">
        <v>8.0310839999999994E-2</v>
      </c>
      <c r="AA680">
        <v>0.97310010000000002</v>
      </c>
      <c r="AB680">
        <v>36</v>
      </c>
      <c r="AC680">
        <v>0.72689999999999999</v>
      </c>
      <c r="AD680">
        <v>-1.1199905142188</v>
      </c>
      <c r="AE680">
        <v>-13.218</v>
      </c>
      <c r="AF680">
        <v>-2.8839204317083702</v>
      </c>
      <c r="AG680">
        <v>-1.1199905142188</v>
      </c>
      <c r="AH680">
        <v>12.8236045796931</v>
      </c>
      <c r="AI680">
        <v>94.870407166509295</v>
      </c>
      <c r="AJ680">
        <v>102.674469554814</v>
      </c>
      <c r="AK680">
        <v>13.191520390944</v>
      </c>
      <c r="AL680">
        <v>83.629929679999506</v>
      </c>
      <c r="AM680">
        <v>94.200283561181195</v>
      </c>
      <c r="AN680">
        <v>0.99999999078259705</v>
      </c>
    </row>
    <row r="681" spans="1:40" x14ac:dyDescent="0.3">
      <c r="A681" t="str">
        <f>"20200111150303504"</f>
        <v>20200111150303504</v>
      </c>
      <c r="B681" t="str">
        <f>"1578726183497757"</f>
        <v>1578726183497757</v>
      </c>
      <c r="C681" t="s">
        <v>40</v>
      </c>
      <c r="D681">
        <v>5.2725019999999896</v>
      </c>
      <c r="E681">
        <v>0.44165490000000002</v>
      </c>
      <c r="F681" t="s">
        <v>41</v>
      </c>
      <c r="G681">
        <v>-489.62709999999998</v>
      </c>
      <c r="H681" s="1">
        <v>-5.4737029999999999E-7</v>
      </c>
      <c r="I681">
        <v>250.75450000000001</v>
      </c>
      <c r="J681">
        <v>-490.45299999999997</v>
      </c>
      <c r="K681">
        <v>1.1198269999999999</v>
      </c>
      <c r="L681">
        <v>263.65640000000002</v>
      </c>
      <c r="M681">
        <v>-0.15332960000000001</v>
      </c>
      <c r="N681">
        <v>0</v>
      </c>
      <c r="O681">
        <v>-0.98805109999999996</v>
      </c>
      <c r="P681">
        <v>-8.6852739999999998E-2</v>
      </c>
      <c r="Q681">
        <v>9.6652569999999993E-2</v>
      </c>
      <c r="R681">
        <v>-0.99152169999999895</v>
      </c>
      <c r="S681">
        <v>0.1842346</v>
      </c>
      <c r="T681">
        <v>-0.26140010000000002</v>
      </c>
      <c r="U681">
        <v>-3.0729980000000001</v>
      </c>
      <c r="V681">
        <v>-7.0645970000000002E-2</v>
      </c>
      <c r="W681">
        <v>0.1094536</v>
      </c>
      <c r="X681">
        <v>0.99147819999999998</v>
      </c>
      <c r="Y681">
        <v>-0.21199970000000001</v>
      </c>
      <c r="Z681">
        <v>8.2215949999999996E-2</v>
      </c>
      <c r="AA681">
        <v>0.97380520000000004</v>
      </c>
      <c r="AB681">
        <v>36</v>
      </c>
      <c r="AC681">
        <v>0.82590000000004604</v>
      </c>
      <c r="AD681">
        <v>-1.1198275473703001</v>
      </c>
      <c r="AE681">
        <v>-12.901899999999999</v>
      </c>
      <c r="AF681">
        <v>-2.7738059125963401</v>
      </c>
      <c r="AG681">
        <v>-1.1198275473703001</v>
      </c>
      <c r="AH681">
        <v>12.528649309854799</v>
      </c>
      <c r="AI681">
        <v>94.987460478605797</v>
      </c>
      <c r="AJ681">
        <v>102.483745476309</v>
      </c>
      <c r="AK681">
        <v>12.8808022462084</v>
      </c>
      <c r="AL681">
        <v>83.716180916876695</v>
      </c>
      <c r="AM681">
        <v>94.075618210546907</v>
      </c>
      <c r="AN681">
        <v>0.99999998235272003</v>
      </c>
    </row>
    <row r="682" spans="1:40" x14ac:dyDescent="0.3">
      <c r="A682" t="str">
        <f>"20200111150303518"</f>
        <v>20200111150303518</v>
      </c>
      <c r="B682" t="str">
        <f>"1578726183507517"</f>
        <v>1578726183507517</v>
      </c>
      <c r="C682" t="s">
        <v>40</v>
      </c>
      <c r="D682">
        <v>5.2895050000000001</v>
      </c>
      <c r="E682">
        <v>0.44165490000000002</v>
      </c>
      <c r="F682" t="s">
        <v>41</v>
      </c>
      <c r="G682">
        <v>-489.59559999999999</v>
      </c>
      <c r="H682" s="1">
        <v>-5.8194739999999998E-7</v>
      </c>
      <c r="I682">
        <v>250.82210000000001</v>
      </c>
      <c r="J682">
        <v>-490.47989999999999</v>
      </c>
      <c r="K682">
        <v>1.1196680000000001</v>
      </c>
      <c r="L682">
        <v>263.44560000000001</v>
      </c>
      <c r="M682">
        <v>-0.14380709999999999</v>
      </c>
      <c r="N682">
        <v>0</v>
      </c>
      <c r="O682">
        <v>-0.9894828</v>
      </c>
      <c r="P682">
        <v>-7.8274350000000006E-2</v>
      </c>
      <c r="Q682">
        <v>9.6332280000000006E-2</v>
      </c>
      <c r="R682">
        <v>-0.99226700000000001</v>
      </c>
      <c r="S682">
        <v>0.20507810000000001</v>
      </c>
      <c r="T682">
        <v>-0.267845</v>
      </c>
      <c r="U682">
        <v>-3.069763</v>
      </c>
      <c r="V682">
        <v>-6.9621890000000006E-2</v>
      </c>
      <c r="W682">
        <v>0.10915030000000001</v>
      </c>
      <c r="X682">
        <v>0.99158409999999997</v>
      </c>
      <c r="Y682">
        <v>-0.20922199999999999</v>
      </c>
      <c r="Z682">
        <v>8.4510249999999995E-2</v>
      </c>
      <c r="AA682">
        <v>0.97420949999999995</v>
      </c>
      <c r="AB682">
        <v>36</v>
      </c>
      <c r="AC682">
        <v>0.88429999999999598</v>
      </c>
      <c r="AD682">
        <v>-1.1196685819473999</v>
      </c>
      <c r="AE682">
        <v>-12.6235</v>
      </c>
      <c r="AF682">
        <v>-2.6697748679596298</v>
      </c>
      <c r="AG682">
        <v>-1.1196685819473999</v>
      </c>
      <c r="AH682">
        <v>12.2690205334205</v>
      </c>
      <c r="AI682">
        <v>95.095759233725005</v>
      </c>
      <c r="AJ682">
        <v>102.27635153755</v>
      </c>
      <c r="AK682">
        <v>12.605959718660101</v>
      </c>
      <c r="AL682">
        <v>83.733663655439798</v>
      </c>
      <c r="AM682">
        <v>94.016305499878996</v>
      </c>
      <c r="AN682">
        <v>1.00000001146503</v>
      </c>
    </row>
    <row r="683" spans="1:40" x14ac:dyDescent="0.3">
      <c r="A683" t="str">
        <f>"20200111150303530"</f>
        <v>20200111150303530</v>
      </c>
      <c r="B683" t="str">
        <f>"1578726183528013"</f>
        <v>1578726183528013</v>
      </c>
      <c r="C683" t="s">
        <v>40</v>
      </c>
      <c r="D683">
        <v>5.3489969999999998</v>
      </c>
      <c r="E683">
        <v>0.47178500000000001</v>
      </c>
      <c r="F683" t="s">
        <v>41</v>
      </c>
      <c r="G683">
        <v>-489.5104</v>
      </c>
      <c r="H683" s="1">
        <v>-5.2439859999999896E-7</v>
      </c>
      <c r="I683">
        <v>250.65270000000001</v>
      </c>
      <c r="J683">
        <v>-490.50479999999999</v>
      </c>
      <c r="K683">
        <v>1.1194930000000001</v>
      </c>
      <c r="L683">
        <v>263.23840000000001</v>
      </c>
      <c r="M683">
        <v>-0.13456299999999999</v>
      </c>
      <c r="N683">
        <v>0</v>
      </c>
      <c r="O683">
        <v>-0.99078299999999997</v>
      </c>
      <c r="P683">
        <v>-6.9438659999999999E-2</v>
      </c>
      <c r="Q683">
        <v>9.5268610000000004E-2</v>
      </c>
      <c r="R683">
        <v>-0.99302690000000005</v>
      </c>
      <c r="S683">
        <v>0.23248289999999999</v>
      </c>
      <c r="T683">
        <v>-0.2685032</v>
      </c>
      <c r="U683">
        <v>-3.0678100000000001</v>
      </c>
      <c r="V683">
        <v>-6.9116029999999995E-2</v>
      </c>
      <c r="W683">
        <v>0.10808230000000001</v>
      </c>
      <c r="X683">
        <v>0.99173650000000002</v>
      </c>
      <c r="Y683">
        <v>-0.2087907</v>
      </c>
      <c r="Z683">
        <v>8.4916720000000001E-2</v>
      </c>
      <c r="AA683">
        <v>0.97426670000000004</v>
      </c>
      <c r="AB683">
        <v>36</v>
      </c>
      <c r="AC683">
        <v>0.99439999999998396</v>
      </c>
      <c r="AD683">
        <v>-1.1194935243985999</v>
      </c>
      <c r="AE683">
        <v>-12.585699999999999</v>
      </c>
      <c r="AF683">
        <v>-2.6582266394913598</v>
      </c>
      <c r="AG683">
        <v>-1.1194935243985999</v>
      </c>
      <c r="AH683">
        <v>12.241128692723301</v>
      </c>
      <c r="AI683">
        <v>95.106986398914202</v>
      </c>
      <c r="AJ683">
        <v>102.251864219781</v>
      </c>
      <c r="AK683">
        <v>12.576353457576101</v>
      </c>
      <c r="AL683">
        <v>83.7952199547628</v>
      </c>
      <c r="AM683">
        <v>93.986607479880703</v>
      </c>
      <c r="AN683">
        <v>1.0000000473042401</v>
      </c>
    </row>
    <row r="684" spans="1:40" x14ac:dyDescent="0.3">
      <c r="A684" t="str">
        <f>"20200111150303544"</f>
        <v>20200111150303544</v>
      </c>
      <c r="B684" t="str">
        <f>"1578726183537773"</f>
        <v>1578726183537773</v>
      </c>
      <c r="C684" t="s">
        <v>40</v>
      </c>
      <c r="D684">
        <v>5.2917040000000002</v>
      </c>
      <c r="E684">
        <v>0.47261629999999899</v>
      </c>
      <c r="F684" t="s">
        <v>41</v>
      </c>
      <c r="G684">
        <v>-490.41109999999998</v>
      </c>
      <c r="H684" s="1">
        <v>-4.1006460000000002E-6</v>
      </c>
      <c r="I684">
        <v>248.89279999999999</v>
      </c>
      <c r="J684">
        <v>-490.52800000000002</v>
      </c>
      <c r="K684">
        <v>1.1192770000000001</v>
      </c>
      <c r="L684">
        <v>263.02589999999998</v>
      </c>
      <c r="M684">
        <v>-0.12531239999999999</v>
      </c>
      <c r="N684">
        <v>0</v>
      </c>
      <c r="O684">
        <v>-0.99199649999999995</v>
      </c>
      <c r="P684">
        <v>-5.9932939999999997E-2</v>
      </c>
      <c r="Q684">
        <v>9.4150220000000007E-2</v>
      </c>
      <c r="R684">
        <v>-0.99375270000000004</v>
      </c>
      <c r="S684">
        <v>1.9897459999999999E-2</v>
      </c>
      <c r="T684">
        <v>-0.23764250000000001</v>
      </c>
      <c r="U684">
        <v>-3.0452270000000001</v>
      </c>
      <c r="V684">
        <v>-6.9265160000000006E-2</v>
      </c>
      <c r="W684">
        <v>0.10692889999999999</v>
      </c>
      <c r="X684">
        <v>0.99185109999999999</v>
      </c>
      <c r="Y684">
        <v>-0.13178599999999999</v>
      </c>
      <c r="Z684">
        <v>7.6541689999999996E-2</v>
      </c>
      <c r="AA684">
        <v>0.98831869999999999</v>
      </c>
      <c r="AB684">
        <v>36</v>
      </c>
      <c r="AC684">
        <v>0.116900000000043</v>
      </c>
      <c r="AD684">
        <v>-1.1192811006459999</v>
      </c>
      <c r="AE684">
        <v>-14.133099999999899</v>
      </c>
      <c r="AF684">
        <v>-1.87548117121319</v>
      </c>
      <c r="AG684">
        <v>-1.1192811006459999</v>
      </c>
      <c r="AH684">
        <v>13.9197178999325</v>
      </c>
      <c r="AI684">
        <v>94.556253735025393</v>
      </c>
      <c r="AJ684">
        <v>97.673567890117695</v>
      </c>
      <c r="AK684">
        <v>14.090023641553699</v>
      </c>
      <c r="AL684">
        <v>83.861690019813594</v>
      </c>
      <c r="AM684">
        <v>93.9947213471537</v>
      </c>
      <c r="AN684">
        <v>1.0000000283081201</v>
      </c>
    </row>
    <row r="685" spans="1:40" x14ac:dyDescent="0.3">
      <c r="A685" t="str">
        <f>"20200111150303560"</f>
        <v>20200111150303560</v>
      </c>
      <c r="B685" t="str">
        <f>"1578726183547535"</f>
        <v>1578726183547535</v>
      </c>
      <c r="C685" t="s">
        <v>40</v>
      </c>
      <c r="D685">
        <v>5.3130470000000001</v>
      </c>
      <c r="E685">
        <v>0.47330240000000001</v>
      </c>
      <c r="F685" t="s">
        <v>41</v>
      </c>
      <c r="G685">
        <v>-490.33580000000001</v>
      </c>
      <c r="H685" s="1">
        <v>-4.2284260000000003E-6</v>
      </c>
      <c r="I685">
        <v>249.23740000000001</v>
      </c>
      <c r="J685">
        <v>-490.5514</v>
      </c>
      <c r="K685">
        <v>1.1190100000000001</v>
      </c>
      <c r="L685">
        <v>262.79070000000002</v>
      </c>
      <c r="M685">
        <v>-0.1153174</v>
      </c>
      <c r="N685">
        <v>0</v>
      </c>
      <c r="O685">
        <v>-0.99320920000000001</v>
      </c>
      <c r="P685">
        <v>-4.9304029999999999E-2</v>
      </c>
      <c r="Q685">
        <v>9.1997300000000004E-2</v>
      </c>
      <c r="R685">
        <v>-0.99453809999999998</v>
      </c>
      <c r="S685">
        <v>4.2419430000000001E-2</v>
      </c>
      <c r="T685">
        <v>-0.2471613</v>
      </c>
      <c r="U685">
        <v>-3.0448</v>
      </c>
      <c r="V685">
        <v>-6.9754570000000002E-2</v>
      </c>
      <c r="W685">
        <v>0.1047236</v>
      </c>
      <c r="X685">
        <v>0.99205209999999999</v>
      </c>
      <c r="Y685">
        <v>-0.12911110000000001</v>
      </c>
      <c r="Z685">
        <v>7.9757030000000007E-2</v>
      </c>
      <c r="AA685">
        <v>0.98841749999999995</v>
      </c>
      <c r="AB685">
        <v>36</v>
      </c>
      <c r="AC685">
        <v>0.21559999999999399</v>
      </c>
      <c r="AD685">
        <v>-1.1190142284260001</v>
      </c>
      <c r="AE685">
        <v>-13.5533</v>
      </c>
      <c r="AF685">
        <v>-1.7652478676833401</v>
      </c>
      <c r="AG685">
        <v>-1.1190142284260001</v>
      </c>
      <c r="AH685">
        <v>13.3470337251189</v>
      </c>
      <c r="AI685">
        <v>94.7512826224348</v>
      </c>
      <c r="AJ685">
        <v>97.534081616851097</v>
      </c>
      <c r="AK685">
        <v>13.509685493646399</v>
      </c>
      <c r="AL685">
        <v>83.988758093768993</v>
      </c>
      <c r="AM685">
        <v>94.0220422867623</v>
      </c>
      <c r="AN685">
        <v>1.00000005077362</v>
      </c>
    </row>
    <row r="686" spans="1:40" x14ac:dyDescent="0.3">
      <c r="A686" t="str">
        <f>"20200111150303573"</f>
        <v>20200111150303573</v>
      </c>
      <c r="B686" t="str">
        <f>"1578726183568031"</f>
        <v>1578726183568031</v>
      </c>
      <c r="C686" t="s">
        <v>40</v>
      </c>
      <c r="D686">
        <v>5.2744010000000001</v>
      </c>
      <c r="E686">
        <v>0.47484310000000002</v>
      </c>
      <c r="F686" t="s">
        <v>41</v>
      </c>
      <c r="G686">
        <v>-490.25580000000002</v>
      </c>
      <c r="H686" s="1">
        <v>-1.10104E-7</v>
      </c>
      <c r="I686">
        <v>249.68709999999999</v>
      </c>
      <c r="J686">
        <v>-490.57139999999998</v>
      </c>
      <c r="K686">
        <v>1.118741</v>
      </c>
      <c r="L686">
        <v>262.57299999999998</v>
      </c>
      <c r="M686">
        <v>-0.1062752</v>
      </c>
      <c r="N686">
        <v>0</v>
      </c>
      <c r="O686">
        <v>-0.99421850000000001</v>
      </c>
      <c r="P686">
        <v>-4.020402E-2</v>
      </c>
      <c r="Q686">
        <v>9.1321219999999995E-2</v>
      </c>
      <c r="R686">
        <v>-0.99500949999999999</v>
      </c>
      <c r="S686">
        <v>6.8664550000000005E-2</v>
      </c>
      <c r="T686">
        <v>-0.25993870000000002</v>
      </c>
      <c r="U686">
        <v>-3.0438839999999998</v>
      </c>
      <c r="V686">
        <v>-6.9711980000000007E-2</v>
      </c>
      <c r="W686">
        <v>0.104017899999999</v>
      </c>
      <c r="X686">
        <v>0.99212929999999999</v>
      </c>
      <c r="Y686">
        <v>-0.12860360000000001</v>
      </c>
      <c r="Z686">
        <v>8.4000889999999995E-2</v>
      </c>
      <c r="AA686">
        <v>0.98813209999999996</v>
      </c>
      <c r="AB686">
        <v>36</v>
      </c>
      <c r="AC686">
        <v>0.31559999999996002</v>
      </c>
      <c r="AD686">
        <v>-1.1187411101039999</v>
      </c>
      <c r="AE686">
        <v>-12.8858999999999</v>
      </c>
      <c r="AF686">
        <v>-1.6708384407080401</v>
      </c>
      <c r="AG686">
        <v>-1.1187411101039999</v>
      </c>
      <c r="AH686">
        <v>12.6838149178257</v>
      </c>
      <c r="AI686">
        <v>94.997619502840095</v>
      </c>
      <c r="AJ686">
        <v>97.504362650067606</v>
      </c>
      <c r="AK686">
        <v>12.842213346461801</v>
      </c>
      <c r="AL686">
        <v>84.029413557205999</v>
      </c>
      <c r="AM686">
        <v>94.019282854028205</v>
      </c>
      <c r="AN686">
        <v>1.00000001579721</v>
      </c>
    </row>
    <row r="687" spans="1:40" x14ac:dyDescent="0.3">
      <c r="A687" t="str">
        <f>"20200111150303586"</f>
        <v>20200111150303586</v>
      </c>
      <c r="B687" t="str">
        <f>"1578726183577790"</f>
        <v>1578726183577790</v>
      </c>
      <c r="C687" t="s">
        <v>40</v>
      </c>
      <c r="D687">
        <v>5.2916049999999997</v>
      </c>
      <c r="E687">
        <v>0.47490329999999897</v>
      </c>
      <c r="F687" t="s">
        <v>41</v>
      </c>
      <c r="G687">
        <v>-490.20690000000002</v>
      </c>
      <c r="H687" s="1">
        <v>-4.2891509999999997E-6</v>
      </c>
      <c r="I687">
        <v>249.4828</v>
      </c>
      <c r="J687">
        <v>-490.58969999999999</v>
      </c>
      <c r="K687">
        <v>1.1184400000000001</v>
      </c>
      <c r="L687">
        <v>262.35340000000002</v>
      </c>
      <c r="M687">
        <v>-9.7423430000000005E-2</v>
      </c>
      <c r="N687">
        <v>0</v>
      </c>
      <c r="O687">
        <v>-0.99512619999999896</v>
      </c>
      <c r="P687">
        <v>-3.1282829999999998E-2</v>
      </c>
      <c r="Q687">
        <v>9.1384370000000006E-2</v>
      </c>
      <c r="R687">
        <v>-0.99532430000000005</v>
      </c>
      <c r="S687">
        <v>8.4716799999999995E-2</v>
      </c>
      <c r="T687">
        <v>-0.2600113</v>
      </c>
      <c r="U687">
        <v>-3.0423279999999999</v>
      </c>
      <c r="V687">
        <v>-6.9698029999999994E-2</v>
      </c>
      <c r="W687">
        <v>0.10405059999999999</v>
      </c>
      <c r="X687">
        <v>0.99212679999999998</v>
      </c>
      <c r="Y687">
        <v>-0.1249991</v>
      </c>
      <c r="Z687">
        <v>8.4196519999999997E-2</v>
      </c>
      <c r="AA687">
        <v>0.98857779999999995</v>
      </c>
      <c r="AB687">
        <v>36</v>
      </c>
      <c r="AC687">
        <v>0.38279999999997399</v>
      </c>
      <c r="AD687">
        <v>-1.11844428915099</v>
      </c>
      <c r="AE687">
        <v>-12.8706</v>
      </c>
      <c r="AF687">
        <v>-1.62277888253313</v>
      </c>
      <c r="AG687">
        <v>-1.11844428915099</v>
      </c>
      <c r="AH687">
        <v>12.676421624674299</v>
      </c>
      <c r="AI687">
        <v>95.001559651947105</v>
      </c>
      <c r="AJ687">
        <v>97.2950719879736</v>
      </c>
      <c r="AK687">
        <v>12.8287175561721</v>
      </c>
      <c r="AL687">
        <v>84.027529458827999</v>
      </c>
      <c r="AM687">
        <v>94.018491287027999</v>
      </c>
      <c r="AN687">
        <v>0.99999996501223898</v>
      </c>
    </row>
    <row r="688" spans="1:40" x14ac:dyDescent="0.3">
      <c r="A688" t="str">
        <f>"20200111150303600"</f>
        <v>20200111150303600</v>
      </c>
      <c r="B688" t="str">
        <f>"1578726183597309"</f>
        <v>1578726183597309</v>
      </c>
      <c r="C688" t="s">
        <v>40</v>
      </c>
      <c r="D688">
        <v>5.2310949999999998</v>
      </c>
      <c r="E688">
        <v>0.47553699999999999</v>
      </c>
      <c r="F688" t="s">
        <v>41</v>
      </c>
      <c r="G688">
        <v>-490.09570000000002</v>
      </c>
      <c r="H688" s="1">
        <v>-4.028307E-6</v>
      </c>
      <c r="I688">
        <v>248.91980000000001</v>
      </c>
      <c r="J688">
        <v>-490.60469999999998</v>
      </c>
      <c r="K688">
        <v>1.1181239999999999</v>
      </c>
      <c r="L688">
        <v>262.14870000000002</v>
      </c>
      <c r="M688">
        <v>-8.9529979999999995E-2</v>
      </c>
      <c r="N688">
        <v>0</v>
      </c>
      <c r="O688">
        <v>-0.99586859999999999</v>
      </c>
      <c r="P688">
        <v>-2.319034E-2</v>
      </c>
      <c r="Q688">
        <v>9.1968939999999999E-2</v>
      </c>
      <c r="R688">
        <v>-0.99549189999999999</v>
      </c>
      <c r="S688">
        <v>0.1118164</v>
      </c>
      <c r="T688">
        <v>-0.25317079999999997</v>
      </c>
      <c r="U688">
        <v>-3.0408330000000001</v>
      </c>
      <c r="V688">
        <v>-6.9828329999999994E-2</v>
      </c>
      <c r="W688">
        <v>0.10460170000000001</v>
      </c>
      <c r="X688">
        <v>0.99205969999999999</v>
      </c>
      <c r="Y688">
        <v>-0.12595319999999999</v>
      </c>
      <c r="Z688">
        <v>8.2112240000000003E-2</v>
      </c>
      <c r="AA688">
        <v>0.98863210000000001</v>
      </c>
      <c r="AB688">
        <v>36</v>
      </c>
      <c r="AC688">
        <v>0.50899999999995704</v>
      </c>
      <c r="AD688">
        <v>-1.1181280283070001</v>
      </c>
      <c r="AE688">
        <v>-13.228899999999999</v>
      </c>
      <c r="AF688">
        <v>-1.67949448625822</v>
      </c>
      <c r="AG688">
        <v>-1.1181280283070001</v>
      </c>
      <c r="AH688">
        <v>13.0371874354589</v>
      </c>
      <c r="AI688">
        <v>94.861966935616493</v>
      </c>
      <c r="AJ688">
        <v>97.340606929146801</v>
      </c>
      <c r="AK688">
        <v>13.1923905432013</v>
      </c>
      <c r="AL688">
        <v>83.995780592902904</v>
      </c>
      <c r="AM688">
        <v>94.026250558501602</v>
      </c>
      <c r="AN688">
        <v>0.99999997983878397</v>
      </c>
    </row>
    <row r="689" spans="1:40" x14ac:dyDescent="0.3">
      <c r="A689" t="str">
        <f>"20200111150303616"</f>
        <v>20200111150303616</v>
      </c>
      <c r="B689" t="str">
        <f>"1578726183608047"</f>
        <v>1578726183608047</v>
      </c>
      <c r="C689" t="s">
        <v>40</v>
      </c>
      <c r="D689">
        <v>5.1705379999999996</v>
      </c>
      <c r="E689">
        <v>0.47588819999999998</v>
      </c>
      <c r="F689" t="s">
        <v>41</v>
      </c>
      <c r="G689">
        <v>-489.99669999999998</v>
      </c>
      <c r="H689" s="1">
        <v>-3.5990659999999999E-6</v>
      </c>
      <c r="I689">
        <v>247.98070000000001</v>
      </c>
      <c r="J689">
        <v>-490.6223</v>
      </c>
      <c r="K689">
        <v>1.1176839999999999</v>
      </c>
      <c r="L689">
        <v>261.88400000000001</v>
      </c>
      <c r="M689">
        <v>-7.9686610000000005E-2</v>
      </c>
      <c r="N689">
        <v>0</v>
      </c>
      <c r="O689">
        <v>-0.99670610000000004</v>
      </c>
      <c r="P689">
        <v>-1.239672E-2</v>
      </c>
      <c r="Q689">
        <v>9.3685900000000003E-2</v>
      </c>
      <c r="R689">
        <v>-0.99552459999999998</v>
      </c>
      <c r="S689">
        <v>0.13040160000000001</v>
      </c>
      <c r="T689">
        <v>-0.2398151</v>
      </c>
      <c r="U689">
        <v>-3.0387569999999999</v>
      </c>
      <c r="V689">
        <v>-7.0707539999999999E-2</v>
      </c>
      <c r="W689">
        <v>0.10625370000000001</v>
      </c>
      <c r="X689">
        <v>0.99182179999999998</v>
      </c>
      <c r="Y689">
        <v>-0.1222275</v>
      </c>
      <c r="Z689">
        <v>7.7968200000000001E-2</v>
      </c>
      <c r="AA689">
        <v>0.98943490000000001</v>
      </c>
      <c r="AB689">
        <v>36</v>
      </c>
      <c r="AC689">
        <v>0.62560000000001903</v>
      </c>
      <c r="AD689">
        <v>-1.117687599066</v>
      </c>
      <c r="AE689">
        <v>-13.9033</v>
      </c>
      <c r="AF689">
        <v>-1.7205460514211299</v>
      </c>
      <c r="AG689">
        <v>-1.117687599066</v>
      </c>
      <c r="AH689">
        <v>13.720727418120401</v>
      </c>
      <c r="AI689">
        <v>94.620988366764095</v>
      </c>
      <c r="AJ689">
        <v>97.147444603606203</v>
      </c>
      <c r="AK689">
        <v>13.873278818164399</v>
      </c>
      <c r="AL689">
        <v>83.900597274133304</v>
      </c>
      <c r="AM689">
        <v>94.077749856054297</v>
      </c>
      <c r="AN689">
        <v>0.99999994396588898</v>
      </c>
    </row>
    <row r="690" spans="1:40" x14ac:dyDescent="0.3">
      <c r="A690" t="str">
        <f>"20200111150303630"</f>
        <v>20200111150303630</v>
      </c>
      <c r="B690" t="str">
        <f>"1578726183627566"</f>
        <v>1578726183627566</v>
      </c>
      <c r="C690" t="s">
        <v>40</v>
      </c>
      <c r="D690">
        <v>5.2184100000000004</v>
      </c>
      <c r="E690">
        <v>0.47678939999999997</v>
      </c>
      <c r="F690" t="s">
        <v>41</v>
      </c>
      <c r="G690">
        <v>-489.85239999999999</v>
      </c>
      <c r="H690" s="1">
        <v>-3.2678209999999998E-6</v>
      </c>
      <c r="I690">
        <v>247.1891</v>
      </c>
      <c r="J690">
        <v>-490.63490000000002</v>
      </c>
      <c r="K690">
        <v>1.1173059999999999</v>
      </c>
      <c r="L690">
        <v>261.67439999999999</v>
      </c>
      <c r="M690">
        <v>-7.2201329999999994E-2</v>
      </c>
      <c r="N690">
        <v>0</v>
      </c>
      <c r="O690">
        <v>-0.99727759999999999</v>
      </c>
      <c r="P690">
        <v>-4.4616400000000002E-3</v>
      </c>
      <c r="Q690">
        <v>9.457219E-2</v>
      </c>
      <c r="R690">
        <v>-0.99550830000000001</v>
      </c>
      <c r="S690">
        <v>0.1591187</v>
      </c>
      <c r="T690">
        <v>-0.2310082</v>
      </c>
      <c r="U690">
        <v>-3.037201</v>
      </c>
      <c r="V690">
        <v>-7.1084560000000005E-2</v>
      </c>
      <c r="W690">
        <v>0.1071052</v>
      </c>
      <c r="X690">
        <v>0.99170329999999995</v>
      </c>
      <c r="Y690">
        <v>-0.1241428</v>
      </c>
      <c r="Z690">
        <v>7.5198840000000003E-2</v>
      </c>
      <c r="AA690">
        <v>0.98941080000000003</v>
      </c>
      <c r="AB690">
        <v>36</v>
      </c>
      <c r="AC690">
        <v>0.78250000000002695</v>
      </c>
      <c r="AD690">
        <v>-1.1173092678209999</v>
      </c>
      <c r="AE690">
        <v>-14.485299999999899</v>
      </c>
      <c r="AF690">
        <v>-1.81566141734592</v>
      </c>
      <c r="AG690">
        <v>-1.1173092678209999</v>
      </c>
      <c r="AH690">
        <v>14.306113342688301</v>
      </c>
      <c r="AI690">
        <v>94.430347533831807</v>
      </c>
      <c r="AJ690">
        <v>97.233028269127999</v>
      </c>
      <c r="AK690">
        <v>14.4640895101019</v>
      </c>
      <c r="AL690">
        <v>83.851530173842903</v>
      </c>
      <c r="AM690">
        <v>94.099907087230406</v>
      </c>
      <c r="AN690">
        <v>0.99999998688416103</v>
      </c>
    </row>
    <row r="691" spans="1:40" x14ac:dyDescent="0.3">
      <c r="A691" t="str">
        <f>"20200111150303644"</f>
        <v>20200111150303644</v>
      </c>
      <c r="B691" t="str">
        <f>"1578726183637326"</f>
        <v>1578726183637326</v>
      </c>
      <c r="C691" t="s">
        <v>40</v>
      </c>
      <c r="D691">
        <v>5.2895029999999998</v>
      </c>
      <c r="E691">
        <v>0.47678939999999997</v>
      </c>
      <c r="F691" t="s">
        <v>41</v>
      </c>
      <c r="G691">
        <v>-489.76609999999999</v>
      </c>
      <c r="H691" s="1">
        <v>-3.0610239999999998E-6</v>
      </c>
      <c r="I691">
        <v>246.67140000000001</v>
      </c>
      <c r="J691">
        <v>-490.64620000000002</v>
      </c>
      <c r="K691">
        <v>1.116859</v>
      </c>
      <c r="L691">
        <v>261.45049999999998</v>
      </c>
      <c r="M691">
        <v>-6.4709559999999999E-2</v>
      </c>
      <c r="N691">
        <v>0</v>
      </c>
      <c r="O691">
        <v>-0.99779340000000005</v>
      </c>
      <c r="P691">
        <v>2.8635280000000002E-3</v>
      </c>
      <c r="Q691">
        <v>9.5094020000000001E-2</v>
      </c>
      <c r="R691">
        <v>-0.99546440000000003</v>
      </c>
      <c r="S691">
        <v>0.175781299999999</v>
      </c>
      <c r="T691">
        <v>-0.22608010000000001</v>
      </c>
      <c r="U691">
        <v>-3.0357669999999999</v>
      </c>
      <c r="V691">
        <v>-7.082244E-2</v>
      </c>
      <c r="W691">
        <v>0.1076154</v>
      </c>
      <c r="X691">
        <v>0.99166690000000002</v>
      </c>
      <c r="Y691">
        <v>-0.1221357</v>
      </c>
      <c r="Z691">
        <v>7.3693469999999997E-2</v>
      </c>
      <c r="AA691">
        <v>0.98977380000000004</v>
      </c>
      <c r="AB691">
        <v>36</v>
      </c>
      <c r="AC691">
        <v>0.88010000000002697</v>
      </c>
      <c r="AD691">
        <v>-1.1168620610240001</v>
      </c>
      <c r="AE691">
        <v>-14.7790999999999</v>
      </c>
      <c r="AF691">
        <v>-1.8243280753042801</v>
      </c>
      <c r="AG691">
        <v>-1.1168620610240001</v>
      </c>
      <c r="AH691">
        <v>14.608031117826901</v>
      </c>
      <c r="AI691">
        <v>94.3384917728132</v>
      </c>
      <c r="AJ691">
        <v>97.118544481380795</v>
      </c>
      <c r="AK691">
        <v>14.763811395743801</v>
      </c>
      <c r="AL691">
        <v>83.822128420114794</v>
      </c>
      <c r="AM691">
        <v>94.084989629507504</v>
      </c>
      <c r="AN691">
        <v>1.00000006644015</v>
      </c>
    </row>
    <row r="692" spans="1:40" x14ac:dyDescent="0.3">
      <c r="A692" t="str">
        <f>"20200111150303660"</f>
        <v>20200111150303660</v>
      </c>
      <c r="B692" t="str">
        <f>"1578726183657822"</f>
        <v>1578726183657822</v>
      </c>
      <c r="C692" t="s">
        <v>40</v>
      </c>
      <c r="D692">
        <v>5.3394190000000004</v>
      </c>
      <c r="E692">
        <v>0.4996353</v>
      </c>
      <c r="F692" t="s">
        <v>41</v>
      </c>
      <c r="G692">
        <v>-489.66300000000001</v>
      </c>
      <c r="H692" s="1">
        <v>-2.9441630000000002E-6</v>
      </c>
      <c r="I692">
        <v>246.35640000000001</v>
      </c>
      <c r="J692">
        <v>-490.65780000000001</v>
      </c>
      <c r="K692">
        <v>1.11632</v>
      </c>
      <c r="L692">
        <v>261.18990000000002</v>
      </c>
      <c r="M692">
        <v>-5.6469619999999998E-2</v>
      </c>
      <c r="N692">
        <v>0</v>
      </c>
      <c r="O692">
        <v>-0.99829520000000005</v>
      </c>
      <c r="P692">
        <v>9.425648E-3</v>
      </c>
      <c r="Q692">
        <v>9.4487760000000004E-2</v>
      </c>
      <c r="R692">
        <v>-0.99548170000000002</v>
      </c>
      <c r="S692">
        <v>0.19766239999999999</v>
      </c>
      <c r="T692">
        <v>-0.22453529999999999</v>
      </c>
      <c r="U692">
        <v>-3.0345460000000002</v>
      </c>
      <c r="V692">
        <v>-6.9002250000000001E-2</v>
      </c>
      <c r="W692">
        <v>0.1070502</v>
      </c>
      <c r="X692">
        <v>0.99185630000000002</v>
      </c>
      <c r="Y692">
        <v>-0.1210767</v>
      </c>
      <c r="Z692">
        <v>7.3265899999999995E-2</v>
      </c>
      <c r="AA692">
        <v>0.98993560000000003</v>
      </c>
      <c r="AB692">
        <v>36</v>
      </c>
      <c r="AC692">
        <v>0.99479999999999802</v>
      </c>
      <c r="AD692">
        <v>-1.116322944163</v>
      </c>
      <c r="AE692">
        <v>-14.833500000000001</v>
      </c>
      <c r="AF692">
        <v>-1.8206802124644801</v>
      </c>
      <c r="AG692">
        <v>-1.116322944163</v>
      </c>
      <c r="AH692">
        <v>14.6709250015346</v>
      </c>
      <c r="AI692">
        <v>94.318299408610201</v>
      </c>
      <c r="AJ692">
        <v>97.074308707550401</v>
      </c>
      <c r="AK692">
        <v>14.825555428124</v>
      </c>
      <c r="AL692">
        <v>83.854699670130699</v>
      </c>
      <c r="AM692">
        <v>93.979586585043293</v>
      </c>
      <c r="AN692">
        <v>0.99999998783739596</v>
      </c>
    </row>
    <row r="693" spans="1:40" x14ac:dyDescent="0.3">
      <c r="A693" t="str">
        <f>"20200111150303674"</f>
        <v>20200111150303674</v>
      </c>
      <c r="B693" t="str">
        <f>"1578726183667582"</f>
        <v>1578726183667582</v>
      </c>
      <c r="C693" t="s">
        <v>40</v>
      </c>
      <c r="D693">
        <v>5.4152120000000004</v>
      </c>
      <c r="E693">
        <v>0.49936789999999998</v>
      </c>
      <c r="F693" t="s">
        <v>41</v>
      </c>
      <c r="G693">
        <v>-490.48230000000001</v>
      </c>
      <c r="H693" s="1">
        <v>-3.0160579999999999E-6</v>
      </c>
      <c r="I693">
        <v>246.32050000000001</v>
      </c>
      <c r="J693">
        <v>-490.66539999999998</v>
      </c>
      <c r="K693">
        <v>1.11589</v>
      </c>
      <c r="L693">
        <v>260.99579999999997</v>
      </c>
      <c r="M693">
        <v>-5.0655220000000001E-2</v>
      </c>
      <c r="N693">
        <v>0</v>
      </c>
      <c r="O693">
        <v>-0.99860819999999995</v>
      </c>
      <c r="P693">
        <v>1.5088590000000001E-2</v>
      </c>
      <c r="Q693">
        <v>9.4812309999999997E-2</v>
      </c>
      <c r="R693">
        <v>-0.99538079999999995</v>
      </c>
      <c r="S693">
        <v>3.5827640000000001E-2</v>
      </c>
      <c r="T693">
        <v>-0.22784550000000001</v>
      </c>
      <c r="U693">
        <v>-3.0349119999999998</v>
      </c>
      <c r="V693">
        <v>-6.8759109999999998E-2</v>
      </c>
      <c r="W693">
        <v>0.1073717</v>
      </c>
      <c r="X693">
        <v>0.99183849999999996</v>
      </c>
      <c r="Y693">
        <v>-6.241323E-2</v>
      </c>
      <c r="Z693">
        <v>7.4644489999999994E-2</v>
      </c>
      <c r="AA693">
        <v>0.99525509999999995</v>
      </c>
      <c r="AB693">
        <v>36</v>
      </c>
      <c r="AC693">
        <v>0.18309999999996701</v>
      </c>
      <c r="AD693">
        <v>-1.1158930160580001</v>
      </c>
      <c r="AE693">
        <v>-14.675299999999901</v>
      </c>
      <c r="AF693">
        <v>-0.92100131086013404</v>
      </c>
      <c r="AG693">
        <v>-1.1158930160580001</v>
      </c>
      <c r="AH693">
        <v>14.562991052778401</v>
      </c>
      <c r="AI693">
        <v>94.373039305993899</v>
      </c>
      <c r="AJ693">
        <v>93.618714278323594</v>
      </c>
      <c r="AK693">
        <v>14.6346906028518</v>
      </c>
      <c r="AL693">
        <v>83.836172697452497</v>
      </c>
      <c r="AM693">
        <v>93.965679662514603</v>
      </c>
      <c r="AN693">
        <v>1.00000005362556</v>
      </c>
    </row>
    <row r="694" spans="1:40" x14ac:dyDescent="0.3">
      <c r="A694" t="str">
        <f>"20200111150303687"</f>
        <v>20200111150303687</v>
      </c>
      <c r="B694" t="str">
        <f>"1578726183677344"</f>
        <v>1578726183677344</v>
      </c>
      <c r="C694" t="s">
        <v>40</v>
      </c>
      <c r="D694">
        <v>5.4325279999999996</v>
      </c>
      <c r="E694">
        <v>0.49975520000000001</v>
      </c>
      <c r="F694" t="s">
        <v>41</v>
      </c>
      <c r="G694">
        <v>-490.39339999999999</v>
      </c>
      <c r="H694" s="1">
        <v>-2.8676159999999999E-6</v>
      </c>
      <c r="I694">
        <v>246.02959999999999</v>
      </c>
      <c r="J694">
        <v>-490.67320000000001</v>
      </c>
      <c r="K694">
        <v>1.115356</v>
      </c>
      <c r="L694">
        <v>260.76459999999997</v>
      </c>
      <c r="M694">
        <v>-4.4175010000000001E-2</v>
      </c>
      <c r="N694">
        <v>0</v>
      </c>
      <c r="O694">
        <v>-0.99891719999999895</v>
      </c>
      <c r="P694">
        <v>2.2416229999999999E-2</v>
      </c>
      <c r="Q694">
        <v>9.553064E-2</v>
      </c>
      <c r="R694">
        <v>-0.99517420000000001</v>
      </c>
      <c r="S694">
        <v>5.5145260000000001E-2</v>
      </c>
      <c r="T694">
        <v>-0.2262644</v>
      </c>
      <c r="U694">
        <v>-3.034637</v>
      </c>
      <c r="V694">
        <v>-6.9495920000000003E-2</v>
      </c>
      <c r="W694">
        <v>0.1080614</v>
      </c>
      <c r="X694">
        <v>0.99171220000000004</v>
      </c>
      <c r="Y694">
        <v>-6.2273420000000003E-2</v>
      </c>
      <c r="Z694">
        <v>7.4167120000000003E-2</v>
      </c>
      <c r="AA694">
        <v>0.99529959999999995</v>
      </c>
      <c r="AB694">
        <v>36</v>
      </c>
      <c r="AC694">
        <v>0.27980000000002198</v>
      </c>
      <c r="AD694">
        <v>-1.115358867616</v>
      </c>
      <c r="AE694">
        <v>-14.7349999999999</v>
      </c>
      <c r="AF694">
        <v>-0.92521564645074095</v>
      </c>
      <c r="AG694">
        <v>-1.115358867616</v>
      </c>
      <c r="AH694">
        <v>14.624488093069701</v>
      </c>
      <c r="AI694">
        <v>94.352638690869796</v>
      </c>
      <c r="AJ694">
        <v>93.619982891471494</v>
      </c>
      <c r="AK694">
        <v>14.6961117776215</v>
      </c>
      <c r="AL694">
        <v>83.796424311025405</v>
      </c>
      <c r="AM694">
        <v>94.008546171408398</v>
      </c>
      <c r="AN694">
        <v>1.00000001834772</v>
      </c>
    </row>
    <row r="695" spans="1:40" x14ac:dyDescent="0.3">
      <c r="A695" t="str">
        <f>"20200111150303705"</f>
        <v>20200111150303705</v>
      </c>
      <c r="B695" t="str">
        <f>"1578726183697837"</f>
        <v>1578726183697837</v>
      </c>
      <c r="C695" t="s">
        <v>40</v>
      </c>
      <c r="D695">
        <v>5.3707409999999998</v>
      </c>
      <c r="E695">
        <v>0.5011137</v>
      </c>
      <c r="F695" t="s">
        <v>41</v>
      </c>
      <c r="G695">
        <v>-490.28300000000002</v>
      </c>
      <c r="H695" s="1">
        <v>-2.2931219999999999E-6</v>
      </c>
      <c r="I695">
        <v>244.75890000000001</v>
      </c>
      <c r="J695">
        <v>-490.68119999999999</v>
      </c>
      <c r="K695">
        <v>1.114649</v>
      </c>
      <c r="L695">
        <v>260.46969999999999</v>
      </c>
      <c r="M695">
        <v>-3.6713700000000002E-2</v>
      </c>
      <c r="N695">
        <v>0</v>
      </c>
      <c r="O695">
        <v>-0.99922100000000003</v>
      </c>
      <c r="P695">
        <v>3.415758E-2</v>
      </c>
      <c r="Q695">
        <v>9.8872199999999993E-2</v>
      </c>
      <c r="R695">
        <v>-0.99451369999999895</v>
      </c>
      <c r="S695">
        <v>7.3944090000000004E-2</v>
      </c>
      <c r="T695">
        <v>-0.21136530000000001</v>
      </c>
      <c r="U695">
        <v>-3.0331419999999998</v>
      </c>
      <c r="V695">
        <v>-7.3674760000000006E-2</v>
      </c>
      <c r="W695">
        <v>0.11128440000000001</v>
      </c>
      <c r="X695">
        <v>0.99105390000000004</v>
      </c>
      <c r="Y695">
        <v>-6.1002840000000003E-2</v>
      </c>
      <c r="Z695">
        <v>6.9371370000000002E-2</v>
      </c>
      <c r="AA695">
        <v>0.99572400000000005</v>
      </c>
      <c r="AB695">
        <v>36</v>
      </c>
      <c r="AC695">
        <v>0.39819999999997402</v>
      </c>
      <c r="AD695">
        <v>-1.1146512931219901</v>
      </c>
      <c r="AE695">
        <v>-15.7107999999999</v>
      </c>
      <c r="AF695">
        <v>-0.96991445587729197</v>
      </c>
      <c r="AG695">
        <v>-1.1146512931219901</v>
      </c>
      <c r="AH695">
        <v>15.607075186227901</v>
      </c>
      <c r="AI695">
        <v>94.077266969977003</v>
      </c>
      <c r="AJ695">
        <v>93.556119764664402</v>
      </c>
      <c r="AK695">
        <v>15.6768612108913</v>
      </c>
      <c r="AL695">
        <v>83.610639176600799</v>
      </c>
      <c r="AM695">
        <v>94.251537042100395</v>
      </c>
      <c r="AN695">
        <v>1.0000000103248099</v>
      </c>
    </row>
    <row r="696" spans="1:40" x14ac:dyDescent="0.3">
      <c r="A696" t="str">
        <f>"20200111150303728"</f>
        <v>20200111150303728</v>
      </c>
      <c r="B696" t="str">
        <f>"1578726183717357"</f>
        <v>1578726183717357</v>
      </c>
      <c r="C696" t="s">
        <v>40</v>
      </c>
      <c r="D696">
        <v>5.389761</v>
      </c>
      <c r="E696">
        <v>0.50302460000000004</v>
      </c>
      <c r="F696" t="s">
        <v>41</v>
      </c>
      <c r="G696">
        <v>-490.17200000000003</v>
      </c>
      <c r="H696" s="1">
        <v>-2.2103120000000002E-6</v>
      </c>
      <c r="I696">
        <v>244.63470000000001</v>
      </c>
      <c r="J696">
        <v>-490.68849999999998</v>
      </c>
      <c r="K696">
        <v>1.1137649999999999</v>
      </c>
      <c r="L696">
        <v>260.12060000000002</v>
      </c>
      <c r="M696">
        <v>-2.8889100000000001E-2</v>
      </c>
      <c r="N696">
        <v>0</v>
      </c>
      <c r="O696">
        <v>-0.99947989999999998</v>
      </c>
      <c r="P696">
        <v>4.5206629999999998E-2</v>
      </c>
      <c r="Q696">
        <v>0.1004428</v>
      </c>
      <c r="R696">
        <v>-0.99391529999999995</v>
      </c>
      <c r="S696">
        <v>9.7564700000000004E-2</v>
      </c>
      <c r="T696">
        <v>-0.21359829999999999</v>
      </c>
      <c r="U696">
        <v>-3.034424</v>
      </c>
      <c r="V696">
        <v>-7.6710719999999996E-2</v>
      </c>
      <c r="W696">
        <v>0.1128006</v>
      </c>
      <c r="X696">
        <v>0.99065199999999998</v>
      </c>
      <c r="Y696">
        <v>-6.0920620000000002E-2</v>
      </c>
      <c r="Z696">
        <v>7.0090760000000002E-2</v>
      </c>
      <c r="AA696">
        <v>0.99567870000000003</v>
      </c>
      <c r="AB696">
        <v>36</v>
      </c>
      <c r="AC696">
        <v>0.51650000000000695</v>
      </c>
      <c r="AD696">
        <v>-1.113767210312</v>
      </c>
      <c r="AE696">
        <v>-15.485900000000001</v>
      </c>
      <c r="AF696">
        <v>-0.958750233763769</v>
      </c>
      <c r="AG696">
        <v>-1.113767210312</v>
      </c>
      <c r="AH696">
        <v>15.385019045677399</v>
      </c>
      <c r="AI696">
        <v>94.132599742589306</v>
      </c>
      <c r="AJ696">
        <v>93.565897353100993</v>
      </c>
      <c r="AK696">
        <v>15.4550474100005</v>
      </c>
      <c r="AL696">
        <v>83.523216437223397</v>
      </c>
      <c r="AM696">
        <v>94.427838697629895</v>
      </c>
      <c r="AN696">
        <v>0.99999994751363697</v>
      </c>
    </row>
    <row r="697" spans="1:40" x14ac:dyDescent="0.3">
      <c r="A697" t="str">
        <f>"20200111150303742"</f>
        <v>20200111150303742</v>
      </c>
      <c r="B697" t="str">
        <f>"1578726183737854"</f>
        <v>1578726183737854</v>
      </c>
      <c r="C697" t="s">
        <v>40</v>
      </c>
      <c r="D697">
        <v>5.4991469999999998</v>
      </c>
      <c r="E697">
        <v>0.50302460000000004</v>
      </c>
      <c r="F697" t="s">
        <v>41</v>
      </c>
      <c r="G697">
        <v>-490.09179999999998</v>
      </c>
      <c r="H697" s="1">
        <v>-2.0547200000000001E-6</v>
      </c>
      <c r="I697">
        <v>244.3218</v>
      </c>
      <c r="J697">
        <v>-490.69200000000001</v>
      </c>
      <c r="K697">
        <v>1.113154</v>
      </c>
      <c r="L697">
        <v>259.88909999999998</v>
      </c>
      <c r="M697">
        <v>-2.443379E-2</v>
      </c>
      <c r="N697">
        <v>0</v>
      </c>
      <c r="O697">
        <v>-0.99959989999999999</v>
      </c>
      <c r="P697">
        <v>5.0055870000000002E-2</v>
      </c>
      <c r="Q697">
        <v>0.1002337</v>
      </c>
      <c r="R697">
        <v>-0.99370420000000004</v>
      </c>
      <c r="S697">
        <v>0.114624</v>
      </c>
      <c r="T697">
        <v>-0.2139432</v>
      </c>
      <c r="U697">
        <v>-3.0347900000000001</v>
      </c>
      <c r="V697">
        <v>-7.6948550000000004E-2</v>
      </c>
      <c r="W697">
        <v>0.1126149</v>
      </c>
      <c r="X697">
        <v>0.9906547</v>
      </c>
      <c r="Y697">
        <v>-6.2057479999999998E-2</v>
      </c>
      <c r="Z697">
        <v>7.0198159999999996E-2</v>
      </c>
      <c r="AA697">
        <v>0.99560090000000001</v>
      </c>
      <c r="AB697">
        <v>36</v>
      </c>
      <c r="AC697">
        <v>0.60019999999997198</v>
      </c>
      <c r="AD697">
        <v>-1.1131560547199999</v>
      </c>
      <c r="AE697">
        <v>-15.5672999999999</v>
      </c>
      <c r="AF697">
        <v>-0.97544736112544395</v>
      </c>
      <c r="AG697">
        <v>-1.1131560547199999</v>
      </c>
      <c r="AH697">
        <v>15.469007389402799</v>
      </c>
      <c r="AI697">
        <v>94.107801957899795</v>
      </c>
      <c r="AJ697">
        <v>93.608189845167203</v>
      </c>
      <c r="AK697">
        <v>15.539652620630999</v>
      </c>
      <c r="AL697">
        <v>83.533924606369396</v>
      </c>
      <c r="AM697">
        <v>94.441499640767702</v>
      </c>
      <c r="AN697">
        <v>0.99999996484060005</v>
      </c>
    </row>
    <row r="698" spans="1:40" x14ac:dyDescent="0.3">
      <c r="A698" t="str">
        <f>"20200111150303757"</f>
        <v>20200111150303757</v>
      </c>
      <c r="B698" t="str">
        <f>"1578726183747614"</f>
        <v>1578726183747614</v>
      </c>
      <c r="C698" t="s">
        <v>40</v>
      </c>
      <c r="D698">
        <v>5.6779590000000004</v>
      </c>
      <c r="E698">
        <v>0.50948939999999998</v>
      </c>
      <c r="F698" t="s">
        <v>41</v>
      </c>
      <c r="G698">
        <v>-490.017</v>
      </c>
      <c r="H698" s="1">
        <v>-1.9613900000000001E-6</v>
      </c>
      <c r="I698">
        <v>244.1506</v>
      </c>
      <c r="J698">
        <v>-490.69470000000001</v>
      </c>
      <c r="K698">
        <v>1.112555</v>
      </c>
      <c r="L698">
        <v>259.66160000000002</v>
      </c>
      <c r="M698">
        <v>-2.0452419999999999E-2</v>
      </c>
      <c r="N698">
        <v>0</v>
      </c>
      <c r="O698">
        <v>-0.99969059999999998</v>
      </c>
      <c r="P698">
        <v>5.384154E-2</v>
      </c>
      <c r="Q698">
        <v>9.9050289999999999E-2</v>
      </c>
      <c r="R698">
        <v>-0.99362499999999998</v>
      </c>
      <c r="S698">
        <v>0.13012699999999999</v>
      </c>
      <c r="T698">
        <v>-0.21459600000000001</v>
      </c>
      <c r="U698">
        <v>-3.0340880000000001</v>
      </c>
      <c r="V698">
        <v>-7.6580519999999999E-2</v>
      </c>
      <c r="W698">
        <v>0.1114758</v>
      </c>
      <c r="X698">
        <v>0.99081209999999997</v>
      </c>
      <c r="Y698">
        <v>-6.3169199999999995E-2</v>
      </c>
      <c r="Z698">
        <v>7.0427290000000004E-2</v>
      </c>
      <c r="AA698">
        <v>0.99551480000000003</v>
      </c>
      <c r="AB698">
        <v>36</v>
      </c>
      <c r="AC698">
        <v>0.67770000000001496</v>
      </c>
      <c r="AD698">
        <v>-1.1125569613899999</v>
      </c>
      <c r="AE698">
        <v>-15.510999999999999</v>
      </c>
      <c r="AF698">
        <v>-0.98974519710547304</v>
      </c>
      <c r="AG698">
        <v>-1.1125569613899999</v>
      </c>
      <c r="AH698">
        <v>15.4147388856658</v>
      </c>
      <c r="AI698">
        <v>94.119703931701693</v>
      </c>
      <c r="AJ698">
        <v>93.673788195860297</v>
      </c>
      <c r="AK698">
        <v>15.4864958418872</v>
      </c>
      <c r="AL698">
        <v>83.599604189338294</v>
      </c>
      <c r="AM698">
        <v>94.419641770670296</v>
      </c>
      <c r="AN698">
        <v>1.00000002376775</v>
      </c>
    </row>
    <row r="699" spans="1:40" x14ac:dyDescent="0.3">
      <c r="A699" t="str">
        <f>"20200111150303772"</f>
        <v>20200111150303772</v>
      </c>
      <c r="B699" t="str">
        <f>"1578726183768109"</f>
        <v>1578726183768109</v>
      </c>
      <c r="C699" t="s">
        <v>40</v>
      </c>
      <c r="D699">
        <v>5.4169130000000001</v>
      </c>
      <c r="E699">
        <v>0.51385209999999903</v>
      </c>
      <c r="F699" t="s">
        <v>62</v>
      </c>
      <c r="G699">
        <v>-483.80090000000001</v>
      </c>
      <c r="H699">
        <v>89.690439999999995</v>
      </c>
      <c r="I699">
        <v>8.8460099999999997</v>
      </c>
      <c r="J699">
        <v>-490.697</v>
      </c>
      <c r="K699">
        <v>1.111915</v>
      </c>
      <c r="L699">
        <v>259.4171</v>
      </c>
      <c r="M699">
        <v>-1.6610409999999999E-2</v>
      </c>
      <c r="N699">
        <v>0</v>
      </c>
      <c r="O699">
        <v>-0.99976279999999995</v>
      </c>
      <c r="P699">
        <v>5.7408540000000001E-2</v>
      </c>
      <c r="Q699">
        <v>9.8909999999999998E-2</v>
      </c>
      <c r="R699">
        <v>-0.99343899999999996</v>
      </c>
      <c r="S699">
        <v>8.0047610000000005E-2</v>
      </c>
      <c r="T699">
        <v>1.0285359999999999</v>
      </c>
      <c r="U699">
        <v>-2.9123839999999999</v>
      </c>
      <c r="V699">
        <v>-7.6144260000000005E-2</v>
      </c>
      <c r="W699">
        <v>0.11138670000000001</v>
      </c>
      <c r="X699">
        <v>0.99085570000000001</v>
      </c>
      <c r="Y699">
        <v>-4.2510739999999998E-2</v>
      </c>
      <c r="Z699">
        <v>-0.3327271</v>
      </c>
      <c r="AA699">
        <v>0.94206449999999997</v>
      </c>
      <c r="AB699">
        <v>36</v>
      </c>
      <c r="AC699">
        <v>6.8960999999999304</v>
      </c>
      <c r="AD699">
        <v>88.578524999999999</v>
      </c>
      <c r="AE699">
        <v>-250.57109</v>
      </c>
      <c r="AF699">
        <v>-9.8301379534451705</v>
      </c>
      <c r="AG699">
        <v>88.578524999999999</v>
      </c>
      <c r="AH699">
        <v>222.622562187261</v>
      </c>
      <c r="AI699">
        <v>68.322217102075896</v>
      </c>
      <c r="AJ699">
        <v>92.528314235728203</v>
      </c>
      <c r="AK699">
        <v>239.799065674118</v>
      </c>
      <c r="AL699">
        <v>83.604740966085302</v>
      </c>
      <c r="AM699">
        <v>94.394370475381606</v>
      </c>
      <c r="AN699">
        <v>0.99999998174516302</v>
      </c>
    </row>
    <row r="700" spans="1:40" x14ac:dyDescent="0.3">
      <c r="A700" t="str">
        <f>"20200111150303784"</f>
        <v>20200111150303784</v>
      </c>
      <c r="B700" t="str">
        <f>"1578726183777869"</f>
        <v>1578726183777869</v>
      </c>
      <c r="C700" t="s">
        <v>40</v>
      </c>
      <c r="D700">
        <v>5.4354690000000003</v>
      </c>
      <c r="E700">
        <v>0.5146965</v>
      </c>
      <c r="F700" t="s">
        <v>42</v>
      </c>
      <c r="G700">
        <v>-490.67599999999999</v>
      </c>
      <c r="H700">
        <v>1.0178720000000001</v>
      </c>
      <c r="I700">
        <v>258.44080000000002</v>
      </c>
      <c r="J700">
        <v>-490.69839999999999</v>
      </c>
      <c r="K700">
        <v>1.1113869999999999</v>
      </c>
      <c r="L700">
        <v>259.20870000000002</v>
      </c>
      <c r="M700">
        <v>-1.3747880000000001E-2</v>
      </c>
      <c r="N700">
        <v>0</v>
      </c>
      <c r="O700">
        <v>-0.999807</v>
      </c>
      <c r="P700">
        <v>6.0212229999999999E-2</v>
      </c>
      <c r="Q700">
        <v>9.9796350000000006E-2</v>
      </c>
      <c r="R700">
        <v>-0.99318439999999997</v>
      </c>
      <c r="S700">
        <v>6.6955570000000006E-2</v>
      </c>
      <c r="T700">
        <v>-0.29363939999999999</v>
      </c>
      <c r="U700">
        <v>-3.0451350000000001</v>
      </c>
      <c r="V700">
        <v>-7.596762E-2</v>
      </c>
      <c r="W700">
        <v>0.1123122</v>
      </c>
      <c r="X700">
        <v>0.9907648</v>
      </c>
      <c r="Y700">
        <v>-3.5624830000000003E-2</v>
      </c>
      <c r="Z700">
        <v>9.592821E-2</v>
      </c>
      <c r="AA700">
        <v>0.99475060000000004</v>
      </c>
      <c r="AB700">
        <v>36</v>
      </c>
      <c r="AC700">
        <v>2.24000000000046E-2</v>
      </c>
      <c r="AD700">
        <v>-9.3515000000000195E-2</v>
      </c>
      <c r="AE700">
        <v>-0.76789999999999703</v>
      </c>
      <c r="AF700">
        <v>-3.2474715534486401E-2</v>
      </c>
      <c r="AG700">
        <v>-9.3515000000000195E-2</v>
      </c>
      <c r="AH700">
        <v>0.75631254068073905</v>
      </c>
      <c r="AI700">
        <v>97.042193587179696</v>
      </c>
      <c r="AJ700">
        <v>92.458668616185903</v>
      </c>
      <c r="AK700">
        <v>0.76276360791859998</v>
      </c>
      <c r="AL700">
        <v>83.551378994099494</v>
      </c>
      <c r="AM700">
        <v>94.384616846147793</v>
      </c>
      <c r="AN700">
        <v>0.99999999923817195</v>
      </c>
    </row>
    <row r="701" spans="1:40" x14ac:dyDescent="0.3">
      <c r="A701" t="str">
        <f>"20200111150303798"</f>
        <v>20200111150303798</v>
      </c>
      <c r="B701" t="str">
        <f>"1578726183787629"</f>
        <v>1578726183787629</v>
      </c>
      <c r="C701" t="s">
        <v>40</v>
      </c>
      <c r="D701">
        <v>5.384665</v>
      </c>
      <c r="E701">
        <v>0.51608379999999998</v>
      </c>
      <c r="F701" t="s">
        <v>41</v>
      </c>
      <c r="G701">
        <v>-490.43220000000002</v>
      </c>
      <c r="H701" s="1">
        <v>-3.4337199999999898E-6</v>
      </c>
      <c r="I701">
        <v>247.32509999999999</v>
      </c>
      <c r="J701">
        <v>-490.69929999999999</v>
      </c>
      <c r="K701">
        <v>1.110884</v>
      </c>
      <c r="L701">
        <v>258.99979999999999</v>
      </c>
      <c r="M701">
        <v>-1.1209449999999999E-2</v>
      </c>
      <c r="N701">
        <v>0</v>
      </c>
      <c r="O701">
        <v>-0.99983960000000005</v>
      </c>
      <c r="P701">
        <v>6.2244470000000003E-2</v>
      </c>
      <c r="Q701">
        <v>0.1009929</v>
      </c>
      <c r="R701">
        <v>-0.99293810000000005</v>
      </c>
      <c r="S701">
        <v>6.8206790000000003E-2</v>
      </c>
      <c r="T701">
        <v>-0.284784599999999</v>
      </c>
      <c r="U701">
        <v>-3.0450740000000001</v>
      </c>
      <c r="V701">
        <v>-7.5352180000000005E-2</v>
      </c>
      <c r="W701">
        <v>0.1135549</v>
      </c>
      <c r="X701">
        <v>0.9906701</v>
      </c>
      <c r="Y701">
        <v>-3.3502560000000001E-2</v>
      </c>
      <c r="Z701">
        <v>9.3070200000000006E-2</v>
      </c>
      <c r="AA701">
        <v>0.99509570000000003</v>
      </c>
      <c r="AB701">
        <v>36</v>
      </c>
      <c r="AC701">
        <v>0.26709999999996997</v>
      </c>
      <c r="AD701">
        <v>-1.1108874337200001</v>
      </c>
      <c r="AE701">
        <v>-11.6747</v>
      </c>
      <c r="AF701">
        <v>-0.39439390932542301</v>
      </c>
      <c r="AG701">
        <v>-1.1108874337200001</v>
      </c>
      <c r="AH701">
        <v>11.566303530975199</v>
      </c>
      <c r="AI701">
        <v>95.482986890077299</v>
      </c>
      <c r="AJ701">
        <v>91.9529449972744</v>
      </c>
      <c r="AK701">
        <v>11.6262201431402</v>
      </c>
      <c r="AL701">
        <v>83.4797188041819</v>
      </c>
      <c r="AM701">
        <v>94.349646549544502</v>
      </c>
      <c r="AN701">
        <v>0.99999995668938502</v>
      </c>
    </row>
    <row r="702" spans="1:40" x14ac:dyDescent="0.3">
      <c r="A702" t="str">
        <f>"20200111150303811"</f>
        <v>20200111150303811</v>
      </c>
      <c r="B702" t="str">
        <f>"1578726183808125"</f>
        <v>1578726183808125</v>
      </c>
      <c r="C702" t="s">
        <v>40</v>
      </c>
      <c r="D702">
        <v>6.2522789999999997</v>
      </c>
      <c r="E702">
        <v>0.51650759999999996</v>
      </c>
      <c r="F702" t="s">
        <v>42</v>
      </c>
      <c r="G702">
        <v>-490.68099999999998</v>
      </c>
      <c r="H702">
        <v>1.0325839999999999</v>
      </c>
      <c r="I702">
        <v>258.11169999999998</v>
      </c>
      <c r="J702">
        <v>-490.69979999999998</v>
      </c>
      <c r="K702">
        <v>1.1104039999999999</v>
      </c>
      <c r="L702">
        <v>258.79520000000002</v>
      </c>
      <c r="M702">
        <v>-8.9228169999999996E-3</v>
      </c>
      <c r="N702">
        <v>0</v>
      </c>
      <c r="O702">
        <v>-0.99986359999999996</v>
      </c>
      <c r="P702">
        <v>6.349552E-2</v>
      </c>
      <c r="Q702">
        <v>0.1017966</v>
      </c>
      <c r="R702">
        <v>-0.99277720000000003</v>
      </c>
      <c r="S702">
        <v>6.2957760000000001E-2</v>
      </c>
      <c r="T702">
        <v>-0.26849650000000003</v>
      </c>
      <c r="U702">
        <v>-3.044724</v>
      </c>
      <c r="V702">
        <v>-7.4204430000000002E-2</v>
      </c>
      <c r="W702">
        <v>0.1144128</v>
      </c>
      <c r="X702">
        <v>0.99065800000000004</v>
      </c>
      <c r="Y702">
        <v>-2.9514329999999998E-2</v>
      </c>
      <c r="Z702">
        <v>8.7809609999999996E-2</v>
      </c>
      <c r="AA702">
        <v>0.99569989999999997</v>
      </c>
      <c r="AB702">
        <v>36</v>
      </c>
      <c r="AC702">
        <v>1.87999999999988E-2</v>
      </c>
      <c r="AD702">
        <v>-7.7820000000000195E-2</v>
      </c>
      <c r="AE702">
        <v>-0.68350000000003697</v>
      </c>
      <c r="AF702">
        <v>-2.45801938844642E-2</v>
      </c>
      <c r="AG702">
        <v>-7.7820000000000195E-2</v>
      </c>
      <c r="AH702">
        <v>0.67456721792931695</v>
      </c>
      <c r="AI702">
        <v>96.576388022235605</v>
      </c>
      <c r="AJ702">
        <v>92.086846964917896</v>
      </c>
      <c r="AK702">
        <v>0.67948588641435204</v>
      </c>
      <c r="AL702">
        <v>83.430242114358705</v>
      </c>
      <c r="AM702">
        <v>94.283694196113601</v>
      </c>
      <c r="AN702">
        <v>0.99999992959973005</v>
      </c>
    </row>
    <row r="703" spans="1:40" x14ac:dyDescent="0.3">
      <c r="A703" t="str">
        <f>"20200111150303827"</f>
        <v>20200111150303827</v>
      </c>
      <c r="B703" t="str">
        <f>"1578726183817885"</f>
        <v>1578726183817885</v>
      </c>
      <c r="C703" t="s">
        <v>40</v>
      </c>
      <c r="D703">
        <v>5.4498389999999999</v>
      </c>
      <c r="E703">
        <v>0.51866329999999905</v>
      </c>
      <c r="F703" t="s">
        <v>42</v>
      </c>
      <c r="G703">
        <v>-490.67919999999998</v>
      </c>
      <c r="H703">
        <v>1.025784</v>
      </c>
      <c r="I703">
        <v>257.79750000000001</v>
      </c>
      <c r="J703">
        <v>-490.7</v>
      </c>
      <c r="K703">
        <v>1.1097809999999999</v>
      </c>
      <c r="L703">
        <v>258.52199999999999</v>
      </c>
      <c r="M703">
        <v>-6.336721E-3</v>
      </c>
      <c r="N703">
        <v>0</v>
      </c>
      <c r="O703">
        <v>-0.999884</v>
      </c>
      <c r="P703">
        <v>6.1702609999999998E-2</v>
      </c>
      <c r="Q703">
        <v>0.1024115</v>
      </c>
      <c r="R703">
        <v>-0.99282649999999995</v>
      </c>
      <c r="S703">
        <v>6.3446039999999995E-2</v>
      </c>
      <c r="T703">
        <v>-0.25831779999999999</v>
      </c>
      <c r="U703">
        <v>-3.0442499999999999</v>
      </c>
      <c r="V703">
        <v>-6.9671849999999994E-2</v>
      </c>
      <c r="W703">
        <v>0.1151428</v>
      </c>
      <c r="X703">
        <v>0.99090259999999997</v>
      </c>
      <c r="Y703">
        <v>-2.7097719999999999E-2</v>
      </c>
      <c r="Z703">
        <v>8.4523280000000006E-2</v>
      </c>
      <c r="AA703">
        <v>0.99605299999999997</v>
      </c>
      <c r="AB703">
        <v>36</v>
      </c>
      <c r="AC703">
        <v>2.0800000000008301E-2</v>
      </c>
      <c r="AD703">
        <v>-8.3996999999999794E-2</v>
      </c>
      <c r="AE703">
        <v>-0.72449999999997705</v>
      </c>
      <c r="AF703">
        <v>-2.5054482262387E-2</v>
      </c>
      <c r="AG703">
        <v>-8.3996999999999794E-2</v>
      </c>
      <c r="AH703">
        <v>0.71475411253159105</v>
      </c>
      <c r="AI703">
        <v>96.698508072452597</v>
      </c>
      <c r="AJ703">
        <v>92.007583508917406</v>
      </c>
      <c r="AK703">
        <v>0.72010878655329502</v>
      </c>
      <c r="AL703">
        <v>83.388138379657505</v>
      </c>
      <c r="AM703">
        <v>94.021933268979197</v>
      </c>
      <c r="AN703">
        <v>0.999999996880511</v>
      </c>
    </row>
    <row r="704" spans="1:40" x14ac:dyDescent="0.3">
      <c r="A704" t="str">
        <f>"20200111150303842"</f>
        <v>20200111150303842</v>
      </c>
      <c r="B704" t="str">
        <f>"1578726183837406"</f>
        <v>1578726183837406</v>
      </c>
      <c r="C704" t="s">
        <v>40</v>
      </c>
      <c r="D704">
        <v>5.4073919999999998</v>
      </c>
      <c r="E704">
        <v>0.52182539999999999</v>
      </c>
      <c r="F704" t="s">
        <v>41</v>
      </c>
      <c r="G704">
        <v>-490.52789999999999</v>
      </c>
      <c r="H704" s="1">
        <v>-2.7732329999999998E-6</v>
      </c>
      <c r="I704">
        <v>245.72620000000001</v>
      </c>
      <c r="J704">
        <v>-490.69970000000001</v>
      </c>
      <c r="K704">
        <v>1.1093170000000001</v>
      </c>
      <c r="L704">
        <v>258.31</v>
      </c>
      <c r="M704">
        <v>-4.6975510000000003E-3</v>
      </c>
      <c r="N704">
        <v>0</v>
      </c>
      <c r="O704">
        <v>-0.99989399999999995</v>
      </c>
      <c r="P704">
        <v>6.1159499999999999E-2</v>
      </c>
      <c r="Q704">
        <v>0.10250140000000001</v>
      </c>
      <c r="R704">
        <v>-0.99285129999999999</v>
      </c>
      <c r="S704">
        <v>4.0954589999999999E-2</v>
      </c>
      <c r="T704">
        <v>-0.26420959999999899</v>
      </c>
      <c r="U704">
        <v>-3.0463559999999998</v>
      </c>
      <c r="V704">
        <v>-6.7366570000000001E-2</v>
      </c>
      <c r="W704">
        <v>0.1152948</v>
      </c>
      <c r="X704">
        <v>0.99104429999999999</v>
      </c>
      <c r="Y704">
        <v>-1.808974E-2</v>
      </c>
      <c r="Z704">
        <v>8.6392960000000005E-2</v>
      </c>
      <c r="AA704">
        <v>0.99609689999999995</v>
      </c>
      <c r="AB704">
        <v>36</v>
      </c>
      <c r="AC704">
        <v>0.17180000000001799</v>
      </c>
      <c r="AD704">
        <v>-1.109319773233</v>
      </c>
      <c r="AE704">
        <v>-12.583799999999901</v>
      </c>
      <c r="AF704">
        <v>-0.229136420053939</v>
      </c>
      <c r="AG704">
        <v>-1.109319773233</v>
      </c>
      <c r="AH704">
        <v>12.485841718742799</v>
      </c>
      <c r="AI704">
        <v>95.076331686875307</v>
      </c>
      <c r="AJ704">
        <v>91.051356933948199</v>
      </c>
      <c r="AK704">
        <v>12.537118380384699</v>
      </c>
      <c r="AL704">
        <v>83.379370887031897</v>
      </c>
      <c r="AM704">
        <v>93.888717804145202</v>
      </c>
      <c r="AN704">
        <v>0.99999997511154703</v>
      </c>
    </row>
    <row r="705" spans="1:40" x14ac:dyDescent="0.3">
      <c r="A705" t="str">
        <f>"20200111150303862"</f>
        <v>20200111150303862</v>
      </c>
      <c r="B705" t="str">
        <f>"1578726183857901"</f>
        <v>1578726183857901</v>
      </c>
      <c r="C705" t="s">
        <v>40</v>
      </c>
      <c r="D705">
        <v>5.5356540000000001</v>
      </c>
      <c r="E705">
        <v>0.52354849999999997</v>
      </c>
      <c r="F705" t="s">
        <v>42</v>
      </c>
      <c r="G705">
        <v>-490.69589999999999</v>
      </c>
      <c r="H705">
        <v>1.038813</v>
      </c>
      <c r="I705">
        <v>257.4708</v>
      </c>
      <c r="J705">
        <v>-490.69889999999998</v>
      </c>
      <c r="K705">
        <v>1.108609</v>
      </c>
      <c r="L705">
        <v>257.98419999999999</v>
      </c>
      <c r="M705">
        <v>-2.562132E-3</v>
      </c>
      <c r="N705">
        <v>0</v>
      </c>
      <c r="O705">
        <v>-0.99990259999999997</v>
      </c>
      <c r="P705">
        <v>5.9141779999999998E-2</v>
      </c>
      <c r="Q705">
        <v>0.10248790000000001</v>
      </c>
      <c r="R705">
        <v>-0.99297480000000005</v>
      </c>
      <c r="S705">
        <v>1.397705E-2</v>
      </c>
      <c r="T705">
        <v>-0.2560539</v>
      </c>
      <c r="U705">
        <v>-3.0471499999999998</v>
      </c>
      <c r="V705">
        <v>-6.3020049999999994E-2</v>
      </c>
      <c r="W705">
        <v>0.1153805</v>
      </c>
      <c r="X705">
        <v>0.99132030000000004</v>
      </c>
      <c r="Y705">
        <v>-7.133103E-3</v>
      </c>
      <c r="Z705">
        <v>8.3733630000000003E-2</v>
      </c>
      <c r="AA705">
        <v>0.99646259999999998</v>
      </c>
      <c r="AB705">
        <v>36</v>
      </c>
      <c r="AC705">
        <v>2.9999999999858998E-3</v>
      </c>
      <c r="AD705">
        <v>-6.97959999999999E-2</v>
      </c>
      <c r="AE705">
        <v>-0.51339999999998998</v>
      </c>
      <c r="AF705">
        <v>-4.2372031516370399E-3</v>
      </c>
      <c r="AG705">
        <v>-6.97959999999999E-2</v>
      </c>
      <c r="AH705">
        <v>0.50407463022041599</v>
      </c>
      <c r="AI705">
        <v>97.882981557674697</v>
      </c>
      <c r="AJ705">
        <v>90.481611501839296</v>
      </c>
      <c r="AK705">
        <v>0.50890143283193601</v>
      </c>
      <c r="AL705">
        <v>83.374428226316894</v>
      </c>
      <c r="AM705">
        <v>93.637502904844695</v>
      </c>
      <c r="AN705">
        <v>1.0000000618371601</v>
      </c>
    </row>
    <row r="706" spans="1:40" x14ac:dyDescent="0.3">
      <c r="A706" t="str">
        <f>"20200111150304008"</f>
        <v>20200111150304008</v>
      </c>
      <c r="B706" t="str">
        <f>"1578726183997472"</f>
        <v>1578726183997472</v>
      </c>
      <c r="C706" t="s">
        <v>40</v>
      </c>
      <c r="D706">
        <v>5.8381030000000003</v>
      </c>
      <c r="E706">
        <v>0.52066400000000002</v>
      </c>
      <c r="F706" t="s">
        <v>41</v>
      </c>
      <c r="G706">
        <v>-490.73739999999998</v>
      </c>
      <c r="H706" s="1">
        <v>-9.9882809999999994E-7</v>
      </c>
      <c r="I706">
        <v>241.46</v>
      </c>
      <c r="J706">
        <v>-490.6927</v>
      </c>
      <c r="K706">
        <v>1.10446</v>
      </c>
      <c r="L706">
        <v>255.65360000000001</v>
      </c>
      <c r="M706" s="1">
        <v>8.5819129999999995E-5</v>
      </c>
      <c r="N706">
        <v>0</v>
      </c>
      <c r="O706">
        <v>-0.9999112</v>
      </c>
      <c r="P706">
        <v>5.4966340000000002E-2</v>
      </c>
      <c r="Q706">
        <v>0.1130072</v>
      </c>
      <c r="R706">
        <v>-0.99207290000000004</v>
      </c>
      <c r="S706">
        <v>-9.4299320000000002E-3</v>
      </c>
      <c r="T706">
        <v>-0.23234869999999999</v>
      </c>
      <c r="U706">
        <v>-3.0502319999999998</v>
      </c>
      <c r="V706">
        <v>-5.4990600000000001E-2</v>
      </c>
      <c r="W706">
        <v>0.1261931</v>
      </c>
      <c r="X706">
        <v>0.99048040000000004</v>
      </c>
      <c r="Y706">
        <v>3.1684270000000001E-3</v>
      </c>
      <c r="Z706">
        <v>7.5953709999999994E-2</v>
      </c>
      <c r="AA706">
        <v>0.9971063</v>
      </c>
      <c r="AB706">
        <v>36</v>
      </c>
      <c r="AC706">
        <v>-4.4699999999977501E-2</v>
      </c>
      <c r="AD706">
        <v>-1.1044609988281</v>
      </c>
      <c r="AE706">
        <v>-14.1936</v>
      </c>
      <c r="AF706">
        <v>4.5641830911485298E-2</v>
      </c>
      <c r="AG706">
        <v>-1.1044609988281</v>
      </c>
      <c r="AH706">
        <v>14.1081716843719</v>
      </c>
      <c r="AI706">
        <v>94.476258545462699</v>
      </c>
      <c r="AJ706">
        <v>89.814641101923002</v>
      </c>
      <c r="AK706">
        <v>14.151410726509701</v>
      </c>
      <c r="AL706">
        <v>82.750339305168893</v>
      </c>
      <c r="AM706">
        <v>93.177748924820307</v>
      </c>
      <c r="AN706">
        <v>1.00000004368006</v>
      </c>
    </row>
    <row r="707" spans="1:40" x14ac:dyDescent="0.3">
      <c r="A707" t="str">
        <f>"20200111150304021"</f>
        <v>20200111150304021</v>
      </c>
      <c r="B707" t="str">
        <f>"1578726184017965"</f>
        <v>1578726184017965</v>
      </c>
      <c r="C707" t="s">
        <v>40</v>
      </c>
      <c r="D707">
        <v>5.4287720000000004</v>
      </c>
      <c r="E707">
        <v>0.51845200000000002</v>
      </c>
      <c r="F707" t="s">
        <v>41</v>
      </c>
      <c r="G707">
        <v>-490.69900000000001</v>
      </c>
      <c r="H707" s="1">
        <v>-7.6826489999999996E-7</v>
      </c>
      <c r="I707">
        <v>240.94640000000001</v>
      </c>
      <c r="J707">
        <v>-490.69310000000002</v>
      </c>
      <c r="K707">
        <v>1.1041810000000001</v>
      </c>
      <c r="L707">
        <v>255.4392</v>
      </c>
      <c r="M707">
        <v>-6.0200919999999999E-4</v>
      </c>
      <c r="N707">
        <v>0</v>
      </c>
      <c r="O707">
        <v>-0.99991110000000005</v>
      </c>
      <c r="P707">
        <v>5.4403229999999997E-2</v>
      </c>
      <c r="Q707">
        <v>0.1136887</v>
      </c>
      <c r="R707">
        <v>-0.99202590000000002</v>
      </c>
      <c r="S707">
        <v>-1.3122559999999999E-3</v>
      </c>
      <c r="T707">
        <v>-0.22905539999999999</v>
      </c>
      <c r="U707">
        <v>-3.0501559999999999</v>
      </c>
      <c r="V707">
        <v>-5.5022509999999997E-2</v>
      </c>
      <c r="W707">
        <v>0.12689039999999999</v>
      </c>
      <c r="X707">
        <v>0.99038950000000003</v>
      </c>
      <c r="Y707">
        <v>-1.7304479999999999E-4</v>
      </c>
      <c r="Z707">
        <v>7.4885409999999999E-2</v>
      </c>
      <c r="AA707">
        <v>0.99719210000000003</v>
      </c>
      <c r="AB707">
        <v>36</v>
      </c>
      <c r="AC707">
        <v>-5.8999999999968999E-3</v>
      </c>
      <c r="AD707">
        <v>-1.10418176826489</v>
      </c>
      <c r="AE707">
        <v>-14.4927999999999</v>
      </c>
      <c r="AF707">
        <v>-2.8092672954803401E-3</v>
      </c>
      <c r="AG707">
        <v>-1.10418176826489</v>
      </c>
      <c r="AH707">
        <v>14.409160706913999</v>
      </c>
      <c r="AI707">
        <v>94.3820423728734</v>
      </c>
      <c r="AJ707">
        <v>90.011170612972506</v>
      </c>
      <c r="AK707">
        <v>14.451406075085799</v>
      </c>
      <c r="AL707">
        <v>82.710062914272498</v>
      </c>
      <c r="AM707">
        <v>93.1798803601136</v>
      </c>
      <c r="AN707">
        <v>1.00000000596455</v>
      </c>
    </row>
    <row r="708" spans="1:40" x14ac:dyDescent="0.3">
      <c r="A708" t="str">
        <f>"20200111150304034"</f>
        <v>20200111150304034</v>
      </c>
      <c r="B708" t="str">
        <f>"1578726184027727"</f>
        <v>1578726184027727</v>
      </c>
      <c r="C708" t="s">
        <v>40</v>
      </c>
      <c r="D708">
        <v>5.5015989999999997</v>
      </c>
      <c r="E708">
        <v>0.5178005</v>
      </c>
      <c r="F708" t="s">
        <v>41</v>
      </c>
      <c r="G708">
        <v>-490.6146</v>
      </c>
      <c r="H708" s="1">
        <v>-4.3496989999999998E-6</v>
      </c>
      <c r="I708">
        <v>239.44820000000001</v>
      </c>
      <c r="J708">
        <v>-490.69369999999998</v>
      </c>
      <c r="K708">
        <v>1.1039270000000001</v>
      </c>
      <c r="L708">
        <v>255.2277</v>
      </c>
      <c r="M708">
        <v>-1.3586449999999999E-3</v>
      </c>
      <c r="N708">
        <v>0</v>
      </c>
      <c r="O708">
        <v>-0.99991070000000004</v>
      </c>
      <c r="P708">
        <v>5.3601660000000002E-2</v>
      </c>
      <c r="Q708">
        <v>0.11443780000000001</v>
      </c>
      <c r="R708">
        <v>-0.99198379999999997</v>
      </c>
      <c r="S708">
        <v>1.4953610000000001E-2</v>
      </c>
      <c r="T708">
        <v>-0.21042549999999999</v>
      </c>
      <c r="U708">
        <v>-3.047409</v>
      </c>
      <c r="V708">
        <v>-5.4889109999999998E-2</v>
      </c>
      <c r="W708">
        <v>0.12765370000000001</v>
      </c>
      <c r="X708">
        <v>0.99029880000000003</v>
      </c>
      <c r="Y708">
        <v>-6.254023E-3</v>
      </c>
      <c r="Z708">
        <v>6.8885429999999997E-2</v>
      </c>
      <c r="AA708">
        <v>0.99760499999999996</v>
      </c>
      <c r="AB708">
        <v>36</v>
      </c>
      <c r="AC708">
        <v>7.9099999999982601E-2</v>
      </c>
      <c r="AD708">
        <v>-1.103931349699</v>
      </c>
      <c r="AE708">
        <v>-15.779499999999899</v>
      </c>
      <c r="AF708">
        <v>-0.100050885896926</v>
      </c>
      <c r="AG708">
        <v>-1.103931349699</v>
      </c>
      <c r="AH708">
        <v>15.7025257632015</v>
      </c>
      <c r="AI708">
        <v>94.021355132988901</v>
      </c>
      <c r="AJ708">
        <v>90.365063303265401</v>
      </c>
      <c r="AK708">
        <v>15.7416006158403</v>
      </c>
      <c r="AL708">
        <v>82.665970415303093</v>
      </c>
      <c r="AM708">
        <v>93.172476566571603</v>
      </c>
      <c r="AN708">
        <v>0.99999999740086098</v>
      </c>
    </row>
    <row r="709" spans="1:40" x14ac:dyDescent="0.3">
      <c r="A709" t="str">
        <f>"20200111150304052"</f>
        <v>20200111150304052</v>
      </c>
      <c r="B709" t="str">
        <f>"1578726184047246"</f>
        <v>1578726184047246</v>
      </c>
      <c r="C709" t="s">
        <v>40</v>
      </c>
      <c r="D709">
        <v>5.4881469999999997</v>
      </c>
      <c r="E709">
        <v>0.51682669999999997</v>
      </c>
      <c r="F709" t="s">
        <v>42</v>
      </c>
      <c r="G709">
        <v>-490.68799999999999</v>
      </c>
      <c r="H709">
        <v>1.0379020000000001</v>
      </c>
      <c r="I709">
        <v>254.2663</v>
      </c>
      <c r="J709">
        <v>-490.69479999999999</v>
      </c>
      <c r="K709">
        <v>1.1036330000000001</v>
      </c>
      <c r="L709">
        <v>254.95769999999999</v>
      </c>
      <c r="M709">
        <v>-2.457398E-3</v>
      </c>
      <c r="N709">
        <v>0</v>
      </c>
      <c r="O709">
        <v>-0.99990889999999999</v>
      </c>
      <c r="P709">
        <v>5.1164590000000003E-2</v>
      </c>
      <c r="Q709">
        <v>0.1153214</v>
      </c>
      <c r="R709">
        <v>-0.99200999999999995</v>
      </c>
      <c r="S709">
        <v>1.8127440000000002E-2</v>
      </c>
      <c r="T709">
        <v>-0.20927570000000001</v>
      </c>
      <c r="U709">
        <v>-3.0473940000000002</v>
      </c>
      <c r="V709">
        <v>-5.3445850000000003E-2</v>
      </c>
      <c r="W709">
        <v>0.12855269999999999</v>
      </c>
      <c r="X709">
        <v>0.99026139999999996</v>
      </c>
      <c r="Y709">
        <v>-8.3919800000000003E-3</v>
      </c>
      <c r="Z709">
        <v>6.8510169999999995E-2</v>
      </c>
      <c r="AA709">
        <v>0.99761509999999998</v>
      </c>
      <c r="AB709">
        <v>36</v>
      </c>
      <c r="AC709">
        <v>6.7999999999415204E-3</v>
      </c>
      <c r="AD709">
        <v>-6.5730999999999901E-2</v>
      </c>
      <c r="AE709">
        <v>-0.69139999999998702</v>
      </c>
      <c r="AF709">
        <v>-8.4230522776552793E-3</v>
      </c>
      <c r="AG709">
        <v>-6.5730999999999901E-2</v>
      </c>
      <c r="AH709">
        <v>0.685188927763828</v>
      </c>
      <c r="AI709">
        <v>95.479273317368197</v>
      </c>
      <c r="AJ709">
        <v>90.7043036139968</v>
      </c>
      <c r="AK709">
        <v>0.68838606820650905</v>
      </c>
      <c r="AL709">
        <v>82.614033224584205</v>
      </c>
      <c r="AM709">
        <v>93.089339329723899</v>
      </c>
      <c r="AN709">
        <v>0.99999994794473401</v>
      </c>
    </row>
    <row r="710" spans="1:40" x14ac:dyDescent="0.3">
      <c r="A710" t="str">
        <f>"20200111150304063"</f>
        <v>20200111150304063</v>
      </c>
      <c r="B710" t="str">
        <f>"1578726184057983"</f>
        <v>1578726184057983</v>
      </c>
      <c r="C710" t="s">
        <v>40</v>
      </c>
      <c r="D710">
        <v>5.466126</v>
      </c>
      <c r="E710">
        <v>0.51652180000000003</v>
      </c>
      <c r="F710" t="s">
        <v>41</v>
      </c>
      <c r="G710">
        <v>-490.58429999999998</v>
      </c>
      <c r="H710" s="1">
        <v>-3.6748310000000002E-6</v>
      </c>
      <c r="I710">
        <v>237.7929</v>
      </c>
      <c r="J710">
        <v>-490.69600000000003</v>
      </c>
      <c r="K710">
        <v>1.103437</v>
      </c>
      <c r="L710">
        <v>254.751</v>
      </c>
      <c r="M710">
        <v>-3.3939349999999998E-3</v>
      </c>
      <c r="N710">
        <v>0</v>
      </c>
      <c r="O710">
        <v>-0.99990650000000003</v>
      </c>
      <c r="P710">
        <v>4.938675E-2</v>
      </c>
      <c r="Q710">
        <v>0.11532340000000001</v>
      </c>
      <c r="R710">
        <v>-0.99209990000000003</v>
      </c>
      <c r="S710">
        <v>1.9622799999999999E-2</v>
      </c>
      <c r="T710">
        <v>-0.19584260000000001</v>
      </c>
      <c r="U710">
        <v>-3.0459290000000001</v>
      </c>
      <c r="V710">
        <v>-5.253348E-2</v>
      </c>
      <c r="W710">
        <v>0.1285636</v>
      </c>
      <c r="X710">
        <v>0.99030890000000005</v>
      </c>
      <c r="Y710">
        <v>-9.8230220000000007E-3</v>
      </c>
      <c r="Z710">
        <v>6.4161259999999998E-2</v>
      </c>
      <c r="AA710">
        <v>0.99789119999999998</v>
      </c>
      <c r="AB710">
        <v>36</v>
      </c>
      <c r="AC710">
        <v>0.11169999999998401</v>
      </c>
      <c r="AD710">
        <v>-1.1034406748309999</v>
      </c>
      <c r="AE710">
        <v>-16.958099999999899</v>
      </c>
      <c r="AF710">
        <v>-0.168545517149328</v>
      </c>
      <c r="AG710">
        <v>-1.1034406748309999</v>
      </c>
      <c r="AH710">
        <v>16.886131594074499</v>
      </c>
      <c r="AI710">
        <v>93.738547145692905</v>
      </c>
      <c r="AJ710">
        <v>90.571867278099205</v>
      </c>
      <c r="AK710">
        <v>16.922985230940299</v>
      </c>
      <c r="AL710">
        <v>82.613404170470503</v>
      </c>
      <c r="AM710">
        <v>93.036555634192894</v>
      </c>
      <c r="AN710">
        <v>1.0000000415925301</v>
      </c>
    </row>
    <row r="711" spans="1:40" x14ac:dyDescent="0.3">
      <c r="A711" t="str">
        <f>"20200111150304076"</f>
        <v>20200111150304076</v>
      </c>
      <c r="B711" t="str">
        <f>"1578726184067741"</f>
        <v>1578726184067741</v>
      </c>
      <c r="C711" t="s">
        <v>40</v>
      </c>
      <c r="D711">
        <v>5.4934329999999996</v>
      </c>
      <c r="E711">
        <v>0.51594910000000005</v>
      </c>
      <c r="F711" t="s">
        <v>41</v>
      </c>
      <c r="G711">
        <v>-490.5985</v>
      </c>
      <c r="H711" s="1">
        <v>-3.4191640000000001E-6</v>
      </c>
      <c r="I711">
        <v>237.18799999999999</v>
      </c>
      <c r="J711">
        <v>-490.69740000000002</v>
      </c>
      <c r="K711">
        <v>1.103272</v>
      </c>
      <c r="L711">
        <v>254.55590000000001</v>
      </c>
      <c r="M711">
        <v>-4.3274860000000002E-3</v>
      </c>
      <c r="N711">
        <v>0</v>
      </c>
      <c r="O711">
        <v>-0.99990299999999999</v>
      </c>
      <c r="P711">
        <v>4.7466389999999997E-2</v>
      </c>
      <c r="Q711">
        <v>0.11534229999999999</v>
      </c>
      <c r="R711">
        <v>-0.99219109999999999</v>
      </c>
      <c r="S711">
        <v>1.690674E-2</v>
      </c>
      <c r="T711">
        <v>-0.19132979999999999</v>
      </c>
      <c r="U711">
        <v>-3.0453190000000001</v>
      </c>
      <c r="V711">
        <v>-5.1486850000000001E-2</v>
      </c>
      <c r="W711">
        <v>0.12858820000000001</v>
      </c>
      <c r="X711">
        <v>0.99036060000000004</v>
      </c>
      <c r="Y711">
        <v>-9.8684510000000003E-3</v>
      </c>
      <c r="Z711">
        <v>6.2701019999999996E-2</v>
      </c>
      <c r="AA711">
        <v>0.99798359999999997</v>
      </c>
      <c r="AB711">
        <v>36</v>
      </c>
      <c r="AC711">
        <v>9.8900000000014601E-2</v>
      </c>
      <c r="AD711">
        <v>-1.103275419164</v>
      </c>
      <c r="AE711">
        <v>-17.367899999999999</v>
      </c>
      <c r="AF711">
        <v>-0.173365450295492</v>
      </c>
      <c r="AG711">
        <v>-1.103275419164</v>
      </c>
      <c r="AH711">
        <v>17.297511346982699</v>
      </c>
      <c r="AI711">
        <v>93.649331394762598</v>
      </c>
      <c r="AJ711">
        <v>90.574231508594707</v>
      </c>
      <c r="AK711">
        <v>17.333527368336799</v>
      </c>
      <c r="AL711">
        <v>82.611982361483797</v>
      </c>
      <c r="AM711">
        <v>92.976012798932203</v>
      </c>
      <c r="AN711">
        <v>0.99999996946726</v>
      </c>
    </row>
    <row r="712" spans="1:40" x14ac:dyDescent="0.3">
      <c r="A712" t="str">
        <f>"20200111150304090"</f>
        <v>20200111150304090</v>
      </c>
      <c r="B712" t="str">
        <f>"1578726184087261"</f>
        <v>1578726184087261</v>
      </c>
      <c r="C712" t="s">
        <v>40</v>
      </c>
      <c r="D712">
        <v>5.4918170000000002</v>
      </c>
      <c r="E712">
        <v>0.51521709999999998</v>
      </c>
      <c r="F712" t="s">
        <v>41</v>
      </c>
      <c r="G712">
        <v>-490.60509999999999</v>
      </c>
      <c r="H712" s="1">
        <v>-3.387579E-6</v>
      </c>
      <c r="I712">
        <v>237.1103</v>
      </c>
      <c r="J712">
        <v>-490.69909999999999</v>
      </c>
      <c r="K712">
        <v>1.1031169999999999</v>
      </c>
      <c r="L712">
        <v>254.34819999999999</v>
      </c>
      <c r="M712">
        <v>-5.3550230000000004E-3</v>
      </c>
      <c r="N712">
        <v>0</v>
      </c>
      <c r="O712">
        <v>-0.99989819999999996</v>
      </c>
      <c r="P712">
        <v>4.5614509999999997E-2</v>
      </c>
      <c r="Q712">
        <v>0.1151069</v>
      </c>
      <c r="R712">
        <v>-0.9923054</v>
      </c>
      <c r="S712">
        <v>1.6113280000000001E-2</v>
      </c>
      <c r="T712">
        <v>-0.19258400000000001</v>
      </c>
      <c r="U712">
        <v>-3.045242</v>
      </c>
      <c r="V712">
        <v>-5.0604799999999998E-2</v>
      </c>
      <c r="W712">
        <v>0.12835639999999901</v>
      </c>
      <c r="X712">
        <v>0.99043610000000004</v>
      </c>
      <c r="Y712">
        <v>-1.063602E-2</v>
      </c>
      <c r="Z712">
        <v>6.3111280000000006E-2</v>
      </c>
      <c r="AA712">
        <v>0.9979498</v>
      </c>
      <c r="AB712">
        <v>36</v>
      </c>
      <c r="AC712">
        <v>9.3999999999994005E-2</v>
      </c>
      <c r="AD712">
        <v>-1.1031203875790001</v>
      </c>
      <c r="AE712">
        <v>-17.2378999999999</v>
      </c>
      <c r="AF712">
        <v>-0.185556206404382</v>
      </c>
      <c r="AG712">
        <v>-1.1031203875790001</v>
      </c>
      <c r="AH712">
        <v>17.166849465539102</v>
      </c>
      <c r="AI712">
        <v>93.676486294452801</v>
      </c>
      <c r="AJ712">
        <v>90.619285064254697</v>
      </c>
      <c r="AK712">
        <v>17.203256269314501</v>
      </c>
      <c r="AL712">
        <v>82.6253742821971</v>
      </c>
      <c r="AM712">
        <v>92.924895781561403</v>
      </c>
      <c r="AN712">
        <v>0.99999993969360301</v>
      </c>
    </row>
    <row r="713" spans="1:40" x14ac:dyDescent="0.3">
      <c r="A713" t="str">
        <f>"20200111150304101"</f>
        <v>20200111150304101</v>
      </c>
      <c r="B713" t="str">
        <f>"1578726184097997"</f>
        <v>1578726184097997</v>
      </c>
      <c r="C713" t="s">
        <v>40</v>
      </c>
      <c r="D713">
        <v>5.4933249999999996</v>
      </c>
      <c r="E713">
        <v>0.51478489999999999</v>
      </c>
      <c r="F713" t="s">
        <v>41</v>
      </c>
      <c r="G713">
        <v>-490.6046</v>
      </c>
      <c r="H713" s="1">
        <v>-3.323445E-6</v>
      </c>
      <c r="I713">
        <v>236.96109999999999</v>
      </c>
      <c r="J713">
        <v>-490.70100000000002</v>
      </c>
      <c r="K713">
        <v>1.1029960000000001</v>
      </c>
      <c r="L713">
        <v>254.1472</v>
      </c>
      <c r="M713">
        <v>-6.4018230000000001E-3</v>
      </c>
      <c r="N713">
        <v>0</v>
      </c>
      <c r="O713">
        <v>-0.99989229999999996</v>
      </c>
      <c r="P713">
        <v>4.4088049999999997E-2</v>
      </c>
      <c r="Q713">
        <v>0.1147386</v>
      </c>
      <c r="R713">
        <v>-0.99241699999999999</v>
      </c>
      <c r="S713">
        <v>1.6540530000000001E-2</v>
      </c>
      <c r="T713">
        <v>-0.19318469999999999</v>
      </c>
      <c r="U713">
        <v>-3.0449220000000001</v>
      </c>
      <c r="V713">
        <v>-5.0079640000000002E-2</v>
      </c>
      <c r="W713">
        <v>0.12798989999999999</v>
      </c>
      <c r="X713">
        <v>0.99051029999999995</v>
      </c>
      <c r="Y713">
        <v>-1.182336E-2</v>
      </c>
      <c r="Z713">
        <v>6.3312960000000001E-2</v>
      </c>
      <c r="AA713">
        <v>0.99792369999999997</v>
      </c>
      <c r="AB713">
        <v>36</v>
      </c>
      <c r="AC713">
        <v>9.6399999999960004E-2</v>
      </c>
      <c r="AD713">
        <v>-1.102999323445</v>
      </c>
      <c r="AE713">
        <v>-17.1861</v>
      </c>
      <c r="AF713">
        <v>-0.20558321151664699</v>
      </c>
      <c r="AG713">
        <v>-1.102999323445</v>
      </c>
      <c r="AH713">
        <v>17.114636947526499</v>
      </c>
      <c r="AI713">
        <v>93.687217372753096</v>
      </c>
      <c r="AJ713">
        <v>90.688211143826706</v>
      </c>
      <c r="AK713">
        <v>17.151375157987101</v>
      </c>
      <c r="AL713">
        <v>82.646548421368607</v>
      </c>
      <c r="AM713">
        <v>92.894377596602993</v>
      </c>
      <c r="AN713">
        <v>1.00000001962531</v>
      </c>
    </row>
    <row r="714" spans="1:40" x14ac:dyDescent="0.3">
      <c r="A714" t="str">
        <f>"20200111150304119"</f>
        <v>20200111150304119</v>
      </c>
      <c r="B714" t="str">
        <f>"1578726184107757"</f>
        <v>1578726184107757</v>
      </c>
      <c r="C714" t="s">
        <v>40</v>
      </c>
      <c r="D714">
        <v>5.4127390000000002</v>
      </c>
      <c r="E714">
        <v>0.51428450000000003</v>
      </c>
      <c r="F714" t="s">
        <v>41</v>
      </c>
      <c r="G714">
        <v>-490.6114</v>
      </c>
      <c r="H714" s="1">
        <v>-3.3498859999999999E-6</v>
      </c>
      <c r="I714">
        <v>237.01849999999999</v>
      </c>
      <c r="J714">
        <v>-490.70400000000001</v>
      </c>
      <c r="K714">
        <v>1.1028560000000001</v>
      </c>
      <c r="L714">
        <v>253.87989999999999</v>
      </c>
      <c r="M714">
        <v>-7.8229349999999996E-3</v>
      </c>
      <c r="N714">
        <v>0</v>
      </c>
      <c r="O714">
        <v>-0.9998823</v>
      </c>
      <c r="P714">
        <v>4.2255389999999997E-2</v>
      </c>
      <c r="Q714">
        <v>0.11432730000000001</v>
      </c>
      <c r="R714">
        <v>-0.99254419999999999</v>
      </c>
      <c r="S714">
        <v>1.5930179999999999E-2</v>
      </c>
      <c r="T714">
        <v>-0.19607550000000001</v>
      </c>
      <c r="U714">
        <v>-3.0448909999999998</v>
      </c>
      <c r="V714">
        <v>-4.9615649999999997E-2</v>
      </c>
      <c r="W714">
        <v>0.12757850000000001</v>
      </c>
      <c r="X714">
        <v>0.99058670000000004</v>
      </c>
      <c r="Y714">
        <v>-1.304424E-2</v>
      </c>
      <c r="Z714">
        <v>6.4255679999999996E-2</v>
      </c>
      <c r="AA714">
        <v>0.99784819999999996</v>
      </c>
      <c r="AB714">
        <v>36</v>
      </c>
      <c r="AC714">
        <v>9.2600000000004401E-2</v>
      </c>
      <c r="AD714">
        <v>-1.102859349886</v>
      </c>
      <c r="AE714">
        <v>-16.8614</v>
      </c>
      <c r="AF714">
        <v>-0.22355791306002201</v>
      </c>
      <c r="AG714">
        <v>-1.102859349886</v>
      </c>
      <c r="AH714">
        <v>16.788339121824801</v>
      </c>
      <c r="AI714">
        <v>93.758141074545605</v>
      </c>
      <c r="AJ714">
        <v>90.762920487714695</v>
      </c>
      <c r="AK714">
        <v>16.826009846529701</v>
      </c>
      <c r="AL714">
        <v>82.670314584013497</v>
      </c>
      <c r="AM714">
        <v>92.867385235308802</v>
      </c>
      <c r="AN714">
        <v>0.99999999830203101</v>
      </c>
    </row>
    <row r="715" spans="1:40" x14ac:dyDescent="0.3">
      <c r="A715" t="str">
        <f>"20200111150304134"</f>
        <v>20200111150304134</v>
      </c>
      <c r="B715" t="str">
        <f>"1578726184127278"</f>
        <v>1578726184127278</v>
      </c>
      <c r="C715" t="s">
        <v>40</v>
      </c>
      <c r="D715">
        <v>5.4528179999999997</v>
      </c>
      <c r="E715">
        <v>0.51350429999999903</v>
      </c>
      <c r="F715" t="s">
        <v>41</v>
      </c>
      <c r="G715">
        <v>-490.62419999999997</v>
      </c>
      <c r="H715" s="1">
        <v>-3.258614E-6</v>
      </c>
      <c r="I715">
        <v>236.7979</v>
      </c>
      <c r="J715">
        <v>-490.70690000000002</v>
      </c>
      <c r="K715">
        <v>1.102757</v>
      </c>
      <c r="L715">
        <v>253.6371</v>
      </c>
      <c r="M715">
        <v>-9.1377290000000007E-3</v>
      </c>
      <c r="N715">
        <v>0</v>
      </c>
      <c r="O715">
        <v>-0.99987119999999996</v>
      </c>
      <c r="P715">
        <v>4.1079169999999998E-2</v>
      </c>
      <c r="Q715">
        <v>0.1142711</v>
      </c>
      <c r="R715">
        <v>-0.99260000000000004</v>
      </c>
      <c r="S715">
        <v>1.422119E-2</v>
      </c>
      <c r="T715">
        <v>-0.19656589999999999</v>
      </c>
      <c r="U715">
        <v>-3.0445709999999999</v>
      </c>
      <c r="V715">
        <v>-4.971238E-2</v>
      </c>
      <c r="W715">
        <v>0.12752079999999999</v>
      </c>
      <c r="X715">
        <v>0.99058930000000001</v>
      </c>
      <c r="Y715">
        <v>-1.3799469999999999E-2</v>
      </c>
      <c r="Z715">
        <v>6.4421179999999995E-2</v>
      </c>
      <c r="AA715">
        <v>0.99782740000000003</v>
      </c>
      <c r="AB715">
        <v>36</v>
      </c>
      <c r="AC715">
        <v>8.2700000000045196E-2</v>
      </c>
      <c r="AD715">
        <v>-1.102760258614</v>
      </c>
      <c r="AE715">
        <v>-16.839200000000002</v>
      </c>
      <c r="AF715">
        <v>-0.235571730730505</v>
      </c>
      <c r="AG715">
        <v>-1.102760258614</v>
      </c>
      <c r="AH715">
        <v>16.765840215486399</v>
      </c>
      <c r="AI715">
        <v>93.762794981114396</v>
      </c>
      <c r="AJ715">
        <v>90.804992631194807</v>
      </c>
      <c r="AK715">
        <v>16.8037190038253</v>
      </c>
      <c r="AL715">
        <v>82.673647922080605</v>
      </c>
      <c r="AM715">
        <v>92.872958566237998</v>
      </c>
      <c r="AN715">
        <v>1.0000000182161899</v>
      </c>
    </row>
    <row r="716" spans="1:40" x14ac:dyDescent="0.3">
      <c r="A716" t="str">
        <f>"20200111150304146"</f>
        <v>20200111150304146</v>
      </c>
      <c r="B716" t="str">
        <f>"1578726184138014"</f>
        <v>1578726184138014</v>
      </c>
      <c r="C716" t="s">
        <v>40</v>
      </c>
      <c r="D716">
        <v>5.4763699999999904</v>
      </c>
      <c r="E716">
        <v>0.51307789999999998</v>
      </c>
      <c r="F716" t="s">
        <v>41</v>
      </c>
      <c r="G716">
        <v>-490.61320000000001</v>
      </c>
      <c r="H716" s="1">
        <v>-3.3133800000000002E-6</v>
      </c>
      <c r="I716">
        <v>236.9324</v>
      </c>
      <c r="J716">
        <v>-490.7099</v>
      </c>
      <c r="K716">
        <v>1.102681</v>
      </c>
      <c r="L716">
        <v>253.41929999999999</v>
      </c>
      <c r="M716">
        <v>-1.032957E-2</v>
      </c>
      <c r="N716">
        <v>0</v>
      </c>
      <c r="O716">
        <v>-0.99985990000000002</v>
      </c>
      <c r="P716">
        <v>4.0354689999999999E-2</v>
      </c>
      <c r="Q716">
        <v>0.1144141</v>
      </c>
      <c r="R716">
        <v>-0.99261310000000003</v>
      </c>
      <c r="S716">
        <v>1.7089839999999999E-2</v>
      </c>
      <c r="T716">
        <v>-0.20100209999999999</v>
      </c>
      <c r="U716">
        <v>-3.0448</v>
      </c>
      <c r="V716">
        <v>-5.0146969999999999E-2</v>
      </c>
      <c r="W716">
        <v>0.12766169999999999</v>
      </c>
      <c r="X716">
        <v>0.99054920000000002</v>
      </c>
      <c r="Y716">
        <v>-1.593052E-2</v>
      </c>
      <c r="Z716">
        <v>6.5861550000000005E-2</v>
      </c>
      <c r="AA716">
        <v>0.99770159999999997</v>
      </c>
      <c r="AB716">
        <v>36</v>
      </c>
      <c r="AC716">
        <v>9.6699999999998398E-2</v>
      </c>
      <c r="AD716">
        <v>-1.1026843133799999</v>
      </c>
      <c r="AE716">
        <v>-16.486899999999899</v>
      </c>
      <c r="AF716">
        <v>-0.26582314584554001</v>
      </c>
      <c r="AG716">
        <v>-1.1026843133799999</v>
      </c>
      <c r="AH716">
        <v>16.411610375578</v>
      </c>
      <c r="AI716">
        <v>93.843382327914199</v>
      </c>
      <c r="AJ716">
        <v>90.9279535826971</v>
      </c>
      <c r="AK716">
        <v>16.450760765375598</v>
      </c>
      <c r="AL716">
        <v>82.665508087467998</v>
      </c>
      <c r="AM716">
        <v>92.898148713041095</v>
      </c>
      <c r="AN716">
        <v>0.99999997293385501</v>
      </c>
    </row>
    <row r="717" spans="1:40" x14ac:dyDescent="0.3">
      <c r="A717" t="str">
        <f>"20200111150304165"</f>
        <v>20200111150304165</v>
      </c>
      <c r="B717" t="str">
        <f>"1578726184157533"</f>
        <v>1578726184157533</v>
      </c>
      <c r="C717" t="s">
        <v>40</v>
      </c>
      <c r="D717">
        <v>5.4855910000000003</v>
      </c>
      <c r="E717">
        <v>0.51239920000000005</v>
      </c>
      <c r="F717" t="s">
        <v>41</v>
      </c>
      <c r="G717">
        <v>-490.608</v>
      </c>
      <c r="H717" s="1">
        <v>-3.1060049999999999E-6</v>
      </c>
      <c r="I717">
        <v>236.4522</v>
      </c>
      <c r="J717">
        <v>-490.71409999999997</v>
      </c>
      <c r="K717">
        <v>1.102619</v>
      </c>
      <c r="L717">
        <v>253.15</v>
      </c>
      <c r="M717">
        <v>-1.180545E-2</v>
      </c>
      <c r="N717">
        <v>0</v>
      </c>
      <c r="O717">
        <v>-0.99984379999999995</v>
      </c>
      <c r="P717">
        <v>4.0115579999999998E-2</v>
      </c>
      <c r="Q717">
        <v>0.1147442</v>
      </c>
      <c r="R717">
        <v>-0.99258519999999995</v>
      </c>
      <c r="S717">
        <v>1.8280029999999999E-2</v>
      </c>
      <c r="T717">
        <v>-0.19785440000000001</v>
      </c>
      <c r="U717">
        <v>-3.044403</v>
      </c>
      <c r="V717">
        <v>-5.1348709999999999E-2</v>
      </c>
      <c r="W717">
        <v>0.12799089999999999</v>
      </c>
      <c r="X717">
        <v>0.99044520000000003</v>
      </c>
      <c r="Y717">
        <v>-1.7797569999999999E-2</v>
      </c>
      <c r="Z717">
        <v>6.4840259999999997E-2</v>
      </c>
      <c r="AA717">
        <v>0.99773690000000004</v>
      </c>
      <c r="AB717">
        <v>36</v>
      </c>
      <c r="AC717">
        <v>0.106099999999969</v>
      </c>
      <c r="AD717">
        <v>-1.1026221060050001</v>
      </c>
      <c r="AE717">
        <v>-16.697800000000001</v>
      </c>
      <c r="AF717">
        <v>-0.30191824509954601</v>
      </c>
      <c r="AG717">
        <v>-1.1026221060050001</v>
      </c>
      <c r="AH717">
        <v>16.622902511959001</v>
      </c>
      <c r="AI717">
        <v>93.794331940927904</v>
      </c>
      <c r="AJ717">
        <v>91.040536655262201</v>
      </c>
      <c r="AK717">
        <v>16.6621672677196</v>
      </c>
      <c r="AL717">
        <v>82.646490707582103</v>
      </c>
      <c r="AM717">
        <v>92.967789341823604</v>
      </c>
      <c r="AN717">
        <v>1.00000002735225</v>
      </c>
    </row>
    <row r="718" spans="1:40" x14ac:dyDescent="0.3">
      <c r="A718" t="str">
        <f>"20200111150304187"</f>
        <v>20200111150304187</v>
      </c>
      <c r="B718" t="str">
        <f>"1578726184178029"</f>
        <v>1578726184178029</v>
      </c>
      <c r="C718" t="s">
        <v>40</v>
      </c>
      <c r="D718">
        <v>5.4614120000000002</v>
      </c>
      <c r="E718">
        <v>0.5117834</v>
      </c>
      <c r="F718" t="s">
        <v>41</v>
      </c>
      <c r="G718">
        <v>-490.58980000000003</v>
      </c>
      <c r="H718" s="1">
        <v>-3.0080689999999998E-6</v>
      </c>
      <c r="I718">
        <v>236.23519999999999</v>
      </c>
      <c r="J718">
        <v>-490.72</v>
      </c>
      <c r="K718">
        <v>1.102555</v>
      </c>
      <c r="L718">
        <v>252.79050000000001</v>
      </c>
      <c r="M718">
        <v>-1.3763549999999999E-2</v>
      </c>
      <c r="N718">
        <v>0</v>
      </c>
      <c r="O718">
        <v>-0.99981909999999896</v>
      </c>
      <c r="P718">
        <v>3.942971E-2</v>
      </c>
      <c r="Q718">
        <v>0.115109199999999</v>
      </c>
      <c r="R718">
        <v>-0.99257059999999997</v>
      </c>
      <c r="S718">
        <v>2.2369380000000001E-2</v>
      </c>
      <c r="T718">
        <v>-0.1984583</v>
      </c>
      <c r="U718">
        <v>-3.0444490000000002</v>
      </c>
      <c r="V718">
        <v>-5.2582629999999998E-2</v>
      </c>
      <c r="W718">
        <v>0.1283522</v>
      </c>
      <c r="X718">
        <v>0.99033369999999998</v>
      </c>
      <c r="Y718">
        <v>-2.1095510000000001E-2</v>
      </c>
      <c r="Z718">
        <v>6.5031530000000004E-2</v>
      </c>
      <c r="AA718">
        <v>0.9976602</v>
      </c>
      <c r="AB718">
        <v>36</v>
      </c>
      <c r="AC718">
        <v>0.13020000000000201</v>
      </c>
      <c r="AD718">
        <v>-1.1025580080689901</v>
      </c>
      <c r="AE718">
        <v>-16.555299999999999</v>
      </c>
      <c r="AF718">
        <v>-0.35648595522918902</v>
      </c>
      <c r="AG718">
        <v>-1.1025580080689901</v>
      </c>
      <c r="AH718">
        <v>16.478854291925899</v>
      </c>
      <c r="AI718">
        <v>93.8269163524037</v>
      </c>
      <c r="AJ718">
        <v>91.239282477485204</v>
      </c>
      <c r="AK718">
        <v>16.519544641785899</v>
      </c>
      <c r="AL718">
        <v>82.625617592266806</v>
      </c>
      <c r="AM718">
        <v>93.039315322743803</v>
      </c>
      <c r="AN718">
        <v>1.00000002878912</v>
      </c>
    </row>
    <row r="719" spans="1:40" x14ac:dyDescent="0.3">
      <c r="A719" t="str">
        <f>"20200111150304210"</f>
        <v>20200111150304210</v>
      </c>
      <c r="B719" t="str">
        <f>"1578726184197549"</f>
        <v>1578726184197549</v>
      </c>
      <c r="C719" t="s">
        <v>40</v>
      </c>
      <c r="D719">
        <v>5.4784410000000001</v>
      </c>
      <c r="E719">
        <v>0.51122749999999995</v>
      </c>
      <c r="F719" t="s">
        <v>41</v>
      </c>
      <c r="G719">
        <v>-490.5797</v>
      </c>
      <c r="H719" s="1">
        <v>-2.7198880000000001E-6</v>
      </c>
      <c r="I719">
        <v>235.56970000000001</v>
      </c>
      <c r="J719">
        <v>-490.72649999999999</v>
      </c>
      <c r="K719">
        <v>1.102514</v>
      </c>
      <c r="L719">
        <v>252.4434</v>
      </c>
      <c r="M719">
        <v>-1.5628510000000002E-2</v>
      </c>
      <c r="N719">
        <v>0</v>
      </c>
      <c r="O719">
        <v>-0.9997916</v>
      </c>
      <c r="P719">
        <v>3.8370219999999997E-2</v>
      </c>
      <c r="Q719">
        <v>0.1151905</v>
      </c>
      <c r="R719">
        <v>-0.99260219999999999</v>
      </c>
      <c r="S719">
        <v>2.4810789999999999E-2</v>
      </c>
      <c r="T719">
        <v>-0.19489600000000001</v>
      </c>
      <c r="U719">
        <v>-3.0440670000000001</v>
      </c>
      <c r="V719">
        <v>-5.3359829999999997E-2</v>
      </c>
      <c r="W719">
        <v>0.1284283</v>
      </c>
      <c r="X719">
        <v>0.9902822</v>
      </c>
      <c r="Y719">
        <v>-2.3761959999999999E-2</v>
      </c>
      <c r="Z719">
        <v>6.3872280000000003E-2</v>
      </c>
      <c r="AA719">
        <v>0.99767510000000004</v>
      </c>
      <c r="AB719">
        <v>36</v>
      </c>
      <c r="AC719">
        <v>0.146799999999984</v>
      </c>
      <c r="AD719">
        <v>-1.1025167198879999</v>
      </c>
      <c r="AE719">
        <v>-16.8736999999999</v>
      </c>
      <c r="AF719">
        <v>-0.40877060152895001</v>
      </c>
      <c r="AG719">
        <v>-1.1025167198879999</v>
      </c>
      <c r="AH719">
        <v>16.797636776687199</v>
      </c>
      <c r="AI719">
        <v>93.754126997793904</v>
      </c>
      <c r="AJ719">
        <v>91.394018039337595</v>
      </c>
      <c r="AK719">
        <v>16.8387421681022</v>
      </c>
      <c r="AL719">
        <v>82.621220542615305</v>
      </c>
      <c r="AM719">
        <v>93.084312050184394</v>
      </c>
      <c r="AN719">
        <v>0.99999996766767796</v>
      </c>
    </row>
    <row r="720" spans="1:40" x14ac:dyDescent="0.3">
      <c r="A720" t="str">
        <f>"20200111150304224"</f>
        <v>20200111150304224</v>
      </c>
      <c r="B720" t="str">
        <f>"1578726184218046"</f>
        <v>1578726184218046</v>
      </c>
      <c r="C720" t="s">
        <v>40</v>
      </c>
      <c r="D720">
        <v>5.4909339999999904</v>
      </c>
      <c r="E720">
        <v>0.51063309999999995</v>
      </c>
      <c r="F720" t="s">
        <v>41</v>
      </c>
      <c r="G720">
        <v>-490.57810000000001</v>
      </c>
      <c r="H720" s="1">
        <v>-2.4753599999999998E-6</v>
      </c>
      <c r="I720">
        <v>235.00069999999999</v>
      </c>
      <c r="J720">
        <v>-490.7319</v>
      </c>
      <c r="K720">
        <v>1.102492</v>
      </c>
      <c r="L720">
        <v>252.18090000000001</v>
      </c>
      <c r="M720">
        <v>-1.7014939999999999E-2</v>
      </c>
      <c r="N720">
        <v>0</v>
      </c>
      <c r="O720">
        <v>-0.99976929999999997</v>
      </c>
      <c r="P720">
        <v>3.7426139999999997E-2</v>
      </c>
      <c r="Q720">
        <v>0.11458889999999999</v>
      </c>
      <c r="R720">
        <v>-0.99270809999999998</v>
      </c>
      <c r="S720">
        <v>2.5909419999999999E-2</v>
      </c>
      <c r="T720">
        <v>-0.1923839</v>
      </c>
      <c r="U720">
        <v>-3.0436709999999998</v>
      </c>
      <c r="V720">
        <v>-5.3789999999999998E-2</v>
      </c>
      <c r="W720">
        <v>0.12782299999999999</v>
      </c>
      <c r="X720">
        <v>0.99033729999999998</v>
      </c>
      <c r="Y720">
        <v>-2.5509850000000001E-2</v>
      </c>
      <c r="Z720">
        <v>6.3056860000000006E-2</v>
      </c>
      <c r="AA720">
        <v>0.99768389999999996</v>
      </c>
      <c r="AB720">
        <v>36</v>
      </c>
      <c r="AC720">
        <v>0.153799999999989</v>
      </c>
      <c r="AD720">
        <v>-1.1024944753599999</v>
      </c>
      <c r="AE720">
        <v>-17.180199999999999</v>
      </c>
      <c r="AF720">
        <v>-0.44429342660281002</v>
      </c>
      <c r="AG720">
        <v>-1.1024944753599999</v>
      </c>
      <c r="AH720">
        <v>17.104662377137899</v>
      </c>
      <c r="AI720">
        <v>93.686702893394497</v>
      </c>
      <c r="AJ720">
        <v>91.487922700777403</v>
      </c>
      <c r="AK720">
        <v>17.145913966685999</v>
      </c>
      <c r="AL720">
        <v>82.656190326873897</v>
      </c>
      <c r="AM720">
        <v>93.108955560519306</v>
      </c>
      <c r="AN720">
        <v>1.00000002560014</v>
      </c>
    </row>
    <row r="721" spans="1:40" x14ac:dyDescent="0.3">
      <c r="A721" t="str">
        <f>"20200111150304242"</f>
        <v>20200111150304242</v>
      </c>
      <c r="B721" t="str">
        <f>"1578726184237566"</f>
        <v>1578726184237566</v>
      </c>
      <c r="C721" t="s">
        <v>40</v>
      </c>
      <c r="D721">
        <v>5.5284060000000004</v>
      </c>
      <c r="E721">
        <v>0.51031740000000003</v>
      </c>
      <c r="F721" t="s">
        <v>41</v>
      </c>
      <c r="G721">
        <v>-490.57679999999999</v>
      </c>
      <c r="H721" s="1">
        <v>-2.4126310000000002E-6</v>
      </c>
      <c r="I721">
        <v>234.8553</v>
      </c>
      <c r="J721">
        <v>-490.73770000000002</v>
      </c>
      <c r="K721">
        <v>1.102473</v>
      </c>
      <c r="L721">
        <v>251.91540000000001</v>
      </c>
      <c r="M721">
        <v>-1.8400779999999999E-2</v>
      </c>
      <c r="N721">
        <v>0</v>
      </c>
      <c r="O721">
        <v>-0.99974479999999999</v>
      </c>
      <c r="P721">
        <v>3.6255889999999999E-2</v>
      </c>
      <c r="Q721">
        <v>0.11315939999999999</v>
      </c>
      <c r="R721">
        <v>-0.99291560000000001</v>
      </c>
      <c r="S721">
        <v>2.7252200000000001E-2</v>
      </c>
      <c r="T721">
        <v>-0.1936602</v>
      </c>
      <c r="U721">
        <v>-3.0433500000000002</v>
      </c>
      <c r="V721">
        <v>-5.3999749999999999E-2</v>
      </c>
      <c r="W721">
        <v>0.12639040000000001</v>
      </c>
      <c r="X721">
        <v>0.99050970000000005</v>
      </c>
      <c r="Y721">
        <v>-2.7336340000000001E-2</v>
      </c>
      <c r="Z721">
        <v>6.3476190000000002E-2</v>
      </c>
      <c r="AA721">
        <v>0.99760890000000002</v>
      </c>
      <c r="AB721">
        <v>36</v>
      </c>
      <c r="AC721">
        <v>0.16090000000002599</v>
      </c>
      <c r="AD721">
        <v>-1.1024754126309999</v>
      </c>
      <c r="AE721">
        <v>-17.060099999999998</v>
      </c>
      <c r="AF721">
        <v>-0.47284437411491698</v>
      </c>
      <c r="AG721">
        <v>-1.1024754126309999</v>
      </c>
      <c r="AH721">
        <v>16.9833317384455</v>
      </c>
      <c r="AI721">
        <v>93.712717800207002</v>
      </c>
      <c r="AJ721">
        <v>91.594798386867595</v>
      </c>
      <c r="AK721">
        <v>17.025645091322598</v>
      </c>
      <c r="AL721">
        <v>82.7389431835457</v>
      </c>
      <c r="AM721">
        <v>93.120512622796198</v>
      </c>
      <c r="AN721">
        <v>0.99999998600315598</v>
      </c>
    </row>
    <row r="722" spans="1:40" x14ac:dyDescent="0.3">
      <c r="A722" t="str">
        <f>"20200111150304264"</f>
        <v>20200111150304264</v>
      </c>
      <c r="B722" t="str">
        <f>"1578726184258061"</f>
        <v>1578726184258061</v>
      </c>
      <c r="C722" t="s">
        <v>40</v>
      </c>
      <c r="D722">
        <v>5.5296130000000003</v>
      </c>
      <c r="E722">
        <v>0.50996940000000002</v>
      </c>
      <c r="F722" t="s">
        <v>41</v>
      </c>
      <c r="G722">
        <v>-490.59109999999998</v>
      </c>
      <c r="H722" s="1">
        <v>-2.5263709999999999E-6</v>
      </c>
      <c r="I722">
        <v>235.11150000000001</v>
      </c>
      <c r="J722">
        <v>-490.74599999999998</v>
      </c>
      <c r="K722">
        <v>1.102457</v>
      </c>
      <c r="L722">
        <v>251.55869999999999</v>
      </c>
      <c r="M722">
        <v>-2.023324E-2</v>
      </c>
      <c r="N722">
        <v>0</v>
      </c>
      <c r="O722">
        <v>-0.99970959999999998</v>
      </c>
      <c r="P722">
        <v>3.4539859999999999E-2</v>
      </c>
      <c r="Q722">
        <v>0.1116293</v>
      </c>
      <c r="R722">
        <v>-0.99314979999999997</v>
      </c>
      <c r="S722">
        <v>2.6550290000000001E-2</v>
      </c>
      <c r="T722">
        <v>-0.1996607</v>
      </c>
      <c r="U722">
        <v>-3.0432130000000002</v>
      </c>
      <c r="V722">
        <v>-5.411142E-2</v>
      </c>
      <c r="W722">
        <v>0.1248553</v>
      </c>
      <c r="X722">
        <v>0.99069830000000003</v>
      </c>
      <c r="Y722">
        <v>-2.89378E-2</v>
      </c>
      <c r="Z722">
        <v>6.543272E-2</v>
      </c>
      <c r="AA722">
        <v>0.99743729999999997</v>
      </c>
      <c r="AB722">
        <v>36</v>
      </c>
      <c r="AC722">
        <v>0.15489999999999701</v>
      </c>
      <c r="AD722">
        <v>-1.102459526371</v>
      </c>
      <c r="AE722">
        <v>-16.447199999999899</v>
      </c>
      <c r="AF722">
        <v>-0.48549577712001202</v>
      </c>
      <c r="AG722">
        <v>-1.102459526371</v>
      </c>
      <c r="AH722">
        <v>16.367166078637201</v>
      </c>
      <c r="AI722">
        <v>93.851818976503097</v>
      </c>
      <c r="AJ722">
        <v>91.699054354474896</v>
      </c>
      <c r="AK722">
        <v>16.411436518555501</v>
      </c>
      <c r="AL722">
        <v>82.827600429316504</v>
      </c>
      <c r="AM722">
        <v>93.126358864774105</v>
      </c>
      <c r="AN722">
        <v>1.00000000666769</v>
      </c>
    </row>
    <row r="723" spans="1:40" x14ac:dyDescent="0.3">
      <c r="A723" t="str">
        <f>"20200111150304278"</f>
        <v>20200111150304278</v>
      </c>
      <c r="B723" t="str">
        <f>"1578726184267822"</f>
        <v>1578726184267822</v>
      </c>
      <c r="C723" t="s">
        <v>40</v>
      </c>
      <c r="D723">
        <v>5.5174649999999996</v>
      </c>
      <c r="E723">
        <v>0.50975389999999998</v>
      </c>
      <c r="F723" t="s">
        <v>41</v>
      </c>
      <c r="G723">
        <v>-490.61290000000002</v>
      </c>
      <c r="H723" s="1">
        <v>-2.4869930000000001E-6</v>
      </c>
      <c r="I723">
        <v>235.00620000000001</v>
      </c>
      <c r="J723">
        <v>-490.75150000000002</v>
      </c>
      <c r="K723">
        <v>1.102455</v>
      </c>
      <c r="L723">
        <v>251.33959999999999</v>
      </c>
      <c r="M723">
        <v>-2.1339790000000001E-2</v>
      </c>
      <c r="N723">
        <v>0</v>
      </c>
      <c r="O723">
        <v>-0.99968639999999998</v>
      </c>
      <c r="P723">
        <v>3.3224429999999999E-2</v>
      </c>
      <c r="Q723">
        <v>0.111264</v>
      </c>
      <c r="R723">
        <v>-0.99323519999999998</v>
      </c>
      <c r="S723">
        <v>2.44751E-2</v>
      </c>
      <c r="T723">
        <v>-0.20264860000000001</v>
      </c>
      <c r="U723">
        <v>-3.0426030000000002</v>
      </c>
      <c r="V723">
        <v>-5.3897590000000002E-2</v>
      </c>
      <c r="W723">
        <v>0.12448480000000001</v>
      </c>
      <c r="X723">
        <v>0.99075659999999999</v>
      </c>
      <c r="Y723">
        <v>-2.9365189999999999E-2</v>
      </c>
      <c r="Z723">
        <v>6.6418389999999994E-2</v>
      </c>
      <c r="AA723">
        <v>0.99735960000000001</v>
      </c>
      <c r="AB723">
        <v>36</v>
      </c>
      <c r="AC723">
        <v>0.138599999999996</v>
      </c>
      <c r="AD723">
        <v>-1.1024574869929999</v>
      </c>
      <c r="AE723">
        <v>-16.333399999999902</v>
      </c>
      <c r="AF723">
        <v>-0.48494052551751998</v>
      </c>
      <c r="AG723">
        <v>-1.1024574869929999</v>
      </c>
      <c r="AH723">
        <v>16.252682345399801</v>
      </c>
      <c r="AI723">
        <v>93.878841371552795</v>
      </c>
      <c r="AJ723">
        <v>91.709059695109701</v>
      </c>
      <c r="AK723">
        <v>16.297247106317901</v>
      </c>
      <c r="AL723">
        <v>82.848995587607504</v>
      </c>
      <c r="AM723">
        <v>93.113846035516005</v>
      </c>
      <c r="AN723">
        <v>1.0000000280412</v>
      </c>
    </row>
    <row r="724" spans="1:40" x14ac:dyDescent="0.3">
      <c r="A724" t="str">
        <f>"20200111150304291"</f>
        <v>20200111150304291</v>
      </c>
      <c r="B724" t="str">
        <f>"1578726184287342"</f>
        <v>1578726184287342</v>
      </c>
      <c r="C724" t="s">
        <v>40</v>
      </c>
      <c r="D724">
        <v>5.6747300000000003</v>
      </c>
      <c r="E724">
        <v>0.50949540000000004</v>
      </c>
      <c r="F724" t="s">
        <v>41</v>
      </c>
      <c r="G724">
        <v>-490.62990000000002</v>
      </c>
      <c r="H724" s="1">
        <v>-2.381978E-6</v>
      </c>
      <c r="I724">
        <v>234.7509</v>
      </c>
      <c r="J724">
        <v>-490.75670000000002</v>
      </c>
      <c r="K724">
        <v>1.1024560000000001</v>
      </c>
      <c r="L724">
        <v>251.13560000000001</v>
      </c>
      <c r="M724">
        <v>-2.2361039999999999E-2</v>
      </c>
      <c r="N724">
        <v>0</v>
      </c>
      <c r="O724">
        <v>-0.9996642</v>
      </c>
      <c r="P724">
        <v>3.2201889999999997E-2</v>
      </c>
      <c r="Q724">
        <v>0.1109642</v>
      </c>
      <c r="R724">
        <v>-0.99330269999999998</v>
      </c>
      <c r="S724">
        <v>2.2308350000000001E-2</v>
      </c>
      <c r="T724">
        <v>-0.20218559999999999</v>
      </c>
      <c r="U724">
        <v>-3.042297</v>
      </c>
      <c r="V724">
        <v>-5.3892570000000001E-2</v>
      </c>
      <c r="W724">
        <v>0.1241801</v>
      </c>
      <c r="X724">
        <v>0.99079510000000004</v>
      </c>
      <c r="Y724">
        <v>-2.9676930000000001E-2</v>
      </c>
      <c r="Z724">
        <v>6.62716E-2</v>
      </c>
      <c r="AA724">
        <v>0.99736020000000003</v>
      </c>
      <c r="AB724">
        <v>36</v>
      </c>
      <c r="AC724">
        <v>0.12680000000000199</v>
      </c>
      <c r="AD724">
        <v>-1.1024583819779901</v>
      </c>
      <c r="AE724">
        <v>-16.384699999999999</v>
      </c>
      <c r="AF724">
        <v>-0.49095602362820701</v>
      </c>
      <c r="AG724">
        <v>-1.1024583819779901</v>
      </c>
      <c r="AH724">
        <v>16.303956986760902</v>
      </c>
      <c r="AI724">
        <v>93.866651155208402</v>
      </c>
      <c r="AJ724">
        <v>91.724808909589697</v>
      </c>
      <c r="AK724">
        <v>16.348561579762301</v>
      </c>
      <c r="AL724">
        <v>82.866590063893696</v>
      </c>
      <c r="AM724">
        <v>93.113435836233094</v>
      </c>
      <c r="AN724">
        <v>1.0000000182606099</v>
      </c>
    </row>
    <row r="725" spans="1:40" x14ac:dyDescent="0.3">
      <c r="A725" t="str">
        <f>"20200111150304307"</f>
        <v>20200111150304307</v>
      </c>
      <c r="B725" t="str">
        <f>"1578726184298080"</f>
        <v>1578726184298080</v>
      </c>
      <c r="C725" t="s">
        <v>40</v>
      </c>
      <c r="D725">
        <v>5.5809470000000001</v>
      </c>
      <c r="E725">
        <v>0.49369639999999998</v>
      </c>
      <c r="F725" t="s">
        <v>41</v>
      </c>
      <c r="G725">
        <v>-490.6388</v>
      </c>
      <c r="H725" s="1">
        <v>-2.3361279999999999E-6</v>
      </c>
      <c r="I725">
        <v>234.63849999999999</v>
      </c>
      <c r="J725">
        <v>-490.76409999999998</v>
      </c>
      <c r="K725">
        <v>1.1024689999999999</v>
      </c>
      <c r="L725">
        <v>250.8646</v>
      </c>
      <c r="M725">
        <v>-2.3696149999999999E-2</v>
      </c>
      <c r="N725">
        <v>0</v>
      </c>
      <c r="O725">
        <v>-0.99963360000000001</v>
      </c>
      <c r="P725">
        <v>3.107298E-2</v>
      </c>
      <c r="Q725">
        <v>0.1107781</v>
      </c>
      <c r="R725">
        <v>-0.99335960000000001</v>
      </c>
      <c r="S725">
        <v>2.1759029999999999E-2</v>
      </c>
      <c r="T725">
        <v>-0.20330380000000001</v>
      </c>
      <c r="U725">
        <v>-3.0422210000000001</v>
      </c>
      <c r="V725">
        <v>-5.4093719999999998E-2</v>
      </c>
      <c r="W725">
        <v>0.123989</v>
      </c>
      <c r="X725">
        <v>0.99080809999999997</v>
      </c>
      <c r="Y725">
        <v>-3.0831819999999999E-2</v>
      </c>
      <c r="Z725">
        <v>6.6633940000000003E-2</v>
      </c>
      <c r="AA725">
        <v>0.99730099999999999</v>
      </c>
      <c r="AB725">
        <v>36</v>
      </c>
      <c r="AC725">
        <v>0.12529999999998101</v>
      </c>
      <c r="AD725">
        <v>-1.1024713361280001</v>
      </c>
      <c r="AE725">
        <v>-16.226099999999999</v>
      </c>
      <c r="AF725">
        <v>-0.50745134489977495</v>
      </c>
      <c r="AG725">
        <v>-1.1024713361280001</v>
      </c>
      <c r="AH725">
        <v>16.144050215359801</v>
      </c>
      <c r="AI725">
        <v>93.9047201849164</v>
      </c>
      <c r="AJ725">
        <v>91.800369188442204</v>
      </c>
      <c r="AK725">
        <v>16.189604913971301</v>
      </c>
      <c r="AL725">
        <v>82.877624770325696</v>
      </c>
      <c r="AM725">
        <v>93.124992592291306</v>
      </c>
      <c r="AN725">
        <v>1.0000000468450201</v>
      </c>
    </row>
    <row r="726" spans="1:40" x14ac:dyDescent="0.3">
      <c r="A726" t="str">
        <f>"20200111150304320"</f>
        <v>20200111150304320</v>
      </c>
      <c r="B726" t="str">
        <f>"1578726184317597"</f>
        <v>1578726184317597</v>
      </c>
      <c r="C726" t="s">
        <v>40</v>
      </c>
      <c r="D726">
        <v>5.5306980000000001</v>
      </c>
      <c r="E726">
        <v>0.4939287</v>
      </c>
      <c r="F726" t="s">
        <v>62</v>
      </c>
      <c r="G726">
        <v>-481.87169999999998</v>
      </c>
      <c r="H726">
        <v>3.8057889999999999</v>
      </c>
      <c r="I726">
        <v>65.675449999999998</v>
      </c>
      <c r="J726">
        <v>-490.76949999999999</v>
      </c>
      <c r="K726">
        <v>1.1024780000000001</v>
      </c>
      <c r="L726">
        <v>250.6713</v>
      </c>
      <c r="M726">
        <v>-2.46327E-2</v>
      </c>
      <c r="N726">
        <v>0</v>
      </c>
      <c r="O726">
        <v>-0.99961100000000003</v>
      </c>
      <c r="P726">
        <v>3.0585459999999998E-2</v>
      </c>
      <c r="Q726">
        <v>0.1107737</v>
      </c>
      <c r="R726">
        <v>-0.99337529999999996</v>
      </c>
      <c r="S726">
        <v>0.14456179999999999</v>
      </c>
      <c r="T726">
        <v>4.3948170000000002E-2</v>
      </c>
      <c r="U726">
        <v>-3.0106199999999999</v>
      </c>
      <c r="V726">
        <v>-5.4539289999999997E-2</v>
      </c>
      <c r="W726">
        <v>0.1239809</v>
      </c>
      <c r="X726">
        <v>0.99078460000000002</v>
      </c>
      <c r="Y726">
        <v>-7.2548840000000003E-2</v>
      </c>
      <c r="Z726">
        <v>-1.4561899999999999E-2</v>
      </c>
      <c r="AA726">
        <v>0.99725850000000005</v>
      </c>
      <c r="AB726">
        <v>36</v>
      </c>
      <c r="AC726">
        <v>8.8978000000000108</v>
      </c>
      <c r="AD726">
        <v>2.7033109999999998</v>
      </c>
      <c r="AE726">
        <v>-184.99584999999999</v>
      </c>
      <c r="AF726">
        <v>-13.449571473456601</v>
      </c>
      <c r="AG726">
        <v>2.7033109999999998</v>
      </c>
      <c r="AH726">
        <v>184.681166548856</v>
      </c>
      <c r="AI726">
        <v>89.163595111719104</v>
      </c>
      <c r="AJ726">
        <v>94.1652632340992</v>
      </c>
      <c r="AK726">
        <v>185.18998931105401</v>
      </c>
      <c r="AL726">
        <v>82.878091857881699</v>
      </c>
      <c r="AM726">
        <v>93.150756088738802</v>
      </c>
      <c r="AN726">
        <v>0.99999996065783603</v>
      </c>
    </row>
    <row r="727" spans="1:40" x14ac:dyDescent="0.3">
      <c r="A727" t="str">
        <f>"20200111150304333"</f>
        <v>20200111150304333</v>
      </c>
      <c r="B727" t="str">
        <f>"1578726184327358"</f>
        <v>1578726184327358</v>
      </c>
      <c r="C727" t="s">
        <v>40</v>
      </c>
      <c r="D727">
        <v>5.5305759999999999</v>
      </c>
      <c r="E727">
        <v>0.50168649999999904</v>
      </c>
      <c r="F727" t="s">
        <v>62</v>
      </c>
      <c r="G727">
        <v>-482.09879999999998</v>
      </c>
      <c r="H727">
        <v>3.4316249999999999</v>
      </c>
      <c r="I727">
        <v>65.675449999999998</v>
      </c>
      <c r="J727">
        <v>-490.77550000000002</v>
      </c>
      <c r="K727">
        <v>1.1024940000000001</v>
      </c>
      <c r="L727">
        <v>250.46459999999999</v>
      </c>
      <c r="M727">
        <v>-2.56236E-2</v>
      </c>
      <c r="N727">
        <v>0</v>
      </c>
      <c r="O727">
        <v>-0.99958610000000003</v>
      </c>
      <c r="P727">
        <v>2.994022E-2</v>
      </c>
      <c r="Q727">
        <v>0.11077969999999999</v>
      </c>
      <c r="R727">
        <v>-0.99339409999999895</v>
      </c>
      <c r="S727">
        <v>0.14114380000000001</v>
      </c>
      <c r="T727">
        <v>3.7914990000000003E-2</v>
      </c>
      <c r="U727">
        <v>-3.0114290000000001</v>
      </c>
      <c r="V727">
        <v>-5.4882269999999997E-2</v>
      </c>
      <c r="W727">
        <v>0.12398380000000001</v>
      </c>
      <c r="X727">
        <v>0.99076529999999996</v>
      </c>
      <c r="Y727">
        <v>-7.2396600000000005E-2</v>
      </c>
      <c r="Z727">
        <v>-1.255975E-2</v>
      </c>
      <c r="AA727">
        <v>0.99729679999999998</v>
      </c>
      <c r="AB727">
        <v>36</v>
      </c>
      <c r="AC727">
        <v>8.6767000000000394</v>
      </c>
      <c r="AD727">
        <v>2.3291309999999998</v>
      </c>
      <c r="AE727">
        <v>-184.78915000000001</v>
      </c>
      <c r="AF727">
        <v>-13.4070936510848</v>
      </c>
      <c r="AG727">
        <v>2.3291309999999998</v>
      </c>
      <c r="AH727">
        <v>184.47687605029699</v>
      </c>
      <c r="AI727">
        <v>89.278547504601093</v>
      </c>
      <c r="AJ727">
        <v>94.1567361581548</v>
      </c>
      <c r="AK727">
        <v>184.97808737431799</v>
      </c>
      <c r="AL727">
        <v>82.877924424577401</v>
      </c>
      <c r="AM727">
        <v>93.170591515164205</v>
      </c>
      <c r="AN727">
        <v>0.99999996295343996</v>
      </c>
    </row>
    <row r="728" spans="1:40" x14ac:dyDescent="0.3">
      <c r="A728" t="str">
        <f>"20200111150304345"</f>
        <v>20200111150304345</v>
      </c>
      <c r="B728" t="str">
        <f>"1578726184338094"</f>
        <v>1578726184338094</v>
      </c>
      <c r="C728" t="s">
        <v>40</v>
      </c>
      <c r="D728">
        <v>5.568594</v>
      </c>
      <c r="E728">
        <v>0.49906780000000001</v>
      </c>
      <c r="F728" t="s">
        <v>41</v>
      </c>
      <c r="G728">
        <v>-490.34440000000001</v>
      </c>
      <c r="H728" s="1">
        <v>-1.844489E-6</v>
      </c>
      <c r="I728">
        <v>233.67509999999999</v>
      </c>
      <c r="J728">
        <v>-490.7817</v>
      </c>
      <c r="K728">
        <v>1.1025130000000001</v>
      </c>
      <c r="L728">
        <v>250.25810000000001</v>
      </c>
      <c r="M728">
        <v>-2.65963E-2</v>
      </c>
      <c r="N728">
        <v>0</v>
      </c>
      <c r="O728">
        <v>-0.99956089999999997</v>
      </c>
      <c r="P728">
        <v>2.9641589999999999E-2</v>
      </c>
      <c r="Q728">
        <v>0.11070489999999999</v>
      </c>
      <c r="R728">
        <v>-0.9934115</v>
      </c>
      <c r="S728">
        <v>7.8063960000000002E-2</v>
      </c>
      <c r="T728">
        <v>-0.1996135</v>
      </c>
      <c r="U728">
        <v>-3.0398559999999999</v>
      </c>
      <c r="V728">
        <v>-5.5555050000000002E-2</v>
      </c>
      <c r="W728">
        <v>0.12390809999999999</v>
      </c>
      <c r="X728">
        <v>0.99073730000000004</v>
      </c>
      <c r="Y728">
        <v>-5.219733E-2</v>
      </c>
      <c r="Z728">
        <v>6.5434140000000002E-2</v>
      </c>
      <c r="AA728">
        <v>0.99649080000000001</v>
      </c>
      <c r="AB728">
        <v>36</v>
      </c>
      <c r="AC728">
        <v>0.43729999999999303</v>
      </c>
      <c r="AD728">
        <v>-1.1025148444889901</v>
      </c>
      <c r="AE728">
        <v>-16.582999999999998</v>
      </c>
      <c r="AF728">
        <v>-0.87436716114746205</v>
      </c>
      <c r="AG728">
        <v>-1.1025148444889901</v>
      </c>
      <c r="AH728">
        <v>16.492651019516</v>
      </c>
      <c r="AI728">
        <v>93.819119737393805</v>
      </c>
      <c r="AJ728">
        <v>93.034726888835195</v>
      </c>
      <c r="AK728">
        <v>16.552570633178199</v>
      </c>
      <c r="AL728">
        <v>82.882295608041403</v>
      </c>
      <c r="AM728">
        <v>93.209468295375302</v>
      </c>
      <c r="AN728">
        <v>0.99999998921870104</v>
      </c>
    </row>
    <row r="729" spans="1:40" x14ac:dyDescent="0.3">
      <c r="A729" t="str">
        <f>"20200111150304359"</f>
        <v>20200111150304359</v>
      </c>
      <c r="B729" t="str">
        <f>"1578726184347853"</f>
        <v>1578726184347853</v>
      </c>
      <c r="C729" t="s">
        <v>40</v>
      </c>
      <c r="D729">
        <v>6.008629</v>
      </c>
      <c r="E729">
        <v>0.49906780000000001</v>
      </c>
      <c r="F729" t="s">
        <v>41</v>
      </c>
      <c r="G729">
        <v>-490.26760000000002</v>
      </c>
      <c r="H729" s="1">
        <v>-2.1120869999999999E-6</v>
      </c>
      <c r="I729">
        <v>234.34649999999999</v>
      </c>
      <c r="J729">
        <v>-490.7878</v>
      </c>
      <c r="K729">
        <v>1.102535</v>
      </c>
      <c r="L729">
        <v>250.0625</v>
      </c>
      <c r="M729">
        <v>-2.7495039999999998E-2</v>
      </c>
      <c r="N729">
        <v>0</v>
      </c>
      <c r="O729">
        <v>-0.99953630000000004</v>
      </c>
      <c r="P729">
        <v>2.9435010000000001E-2</v>
      </c>
      <c r="Q729">
        <v>0.1107003</v>
      </c>
      <c r="R729">
        <v>-0.99341820000000003</v>
      </c>
      <c r="S729">
        <v>9.8236080000000003E-2</v>
      </c>
      <c r="T729">
        <v>-0.210672</v>
      </c>
      <c r="U729">
        <v>-3.0404360000000001</v>
      </c>
      <c r="V729">
        <v>-5.6247169999999999E-2</v>
      </c>
      <c r="W729">
        <v>0.12390429999999999</v>
      </c>
      <c r="X729">
        <v>0.99069879999999999</v>
      </c>
      <c r="Y729">
        <v>-5.968681E-2</v>
      </c>
      <c r="Z729">
        <v>6.90056E-2</v>
      </c>
      <c r="AA729">
        <v>0.99582919999999997</v>
      </c>
      <c r="AB729">
        <v>36</v>
      </c>
      <c r="AC729">
        <v>0.52019999999998801</v>
      </c>
      <c r="AD729">
        <v>-1.102537112087</v>
      </c>
      <c r="AE729">
        <v>-15.715999999999999</v>
      </c>
      <c r="AF729">
        <v>-0.94749430086829001</v>
      </c>
      <c r="AG729">
        <v>-1.102537112087</v>
      </c>
      <c r="AH729">
        <v>15.618967755090001</v>
      </c>
      <c r="AI729">
        <v>94.030405315870894</v>
      </c>
      <c r="AJ729">
        <v>93.471482838492506</v>
      </c>
      <c r="AK729">
        <v>15.6864746603004</v>
      </c>
      <c r="AL729">
        <v>82.882515572195004</v>
      </c>
      <c r="AM729">
        <v>93.249493580014104</v>
      </c>
      <c r="AN729">
        <v>1.0000000660064601</v>
      </c>
    </row>
    <row r="730" spans="1:40" x14ac:dyDescent="0.3">
      <c r="A730" t="str">
        <f>"20200111150304389"</f>
        <v>20200111150304389</v>
      </c>
      <c r="B730" t="str">
        <f>"1578726184378110"</f>
        <v>1578726184378110</v>
      </c>
      <c r="C730" t="s">
        <v>40</v>
      </c>
      <c r="D730">
        <v>5.6422030000000003</v>
      </c>
      <c r="E730">
        <v>0.46265050000000002</v>
      </c>
      <c r="F730" t="s">
        <v>41</v>
      </c>
      <c r="G730">
        <v>-490.27589999999998</v>
      </c>
      <c r="H730" s="1">
        <v>-2.0301639999999999E-6</v>
      </c>
      <c r="I730">
        <v>234.15029999999999</v>
      </c>
      <c r="J730">
        <v>-490.80329999999998</v>
      </c>
      <c r="K730">
        <v>1.1026069999999999</v>
      </c>
      <c r="L730">
        <v>249.57910000000001</v>
      </c>
      <c r="M730">
        <v>-2.9637690000000001E-2</v>
      </c>
      <c r="N730">
        <v>0</v>
      </c>
      <c r="O730">
        <v>-0.99947509999999995</v>
      </c>
      <c r="P730">
        <v>3.0203730000000002E-2</v>
      </c>
      <c r="Q730">
        <v>0.1108677</v>
      </c>
      <c r="R730">
        <v>-0.99337609999999998</v>
      </c>
      <c r="S730">
        <v>9.7808839999999994E-2</v>
      </c>
      <c r="T730">
        <v>-0.21066989999999999</v>
      </c>
      <c r="U730">
        <v>-3.040451</v>
      </c>
      <c r="V730">
        <v>-5.9160839999999999E-2</v>
      </c>
      <c r="W730">
        <v>0.12407609999999999</v>
      </c>
      <c r="X730">
        <v>0.99050749999999999</v>
      </c>
      <c r="Y730">
        <v>-6.1686610000000003E-2</v>
      </c>
      <c r="Z730">
        <v>6.8994139999999995E-2</v>
      </c>
      <c r="AA730">
        <v>0.99570800000000004</v>
      </c>
      <c r="AB730">
        <v>35</v>
      </c>
      <c r="AC730">
        <v>0.52739999999999998</v>
      </c>
      <c r="AD730">
        <v>-1.1026090301639999</v>
      </c>
      <c r="AE730">
        <v>-15.428800000000001</v>
      </c>
      <c r="AF730">
        <v>-0.97948486099148302</v>
      </c>
      <c r="AG730">
        <v>-1.1026090301639999</v>
      </c>
      <c r="AH730">
        <v>15.3281967558734</v>
      </c>
      <c r="AI730">
        <v>94.106046553649094</v>
      </c>
      <c r="AJ730">
        <v>93.656278058041096</v>
      </c>
      <c r="AK730">
        <v>15.398985455317399</v>
      </c>
      <c r="AL730">
        <v>82.872595105317203</v>
      </c>
      <c r="AM730">
        <v>93.418090496629304</v>
      </c>
      <c r="AN730">
        <v>0.99999999556848196</v>
      </c>
    </row>
    <row r="731" spans="1:40" x14ac:dyDescent="0.3">
      <c r="A731" t="str">
        <f>"20200111150304402"</f>
        <v>20200111150304402</v>
      </c>
      <c r="B731" t="str">
        <f>"1578726184397629"</f>
        <v>1578726184397629</v>
      </c>
      <c r="C731" t="s">
        <v>40</v>
      </c>
      <c r="D731">
        <v>5.6170640000000001</v>
      </c>
      <c r="E731">
        <v>0.42114740000000001</v>
      </c>
      <c r="F731" t="s">
        <v>63</v>
      </c>
      <c r="G731">
        <v>-473.53930000000003</v>
      </c>
      <c r="H731">
        <v>53.262039999999999</v>
      </c>
      <c r="I731">
        <v>119.8177</v>
      </c>
      <c r="J731">
        <v>-490.81060000000002</v>
      </c>
      <c r="K731">
        <v>1.1026499999999999</v>
      </c>
      <c r="L731">
        <v>249.36420000000001</v>
      </c>
      <c r="M731">
        <v>-3.052885E-2</v>
      </c>
      <c r="N731">
        <v>0</v>
      </c>
      <c r="O731">
        <v>-0.99944809999999995</v>
      </c>
      <c r="P731">
        <v>3.0486860000000001E-2</v>
      </c>
      <c r="Q731">
        <v>0.11089980000000001</v>
      </c>
      <c r="R731">
        <v>-0.99336400000000002</v>
      </c>
      <c r="S731">
        <v>0.38305660000000002</v>
      </c>
      <c r="T731">
        <v>1.1573279999999999</v>
      </c>
      <c r="U731">
        <v>-2.879181</v>
      </c>
      <c r="V731">
        <v>-6.034084E-2</v>
      </c>
      <c r="W731">
        <v>0.1241087</v>
      </c>
      <c r="X731">
        <v>0.99043230000000004</v>
      </c>
      <c r="Y731">
        <v>-0.15275369999999999</v>
      </c>
      <c r="Z731">
        <v>-0.36909130000000001</v>
      </c>
      <c r="AA731">
        <v>0.91675399999999996</v>
      </c>
      <c r="AB731">
        <v>35</v>
      </c>
      <c r="AC731">
        <v>17.271299999999901</v>
      </c>
      <c r="AD731">
        <v>52.159390000000002</v>
      </c>
      <c r="AE731">
        <v>-129.54650000000001</v>
      </c>
      <c r="AF731">
        <v>-18.303160271252001</v>
      </c>
      <c r="AG731">
        <v>52.159390000000002</v>
      </c>
      <c r="AH731">
        <v>111.240386493762</v>
      </c>
      <c r="AI731">
        <v>65.171528820527598</v>
      </c>
      <c r="AJ731">
        <v>99.343558714050403</v>
      </c>
      <c r="AK731">
        <v>124.217676795087</v>
      </c>
      <c r="AL731">
        <v>82.870713201050094</v>
      </c>
      <c r="AM731">
        <v>93.486363990968201</v>
      </c>
      <c r="AN731">
        <v>1.00000006363544</v>
      </c>
    </row>
    <row r="732" spans="1:40" x14ac:dyDescent="0.3">
      <c r="A732" t="str">
        <f>"20200111150304420"</f>
        <v>20200111150304420</v>
      </c>
      <c r="B732" t="str">
        <f>"1578726184407390"</f>
        <v>1578726184407390</v>
      </c>
      <c r="C732" t="s">
        <v>40</v>
      </c>
      <c r="D732">
        <v>5.599488</v>
      </c>
      <c r="E732">
        <v>0.42047210000000002</v>
      </c>
      <c r="F732" t="s">
        <v>41</v>
      </c>
      <c r="G732">
        <v>-486.14600000000002</v>
      </c>
      <c r="H732" s="1">
        <v>-1.1174619999999999E-6</v>
      </c>
      <c r="I732">
        <v>229.91849999999999</v>
      </c>
      <c r="J732">
        <v>-490.81979999999999</v>
      </c>
      <c r="K732">
        <v>1.1027089999999999</v>
      </c>
      <c r="L732">
        <v>249.09649999999999</v>
      </c>
      <c r="M732">
        <v>-3.1594070000000002E-2</v>
      </c>
      <c r="N732">
        <v>0</v>
      </c>
      <c r="O732">
        <v>-0.99941489999999999</v>
      </c>
      <c r="P732">
        <v>3.2156360000000002E-2</v>
      </c>
      <c r="Q732">
        <v>0.11068</v>
      </c>
      <c r="R732">
        <v>-0.99333579999999999</v>
      </c>
      <c r="S732">
        <v>0.72369380000000005</v>
      </c>
      <c r="T732">
        <v>-0.17107259999999999</v>
      </c>
      <c r="U732">
        <v>-3.016937</v>
      </c>
      <c r="V732">
        <v>-6.3083910000000007E-2</v>
      </c>
      <c r="W732">
        <v>0.1238911</v>
      </c>
      <c r="X732">
        <v>0.99028859999999996</v>
      </c>
      <c r="Y732">
        <v>-0.2635171</v>
      </c>
      <c r="Z732">
        <v>5.4795259999999998E-2</v>
      </c>
      <c r="AA732">
        <v>0.96309719999999999</v>
      </c>
      <c r="AB732">
        <v>35</v>
      </c>
      <c r="AC732">
        <v>4.6738000000000204</v>
      </c>
      <c r="AD732">
        <v>-1.102710117462</v>
      </c>
      <c r="AE732">
        <v>-19.178000000000001</v>
      </c>
      <c r="AF732">
        <v>-5.2610111435556197</v>
      </c>
      <c r="AG732">
        <v>-1.102710117462</v>
      </c>
      <c r="AH732">
        <v>18.9615729835261</v>
      </c>
      <c r="AI732">
        <v>93.207387310669802</v>
      </c>
      <c r="AJ732">
        <v>105.50701884555301</v>
      </c>
      <c r="AK732">
        <v>19.708766015795</v>
      </c>
      <c r="AL732">
        <v>82.883277618947204</v>
      </c>
      <c r="AM732">
        <v>93.644962200848795</v>
      </c>
      <c r="AN732">
        <v>1.0000000478250199</v>
      </c>
    </row>
    <row r="733" spans="1:40" x14ac:dyDescent="0.3">
      <c r="A733" t="str">
        <f>"20200111150304433"</f>
        <v>20200111150304433</v>
      </c>
      <c r="B733" t="str">
        <f>"1578726184427886"</f>
        <v>1578726184427886</v>
      </c>
      <c r="C733" t="s">
        <v>40</v>
      </c>
      <c r="D733">
        <v>5.6666910000000001</v>
      </c>
      <c r="E733">
        <v>0.42241570000000001</v>
      </c>
      <c r="F733" t="s">
        <v>53</v>
      </c>
      <c r="G733">
        <v>-485.9443</v>
      </c>
      <c r="H733" s="1">
        <v>5.3964879999999996E-6</v>
      </c>
      <c r="I733">
        <v>229.07239999999999</v>
      </c>
      <c r="J733">
        <v>-490.82749999999999</v>
      </c>
      <c r="K733">
        <v>1.102765</v>
      </c>
      <c r="L733">
        <v>248.87780000000001</v>
      </c>
      <c r="M733">
        <v>-3.2418219999999998E-2</v>
      </c>
      <c r="N733">
        <v>0</v>
      </c>
      <c r="O733">
        <v>-0.99938870000000002</v>
      </c>
      <c r="P733">
        <v>3.2826880000000003E-2</v>
      </c>
      <c r="Q733">
        <v>0.1106301</v>
      </c>
      <c r="R733">
        <v>-0.99331959999999997</v>
      </c>
      <c r="S733">
        <v>0.73406979999999999</v>
      </c>
      <c r="T733">
        <v>-0.16602649999999999</v>
      </c>
      <c r="U733">
        <v>-3.0148769999999998</v>
      </c>
      <c r="V733">
        <v>-6.4588229999999996E-2</v>
      </c>
      <c r="W733">
        <v>0.123839</v>
      </c>
      <c r="X733">
        <v>0.99019809999999997</v>
      </c>
      <c r="Y733">
        <v>-0.26761180000000001</v>
      </c>
      <c r="Z733">
        <v>5.3165169999999998E-2</v>
      </c>
      <c r="AA733">
        <v>0.96205890000000005</v>
      </c>
      <c r="AB733">
        <v>35</v>
      </c>
      <c r="AC733">
        <v>4.88319999999998</v>
      </c>
      <c r="AD733">
        <v>-1.102759603512</v>
      </c>
      <c r="AE733">
        <v>-19.805399999999999</v>
      </c>
      <c r="AF733">
        <v>-5.5066501623516597</v>
      </c>
      <c r="AG733">
        <v>-1.102759603512</v>
      </c>
      <c r="AH733">
        <v>19.5794478655957</v>
      </c>
      <c r="AI733">
        <v>93.103467925606694</v>
      </c>
      <c r="AJ733">
        <v>105.708449222604</v>
      </c>
      <c r="AK733">
        <v>20.368948266301</v>
      </c>
      <c r="AL733">
        <v>82.886285605728602</v>
      </c>
      <c r="AM733">
        <v>93.731978538540702</v>
      </c>
      <c r="AN733">
        <v>1.0000000073095701</v>
      </c>
    </row>
    <row r="734" spans="1:40" x14ac:dyDescent="0.3">
      <c r="A734" t="str">
        <f>"20200111150304447"</f>
        <v>20200111150304447</v>
      </c>
      <c r="B734" t="str">
        <f>"1578726184437645"</f>
        <v>1578726184437645</v>
      </c>
      <c r="C734" t="s">
        <v>40</v>
      </c>
      <c r="D734">
        <v>5.7837360000000002</v>
      </c>
      <c r="E734">
        <v>0.42266949999999998</v>
      </c>
      <c r="F734" t="s">
        <v>41</v>
      </c>
      <c r="G734">
        <v>-486.53699999999998</v>
      </c>
      <c r="H734" s="1">
        <v>-1.356759E-6</v>
      </c>
      <c r="I734">
        <v>230.92740000000001</v>
      </c>
      <c r="J734">
        <v>-490.8356</v>
      </c>
      <c r="K734">
        <v>1.102833</v>
      </c>
      <c r="L734">
        <v>248.65119999999999</v>
      </c>
      <c r="M734">
        <v>-3.3218539999999998E-2</v>
      </c>
      <c r="N734">
        <v>0</v>
      </c>
      <c r="O734">
        <v>-0.99936239999999998</v>
      </c>
      <c r="P734">
        <v>3.3424000000000002E-2</v>
      </c>
      <c r="Q734">
        <v>0.1106154</v>
      </c>
      <c r="R734">
        <v>-0.99330149999999995</v>
      </c>
      <c r="S734">
        <v>0.72109990000000002</v>
      </c>
      <c r="T734">
        <v>-0.1853455</v>
      </c>
      <c r="U734">
        <v>-3.0169830000000002</v>
      </c>
      <c r="V734">
        <v>-6.5997730000000004E-2</v>
      </c>
      <c r="W734">
        <v>0.1238201</v>
      </c>
      <c r="X734">
        <v>0.99010750000000003</v>
      </c>
      <c r="Y734">
        <v>-0.26423770000000002</v>
      </c>
      <c r="Z734">
        <v>5.9345050000000003E-2</v>
      </c>
      <c r="AA734">
        <v>0.96262999999999999</v>
      </c>
      <c r="AB734">
        <v>35</v>
      </c>
      <c r="AC734">
        <v>4.29860000000002</v>
      </c>
      <c r="AD734">
        <v>-1.102834356759</v>
      </c>
      <c r="AE734">
        <v>-17.723799999999901</v>
      </c>
      <c r="AF734">
        <v>-4.8672386380189696</v>
      </c>
      <c r="AG734">
        <v>-1.102834356759</v>
      </c>
      <c r="AH734">
        <v>17.5071935671284</v>
      </c>
      <c r="AI734">
        <v>93.473100642237497</v>
      </c>
      <c r="AJ734">
        <v>105.53665618405</v>
      </c>
      <c r="AK734">
        <v>18.204617056526398</v>
      </c>
      <c r="AL734">
        <v>82.887376768036006</v>
      </c>
      <c r="AM734">
        <v>93.813531166942496</v>
      </c>
      <c r="AN734">
        <v>0.99999998954270597</v>
      </c>
    </row>
    <row r="735" spans="1:40" x14ac:dyDescent="0.3">
      <c r="A735" t="str">
        <f>"20200111150304465"</f>
        <v>20200111150304465</v>
      </c>
      <c r="B735" t="str">
        <f>"1578726184457165"</f>
        <v>1578726184457165</v>
      </c>
      <c r="C735" t="s">
        <v>40</v>
      </c>
      <c r="D735">
        <v>5.7661410000000002</v>
      </c>
      <c r="E735">
        <v>0.42271049999999899</v>
      </c>
      <c r="F735" t="s">
        <v>41</v>
      </c>
      <c r="G735">
        <v>-486.38279999999997</v>
      </c>
      <c r="H735" s="1">
        <v>-1.095846E-6</v>
      </c>
      <c r="I735">
        <v>230.0401</v>
      </c>
      <c r="J735">
        <v>-490.84589999999997</v>
      </c>
      <c r="K735">
        <v>1.102932</v>
      </c>
      <c r="L735">
        <v>248.36789999999999</v>
      </c>
      <c r="M735">
        <v>-3.4113129999999998E-2</v>
      </c>
      <c r="N735">
        <v>0</v>
      </c>
      <c r="O735">
        <v>-0.99933209999999995</v>
      </c>
      <c r="P735">
        <v>3.5355329999999997E-2</v>
      </c>
      <c r="Q735">
        <v>0.1106733</v>
      </c>
      <c r="R735">
        <v>-0.99322820000000001</v>
      </c>
      <c r="S735">
        <v>0.72155760000000002</v>
      </c>
      <c r="T735">
        <v>-0.17871010000000001</v>
      </c>
      <c r="U735">
        <v>-3.0158689999999999</v>
      </c>
      <c r="V735">
        <v>-6.8842490000000006E-2</v>
      </c>
      <c r="W735">
        <v>0.1238707</v>
      </c>
      <c r="X735">
        <v>0.98990739999999999</v>
      </c>
      <c r="Y735">
        <v>-0.26534809999999998</v>
      </c>
      <c r="Z735">
        <v>5.7235800000000003E-2</v>
      </c>
      <c r="AA735">
        <v>0.96245230000000004</v>
      </c>
      <c r="AB735">
        <v>35</v>
      </c>
      <c r="AC735">
        <v>4.4630999999999901</v>
      </c>
      <c r="AD735">
        <v>-1.102933095846</v>
      </c>
      <c r="AE735">
        <v>-18.3278</v>
      </c>
      <c r="AF735">
        <v>-5.0684468083563203</v>
      </c>
      <c r="AG735">
        <v>-1.102933095846</v>
      </c>
      <c r="AH735">
        <v>18.1029792584884</v>
      </c>
      <c r="AI735">
        <v>93.357659619796095</v>
      </c>
      <c r="AJ735">
        <v>105.641109519124</v>
      </c>
      <c r="AK735">
        <v>18.831449028057101</v>
      </c>
      <c r="AL735">
        <v>82.884454823999206</v>
      </c>
      <c r="AM735">
        <v>93.978193938102294</v>
      </c>
      <c r="AN735">
        <v>0.999999949661323</v>
      </c>
    </row>
    <row r="736" spans="1:40" x14ac:dyDescent="0.3">
      <c r="A736" t="str">
        <f>"20200111150304487"</f>
        <v>20200111150304487</v>
      </c>
      <c r="B736" t="str">
        <f>"1578726184477661"</f>
        <v>1578726184477661</v>
      </c>
      <c r="C736" t="s">
        <v>40</v>
      </c>
      <c r="D736">
        <v>5.7197519999999997</v>
      </c>
      <c r="E736">
        <v>0.42323250000000001</v>
      </c>
      <c r="F736" t="s">
        <v>41</v>
      </c>
      <c r="G736">
        <v>-486.46850000000001</v>
      </c>
      <c r="H736" s="1">
        <v>-1.1294149999999999E-6</v>
      </c>
      <c r="I736">
        <v>230.20570000000001</v>
      </c>
      <c r="J736">
        <v>-490.85879999999997</v>
      </c>
      <c r="K736">
        <v>1.103084</v>
      </c>
      <c r="L736">
        <v>248.01859999999999</v>
      </c>
      <c r="M736">
        <v>-3.5057150000000002E-2</v>
      </c>
      <c r="N736">
        <v>0</v>
      </c>
      <c r="O736">
        <v>-0.99929959999999995</v>
      </c>
      <c r="P736">
        <v>3.6470389999999998E-2</v>
      </c>
      <c r="Q736">
        <v>0.111219</v>
      </c>
      <c r="R736">
        <v>-0.99312679999999998</v>
      </c>
      <c r="S736">
        <v>0.72665409999999997</v>
      </c>
      <c r="T736">
        <v>-0.18308969999999999</v>
      </c>
      <c r="U736">
        <v>-3.0149689999999998</v>
      </c>
      <c r="V736">
        <v>-7.0931519999999998E-2</v>
      </c>
      <c r="W736">
        <v>0.1243968</v>
      </c>
      <c r="X736">
        <v>0.98969390000000002</v>
      </c>
      <c r="Y736">
        <v>-0.26784219999999997</v>
      </c>
      <c r="Z736">
        <v>5.8615540000000001E-2</v>
      </c>
      <c r="AA736">
        <v>0.96167809999999998</v>
      </c>
      <c r="AB736">
        <v>35</v>
      </c>
      <c r="AC736">
        <v>4.3902999999999599</v>
      </c>
      <c r="AD736">
        <v>-1.1030851294149999</v>
      </c>
      <c r="AE736">
        <v>-17.8128999999999</v>
      </c>
      <c r="AF736">
        <v>-4.9940690962466299</v>
      </c>
      <c r="AG736">
        <v>-1.1030851294149999</v>
      </c>
      <c r="AH736">
        <v>17.584452066288399</v>
      </c>
      <c r="AI736">
        <v>93.453283368074295</v>
      </c>
      <c r="AJ736">
        <v>105.854801842136</v>
      </c>
      <c r="AK736">
        <v>18.313123092810098</v>
      </c>
      <c r="AL736">
        <v>82.8540764106247</v>
      </c>
      <c r="AM736">
        <v>94.0993882753572</v>
      </c>
      <c r="AN736">
        <v>0.99999993003847698</v>
      </c>
    </row>
    <row r="737" spans="1:40" x14ac:dyDescent="0.3">
      <c r="A737" t="str">
        <f>"20200111150304501"</f>
        <v>20200111150304501</v>
      </c>
      <c r="B737" t="str">
        <f>"1578726184498157"</f>
        <v>1578726184498157</v>
      </c>
      <c r="C737" t="s">
        <v>40</v>
      </c>
      <c r="D737">
        <v>5.711417</v>
      </c>
      <c r="E737">
        <v>0.42339209999999999</v>
      </c>
      <c r="F737" t="s">
        <v>41</v>
      </c>
      <c r="G737">
        <v>-486.6841</v>
      </c>
      <c r="H737" s="1">
        <v>-1.232414E-6</v>
      </c>
      <c r="I737">
        <v>230.67699999999999</v>
      </c>
      <c r="J737">
        <v>-490.86680000000001</v>
      </c>
      <c r="K737">
        <v>1.103189</v>
      </c>
      <c r="L737">
        <v>247.80500000000001</v>
      </c>
      <c r="M737">
        <v>-3.5514379999999998E-2</v>
      </c>
      <c r="N737">
        <v>0</v>
      </c>
      <c r="O737">
        <v>-0.99928329999999999</v>
      </c>
      <c r="P737">
        <v>3.6851040000000002E-2</v>
      </c>
      <c r="Q737">
        <v>0.1118315</v>
      </c>
      <c r="R737">
        <v>-0.99304369999999997</v>
      </c>
      <c r="S737">
        <v>0.72595209999999999</v>
      </c>
      <c r="T737">
        <v>-0.19181909999999999</v>
      </c>
      <c r="U737">
        <v>-3.0155940000000001</v>
      </c>
      <c r="V737">
        <v>-7.1792510000000004E-2</v>
      </c>
      <c r="W737">
        <v>0.12499390000000001</v>
      </c>
      <c r="X737">
        <v>0.98955669999999996</v>
      </c>
      <c r="Y737">
        <v>-0.26798680000000002</v>
      </c>
      <c r="Z737">
        <v>6.1386040000000003E-2</v>
      </c>
      <c r="AA737">
        <v>0.96146489999999996</v>
      </c>
      <c r="AB737">
        <v>35</v>
      </c>
      <c r="AC737">
        <v>4.1827000000000103</v>
      </c>
      <c r="AD737">
        <v>-1.1031902324139999</v>
      </c>
      <c r="AE737">
        <v>-17.127999999999901</v>
      </c>
      <c r="AF737">
        <v>-4.7697299867303498</v>
      </c>
      <c r="AG737">
        <v>-1.1031902324139999</v>
      </c>
      <c r="AH737">
        <v>16.902461403611401</v>
      </c>
      <c r="AI737">
        <v>93.5943054823517</v>
      </c>
      <c r="AJ737">
        <v>105.758612280452</v>
      </c>
      <c r="AK737">
        <v>17.597174612300201</v>
      </c>
      <c r="AL737">
        <v>82.819596853872099</v>
      </c>
      <c r="AM737">
        <v>94.149548498389706</v>
      </c>
      <c r="AN737">
        <v>1.0000000510220901</v>
      </c>
    </row>
    <row r="738" spans="1:40" x14ac:dyDescent="0.3">
      <c r="A738" t="str">
        <f>"20200111150304513"</f>
        <v>20200111150304513</v>
      </c>
      <c r="B738" t="str">
        <f>"1578726184507917"</f>
        <v>1578726184507917</v>
      </c>
      <c r="C738" t="s">
        <v>40</v>
      </c>
      <c r="D738">
        <v>5.7290219999999996</v>
      </c>
      <c r="E738">
        <v>0.42340339999999999</v>
      </c>
      <c r="F738" t="s">
        <v>41</v>
      </c>
      <c r="G738">
        <v>-486.49099999999999</v>
      </c>
      <c r="H738" s="1">
        <v>-9.3073660000000004E-7</v>
      </c>
      <c r="I738">
        <v>229.6395</v>
      </c>
      <c r="J738">
        <v>-490.87450000000001</v>
      </c>
      <c r="K738">
        <v>1.103294</v>
      </c>
      <c r="L738">
        <v>247.6001</v>
      </c>
      <c r="M738">
        <v>-3.5894330000000002E-2</v>
      </c>
      <c r="N738">
        <v>0</v>
      </c>
      <c r="O738">
        <v>-0.99926959999999998</v>
      </c>
      <c r="P738">
        <v>3.7195539999999999E-2</v>
      </c>
      <c r="Q738">
        <v>0.1127422</v>
      </c>
      <c r="R738">
        <v>-0.99292780000000003</v>
      </c>
      <c r="S738">
        <v>0.72619630000000002</v>
      </c>
      <c r="T738">
        <v>-0.1830812</v>
      </c>
      <c r="U738">
        <v>-3.0146790000000001</v>
      </c>
      <c r="V738">
        <v>-7.2538729999999996E-2</v>
      </c>
      <c r="W738">
        <v>0.12588659999999999</v>
      </c>
      <c r="X738">
        <v>0.98938910000000002</v>
      </c>
      <c r="Y738">
        <v>-0.2685323</v>
      </c>
      <c r="Z738">
        <v>5.8610879999999997E-2</v>
      </c>
      <c r="AA738">
        <v>0.9614859</v>
      </c>
      <c r="AB738">
        <v>35</v>
      </c>
      <c r="AC738">
        <v>4.3835000000000202</v>
      </c>
      <c r="AD738">
        <v>-1.1032949307366</v>
      </c>
      <c r="AE738">
        <v>-17.960599999999999</v>
      </c>
      <c r="AF738">
        <v>-5.0075801606382404</v>
      </c>
      <c r="AG738">
        <v>-1.1032949307366</v>
      </c>
      <c r="AH738">
        <v>17.7285303926359</v>
      </c>
      <c r="AI738">
        <v>93.427321508449197</v>
      </c>
      <c r="AJ738">
        <v>105.772802027145</v>
      </c>
      <c r="AK738">
        <v>18.455186497351399</v>
      </c>
      <c r="AL738">
        <v>82.768041660131004</v>
      </c>
      <c r="AM738">
        <v>94.193234068655997</v>
      </c>
      <c r="AN738">
        <v>1.0000000473041899</v>
      </c>
    </row>
    <row r="739" spans="1:40" x14ac:dyDescent="0.3">
      <c r="A739" t="str">
        <f>"20200111150304531"</f>
        <v>20200111150304531</v>
      </c>
      <c r="B739" t="str">
        <f>"1578726184527437"</f>
        <v>1578726184527437</v>
      </c>
      <c r="C739" t="s">
        <v>40</v>
      </c>
      <c r="D739">
        <v>5.7276720000000001</v>
      </c>
      <c r="E739">
        <v>0.42347610000000002</v>
      </c>
      <c r="F739" t="s">
        <v>53</v>
      </c>
      <c r="G739">
        <v>-486.38420000000002</v>
      </c>
      <c r="H739" s="1">
        <v>5.489926E-6</v>
      </c>
      <c r="I739">
        <v>228.99629999999999</v>
      </c>
      <c r="J739">
        <v>-490.88470000000001</v>
      </c>
      <c r="K739">
        <v>1.10345</v>
      </c>
      <c r="L739">
        <v>247.32599999999999</v>
      </c>
      <c r="M739">
        <v>-3.628588E-2</v>
      </c>
      <c r="N739">
        <v>0</v>
      </c>
      <c r="O739">
        <v>-0.99925560000000002</v>
      </c>
      <c r="P739">
        <v>3.9177690000000001E-2</v>
      </c>
      <c r="Q739">
        <v>0.1136395</v>
      </c>
      <c r="R739">
        <v>-0.99274960000000001</v>
      </c>
      <c r="S739">
        <v>0.72756960000000004</v>
      </c>
      <c r="T739">
        <v>-0.1787686</v>
      </c>
      <c r="U739">
        <v>-3.0144199999999999</v>
      </c>
      <c r="V739">
        <v>-7.4945150000000002E-2</v>
      </c>
      <c r="W739">
        <v>0.12675980000000001</v>
      </c>
      <c r="X739">
        <v>0.98909820000000004</v>
      </c>
      <c r="Y739">
        <v>-0.26936130000000003</v>
      </c>
      <c r="Z739">
        <v>5.7228809999999998E-2</v>
      </c>
      <c r="AA739">
        <v>0.96133729999999995</v>
      </c>
      <c r="AB739">
        <v>35</v>
      </c>
      <c r="AC739">
        <v>4.5004999999999802</v>
      </c>
      <c r="AD739">
        <v>-1.103444510074</v>
      </c>
      <c r="AE739">
        <v>-18.329699999999999</v>
      </c>
      <c r="AF739">
        <v>-5.1451162258712797</v>
      </c>
      <c r="AG739">
        <v>-1.103444510074</v>
      </c>
      <c r="AH739">
        <v>18.092468879887601</v>
      </c>
      <c r="AI739">
        <v>93.357305369995402</v>
      </c>
      <c r="AJ739">
        <v>105.87463299309201</v>
      </c>
      <c r="AK739">
        <v>18.842166566884998</v>
      </c>
      <c r="AL739">
        <v>82.717606876677905</v>
      </c>
      <c r="AM739">
        <v>94.333089705644795</v>
      </c>
      <c r="AN739">
        <v>1.0000000358239001</v>
      </c>
    </row>
    <row r="740" spans="1:40" x14ac:dyDescent="0.3">
      <c r="A740" t="str">
        <f>"20200111150304543"</f>
        <v>20200111150304543</v>
      </c>
      <c r="B740" t="str">
        <f>"1578726184538174"</f>
        <v>1578726184538174</v>
      </c>
      <c r="C740" t="s">
        <v>40</v>
      </c>
      <c r="D740">
        <v>5.7026079999999997</v>
      </c>
      <c r="E740">
        <v>0.42354789999999998</v>
      </c>
      <c r="F740" t="s">
        <v>53</v>
      </c>
      <c r="G740">
        <v>-486.18369999999999</v>
      </c>
      <c r="H740" s="1">
        <v>5.1311059999999996E-6</v>
      </c>
      <c r="I740">
        <v>228.0102</v>
      </c>
      <c r="J740">
        <v>-490.89159999999998</v>
      </c>
      <c r="K740">
        <v>1.1035520000000001</v>
      </c>
      <c r="L740">
        <v>247.1413</v>
      </c>
      <c r="M740">
        <v>-3.6469799999999997E-2</v>
      </c>
      <c r="N740">
        <v>0</v>
      </c>
      <c r="O740">
        <v>-0.99924900000000005</v>
      </c>
      <c r="P740">
        <v>4.1259730000000001E-2</v>
      </c>
      <c r="Q740">
        <v>0.11366999999999999</v>
      </c>
      <c r="R740">
        <v>-0.99266169999999998</v>
      </c>
      <c r="S740">
        <v>0.73321530000000001</v>
      </c>
      <c r="T740">
        <v>-0.17210529999999999</v>
      </c>
      <c r="U740">
        <v>-3.0127109999999999</v>
      </c>
      <c r="V740">
        <v>-7.7235070000000003E-2</v>
      </c>
      <c r="W740">
        <v>0.1267749</v>
      </c>
      <c r="X740">
        <v>0.98892000000000002</v>
      </c>
      <c r="Y740">
        <v>-0.27139210000000002</v>
      </c>
      <c r="Z740">
        <v>5.5104309999999997E-2</v>
      </c>
      <c r="AA740">
        <v>0.96089009999999997</v>
      </c>
      <c r="AB740">
        <v>35</v>
      </c>
      <c r="AC740">
        <v>4.7078999999999898</v>
      </c>
      <c r="AD740">
        <v>-1.103546868894</v>
      </c>
      <c r="AE740">
        <v>-19.1311</v>
      </c>
      <c r="AF740">
        <v>-5.3856379558391501</v>
      </c>
      <c r="AG740">
        <v>-1.103546868894</v>
      </c>
      <c r="AH740">
        <v>18.887403117803601</v>
      </c>
      <c r="AI740">
        <v>93.215956571794095</v>
      </c>
      <c r="AJ740">
        <v>105.91520565530401</v>
      </c>
      <c r="AK740">
        <v>19.671220308299102</v>
      </c>
      <c r="AL740">
        <v>82.716734037063802</v>
      </c>
      <c r="AM740">
        <v>94.465759424888404</v>
      </c>
      <c r="AN740">
        <v>0.99999994885395604</v>
      </c>
    </row>
    <row r="741" spans="1:40" x14ac:dyDescent="0.3">
      <c r="A741" t="str">
        <f>"20200111150304556"</f>
        <v>20200111150304556</v>
      </c>
      <c r="B741" t="str">
        <f>"1578726184547933"</f>
        <v>1578726184547933</v>
      </c>
      <c r="C741" t="s">
        <v>40</v>
      </c>
      <c r="D741">
        <v>5.7501989999999896</v>
      </c>
      <c r="E741">
        <v>0.42362909999999998</v>
      </c>
      <c r="F741" t="s">
        <v>53</v>
      </c>
      <c r="G741">
        <v>-486.1506</v>
      </c>
      <c r="H741" s="1">
        <v>5.0584690000000001E-6</v>
      </c>
      <c r="I741">
        <v>227.80420000000001</v>
      </c>
      <c r="J741">
        <v>-490.89940000000001</v>
      </c>
      <c r="K741">
        <v>1.103658</v>
      </c>
      <c r="L741">
        <v>246.93270000000001</v>
      </c>
      <c r="M741">
        <v>-3.6617650000000002E-2</v>
      </c>
      <c r="N741">
        <v>0</v>
      </c>
      <c r="O741">
        <v>-0.99924349999999995</v>
      </c>
      <c r="P741">
        <v>4.3833520000000001E-2</v>
      </c>
      <c r="Q741">
        <v>0.11294609999999999</v>
      </c>
      <c r="R741">
        <v>-0.99263389999999996</v>
      </c>
      <c r="S741">
        <v>0.73828130000000003</v>
      </c>
      <c r="T741">
        <v>-0.17184559999999999</v>
      </c>
      <c r="U741">
        <v>-3.0112000000000001</v>
      </c>
      <c r="V741">
        <v>-7.9987299999999997E-2</v>
      </c>
      <c r="W741">
        <v>0.1260337</v>
      </c>
      <c r="X741">
        <v>0.98879600000000001</v>
      </c>
      <c r="Y741">
        <v>-0.27317129999999901</v>
      </c>
      <c r="Z741">
        <v>5.5022769999999999E-2</v>
      </c>
      <c r="AA741">
        <v>0.96039050000000004</v>
      </c>
      <c r="AB741">
        <v>35</v>
      </c>
      <c r="AC741">
        <v>4.7488000000000099</v>
      </c>
      <c r="AD741">
        <v>-1.1036529415309999</v>
      </c>
      <c r="AE741">
        <v>-19.128499999999999</v>
      </c>
      <c r="AF741">
        <v>-5.4290916843232502</v>
      </c>
      <c r="AG741">
        <v>-1.1036529415309999</v>
      </c>
      <c r="AH741">
        <v>18.882555123756902</v>
      </c>
      <c r="AI741">
        <v>93.215072422371904</v>
      </c>
      <c r="AJ741">
        <v>106.040944094355</v>
      </c>
      <c r="AK741">
        <v>19.6785155520902</v>
      </c>
      <c r="AL741">
        <v>82.759545408320903</v>
      </c>
      <c r="AM741">
        <v>94.624793384663604</v>
      </c>
      <c r="AN741">
        <v>0.99999999565649</v>
      </c>
    </row>
    <row r="742" spans="1:40" x14ac:dyDescent="0.3">
      <c r="A742" t="str">
        <f>"20200111150304570"</f>
        <v>20200111150304570</v>
      </c>
      <c r="B742" t="str">
        <f>"1578726184567453"</f>
        <v>1578726184567453</v>
      </c>
      <c r="C742" t="s">
        <v>40</v>
      </c>
      <c r="D742">
        <v>5.6988949999999896</v>
      </c>
      <c r="E742">
        <v>0.42400019999999999</v>
      </c>
      <c r="F742" t="s">
        <v>53</v>
      </c>
      <c r="G742">
        <v>-486.17790000000002</v>
      </c>
      <c r="H742" s="1">
        <v>5.0861859999999997E-6</v>
      </c>
      <c r="I742">
        <v>227.87020000000001</v>
      </c>
      <c r="J742">
        <v>-490.90769999999998</v>
      </c>
      <c r="K742">
        <v>1.103769</v>
      </c>
      <c r="L742">
        <v>246.7124</v>
      </c>
      <c r="M742">
        <v>-3.6709140000000001E-2</v>
      </c>
      <c r="N742">
        <v>0</v>
      </c>
      <c r="O742">
        <v>-0.99923989999999996</v>
      </c>
      <c r="P742">
        <v>4.6401190000000002E-2</v>
      </c>
      <c r="Q742">
        <v>0.11220769999999999</v>
      </c>
      <c r="R742">
        <v>-0.99260090000000001</v>
      </c>
      <c r="S742">
        <v>0.74533079999999996</v>
      </c>
      <c r="T742">
        <v>-0.17422000000000001</v>
      </c>
      <c r="U742">
        <v>-3.0091549999999998</v>
      </c>
      <c r="V742">
        <v>-8.2677829999999994E-2</v>
      </c>
      <c r="W742">
        <v>0.12527489999999999</v>
      </c>
      <c r="X742">
        <v>0.98867110000000002</v>
      </c>
      <c r="Y742">
        <v>-0.2755203</v>
      </c>
      <c r="Z742">
        <v>5.5782520000000002E-2</v>
      </c>
      <c r="AA742">
        <v>0.95967539999999996</v>
      </c>
      <c r="AB742">
        <v>35</v>
      </c>
      <c r="AC742">
        <v>4.7297999999999503</v>
      </c>
      <c r="AD742">
        <v>-1.1037639138140001</v>
      </c>
      <c r="AE742">
        <v>-18.842199999999899</v>
      </c>
      <c r="AF742">
        <v>-5.4009171370137397</v>
      </c>
      <c r="AG742">
        <v>-1.1037639138140001</v>
      </c>
      <c r="AH742">
        <v>18.595826447580801</v>
      </c>
      <c r="AI742">
        <v>93.262332169281905</v>
      </c>
      <c r="AJ742">
        <v>106.195255306321</v>
      </c>
      <c r="AK742">
        <v>19.395694418269098</v>
      </c>
      <c r="AL742">
        <v>82.803368703443894</v>
      </c>
      <c r="AM742">
        <v>94.780249351599196</v>
      </c>
      <c r="AN742">
        <v>0.99999998405936397</v>
      </c>
    </row>
    <row r="743" spans="1:40" x14ac:dyDescent="0.3">
      <c r="A743" t="str">
        <f>"20200111150304587"</f>
        <v>20200111150304587</v>
      </c>
      <c r="B743" t="str">
        <f>"1578726184578193"</f>
        <v>1578726184578193</v>
      </c>
      <c r="C743" t="s">
        <v>40</v>
      </c>
      <c r="D743">
        <v>5.6877339999999998</v>
      </c>
      <c r="E743">
        <v>0.424014</v>
      </c>
      <c r="F743" t="s">
        <v>53</v>
      </c>
      <c r="G743">
        <v>-486.24759999999998</v>
      </c>
      <c r="H743" s="1">
        <v>5.1518409999999899E-6</v>
      </c>
      <c r="I743">
        <v>228.0223</v>
      </c>
      <c r="J743">
        <v>-490.9178</v>
      </c>
      <c r="K743">
        <v>1.103918</v>
      </c>
      <c r="L743">
        <v>246.43459999999999</v>
      </c>
      <c r="M743">
        <v>-3.664738E-2</v>
      </c>
      <c r="N743">
        <v>0</v>
      </c>
      <c r="O743">
        <v>-0.99924230000000003</v>
      </c>
      <c r="P743">
        <v>5.1454270000000003E-2</v>
      </c>
      <c r="Q743">
        <v>0.1103586</v>
      </c>
      <c r="R743">
        <v>-0.99255899999999997</v>
      </c>
      <c r="S743">
        <v>0.74984740000000005</v>
      </c>
      <c r="T743">
        <v>-0.1776054</v>
      </c>
      <c r="U743">
        <v>-3.0074160000000001</v>
      </c>
      <c r="V743">
        <v>-8.7714570000000006E-2</v>
      </c>
      <c r="W743">
        <v>0.12339559999999999</v>
      </c>
      <c r="X743">
        <v>0.98847339999999995</v>
      </c>
      <c r="Y743">
        <v>-0.27693259999999997</v>
      </c>
      <c r="Z743">
        <v>5.687296E-2</v>
      </c>
      <c r="AA743">
        <v>0.95920479999999997</v>
      </c>
      <c r="AB743">
        <v>35</v>
      </c>
      <c r="AC743">
        <v>4.6702000000000199</v>
      </c>
      <c r="AD743">
        <v>-1.1039128481589999</v>
      </c>
      <c r="AE743">
        <v>-18.412299999999899</v>
      </c>
      <c r="AF743">
        <v>-5.3239021955180501</v>
      </c>
      <c r="AG743">
        <v>-1.1039128481589999</v>
      </c>
      <c r="AH743">
        <v>18.167406786300599</v>
      </c>
      <c r="AI743">
        <v>93.337204046573007</v>
      </c>
      <c r="AJ743">
        <v>106.33305906265799</v>
      </c>
      <c r="AK743">
        <v>18.9635763373551</v>
      </c>
      <c r="AL743">
        <v>82.911886802522801</v>
      </c>
      <c r="AM743">
        <v>95.070996718288598</v>
      </c>
      <c r="AN743">
        <v>0.99999999119860195</v>
      </c>
    </row>
    <row r="744" spans="1:40" x14ac:dyDescent="0.3">
      <c r="A744" t="str">
        <f>"20200111150304601"</f>
        <v>20200111150304601</v>
      </c>
      <c r="B744" t="str">
        <f>"1578726184597710"</f>
        <v>1578726184597710</v>
      </c>
      <c r="C744" t="s">
        <v>40</v>
      </c>
      <c r="D744">
        <v>5.717625</v>
      </c>
      <c r="E744">
        <v>0.42430610000000002</v>
      </c>
      <c r="F744" t="s">
        <v>53</v>
      </c>
      <c r="G744">
        <v>-486.29829999999998</v>
      </c>
      <c r="H744" s="1">
        <v>5.2518579999999998E-6</v>
      </c>
      <c r="I744">
        <v>228.3015</v>
      </c>
      <c r="J744">
        <v>-490.92540000000002</v>
      </c>
      <c r="K744">
        <v>1.1040479999999999</v>
      </c>
      <c r="L744">
        <v>246.2285</v>
      </c>
      <c r="M744">
        <v>-3.6450620000000003E-2</v>
      </c>
      <c r="N744">
        <v>0</v>
      </c>
      <c r="O744">
        <v>-0.99924959999999996</v>
      </c>
      <c r="P744">
        <v>5.3111640000000002E-2</v>
      </c>
      <c r="Q744">
        <v>0.1100788</v>
      </c>
      <c r="R744">
        <v>-0.99250309999999997</v>
      </c>
      <c r="S744">
        <v>0.76507569999999903</v>
      </c>
      <c r="T744">
        <v>-0.18282880000000001</v>
      </c>
      <c r="U744">
        <v>-3.003174</v>
      </c>
      <c r="V744">
        <v>-8.9214409999999994E-2</v>
      </c>
      <c r="W744">
        <v>0.1230866</v>
      </c>
      <c r="X744">
        <v>0.98837770000000003</v>
      </c>
      <c r="Y744">
        <v>-0.2816071</v>
      </c>
      <c r="Z744">
        <v>5.8543970000000001E-2</v>
      </c>
      <c r="AA744">
        <v>0.95774219999999999</v>
      </c>
      <c r="AB744">
        <v>35</v>
      </c>
      <c r="AC744">
        <v>4.6271000000000404</v>
      </c>
      <c r="AD744">
        <v>-1.1040427481420001</v>
      </c>
      <c r="AE744">
        <v>-17.9269999999999</v>
      </c>
      <c r="AF744">
        <v>-5.2588311258650604</v>
      </c>
      <c r="AG744">
        <v>-1.1040427481420001</v>
      </c>
      <c r="AH744">
        <v>17.6835290408033</v>
      </c>
      <c r="AI744">
        <v>93.424680302961505</v>
      </c>
      <c r="AJ744">
        <v>106.561732371592</v>
      </c>
      <c r="AK744">
        <v>18.481921289114499</v>
      </c>
      <c r="AL744">
        <v>82.929727262502794</v>
      </c>
      <c r="AM744">
        <v>95.157739156336604</v>
      </c>
      <c r="AN744">
        <v>0.99999999995424804</v>
      </c>
    </row>
    <row r="745" spans="1:40" x14ac:dyDescent="0.3">
      <c r="A745" t="str">
        <f>"20200111150304616"</f>
        <v>20200111150304616</v>
      </c>
      <c r="B745" t="str">
        <f>"1578726184607469"</f>
        <v>1578726184607469</v>
      </c>
      <c r="C745" t="s">
        <v>40</v>
      </c>
      <c r="D745">
        <v>5.6691440000000002</v>
      </c>
      <c r="E745">
        <v>0.42455490000000001</v>
      </c>
      <c r="F745" t="s">
        <v>53</v>
      </c>
      <c r="G745">
        <v>-486.29899999999998</v>
      </c>
      <c r="H745" s="1">
        <v>5.2041369999999901E-6</v>
      </c>
      <c r="I745">
        <v>228.14689999999999</v>
      </c>
      <c r="J745">
        <v>-490.93380000000002</v>
      </c>
      <c r="K745">
        <v>1.104231</v>
      </c>
      <c r="L745">
        <v>245.9907</v>
      </c>
      <c r="M745">
        <v>-3.6083039999999997E-2</v>
      </c>
      <c r="N745">
        <v>0</v>
      </c>
      <c r="O745">
        <v>-0.99926280000000001</v>
      </c>
      <c r="P745">
        <v>5.4425800000000003E-2</v>
      </c>
      <c r="Q745">
        <v>0.10980570000000001</v>
      </c>
      <c r="R745">
        <v>-0.99246190000000001</v>
      </c>
      <c r="S745">
        <v>0.76806640000000004</v>
      </c>
      <c r="T745">
        <v>-0.1832926</v>
      </c>
      <c r="U745">
        <v>-3.0018919999999998</v>
      </c>
      <c r="V745">
        <v>-9.0217980000000003E-2</v>
      </c>
      <c r="W745">
        <v>0.1227738</v>
      </c>
      <c r="X745">
        <v>0.98832549999999997</v>
      </c>
      <c r="Y745">
        <v>-0.28224529999999998</v>
      </c>
      <c r="Z745">
        <v>5.8704640000000002E-2</v>
      </c>
      <c r="AA745">
        <v>0.95754439999999996</v>
      </c>
      <c r="AB745">
        <v>35</v>
      </c>
      <c r="AC745">
        <v>4.6347999999999798</v>
      </c>
      <c r="AD745">
        <v>-1.104225795863</v>
      </c>
      <c r="AE745">
        <v>-17.843800000000002</v>
      </c>
      <c r="AF745">
        <v>-5.2568364803011196</v>
      </c>
      <c r="AG745">
        <v>-1.104225795863</v>
      </c>
      <c r="AH745">
        <v>17.601780327999201</v>
      </c>
      <c r="AI745">
        <v>93.439925574857398</v>
      </c>
      <c r="AJ745">
        <v>106.628448845509</v>
      </c>
      <c r="AK745">
        <v>18.403160465094398</v>
      </c>
      <c r="AL745">
        <v>82.947786297887205</v>
      </c>
      <c r="AM745">
        <v>95.215714141785298</v>
      </c>
      <c r="AN745">
        <v>0.99999999191598499</v>
      </c>
    </row>
    <row r="746" spans="1:40" x14ac:dyDescent="0.3">
      <c r="A746" t="str">
        <f>"20200111150304630"</f>
        <v>20200111150304630</v>
      </c>
      <c r="B746" t="str">
        <f>"1578726184618207"</f>
        <v>1578726184618207</v>
      </c>
      <c r="C746" t="s">
        <v>40</v>
      </c>
      <c r="D746">
        <v>5.723935</v>
      </c>
      <c r="E746">
        <v>0.4245989</v>
      </c>
      <c r="F746" t="s">
        <v>53</v>
      </c>
      <c r="G746">
        <v>-486.29450000000003</v>
      </c>
      <c r="H746" s="1">
        <v>5.128843E-6</v>
      </c>
      <c r="I746">
        <v>227.90770000000001</v>
      </c>
      <c r="J746">
        <v>-490.94170000000003</v>
      </c>
      <c r="K746">
        <v>1.104441</v>
      </c>
      <c r="L746">
        <v>245.76439999999999</v>
      </c>
      <c r="M746">
        <v>-3.5571779999999997E-2</v>
      </c>
      <c r="N746">
        <v>0</v>
      </c>
      <c r="O746">
        <v>-0.99928119999999998</v>
      </c>
      <c r="P746">
        <v>5.458615E-2</v>
      </c>
      <c r="Q746">
        <v>0.10985830000000001</v>
      </c>
      <c r="R746">
        <v>-0.99244750000000004</v>
      </c>
      <c r="S746">
        <v>0.76986690000000002</v>
      </c>
      <c r="T746">
        <v>-0.1832423</v>
      </c>
      <c r="U746">
        <v>-3.0008089999999998</v>
      </c>
      <c r="V746">
        <v>-8.9933689999999997E-2</v>
      </c>
      <c r="W746">
        <v>0.1227823</v>
      </c>
      <c r="X746">
        <v>0.98835030000000001</v>
      </c>
      <c r="Y746">
        <v>-0.28237669999999998</v>
      </c>
      <c r="Z746">
        <v>5.8705229999999997E-2</v>
      </c>
      <c r="AA746">
        <v>0.95750559999999996</v>
      </c>
      <c r="AB746">
        <v>35</v>
      </c>
      <c r="AC746">
        <v>4.64719999999999</v>
      </c>
      <c r="AD746">
        <v>-1.1044358711569999</v>
      </c>
      <c r="AE746">
        <v>-17.856699999999901</v>
      </c>
      <c r="AF746">
        <v>-5.2606598860714398</v>
      </c>
      <c r="AG746">
        <v>-1.1044358711569999</v>
      </c>
      <c r="AH746">
        <v>17.616956356385302</v>
      </c>
      <c r="AI746">
        <v>93.437659521210506</v>
      </c>
      <c r="AJ746">
        <v>106.626331850927</v>
      </c>
      <c r="AK746">
        <v>18.418780423611299</v>
      </c>
      <c r="AL746">
        <v>82.947295193416494</v>
      </c>
      <c r="AM746">
        <v>95.199239139209993</v>
      </c>
      <c r="AN746">
        <v>0.99999993865019599</v>
      </c>
    </row>
    <row r="747" spans="1:40" x14ac:dyDescent="0.3">
      <c r="A747" t="str">
        <f>"20200111150304644"</f>
        <v>20200111150304644</v>
      </c>
      <c r="B747" t="str">
        <f>"1578726184637391"</f>
        <v>1578726184637391</v>
      </c>
      <c r="C747" t="s">
        <v>40</v>
      </c>
      <c r="D747">
        <v>5.7037209999999998</v>
      </c>
      <c r="E747">
        <v>0.42468679999999998</v>
      </c>
      <c r="F747" t="s">
        <v>53</v>
      </c>
      <c r="G747">
        <v>-486.2885</v>
      </c>
      <c r="H747" s="1">
        <v>5.046819E-6</v>
      </c>
      <c r="I747">
        <v>227.6481</v>
      </c>
      <c r="J747">
        <v>-490.94909999999999</v>
      </c>
      <c r="K747">
        <v>1.1046940000000001</v>
      </c>
      <c r="L747">
        <v>245.5395</v>
      </c>
      <c r="M747">
        <v>-3.482801E-2</v>
      </c>
      <c r="N747">
        <v>0</v>
      </c>
      <c r="O747">
        <v>-0.99930719999999995</v>
      </c>
      <c r="P747">
        <v>5.277341E-2</v>
      </c>
      <c r="Q747">
        <v>0.11033270000000001</v>
      </c>
      <c r="R747">
        <v>-0.9924925</v>
      </c>
      <c r="S747">
        <v>0.7707214</v>
      </c>
      <c r="T747">
        <v>-0.18293470000000001</v>
      </c>
      <c r="U747">
        <v>-3.0007169999999999</v>
      </c>
      <c r="V747">
        <v>-8.7461570000000002E-2</v>
      </c>
      <c r="W747">
        <v>0.123212</v>
      </c>
      <c r="X747">
        <v>0.98851869999999997</v>
      </c>
      <c r="Y747">
        <v>-0.28192699999999998</v>
      </c>
      <c r="Z747">
        <v>5.8613070000000003E-2</v>
      </c>
      <c r="AA747">
        <v>0.95764380000000005</v>
      </c>
      <c r="AB747">
        <v>35</v>
      </c>
      <c r="AC747">
        <v>4.6605999999999801</v>
      </c>
      <c r="AD747">
        <v>-1.104688953181</v>
      </c>
      <c r="AE747">
        <v>-17.891400000000001</v>
      </c>
      <c r="AF747">
        <v>-5.2621611686724803</v>
      </c>
      <c r="AG747">
        <v>-1.104688953181</v>
      </c>
      <c r="AH747">
        <v>17.655179947204299</v>
      </c>
      <c r="AI747">
        <v>93.431545435188596</v>
      </c>
      <c r="AJ747">
        <v>106.596791355538</v>
      </c>
      <c r="AK747">
        <v>18.455786540175598</v>
      </c>
      <c r="AL747">
        <v>82.922487061063805</v>
      </c>
      <c r="AM747">
        <v>95.056215579959598</v>
      </c>
      <c r="AN747">
        <v>0.99999997171027699</v>
      </c>
    </row>
    <row r="748" spans="1:40" x14ac:dyDescent="0.3">
      <c r="A748" t="str">
        <f>"20200111150304657"</f>
        <v>20200111150304657</v>
      </c>
      <c r="B748" t="str">
        <f>"1578726184648127"</f>
        <v>1578726184648127</v>
      </c>
      <c r="C748" t="s">
        <v>40</v>
      </c>
      <c r="D748">
        <v>5.7377449999999897</v>
      </c>
      <c r="E748">
        <v>0.42469400000000002</v>
      </c>
      <c r="F748" t="s">
        <v>53</v>
      </c>
      <c r="G748">
        <v>-486.24759999999998</v>
      </c>
      <c r="H748" s="1">
        <v>4.8684499999999999E-6</v>
      </c>
      <c r="I748">
        <v>227.10740000000001</v>
      </c>
      <c r="J748">
        <v>-490.9556</v>
      </c>
      <c r="K748">
        <v>1.1049370000000001</v>
      </c>
      <c r="L748">
        <v>245.33629999999999</v>
      </c>
      <c r="M748">
        <v>-3.3985769999999998E-2</v>
      </c>
      <c r="N748">
        <v>0</v>
      </c>
      <c r="O748">
        <v>-0.99933620000000001</v>
      </c>
      <c r="P748">
        <v>5.1445930000000001E-2</v>
      </c>
      <c r="Q748">
        <v>0.1109549</v>
      </c>
      <c r="R748">
        <v>-0.99249339999999997</v>
      </c>
      <c r="S748">
        <v>0.76571659999999997</v>
      </c>
      <c r="T748">
        <v>-0.17991679999999999</v>
      </c>
      <c r="U748">
        <v>-3.0019680000000002</v>
      </c>
      <c r="V748">
        <v>-8.5373599999999994E-2</v>
      </c>
      <c r="W748">
        <v>0.1237945</v>
      </c>
      <c r="X748">
        <v>0.98862850000000002</v>
      </c>
      <c r="Y748">
        <v>-0.27953679999999997</v>
      </c>
      <c r="Z748">
        <v>5.7661150000000001E-2</v>
      </c>
      <c r="AA748">
        <v>0.95840199999999998</v>
      </c>
      <c r="AB748">
        <v>35</v>
      </c>
      <c r="AC748">
        <v>4.7080000000000197</v>
      </c>
      <c r="AD748">
        <v>-1.10493213155</v>
      </c>
      <c r="AE748">
        <v>-18.2288999999999</v>
      </c>
      <c r="AF748">
        <v>-5.3065786520917104</v>
      </c>
      <c r="AG748">
        <v>-1.10493213155</v>
      </c>
      <c r="AH748">
        <v>17.996363239199901</v>
      </c>
      <c r="AI748">
        <v>93.3702940151219</v>
      </c>
      <c r="AJ748">
        <v>106.429180547347</v>
      </c>
      <c r="AK748">
        <v>18.794939261497799</v>
      </c>
      <c r="AL748">
        <v>82.888855133070805</v>
      </c>
      <c r="AM748">
        <v>94.935566649342206</v>
      </c>
      <c r="AN748">
        <v>1.0000000204097299</v>
      </c>
    </row>
    <row r="749" spans="1:40" x14ac:dyDescent="0.3">
      <c r="A749" t="str">
        <f>"20200111150304671"</f>
        <v>20200111150304671</v>
      </c>
      <c r="B749" t="str">
        <f>"1578726184667648"</f>
        <v>1578726184667648</v>
      </c>
      <c r="C749" t="s">
        <v>40</v>
      </c>
      <c r="D749">
        <v>5.7026620000000001</v>
      </c>
      <c r="E749">
        <v>0.42481550000000001</v>
      </c>
      <c r="F749" t="s">
        <v>53</v>
      </c>
      <c r="G749">
        <v>-486.18639999999999</v>
      </c>
      <c r="H749" s="1">
        <v>4.6803279999999998E-6</v>
      </c>
      <c r="I749">
        <v>226.55279999999999</v>
      </c>
      <c r="J749">
        <v>-490.9622</v>
      </c>
      <c r="K749">
        <v>1.1052249999999999</v>
      </c>
      <c r="L749">
        <v>245.1147</v>
      </c>
      <c r="M749">
        <v>-3.291322E-2</v>
      </c>
      <c r="N749">
        <v>0</v>
      </c>
      <c r="O749">
        <v>-0.99937180000000003</v>
      </c>
      <c r="P749">
        <v>5.0317870000000001E-2</v>
      </c>
      <c r="Q749">
        <v>0.111667</v>
      </c>
      <c r="R749">
        <v>-0.9924712</v>
      </c>
      <c r="S749">
        <v>0.7624512</v>
      </c>
      <c r="T749">
        <v>-0.17664540000000001</v>
      </c>
      <c r="U749">
        <v>-3.0029140000000001</v>
      </c>
      <c r="V749">
        <v>-8.3268560000000005E-2</v>
      </c>
      <c r="W749">
        <v>0.1244654</v>
      </c>
      <c r="X749">
        <v>0.98872380000000004</v>
      </c>
      <c r="Y749">
        <v>-0.27746939999999998</v>
      </c>
      <c r="Z749">
        <v>5.6626919999999997E-2</v>
      </c>
      <c r="AA749">
        <v>0.95906420000000003</v>
      </c>
      <c r="AB749">
        <v>35</v>
      </c>
      <c r="AC749">
        <v>4.7758000000000003</v>
      </c>
      <c r="AD749">
        <v>-1.1052203196720001</v>
      </c>
      <c r="AE749">
        <v>-18.561900000000001</v>
      </c>
      <c r="AF749">
        <v>-5.3663526787665399</v>
      </c>
      <c r="AG749">
        <v>-1.1052203196720001</v>
      </c>
      <c r="AH749">
        <v>18.333678400668401</v>
      </c>
      <c r="AI749">
        <v>93.311218889221095</v>
      </c>
      <c r="AJ749">
        <v>106.314998164957</v>
      </c>
      <c r="AK749">
        <v>19.134863906677101</v>
      </c>
      <c r="AL749">
        <v>82.850115786028695</v>
      </c>
      <c r="AM749">
        <v>94.813988690937407</v>
      </c>
      <c r="AN749">
        <v>1.0000000207840301</v>
      </c>
    </row>
    <row r="750" spans="1:40" x14ac:dyDescent="0.3">
      <c r="A750" t="str">
        <f>"20200111150304687"</f>
        <v>20200111150304687</v>
      </c>
      <c r="B750" t="str">
        <f>"1578726184677407"</f>
        <v>1578726184677407</v>
      </c>
      <c r="C750" t="s">
        <v>40</v>
      </c>
      <c r="D750">
        <v>5.7089509999999999</v>
      </c>
      <c r="E750">
        <v>0.42484430000000001</v>
      </c>
      <c r="F750" t="s">
        <v>53</v>
      </c>
      <c r="G750">
        <v>-486.17860000000002</v>
      </c>
      <c r="H750" s="1">
        <v>4.5897299999999998E-6</v>
      </c>
      <c r="I750">
        <v>226.1711</v>
      </c>
      <c r="J750">
        <v>-490.96949999999998</v>
      </c>
      <c r="K750">
        <v>1.1055969999999999</v>
      </c>
      <c r="L750">
        <v>244.85669999999999</v>
      </c>
      <c r="M750">
        <v>-3.1363200000000001E-2</v>
      </c>
      <c r="N750">
        <v>0</v>
      </c>
      <c r="O750">
        <v>-0.99942140000000002</v>
      </c>
      <c r="P750">
        <v>4.8430349999999997E-2</v>
      </c>
      <c r="Q750">
        <v>0.1136996</v>
      </c>
      <c r="R750">
        <v>-0.99233419999999894</v>
      </c>
      <c r="S750">
        <v>0.75857540000000001</v>
      </c>
      <c r="T750">
        <v>-0.175263</v>
      </c>
      <c r="U750">
        <v>-3.004013</v>
      </c>
      <c r="V750">
        <v>-7.9954700000000004E-2</v>
      </c>
      <c r="W750">
        <v>0.12645380000000001</v>
      </c>
      <c r="X750">
        <v>0.98874499999999999</v>
      </c>
      <c r="Y750">
        <v>-0.27473789999999998</v>
      </c>
      <c r="Z750">
        <v>5.6200939999999998E-2</v>
      </c>
      <c r="AA750">
        <v>0.95987529999999999</v>
      </c>
      <c r="AB750">
        <v>35</v>
      </c>
      <c r="AC750">
        <v>4.7908999999999597</v>
      </c>
      <c r="AD750">
        <v>-1.1055924102700001</v>
      </c>
      <c r="AE750">
        <v>-18.685599999999901</v>
      </c>
      <c r="AF750">
        <v>-5.3570362417371999</v>
      </c>
      <c r="AG750">
        <v>-1.1055924102700001</v>
      </c>
      <c r="AH750">
        <v>18.465477437756199</v>
      </c>
      <c r="AI750">
        <v>93.291028139845295</v>
      </c>
      <c r="AJ750">
        <v>106.17801991393399</v>
      </c>
      <c r="AK750">
        <v>19.258609214510201</v>
      </c>
      <c r="AL750">
        <v>82.735281324935599</v>
      </c>
      <c r="AM750">
        <v>94.623154072629802</v>
      </c>
      <c r="AN750">
        <v>0.99999999630576397</v>
      </c>
    </row>
    <row r="751" spans="1:40" x14ac:dyDescent="0.3">
      <c r="A751" t="str">
        <f>"20200111150304700"</f>
        <v>20200111150304700</v>
      </c>
      <c r="B751" t="str">
        <f>"1578726184697903"</f>
        <v>1578726184697903</v>
      </c>
      <c r="C751" t="s">
        <v>40</v>
      </c>
      <c r="D751">
        <v>5.6917410000000004</v>
      </c>
      <c r="E751">
        <v>0.4248381</v>
      </c>
      <c r="F751" t="s">
        <v>53</v>
      </c>
      <c r="G751">
        <v>-486.04539999999997</v>
      </c>
      <c r="H751" s="1">
        <v>4.3434940000000003E-6</v>
      </c>
      <c r="I751">
        <v>225.19110000000001</v>
      </c>
      <c r="J751">
        <v>-490.97430000000003</v>
      </c>
      <c r="K751">
        <v>1.1058829999999999</v>
      </c>
      <c r="L751">
        <v>244.6628</v>
      </c>
      <c r="M751">
        <v>-2.99279E-2</v>
      </c>
      <c r="N751">
        <v>0</v>
      </c>
      <c r="O751">
        <v>-0.99946539999999995</v>
      </c>
      <c r="P751">
        <v>4.8313790000000002E-2</v>
      </c>
      <c r="Q751">
        <v>0.114824</v>
      </c>
      <c r="R751">
        <v>-0.99221029999999999</v>
      </c>
      <c r="S751">
        <v>0.75262450000000003</v>
      </c>
      <c r="T751">
        <v>-0.1689851</v>
      </c>
      <c r="U751">
        <v>-3.005798</v>
      </c>
      <c r="V751">
        <v>-7.8499440000000004E-2</v>
      </c>
      <c r="W751">
        <v>0.12754589999999999</v>
      </c>
      <c r="X751">
        <v>0.98872139999999997</v>
      </c>
      <c r="Y751">
        <v>-0.27145979999999997</v>
      </c>
      <c r="Z751">
        <v>5.420519E-2</v>
      </c>
      <c r="AA751">
        <v>0.9609221</v>
      </c>
      <c r="AB751">
        <v>35</v>
      </c>
      <c r="AC751">
        <v>4.9289000000000502</v>
      </c>
      <c r="AD751">
        <v>-1.1058786565059999</v>
      </c>
      <c r="AE751">
        <v>-19.471699999999998</v>
      </c>
      <c r="AF751">
        <v>-5.4928386738472703</v>
      </c>
      <c r="AG751">
        <v>-1.1058786565059999</v>
      </c>
      <c r="AH751">
        <v>19.257077169443601</v>
      </c>
      <c r="AI751">
        <v>93.160920683915293</v>
      </c>
      <c r="AJ751">
        <v>105.920131473887</v>
      </c>
      <c r="AK751">
        <v>20.055654200492501</v>
      </c>
      <c r="AL751">
        <v>82.672198286189797</v>
      </c>
      <c r="AM751">
        <v>94.539470596803</v>
      </c>
      <c r="AN751">
        <v>1.0000000627525301</v>
      </c>
    </row>
    <row r="752" spans="1:40" x14ac:dyDescent="0.3">
      <c r="A752" t="str">
        <f>"20200111150304714"</f>
        <v>20200111150304714</v>
      </c>
      <c r="B752" t="str">
        <f>"1578726184707665"</f>
        <v>1578726184707665</v>
      </c>
      <c r="C752" t="s">
        <v>40</v>
      </c>
      <c r="D752">
        <v>5.6875809999999998</v>
      </c>
      <c r="E752">
        <v>0.4248094</v>
      </c>
      <c r="F752" t="s">
        <v>53</v>
      </c>
      <c r="G752">
        <v>-485.96559999999999</v>
      </c>
      <c r="H752" s="1">
        <v>4.2052089999999996E-6</v>
      </c>
      <c r="I752">
        <v>224.6456</v>
      </c>
      <c r="J752">
        <v>-490.97919999999999</v>
      </c>
      <c r="K752">
        <v>1.1061939999999999</v>
      </c>
      <c r="L752">
        <v>244.4504</v>
      </c>
      <c r="M752">
        <v>-2.8211900000000002E-2</v>
      </c>
      <c r="N752">
        <v>0</v>
      </c>
      <c r="O752">
        <v>-0.99951489999999998</v>
      </c>
      <c r="P752">
        <v>4.8774629999999999E-2</v>
      </c>
      <c r="Q752">
        <v>0.1159169</v>
      </c>
      <c r="R752">
        <v>-0.99206070000000002</v>
      </c>
      <c r="S752">
        <v>0.75219729999999996</v>
      </c>
      <c r="T752">
        <v>-0.16607930000000001</v>
      </c>
      <c r="U752">
        <v>-3.0061490000000002</v>
      </c>
      <c r="V752">
        <v>-7.7352999999999894E-2</v>
      </c>
      <c r="W752">
        <v>0.12860279999999999</v>
      </c>
      <c r="X752">
        <v>0.98867479999999996</v>
      </c>
      <c r="Y752">
        <v>-0.26966420000000002</v>
      </c>
      <c r="Z752">
        <v>5.3288559999999999E-2</v>
      </c>
      <c r="AA752">
        <v>0.96147879999999997</v>
      </c>
      <c r="AB752">
        <v>35</v>
      </c>
      <c r="AC752">
        <v>5.0135999999999896</v>
      </c>
      <c r="AD752">
        <v>-1.106189794791</v>
      </c>
      <c r="AE752">
        <v>-19.8048</v>
      </c>
      <c r="AF752">
        <v>-5.5540999382051099</v>
      </c>
      <c r="AG752">
        <v>-1.106189794791</v>
      </c>
      <c r="AH752">
        <v>19.598001708432399</v>
      </c>
      <c r="AI752">
        <v>93.108412478536195</v>
      </c>
      <c r="AJ752">
        <v>105.822800801451</v>
      </c>
      <c r="AK752">
        <v>20.3998370814423</v>
      </c>
      <c r="AL752">
        <v>82.611139166337196</v>
      </c>
      <c r="AM752">
        <v>94.4736552639162</v>
      </c>
      <c r="AN752">
        <v>1.0000000134659399</v>
      </c>
    </row>
    <row r="753" spans="1:40" x14ac:dyDescent="0.3">
      <c r="A753" t="str">
        <f>"20200111150304726"</f>
        <v>20200111150304726</v>
      </c>
      <c r="B753" t="str">
        <f>"1578726184717423"</f>
        <v>1578726184717423</v>
      </c>
      <c r="C753" t="s">
        <v>40</v>
      </c>
      <c r="D753">
        <v>5.6919810000000002</v>
      </c>
      <c r="E753">
        <v>0.42483609999999999</v>
      </c>
      <c r="F753" t="s">
        <v>53</v>
      </c>
      <c r="G753">
        <v>-485.8723</v>
      </c>
      <c r="H753" s="1">
        <v>4.0084639999999997E-6</v>
      </c>
      <c r="I753">
        <v>224.06890000000001</v>
      </c>
      <c r="J753">
        <v>-490.98320000000001</v>
      </c>
      <c r="K753">
        <v>1.106476</v>
      </c>
      <c r="L753">
        <v>244.2603</v>
      </c>
      <c r="M753">
        <v>-2.6496240000000001E-2</v>
      </c>
      <c r="N753">
        <v>0</v>
      </c>
      <c r="O753">
        <v>-0.9995619</v>
      </c>
      <c r="P753">
        <v>4.9483600000000003E-2</v>
      </c>
      <c r="Q753">
        <v>0.116963</v>
      </c>
      <c r="R753">
        <v>-0.99190290000000003</v>
      </c>
      <c r="S753">
        <v>0.75320430000000005</v>
      </c>
      <c r="T753">
        <v>-0.16314899999999999</v>
      </c>
      <c r="U753">
        <v>-3.0060120000000001</v>
      </c>
      <c r="V753">
        <v>-7.6447979999999999E-2</v>
      </c>
      <c r="W753">
        <v>0.1296176</v>
      </c>
      <c r="X753">
        <v>0.98861270000000001</v>
      </c>
      <c r="Y753">
        <v>-0.26833659999999998</v>
      </c>
      <c r="Z753">
        <v>5.2364929999999997E-2</v>
      </c>
      <c r="AA753">
        <v>0.96190089999999995</v>
      </c>
      <c r="AB753">
        <v>35</v>
      </c>
      <c r="AC753">
        <v>5.1109000000000098</v>
      </c>
      <c r="AD753">
        <v>-1.106471991536</v>
      </c>
      <c r="AE753">
        <v>-20.191399999999899</v>
      </c>
      <c r="AF753">
        <v>-5.6282643308782099</v>
      </c>
      <c r="AG753">
        <v>-1.106471991536</v>
      </c>
      <c r="AH753">
        <v>19.992457058408199</v>
      </c>
      <c r="AI753">
        <v>93.049473539441607</v>
      </c>
      <c r="AJ753">
        <v>105.722940347106</v>
      </c>
      <c r="AK753">
        <v>20.799037931562701</v>
      </c>
      <c r="AL753">
        <v>82.552504874278398</v>
      </c>
      <c r="AM753">
        <v>94.421799495077295</v>
      </c>
      <c r="AN753">
        <v>1.0000000432385601</v>
      </c>
    </row>
    <row r="754" spans="1:40" x14ac:dyDescent="0.3">
      <c r="A754" t="str">
        <f>"20200111150304744"</f>
        <v>20200111150304744</v>
      </c>
      <c r="B754" t="str">
        <f>"1578726184737919"</f>
        <v>1578726184737919</v>
      </c>
      <c r="C754" t="s">
        <v>40</v>
      </c>
      <c r="D754">
        <v>5.7445659999999998</v>
      </c>
      <c r="E754">
        <v>0.42502450000000003</v>
      </c>
      <c r="F754" t="s">
        <v>53</v>
      </c>
      <c r="G754">
        <v>-485.79239999999999</v>
      </c>
      <c r="H754" s="1">
        <v>3.8468640000000002E-6</v>
      </c>
      <c r="I754">
        <v>223.6044</v>
      </c>
      <c r="J754">
        <v>-490.98820000000001</v>
      </c>
      <c r="K754">
        <v>1.106884</v>
      </c>
      <c r="L754">
        <v>243.9716</v>
      </c>
      <c r="M754">
        <v>-2.3546089999999999E-2</v>
      </c>
      <c r="N754">
        <v>0</v>
      </c>
      <c r="O754">
        <v>-0.9996353</v>
      </c>
      <c r="P754">
        <v>5.2298879999999999E-2</v>
      </c>
      <c r="Q754">
        <v>0.11863650000000001</v>
      </c>
      <c r="R754">
        <v>-0.99155959999999999</v>
      </c>
      <c r="S754">
        <v>0.75534060000000003</v>
      </c>
      <c r="T754">
        <v>-0.1610106</v>
      </c>
      <c r="U754">
        <v>-3.0057830000000001</v>
      </c>
      <c r="V754">
        <v>-7.6466409999999999E-2</v>
      </c>
      <c r="W754">
        <v>0.1312391</v>
      </c>
      <c r="X754">
        <v>0.98839730000000003</v>
      </c>
      <c r="Y754">
        <v>-0.26616220000000002</v>
      </c>
      <c r="Z754">
        <v>5.1701669999999998E-2</v>
      </c>
      <c r="AA754">
        <v>0.96254070000000003</v>
      </c>
      <c r="AB754">
        <v>35</v>
      </c>
      <c r="AC754">
        <v>5.1958000000000197</v>
      </c>
      <c r="AD754">
        <v>-1.106880153136</v>
      </c>
      <c r="AE754">
        <v>-20.3672</v>
      </c>
      <c r="AF754">
        <v>-5.6582784297968303</v>
      </c>
      <c r="AG754">
        <v>-1.106880153136</v>
      </c>
      <c r="AH754">
        <v>20.183231808872399</v>
      </c>
      <c r="AI754">
        <v>93.022737419553394</v>
      </c>
      <c r="AJ754">
        <v>105.660601919569</v>
      </c>
      <c r="AK754">
        <v>20.990572758102399</v>
      </c>
      <c r="AL754">
        <v>82.458799111509293</v>
      </c>
      <c r="AM754">
        <v>94.423821310805707</v>
      </c>
      <c r="AN754">
        <v>1.00000001793719</v>
      </c>
    </row>
    <row r="755" spans="1:40" x14ac:dyDescent="0.3">
      <c r="A755" t="str">
        <f>"20200111150304758"</f>
        <v>20200111150304758</v>
      </c>
      <c r="B755" t="str">
        <f>"1578726184748252"</f>
        <v>1578726184748252</v>
      </c>
      <c r="C755" t="s">
        <v>40</v>
      </c>
      <c r="D755">
        <v>5.6340079999999997</v>
      </c>
      <c r="E755">
        <v>0.45992749999999999</v>
      </c>
      <c r="F755" t="s">
        <v>53</v>
      </c>
      <c r="G755">
        <v>-485.62419999999997</v>
      </c>
      <c r="H755" s="1">
        <v>3.5574480000000001E-6</v>
      </c>
      <c r="I755">
        <v>222.79060000000001</v>
      </c>
      <c r="J755">
        <v>-490.99090000000001</v>
      </c>
      <c r="K755">
        <v>1.107151</v>
      </c>
      <c r="L755">
        <v>243.76759999999999</v>
      </c>
      <c r="M755">
        <v>-2.1245739999999999E-2</v>
      </c>
      <c r="N755">
        <v>0</v>
      </c>
      <c r="O755">
        <v>-0.99968659999999998</v>
      </c>
      <c r="P755">
        <v>5.5441320000000002E-2</v>
      </c>
      <c r="Q755">
        <v>0.1193713</v>
      </c>
      <c r="R755">
        <v>-0.99130059999999998</v>
      </c>
      <c r="S755">
        <v>0.76080319999999901</v>
      </c>
      <c r="T755">
        <v>-0.15699449999999901</v>
      </c>
      <c r="U755">
        <v>-3.0042110000000002</v>
      </c>
      <c r="V755">
        <v>-7.7414999999999998E-2</v>
      </c>
      <c r="W755">
        <v>0.1319331</v>
      </c>
      <c r="X755">
        <v>0.98823110000000003</v>
      </c>
      <c r="Y755">
        <v>-0.26572469999999998</v>
      </c>
      <c r="Z755">
        <v>5.0437089999999997E-2</v>
      </c>
      <c r="AA755">
        <v>0.96272869999999999</v>
      </c>
      <c r="AB755">
        <v>35</v>
      </c>
      <c r="AC755">
        <v>5.36670000000003</v>
      </c>
      <c r="AD755">
        <v>-1.107147442552</v>
      </c>
      <c r="AE755">
        <v>-20.976999999999901</v>
      </c>
      <c r="AF755">
        <v>-5.79604558970762</v>
      </c>
      <c r="AG755">
        <v>-1.107147442552</v>
      </c>
      <c r="AH755">
        <v>20.803842997999201</v>
      </c>
      <c r="AI755">
        <v>92.934753068082699</v>
      </c>
      <c r="AJ755">
        <v>105.568079563927</v>
      </c>
      <c r="AK755">
        <v>21.6245185708935</v>
      </c>
      <c r="AL755">
        <v>82.418687422794207</v>
      </c>
      <c r="AM755">
        <v>94.479228440803695</v>
      </c>
      <c r="AN755">
        <v>1.0000000660538999</v>
      </c>
    </row>
    <row r="756" spans="1:40" x14ac:dyDescent="0.3">
      <c r="A756" t="str">
        <f>"20200111150304771"</f>
        <v>20200111150304771</v>
      </c>
      <c r="B756" t="str">
        <f>"1578726184767763"</f>
        <v>1578726184767763</v>
      </c>
      <c r="C756" t="s">
        <v>40</v>
      </c>
      <c r="D756">
        <v>5.5577500000000004</v>
      </c>
      <c r="E756">
        <v>0.45941890000000002</v>
      </c>
      <c r="F756" t="s">
        <v>53</v>
      </c>
      <c r="G756">
        <v>-488.0532</v>
      </c>
      <c r="H756" s="1">
        <v>4.9292150000000004E-6</v>
      </c>
      <c r="I756">
        <v>225.75280000000001</v>
      </c>
      <c r="J756">
        <v>-490.99329999999998</v>
      </c>
      <c r="K756">
        <v>1.107416</v>
      </c>
      <c r="L756">
        <v>243.5558</v>
      </c>
      <c r="M756">
        <v>-1.8731310000000001E-2</v>
      </c>
      <c r="N756">
        <v>0</v>
      </c>
      <c r="O756">
        <v>-0.99973679999999998</v>
      </c>
      <c r="P756">
        <v>5.8870730000000003E-2</v>
      </c>
      <c r="Q756">
        <v>0.119975</v>
      </c>
      <c r="R756">
        <v>-0.99103019999999997</v>
      </c>
      <c r="S756">
        <v>0.4926758</v>
      </c>
      <c r="T756">
        <v>-0.1856718</v>
      </c>
      <c r="U756">
        <v>-3.0211329999999998</v>
      </c>
      <c r="V756">
        <v>-7.8439120000000001E-2</v>
      </c>
      <c r="W756">
        <v>0.13249359999999999</v>
      </c>
      <c r="X756">
        <v>0.98807529999999999</v>
      </c>
      <c r="Y756">
        <v>-0.17911640000000001</v>
      </c>
      <c r="Z756">
        <v>6.0432039999999999E-2</v>
      </c>
      <c r="AA756">
        <v>0.98197009999999996</v>
      </c>
      <c r="AB756">
        <v>35</v>
      </c>
      <c r="AC756">
        <v>2.94009999999997</v>
      </c>
      <c r="AD756">
        <v>-1.107411070785</v>
      </c>
      <c r="AE756">
        <v>-17.802999999999901</v>
      </c>
      <c r="AF756">
        <v>-3.2608048228672901</v>
      </c>
      <c r="AG756">
        <v>-1.107411070785</v>
      </c>
      <c r="AH756">
        <v>17.678213104612599</v>
      </c>
      <c r="AI756">
        <v>93.525165770752295</v>
      </c>
      <c r="AJ756">
        <v>100.450928399014</v>
      </c>
      <c r="AK756">
        <v>18.010508764180699</v>
      </c>
      <c r="AL756">
        <v>82.386288399157706</v>
      </c>
      <c r="AM756">
        <v>94.538950657569401</v>
      </c>
      <c r="AN756">
        <v>1.0000000240287099</v>
      </c>
    </row>
    <row r="757" spans="1:40" x14ac:dyDescent="0.3">
      <c r="A757" t="str">
        <f>"20200111150304788"</f>
        <v>20200111150304788</v>
      </c>
      <c r="B757" t="str">
        <f>"1578726184777522"</f>
        <v>1578726184777522</v>
      </c>
      <c r="C757" t="s">
        <v>40</v>
      </c>
      <c r="D757">
        <v>5.5943059999999996</v>
      </c>
      <c r="E757">
        <v>0.45947169999999998</v>
      </c>
      <c r="F757" t="s">
        <v>53</v>
      </c>
      <c r="G757">
        <v>-488.44779999999997</v>
      </c>
      <c r="H757" s="1">
        <v>5.8485769999999998E-6</v>
      </c>
      <c r="I757">
        <v>228.38159999999999</v>
      </c>
      <c r="J757">
        <v>-490.99540000000002</v>
      </c>
      <c r="K757">
        <v>1.1077250000000001</v>
      </c>
      <c r="L757">
        <v>243.28819999999999</v>
      </c>
      <c r="M757">
        <v>-1.5311740000000001E-2</v>
      </c>
      <c r="N757">
        <v>0</v>
      </c>
      <c r="O757">
        <v>-0.99979450000000003</v>
      </c>
      <c r="P757">
        <v>6.5648689999999996E-2</v>
      </c>
      <c r="Q757">
        <v>0.12033430000000001</v>
      </c>
      <c r="R757">
        <v>-0.99056040000000001</v>
      </c>
      <c r="S757">
        <v>0.50723269999999998</v>
      </c>
      <c r="T757">
        <v>-0.2206687</v>
      </c>
      <c r="U757">
        <v>-3.0237120000000002</v>
      </c>
      <c r="V757">
        <v>-8.1926199999999894E-2</v>
      </c>
      <c r="W757">
        <v>0.13278139999999999</v>
      </c>
      <c r="X757">
        <v>0.98775360000000001</v>
      </c>
      <c r="Y757">
        <v>-0.180096799999999</v>
      </c>
      <c r="Z757">
        <v>7.1679699999999999E-2</v>
      </c>
      <c r="AA757">
        <v>0.98103370000000001</v>
      </c>
      <c r="AB757">
        <v>35</v>
      </c>
      <c r="AC757">
        <v>2.5476000000000401</v>
      </c>
      <c r="AD757">
        <v>-1.107719151423</v>
      </c>
      <c r="AE757">
        <v>-14.9065999999999</v>
      </c>
      <c r="AF757">
        <v>-2.7607549731759602</v>
      </c>
      <c r="AG757">
        <v>-1.107719151423</v>
      </c>
      <c r="AH757">
        <v>14.786505607249699</v>
      </c>
      <c r="AI757">
        <v>94.211751671487704</v>
      </c>
      <c r="AJ757">
        <v>100.57579722419599</v>
      </c>
      <c r="AK757">
        <v>15.0827569699167</v>
      </c>
      <c r="AL757">
        <v>82.369651408666499</v>
      </c>
      <c r="AM757">
        <v>94.741370450807395</v>
      </c>
      <c r="AN757">
        <v>0.99999998837267901</v>
      </c>
    </row>
    <row r="758" spans="1:40" x14ac:dyDescent="0.3">
      <c r="A758" t="str">
        <f>"20200111150304801"</f>
        <v>20200111150304801</v>
      </c>
      <c r="B758" t="str">
        <f>"1578726184798019"</f>
        <v>1578726184798019</v>
      </c>
      <c r="C758" t="s">
        <v>40</v>
      </c>
      <c r="D758">
        <v>5.6349720000000003</v>
      </c>
      <c r="E758">
        <v>0.4594974</v>
      </c>
      <c r="F758" t="s">
        <v>53</v>
      </c>
      <c r="G758">
        <v>-488.26249999999999</v>
      </c>
      <c r="H758" s="1">
        <v>5.5707069999999999E-6</v>
      </c>
      <c r="I758">
        <v>227.6438</v>
      </c>
      <c r="J758">
        <v>-490.99599999999998</v>
      </c>
      <c r="K758">
        <v>1.1079349999999999</v>
      </c>
      <c r="L758">
        <v>243.08150000000001</v>
      </c>
      <c r="M758">
        <v>-1.249049E-2</v>
      </c>
      <c r="N758">
        <v>0</v>
      </c>
      <c r="O758">
        <v>-0.99983359999999999</v>
      </c>
      <c r="P758">
        <v>6.9631789999999999E-2</v>
      </c>
      <c r="Q758">
        <v>0.11985170000000001</v>
      </c>
      <c r="R758">
        <v>-0.99034699999999998</v>
      </c>
      <c r="S758">
        <v>0.52749630000000003</v>
      </c>
      <c r="T758">
        <v>-0.21380679999999999</v>
      </c>
      <c r="U758">
        <v>-3.0196079999999998</v>
      </c>
      <c r="V758">
        <v>-8.3178260000000004E-2</v>
      </c>
      <c r="W758">
        <v>0.1322596</v>
      </c>
      <c r="X758">
        <v>0.98771900000000001</v>
      </c>
      <c r="Y758">
        <v>-0.18395990000000001</v>
      </c>
      <c r="Z758">
        <v>6.9494689999999998E-2</v>
      </c>
      <c r="AA758">
        <v>0.98047399999999996</v>
      </c>
      <c r="AB758">
        <v>35</v>
      </c>
      <c r="AC758">
        <v>2.73349999999999</v>
      </c>
      <c r="AD758">
        <v>-1.107929429293</v>
      </c>
      <c r="AE758">
        <v>-15.4377</v>
      </c>
      <c r="AF758">
        <v>-2.9115876260692999</v>
      </c>
      <c r="AG758">
        <v>-1.107929429293</v>
      </c>
      <c r="AH758">
        <v>15.325812042315199</v>
      </c>
      <c r="AI758">
        <v>94.062407033716696</v>
      </c>
      <c r="AJ758">
        <v>100.75682448628601</v>
      </c>
      <c r="AK758">
        <v>15.6392252007875</v>
      </c>
      <c r="AL758">
        <v>82.399814647715004</v>
      </c>
      <c r="AM758">
        <v>94.813661667034296</v>
      </c>
      <c r="AN758">
        <v>1.0000000238448901</v>
      </c>
    </row>
    <row r="759" spans="1:40" x14ac:dyDescent="0.3">
      <c r="A759" t="str">
        <f>"20200111150304814"</f>
        <v>20200111150304814</v>
      </c>
      <c r="B759" t="str">
        <f>"1578726184807779"</f>
        <v>1578726184807779</v>
      </c>
      <c r="C759" t="s">
        <v>40</v>
      </c>
      <c r="D759">
        <v>5.5712460000000004</v>
      </c>
      <c r="E759">
        <v>0.45938570000000001</v>
      </c>
      <c r="F759" t="s">
        <v>53</v>
      </c>
      <c r="G759">
        <v>-488.23020000000002</v>
      </c>
      <c r="H759" s="1">
        <v>5.5579709999999998E-6</v>
      </c>
      <c r="I759">
        <v>227.63040000000001</v>
      </c>
      <c r="J759">
        <v>-490.99599999999998</v>
      </c>
      <c r="K759">
        <v>1.1081240000000001</v>
      </c>
      <c r="L759">
        <v>242.8801</v>
      </c>
      <c r="M759">
        <v>-9.6691569999999994E-3</v>
      </c>
      <c r="N759">
        <v>0</v>
      </c>
      <c r="O759">
        <v>-0.9998648</v>
      </c>
      <c r="P759">
        <v>7.3491780000000007E-2</v>
      </c>
      <c r="Q759">
        <v>0.11930689999999999</v>
      </c>
      <c r="R759">
        <v>-0.99013370000000001</v>
      </c>
      <c r="S759">
        <v>0.54013059999999902</v>
      </c>
      <c r="T759">
        <v>-0.21636910000000001</v>
      </c>
      <c r="U759">
        <v>-3.0174560000000001</v>
      </c>
      <c r="V759">
        <v>-8.4301020000000004E-2</v>
      </c>
      <c r="W759">
        <v>0.13167779999999901</v>
      </c>
      <c r="X759">
        <v>0.98770150000000001</v>
      </c>
      <c r="Y759">
        <v>-0.1852751</v>
      </c>
      <c r="Z759">
        <v>7.034174E-2</v>
      </c>
      <c r="AA759">
        <v>0.98016590000000003</v>
      </c>
      <c r="AB759">
        <v>35</v>
      </c>
      <c r="AC759">
        <v>2.7657999999999499</v>
      </c>
      <c r="AD759">
        <v>-1.10811844202899</v>
      </c>
      <c r="AE759">
        <v>-15.249699999999899</v>
      </c>
      <c r="AF759">
        <v>-2.8983191566576898</v>
      </c>
      <c r="AG759">
        <v>-1.10811844202899</v>
      </c>
      <c r="AH759">
        <v>15.144820794769799</v>
      </c>
      <c r="AI759">
        <v>94.110438122032207</v>
      </c>
      <c r="AJ759">
        <v>100.833908286647</v>
      </c>
      <c r="AK759">
        <v>15.459423576611901</v>
      </c>
      <c r="AL759">
        <v>82.433443112398905</v>
      </c>
      <c r="AM759">
        <v>94.878412144180302</v>
      </c>
      <c r="AN759">
        <v>0.99999997904406501</v>
      </c>
    </row>
    <row r="760" spans="1:40" x14ac:dyDescent="0.3">
      <c r="A760" t="str">
        <f>"20200111150304826"</f>
        <v>20200111150304826</v>
      </c>
      <c r="B760" t="str">
        <f>"1578726184817539"</f>
        <v>1578726184817539</v>
      </c>
      <c r="C760" t="s">
        <v>40</v>
      </c>
      <c r="D760">
        <v>5.5874949999999997</v>
      </c>
      <c r="E760">
        <v>0.45926539999999999</v>
      </c>
      <c r="F760" t="s">
        <v>53</v>
      </c>
      <c r="G760">
        <v>-488.20580000000001</v>
      </c>
      <c r="H760" s="1">
        <v>5.5690689999999898E-6</v>
      </c>
      <c r="I760">
        <v>227.68719999999999</v>
      </c>
      <c r="J760">
        <v>-490.99560000000002</v>
      </c>
      <c r="K760">
        <v>1.108295</v>
      </c>
      <c r="L760">
        <v>242.6841</v>
      </c>
      <c r="M760">
        <v>-6.8391290000000002E-3</v>
      </c>
      <c r="N760">
        <v>0</v>
      </c>
      <c r="O760">
        <v>-0.999888</v>
      </c>
      <c r="P760">
        <v>7.7178049999999998E-2</v>
      </c>
      <c r="Q760">
        <v>0.11893869999999999</v>
      </c>
      <c r="R760">
        <v>-0.98989769999999999</v>
      </c>
      <c r="S760">
        <v>0.55377200000000004</v>
      </c>
      <c r="T760">
        <v>-0.21992500000000001</v>
      </c>
      <c r="U760">
        <v>-3.0152890000000001</v>
      </c>
      <c r="V760">
        <v>-8.5237610000000005E-2</v>
      </c>
      <c r="W760">
        <v>0.13127549999999999</v>
      </c>
      <c r="X760">
        <v>0.98767470000000002</v>
      </c>
      <c r="Y760">
        <v>-0.18689410000000001</v>
      </c>
      <c r="Z760">
        <v>7.150513E-2</v>
      </c>
      <c r="AA760">
        <v>0.97977429999999999</v>
      </c>
      <c r="AB760">
        <v>35</v>
      </c>
      <c r="AC760">
        <v>2.7898000000000098</v>
      </c>
      <c r="AD760">
        <v>-1.1082894309310001</v>
      </c>
      <c r="AE760">
        <v>-14.9969</v>
      </c>
      <c r="AF760">
        <v>-2.8771220426042201</v>
      </c>
      <c r="AG760">
        <v>-1.1082894309310001</v>
      </c>
      <c r="AH760">
        <v>14.8988209973763</v>
      </c>
      <c r="AI760">
        <v>94.177370323625695</v>
      </c>
      <c r="AJ760">
        <v>100.929889635954</v>
      </c>
      <c r="AK760">
        <v>15.214499788774299</v>
      </c>
      <c r="AL760">
        <v>82.456695284160006</v>
      </c>
      <c r="AM760">
        <v>94.932478889058004</v>
      </c>
      <c r="AN760">
        <v>1.00000001003942</v>
      </c>
    </row>
    <row r="761" spans="1:40" x14ac:dyDescent="0.3">
      <c r="A761" t="str">
        <f>"20200111150304844"</f>
        <v>20200111150304844</v>
      </c>
      <c r="B761" t="str">
        <f>"1578726184838034"</f>
        <v>1578726184838034</v>
      </c>
      <c r="C761" t="s">
        <v>40</v>
      </c>
      <c r="D761">
        <v>5.5905589999999998</v>
      </c>
      <c r="E761">
        <v>0.45923589999999997</v>
      </c>
      <c r="F761" t="s">
        <v>53</v>
      </c>
      <c r="G761">
        <v>-488.10849999999999</v>
      </c>
      <c r="H761" s="1">
        <v>5.4302729999999998E-6</v>
      </c>
      <c r="I761">
        <v>227.3227</v>
      </c>
      <c r="J761">
        <v>-490.99369999999999</v>
      </c>
      <c r="K761">
        <v>1.1085160000000001</v>
      </c>
      <c r="L761">
        <v>242.40700000000001</v>
      </c>
      <c r="M761">
        <v>-2.6836E-3</v>
      </c>
      <c r="N761">
        <v>0</v>
      </c>
      <c r="O761">
        <v>-0.99990760000000001</v>
      </c>
      <c r="P761">
        <v>8.3829920000000002E-2</v>
      </c>
      <c r="Q761">
        <v>0.1189795</v>
      </c>
      <c r="R761">
        <v>-0.98935189999999995</v>
      </c>
      <c r="S761">
        <v>0.56619259999999905</v>
      </c>
      <c r="T761">
        <v>-0.2173505</v>
      </c>
      <c r="U761">
        <v>-3.0125890000000002</v>
      </c>
      <c r="V761">
        <v>-8.784525E-2</v>
      </c>
      <c r="W761">
        <v>0.13125609999999999</v>
      </c>
      <c r="X761">
        <v>0.98744880000000002</v>
      </c>
      <c r="Y761">
        <v>-0.18688299999999999</v>
      </c>
      <c r="Z761">
        <v>7.071028E-2</v>
      </c>
      <c r="AA761">
        <v>0.97983410000000004</v>
      </c>
      <c r="AB761">
        <v>35</v>
      </c>
      <c r="AC761">
        <v>2.88519999999999</v>
      </c>
      <c r="AD761">
        <v>-1.1085105697269999</v>
      </c>
      <c r="AE761">
        <v>-15.084300000000001</v>
      </c>
      <c r="AF761">
        <v>-2.91051013562705</v>
      </c>
      <c r="AG761">
        <v>-1.1085105697269999</v>
      </c>
      <c r="AH761">
        <v>14.9983631726467</v>
      </c>
      <c r="AI761">
        <v>94.149839122364497</v>
      </c>
      <c r="AJ761">
        <v>100.982048868154</v>
      </c>
      <c r="AK761">
        <v>15.3183146198069</v>
      </c>
      <c r="AL761">
        <v>82.457816767931405</v>
      </c>
      <c r="AM761">
        <v>95.083754157818603</v>
      </c>
      <c r="AN761">
        <v>1.0000000421780999</v>
      </c>
    </row>
    <row r="762" spans="1:40" x14ac:dyDescent="0.3">
      <c r="A762" t="str">
        <f>"20200111150304867"</f>
        <v>20200111150304867</v>
      </c>
      <c r="B762" t="str">
        <f>"1578726184858121"</f>
        <v>1578726184858121</v>
      </c>
      <c r="C762" t="s">
        <v>40</v>
      </c>
      <c r="D762">
        <v>5.5728759999999999</v>
      </c>
      <c r="E762">
        <v>0.4598179</v>
      </c>
      <c r="F762" t="s">
        <v>53</v>
      </c>
      <c r="G762">
        <v>-488.00889999999998</v>
      </c>
      <c r="H762" s="1">
        <v>5.3356299999999998E-6</v>
      </c>
      <c r="I762">
        <v>227.1027</v>
      </c>
      <c r="J762">
        <v>-490.98970000000003</v>
      </c>
      <c r="K762">
        <v>1.108771</v>
      </c>
      <c r="L762">
        <v>242.05459999999999</v>
      </c>
      <c r="M762">
        <v>2.7674750000000001E-3</v>
      </c>
      <c r="N762">
        <v>0</v>
      </c>
      <c r="O762">
        <v>-0.99990730000000005</v>
      </c>
      <c r="P762">
        <v>9.3450569999999997E-2</v>
      </c>
      <c r="Q762">
        <v>0.1195677</v>
      </c>
      <c r="R762">
        <v>-0.98841849999999998</v>
      </c>
      <c r="S762">
        <v>0.58679199999999998</v>
      </c>
      <c r="T762">
        <v>-0.21792880000000001</v>
      </c>
      <c r="U762">
        <v>-3.008759</v>
      </c>
      <c r="V762">
        <v>-9.2158760000000006E-2</v>
      </c>
      <c r="W762">
        <v>0.13175619999999999</v>
      </c>
      <c r="X762">
        <v>0.98698889999999995</v>
      </c>
      <c r="Y762">
        <v>-0.1882221</v>
      </c>
      <c r="Z762">
        <v>7.0931510000000003E-2</v>
      </c>
      <c r="AA762">
        <v>0.97956169999999998</v>
      </c>
      <c r="AB762">
        <v>35</v>
      </c>
      <c r="AC762">
        <v>2.9808000000000399</v>
      </c>
      <c r="AD762">
        <v>-1.1087656643699999</v>
      </c>
      <c r="AE762">
        <v>-14.951899999999901</v>
      </c>
      <c r="AF762">
        <v>-2.9239416411908601</v>
      </c>
      <c r="AG762">
        <v>-1.1087656643699999</v>
      </c>
      <c r="AH762">
        <v>14.8813875013504</v>
      </c>
      <c r="AI762">
        <v>94.181399560698196</v>
      </c>
      <c r="AJ762">
        <v>101.116050519613</v>
      </c>
      <c r="AK762">
        <v>15.20639635104</v>
      </c>
      <c r="AL762">
        <v>82.428911885506594</v>
      </c>
      <c r="AM762">
        <v>95.334449123586595</v>
      </c>
      <c r="AN762">
        <v>1.0000000110031899</v>
      </c>
    </row>
    <row r="763" spans="1:40" x14ac:dyDescent="0.3">
      <c r="A763" t="str">
        <f>"20200111150304880"</f>
        <v>20200111150304880</v>
      </c>
      <c r="B763" t="str">
        <f>"1578726184877642"</f>
        <v>1578726184877642</v>
      </c>
      <c r="C763" t="s">
        <v>40</v>
      </c>
      <c r="D763">
        <v>5.5477189999999998</v>
      </c>
      <c r="E763">
        <v>0.45994099999999999</v>
      </c>
      <c r="F763" t="s">
        <v>53</v>
      </c>
      <c r="G763">
        <v>-487.91160000000002</v>
      </c>
      <c r="H763" s="1">
        <v>5.2467330000000004E-6</v>
      </c>
      <c r="I763">
        <v>226.89940000000001</v>
      </c>
      <c r="J763">
        <v>-490.98630000000003</v>
      </c>
      <c r="K763">
        <v>1.1088910000000001</v>
      </c>
      <c r="L763">
        <v>241.85669999999999</v>
      </c>
      <c r="M763">
        <v>5.9214890000000003E-3</v>
      </c>
      <c r="N763">
        <v>0</v>
      </c>
      <c r="O763">
        <v>-0.99989340000000004</v>
      </c>
      <c r="P763">
        <v>9.9023449999999999E-2</v>
      </c>
      <c r="Q763">
        <v>0.11957660000000001</v>
      </c>
      <c r="R763">
        <v>-0.98787449999999999</v>
      </c>
      <c r="S763">
        <v>0.61013790000000001</v>
      </c>
      <c r="T763">
        <v>-0.21977940000000001</v>
      </c>
      <c r="U763">
        <v>-3.0040589999999998</v>
      </c>
      <c r="V763">
        <v>-9.4654279999999993E-2</v>
      </c>
      <c r="W763">
        <v>0.1317161</v>
      </c>
      <c r="X763">
        <v>0.98675809999999997</v>
      </c>
      <c r="Y763">
        <v>-0.19272359999999999</v>
      </c>
      <c r="Z763">
        <v>7.1553389999999994E-2</v>
      </c>
      <c r="AA763">
        <v>0.97864070000000003</v>
      </c>
      <c r="AB763">
        <v>35</v>
      </c>
      <c r="AC763">
        <v>3.0747</v>
      </c>
      <c r="AD763">
        <v>-1.108885753267</v>
      </c>
      <c r="AE763">
        <v>-14.957299999999901</v>
      </c>
      <c r="AF763">
        <v>-2.9704045170100999</v>
      </c>
      <c r="AG763">
        <v>-1.108885753267</v>
      </c>
      <c r="AH763">
        <v>14.8966896424515</v>
      </c>
      <c r="AI763">
        <v>94.175257932900195</v>
      </c>
      <c r="AJ763">
        <v>101.276890430294</v>
      </c>
      <c r="AK763">
        <v>15.2303740240348</v>
      </c>
      <c r="AL763">
        <v>82.431229987131999</v>
      </c>
      <c r="AM763">
        <v>95.479304236833798</v>
      </c>
      <c r="AN763">
        <v>1.00000005581856</v>
      </c>
    </row>
    <row r="764" spans="1:40" x14ac:dyDescent="0.3">
      <c r="A764" t="str">
        <f>"20200111150304894"</f>
        <v>20200111150304894</v>
      </c>
      <c r="B764" t="str">
        <f>"1578726184887402"</f>
        <v>1578726184887402</v>
      </c>
      <c r="C764" t="s">
        <v>40</v>
      </c>
      <c r="D764">
        <v>5.5940969999999997</v>
      </c>
      <c r="E764">
        <v>0.45994099999999999</v>
      </c>
      <c r="F764" t="s">
        <v>53</v>
      </c>
      <c r="G764">
        <v>-487.87630000000001</v>
      </c>
      <c r="H764" s="1">
        <v>5.2545149999999996E-6</v>
      </c>
      <c r="I764">
        <v>226.95490000000001</v>
      </c>
      <c r="J764">
        <v>-490.9821</v>
      </c>
      <c r="K764">
        <v>1.1090139999999999</v>
      </c>
      <c r="L764">
        <v>241.6414</v>
      </c>
      <c r="M764">
        <v>9.3993480000000001E-3</v>
      </c>
      <c r="N764">
        <v>0</v>
      </c>
      <c r="O764">
        <v>-0.99986649999999999</v>
      </c>
      <c r="P764">
        <v>0.10493470000000001</v>
      </c>
      <c r="Q764">
        <v>0.1192751</v>
      </c>
      <c r="R764">
        <v>-0.98730079999999998</v>
      </c>
      <c r="S764">
        <v>0.62634279999999998</v>
      </c>
      <c r="T764">
        <v>-0.22331880000000001</v>
      </c>
      <c r="U764">
        <v>-3.0010829999999999</v>
      </c>
      <c r="V764">
        <v>-9.7169290000000005E-2</v>
      </c>
      <c r="W764">
        <v>0.13136199999999901</v>
      </c>
      <c r="X764">
        <v>0.98656080000000002</v>
      </c>
      <c r="Y764">
        <v>-0.1945519</v>
      </c>
      <c r="Z764">
        <v>7.2714669999999995E-2</v>
      </c>
      <c r="AA764">
        <v>0.97819330000000004</v>
      </c>
      <c r="AB764">
        <v>35</v>
      </c>
      <c r="AC764">
        <v>3.1057999999999799</v>
      </c>
      <c r="AD764">
        <v>-1.1090087454849999</v>
      </c>
      <c r="AE764">
        <v>-14.686499999999899</v>
      </c>
      <c r="AF764">
        <v>-2.9514976652196601</v>
      </c>
      <c r="AG764">
        <v>-1.1090087454849999</v>
      </c>
      <c r="AH764">
        <v>14.635167557416599</v>
      </c>
      <c r="AI764">
        <v>94.248212347099496</v>
      </c>
      <c r="AJ764">
        <v>101.401994776203</v>
      </c>
      <c r="AK764">
        <v>14.9709508147952</v>
      </c>
      <c r="AL764">
        <v>82.451696049828001</v>
      </c>
      <c r="AM764">
        <v>95.625088135929204</v>
      </c>
      <c r="AN764">
        <v>1.0000000290298701</v>
      </c>
    </row>
    <row r="765" spans="1:40" x14ac:dyDescent="0.3">
      <c r="A765" t="str">
        <f>"20200111150304906"</f>
        <v>20200111150304906</v>
      </c>
      <c r="B765" t="str">
        <f>"1578726184898138"</f>
        <v>1578726184898138</v>
      </c>
      <c r="C765" t="s">
        <v>40</v>
      </c>
      <c r="D765">
        <v>5.535882</v>
      </c>
      <c r="E765">
        <v>0.4604393</v>
      </c>
      <c r="F765" t="s">
        <v>53</v>
      </c>
      <c r="G765">
        <v>-487.79079999999999</v>
      </c>
      <c r="H765" s="1">
        <v>5.1849629999999999E-6</v>
      </c>
      <c r="I765">
        <v>226.80369999999999</v>
      </c>
      <c r="J765">
        <v>-490.97739999999999</v>
      </c>
      <c r="K765">
        <v>1.1091249999999999</v>
      </c>
      <c r="L765">
        <v>241.4357</v>
      </c>
      <c r="M765">
        <v>1.2777220000000001E-2</v>
      </c>
      <c r="N765">
        <v>0</v>
      </c>
      <c r="O765">
        <v>-0.99982890000000002</v>
      </c>
      <c r="P765">
        <v>0.1105087</v>
      </c>
      <c r="Q765">
        <v>0.119130399999999</v>
      </c>
      <c r="R765">
        <v>-0.98670950000000002</v>
      </c>
      <c r="S765">
        <v>0.64462280000000005</v>
      </c>
      <c r="T765">
        <v>-0.2240154</v>
      </c>
      <c r="U765">
        <v>-2.997147</v>
      </c>
      <c r="V765">
        <v>-9.9447530000000006E-2</v>
      </c>
      <c r="W765">
        <v>0.13116820000000001</v>
      </c>
      <c r="X765">
        <v>0.98635949999999994</v>
      </c>
      <c r="Y765">
        <v>-0.1972004</v>
      </c>
      <c r="Z765">
        <v>7.2964500000000002E-2</v>
      </c>
      <c r="AA765">
        <v>0.97764419999999996</v>
      </c>
      <c r="AB765">
        <v>35</v>
      </c>
      <c r="AC765">
        <v>3.1865999999999901</v>
      </c>
      <c r="AD765">
        <v>-1.1091198150370001</v>
      </c>
      <c r="AE765">
        <v>-14.632</v>
      </c>
      <c r="AF765">
        <v>-2.9830032283707402</v>
      </c>
      <c r="AG765">
        <v>-1.1091198150370001</v>
      </c>
      <c r="AH765">
        <v>14.5914817280305</v>
      </c>
      <c r="AI765">
        <v>94.259022598951205</v>
      </c>
      <c r="AJ765">
        <v>101.554032339031</v>
      </c>
      <c r="AK765">
        <v>14.934516866776301</v>
      </c>
      <c r="AL765">
        <v>82.462896559656798</v>
      </c>
      <c r="AM765">
        <v>95.757265726030695</v>
      </c>
      <c r="AN765">
        <v>0.99999998557729497</v>
      </c>
    </row>
    <row r="766" spans="1:40" x14ac:dyDescent="0.3">
      <c r="A766" t="str">
        <f>"20200111150304923"</f>
        <v>20200111150304923</v>
      </c>
      <c r="B766" t="str">
        <f>"1578726184917658"</f>
        <v>1578726184917658</v>
      </c>
      <c r="C766" t="s">
        <v>40</v>
      </c>
      <c r="D766">
        <v>5.6035240000000002</v>
      </c>
      <c r="E766">
        <v>0.46141690000000002</v>
      </c>
      <c r="F766" t="s">
        <v>53</v>
      </c>
      <c r="G766">
        <v>-487.69200000000001</v>
      </c>
      <c r="H766" s="1">
        <v>5.0679810000000001E-6</v>
      </c>
      <c r="I766">
        <v>226.51089999999999</v>
      </c>
      <c r="J766">
        <v>-490.97059999999999</v>
      </c>
      <c r="K766">
        <v>1.1092569999999999</v>
      </c>
      <c r="L766">
        <v>241.19030000000001</v>
      </c>
      <c r="M766">
        <v>1.6905179999999999E-2</v>
      </c>
      <c r="N766">
        <v>0</v>
      </c>
      <c r="O766">
        <v>-0.99976750000000003</v>
      </c>
      <c r="P766">
        <v>0.1176333</v>
      </c>
      <c r="Q766">
        <v>0.119189</v>
      </c>
      <c r="R766">
        <v>-0.98587849999999999</v>
      </c>
      <c r="S766">
        <v>0.65893550000000001</v>
      </c>
      <c r="T766">
        <v>-0.2224556</v>
      </c>
      <c r="U766">
        <v>-2.9934539999999998</v>
      </c>
      <c r="V766">
        <v>-0.1025499</v>
      </c>
      <c r="W766">
        <v>0.13116249999999999</v>
      </c>
      <c r="X766">
        <v>0.98604259999999999</v>
      </c>
      <c r="Y766">
        <v>-0.1978712</v>
      </c>
      <c r="Z766">
        <v>7.2498209999999993E-2</v>
      </c>
      <c r="AA766">
        <v>0.97754339999999995</v>
      </c>
      <c r="AB766">
        <v>35</v>
      </c>
      <c r="AC766">
        <v>3.2786000000000399</v>
      </c>
      <c r="AD766">
        <v>-1.109251932019</v>
      </c>
      <c r="AE766">
        <v>-14.679399999999999</v>
      </c>
      <c r="AF766">
        <v>-3.0135611282851098</v>
      </c>
      <c r="AG766">
        <v>-1.109251932019</v>
      </c>
      <c r="AH766">
        <v>14.65303735292</v>
      </c>
      <c r="AI766">
        <v>94.240679792673603</v>
      </c>
      <c r="AJ766">
        <v>101.62147715527</v>
      </c>
      <c r="AK766">
        <v>15.0007831191798</v>
      </c>
      <c r="AL766">
        <v>82.463226451326605</v>
      </c>
      <c r="AM766">
        <v>95.937500579485004</v>
      </c>
      <c r="AN766">
        <v>1.0000000462055001</v>
      </c>
    </row>
    <row r="767" spans="1:40" x14ac:dyDescent="0.3">
      <c r="A767" t="str">
        <f>"20200111150304936"</f>
        <v>20200111150304936</v>
      </c>
      <c r="B767" t="str">
        <f>"1578726184927418"</f>
        <v>1578726184927418</v>
      </c>
      <c r="C767" t="s">
        <v>40</v>
      </c>
      <c r="D767">
        <v>5.5632260000000002</v>
      </c>
      <c r="E767">
        <v>0.46183839999999998</v>
      </c>
      <c r="F767" t="s">
        <v>53</v>
      </c>
      <c r="G767">
        <v>-487.51119999999997</v>
      </c>
      <c r="H767" s="1">
        <v>4.8295650000000004E-6</v>
      </c>
      <c r="I767">
        <v>225.89660000000001</v>
      </c>
      <c r="J767">
        <v>-490.96390000000002</v>
      </c>
      <c r="K767">
        <v>1.109383</v>
      </c>
      <c r="L767">
        <v>240.97919999999999</v>
      </c>
      <c r="M767">
        <v>2.053404E-2</v>
      </c>
      <c r="N767">
        <v>0</v>
      </c>
      <c r="O767">
        <v>-0.99969949999999996</v>
      </c>
      <c r="P767">
        <v>0.1221961</v>
      </c>
      <c r="Q767">
        <v>0.11928560000000001</v>
      </c>
      <c r="R767">
        <v>-0.98531190000000002</v>
      </c>
      <c r="S767">
        <v>0.67599489999999995</v>
      </c>
      <c r="T767">
        <v>-0.2167578</v>
      </c>
      <c r="U767">
        <v>-2.9885250000000001</v>
      </c>
      <c r="V767">
        <v>-0.1035797</v>
      </c>
      <c r="W767">
        <v>0.13122310000000001</v>
      </c>
      <c r="X767">
        <v>0.98592690000000005</v>
      </c>
      <c r="Y767">
        <v>-0.19999510000000001</v>
      </c>
      <c r="Z767">
        <v>7.0698200000000003E-2</v>
      </c>
      <c r="AA767">
        <v>0.97724290000000003</v>
      </c>
      <c r="AB767">
        <v>35</v>
      </c>
      <c r="AC767">
        <v>3.4527000000000498</v>
      </c>
      <c r="AD767">
        <v>-1.1093781704350001</v>
      </c>
      <c r="AE767">
        <v>-15.0825999999999</v>
      </c>
      <c r="AF767">
        <v>-3.1261666484644302</v>
      </c>
      <c r="AG767">
        <v>-1.1093781704350001</v>
      </c>
      <c r="AH767">
        <v>15.072838266014401</v>
      </c>
      <c r="AI767">
        <v>94.122032940237702</v>
      </c>
      <c r="AJ767">
        <v>101.717246434358</v>
      </c>
      <c r="AK767">
        <v>15.4335378715458</v>
      </c>
      <c r="AL767">
        <v>82.459724116113605</v>
      </c>
      <c r="AM767">
        <v>95.997390867310202</v>
      </c>
      <c r="AN767">
        <v>1.0000000541846501</v>
      </c>
    </row>
    <row r="768" spans="1:40" x14ac:dyDescent="0.3">
      <c r="A768" t="str">
        <f>"20200111150304949"</f>
        <v>20200111150304949</v>
      </c>
      <c r="B768" t="str">
        <f>"1578726184938154"</f>
        <v>1578726184938154</v>
      </c>
      <c r="C768" t="s">
        <v>40</v>
      </c>
      <c r="D768">
        <v>5.6013089999999996</v>
      </c>
      <c r="E768">
        <v>0.4624973</v>
      </c>
      <c r="F768" t="s">
        <v>53</v>
      </c>
      <c r="G768">
        <v>-487.45949999999999</v>
      </c>
      <c r="H768" s="1">
        <v>4.7845109999999998E-6</v>
      </c>
      <c r="I768">
        <v>225.76750000000001</v>
      </c>
      <c r="J768">
        <v>-490.95699999999999</v>
      </c>
      <c r="K768">
        <v>1.10951</v>
      </c>
      <c r="L768">
        <v>240.77889999999999</v>
      </c>
      <c r="M768">
        <v>2.4034139999999999E-2</v>
      </c>
      <c r="N768">
        <v>0</v>
      </c>
      <c r="O768">
        <v>-0.99962150000000005</v>
      </c>
      <c r="P768">
        <v>0.1262752</v>
      </c>
      <c r="Q768">
        <v>0.119446</v>
      </c>
      <c r="R768">
        <v>-0.98477820000000005</v>
      </c>
      <c r="S768">
        <v>0.68783570000000005</v>
      </c>
      <c r="T768">
        <v>-0.21775059999999999</v>
      </c>
      <c r="U768">
        <v>-2.985779</v>
      </c>
      <c r="V768">
        <v>-0.1042539</v>
      </c>
      <c r="W768">
        <v>0.13135160000000001</v>
      </c>
      <c r="X768">
        <v>0.98583869999999896</v>
      </c>
      <c r="Y768">
        <v>-0.20043630000000001</v>
      </c>
      <c r="Z768">
        <v>7.1041350000000003E-2</v>
      </c>
      <c r="AA768">
        <v>0.97712770000000004</v>
      </c>
      <c r="AB768">
        <v>35</v>
      </c>
      <c r="AC768">
        <v>3.4975000000000001</v>
      </c>
      <c r="AD768">
        <v>-1.1095052154889999</v>
      </c>
      <c r="AE768">
        <v>-15.011399999999901</v>
      </c>
      <c r="AF768">
        <v>-3.1195072591837301</v>
      </c>
      <c r="AG768">
        <v>-1.1095052154889999</v>
      </c>
      <c r="AH768">
        <v>15.013337774074399</v>
      </c>
      <c r="AI768">
        <v>94.138474305301798</v>
      </c>
      <c r="AJ768">
        <v>101.738032170273</v>
      </c>
      <c r="AK768">
        <v>15.3740898423857</v>
      </c>
      <c r="AL768">
        <v>82.452297145021902</v>
      </c>
      <c r="AM768">
        <v>96.036676637300701</v>
      </c>
      <c r="AN768">
        <v>1.0000000304527199</v>
      </c>
    </row>
    <row r="769" spans="1:40" x14ac:dyDescent="0.3">
      <c r="A769" t="str">
        <f>"20200111150304967"</f>
        <v>20200111150304967</v>
      </c>
      <c r="B769" t="str">
        <f>"1578726184957326"</f>
        <v>1578726184957326</v>
      </c>
      <c r="C769" t="s">
        <v>40</v>
      </c>
      <c r="D769">
        <v>5.697559</v>
      </c>
      <c r="E769">
        <v>0.4629703</v>
      </c>
      <c r="F769" t="s">
        <v>53</v>
      </c>
      <c r="G769">
        <v>-487.44330000000002</v>
      </c>
      <c r="H769" s="1">
        <v>4.7647299999999999E-6</v>
      </c>
      <c r="I769">
        <v>225.6943</v>
      </c>
      <c r="J769">
        <v>-490.94560000000001</v>
      </c>
      <c r="K769">
        <v>1.109704</v>
      </c>
      <c r="L769">
        <v>240.4958</v>
      </c>
      <c r="M769">
        <v>2.9154469999999998E-2</v>
      </c>
      <c r="N769">
        <v>0</v>
      </c>
      <c r="O769">
        <v>-0.99948510000000002</v>
      </c>
      <c r="P769">
        <v>0.13176889999999999</v>
      </c>
      <c r="Q769">
        <v>0.12003469999999999</v>
      </c>
      <c r="R769">
        <v>-0.98398640000000004</v>
      </c>
      <c r="S769">
        <v>0.69503780000000004</v>
      </c>
      <c r="T769">
        <v>-0.219472</v>
      </c>
      <c r="U769">
        <v>-2.9838870000000002</v>
      </c>
      <c r="V769">
        <v>-0.10477930000000001</v>
      </c>
      <c r="W769">
        <v>0.13189899999999999</v>
      </c>
      <c r="X769">
        <v>0.98570979999999997</v>
      </c>
      <c r="Y769">
        <v>-0.19778180000000001</v>
      </c>
      <c r="Z769">
        <v>7.1629689999999996E-2</v>
      </c>
      <c r="AA769">
        <v>0.97762550000000004</v>
      </c>
      <c r="AB769">
        <v>35</v>
      </c>
      <c r="AC769">
        <v>3.5022999999999902</v>
      </c>
      <c r="AD769">
        <v>-1.1096992352699999</v>
      </c>
      <c r="AE769">
        <v>-14.801500000000001</v>
      </c>
      <c r="AF769">
        <v>-3.0529918703655299</v>
      </c>
      <c r="AG769">
        <v>-1.1096992352699999</v>
      </c>
      <c r="AH769">
        <v>14.818448257610401</v>
      </c>
      <c r="AI769">
        <v>94.194896532043799</v>
      </c>
      <c r="AJ769">
        <v>101.641552646553</v>
      </c>
      <c r="AK769">
        <v>15.1703197236167</v>
      </c>
      <c r="AL769">
        <v>82.420657387694405</v>
      </c>
      <c r="AM769">
        <v>96.067660302792305</v>
      </c>
      <c r="AN769">
        <v>0.99999992886276201</v>
      </c>
    </row>
    <row r="770" spans="1:40" x14ac:dyDescent="0.3">
      <c r="A770" t="str">
        <f>"20200111150304990"</f>
        <v>20200111150304990</v>
      </c>
      <c r="B770" t="str">
        <f>"1578726184987582"</f>
        <v>1578726184987582</v>
      </c>
      <c r="C770" t="s">
        <v>40</v>
      </c>
      <c r="D770">
        <v>5.6770069999999997</v>
      </c>
      <c r="E770">
        <v>0.4641228</v>
      </c>
      <c r="F770" t="s">
        <v>53</v>
      </c>
      <c r="G770">
        <v>-487.40969999999999</v>
      </c>
      <c r="H770" s="1">
        <v>4.7388049999999998E-6</v>
      </c>
      <c r="I770">
        <v>225.61080000000001</v>
      </c>
      <c r="J770">
        <v>-490.92970000000003</v>
      </c>
      <c r="K770">
        <v>1.109964</v>
      </c>
      <c r="L770">
        <v>240.1542</v>
      </c>
      <c r="M770">
        <v>3.5581960000000003E-2</v>
      </c>
      <c r="N770">
        <v>0</v>
      </c>
      <c r="O770">
        <v>-0.99927650000000001</v>
      </c>
      <c r="P770">
        <v>0.13771149999999999</v>
      </c>
      <c r="Q770">
        <v>0.12218370000000001</v>
      </c>
      <c r="R770">
        <v>-0.98290739999999999</v>
      </c>
      <c r="S770">
        <v>0.70812989999999998</v>
      </c>
      <c r="T770">
        <v>-0.2222431</v>
      </c>
      <c r="U770">
        <v>-2.9810789999999998</v>
      </c>
      <c r="V770">
        <v>-0.10451680000000001</v>
      </c>
      <c r="W770">
        <v>0.13400680000000001</v>
      </c>
      <c r="X770">
        <v>0.98545340000000003</v>
      </c>
      <c r="Y770">
        <v>-0.19573389999999999</v>
      </c>
      <c r="Z770">
        <v>7.2551930000000001E-2</v>
      </c>
      <c r="AA770">
        <v>0.97796959999999999</v>
      </c>
      <c r="AB770">
        <v>35</v>
      </c>
      <c r="AC770">
        <v>3.5200000000000302</v>
      </c>
      <c r="AD770">
        <v>-1.109959261195</v>
      </c>
      <c r="AE770">
        <v>-14.543399999999901</v>
      </c>
      <c r="AF770">
        <v>-2.9838228201423198</v>
      </c>
      <c r="AG770">
        <v>-1.109959261195</v>
      </c>
      <c r="AH770">
        <v>14.579226829344799</v>
      </c>
      <c r="AI770">
        <v>94.265613402556099</v>
      </c>
      <c r="AJ770">
        <v>101.56657436862901</v>
      </c>
      <c r="AK770">
        <v>14.9227699548375</v>
      </c>
      <c r="AL770">
        <v>82.298808074468496</v>
      </c>
      <c r="AM770">
        <v>96.054135270451198</v>
      </c>
      <c r="AN770">
        <v>0.99999999375002002</v>
      </c>
    </row>
    <row r="771" spans="1:40" x14ac:dyDescent="0.3">
      <c r="A771" t="str">
        <f>"20200111150305004"</f>
        <v>20200111150305004</v>
      </c>
      <c r="B771" t="str">
        <f>"1578726184997341"</f>
        <v>1578726184997341</v>
      </c>
      <c r="C771" t="s">
        <v>40</v>
      </c>
      <c r="D771">
        <v>5.6037730000000003</v>
      </c>
      <c r="E771">
        <v>0.46456180000000002</v>
      </c>
      <c r="F771" t="s">
        <v>53</v>
      </c>
      <c r="G771">
        <v>-487.2878</v>
      </c>
      <c r="H771" s="1">
        <v>4.5890179999999997E-6</v>
      </c>
      <c r="I771">
        <v>225.05549999999999</v>
      </c>
      <c r="J771">
        <v>-490.91759999999999</v>
      </c>
      <c r="K771">
        <v>1.1101669999999999</v>
      </c>
      <c r="L771">
        <v>239.92619999999999</v>
      </c>
      <c r="M771">
        <v>4.0094539999999998E-2</v>
      </c>
      <c r="N771">
        <v>0</v>
      </c>
      <c r="O771">
        <v>-0.99910520000000003</v>
      </c>
      <c r="P771">
        <v>0.14140359999999999</v>
      </c>
      <c r="Q771">
        <v>0.1233823</v>
      </c>
      <c r="R771">
        <v>-0.98223300000000002</v>
      </c>
      <c r="S771">
        <v>0.71850590000000003</v>
      </c>
      <c r="T771">
        <v>-0.2189808</v>
      </c>
      <c r="U771">
        <v>-2.9787750000000002</v>
      </c>
      <c r="V771">
        <v>-0.103857199999999</v>
      </c>
      <c r="W771">
        <v>0.13518239999999901</v>
      </c>
      <c r="X771">
        <v>0.98536259999999998</v>
      </c>
      <c r="Y771">
        <v>-0.1947151</v>
      </c>
      <c r="Z771">
        <v>7.1506500000000001E-2</v>
      </c>
      <c r="AA771">
        <v>0.97824990000000001</v>
      </c>
      <c r="AB771">
        <v>35</v>
      </c>
      <c r="AC771">
        <v>3.6297999999999799</v>
      </c>
      <c r="AD771">
        <v>-1.1101624109820001</v>
      </c>
      <c r="AE771">
        <v>-14.870699999999999</v>
      </c>
      <c r="AF771">
        <v>-3.0147356381210502</v>
      </c>
      <c r="AG771">
        <v>-1.1101624109820001</v>
      </c>
      <c r="AH771">
        <v>14.925780606448299</v>
      </c>
      <c r="AI771">
        <v>94.169859729218899</v>
      </c>
      <c r="AJ771">
        <v>101.419070804844</v>
      </c>
      <c r="AK771">
        <v>15.267613377942901</v>
      </c>
      <c r="AL771">
        <v>82.230832880777399</v>
      </c>
      <c r="AM771">
        <v>96.0167593616045</v>
      </c>
      <c r="AN771">
        <v>1.00000002637017</v>
      </c>
    </row>
    <row r="772" spans="1:40" x14ac:dyDescent="0.3">
      <c r="A772" t="str">
        <f>"20200111150305017"</f>
        <v>20200111150305017</v>
      </c>
      <c r="B772" t="str">
        <f>"1578726185008078"</f>
        <v>1578726185008078</v>
      </c>
      <c r="C772" t="s">
        <v>40</v>
      </c>
      <c r="D772">
        <v>5.5314230000000002</v>
      </c>
      <c r="E772">
        <v>0.46509640000000002</v>
      </c>
      <c r="F772" t="s">
        <v>53</v>
      </c>
      <c r="G772">
        <v>-487.20100000000002</v>
      </c>
      <c r="H772" s="1">
        <v>4.4970770000000001E-6</v>
      </c>
      <c r="I772">
        <v>224.7268</v>
      </c>
      <c r="J772">
        <v>-490.90620000000001</v>
      </c>
      <c r="K772">
        <v>1.1103499999999999</v>
      </c>
      <c r="L772">
        <v>239.7294</v>
      </c>
      <c r="M772">
        <v>4.4110240000000002E-2</v>
      </c>
      <c r="N772">
        <v>0</v>
      </c>
      <c r="O772">
        <v>-0.99893580000000004</v>
      </c>
      <c r="P772">
        <v>0.144794899999999</v>
      </c>
      <c r="Q772">
        <v>0.1245018</v>
      </c>
      <c r="R772">
        <v>-0.98159779999999996</v>
      </c>
      <c r="S772">
        <v>0.72787480000000004</v>
      </c>
      <c r="T772">
        <v>-0.21742120000000001</v>
      </c>
      <c r="U772">
        <v>-2.9767610000000002</v>
      </c>
      <c r="V772">
        <v>-0.1033796</v>
      </c>
      <c r="W772">
        <v>0.13628170000000001</v>
      </c>
      <c r="X772">
        <v>0.98526139999999995</v>
      </c>
      <c r="Y772">
        <v>-0.1938394</v>
      </c>
      <c r="Z772">
        <v>7.1008550000000004E-2</v>
      </c>
      <c r="AA772">
        <v>0.97846010000000005</v>
      </c>
      <c r="AB772">
        <v>35</v>
      </c>
      <c r="AC772">
        <v>3.70520000000004</v>
      </c>
      <c r="AD772">
        <v>-1.110345502923</v>
      </c>
      <c r="AE772">
        <v>-15.002599999999999</v>
      </c>
      <c r="AF772">
        <v>-3.0241520471224801</v>
      </c>
      <c r="AG772">
        <v>-1.110345502923</v>
      </c>
      <c r="AH772">
        <v>15.0736275594757</v>
      </c>
      <c r="AI772">
        <v>94.130861312204701</v>
      </c>
      <c r="AJ772">
        <v>101.344381054355</v>
      </c>
      <c r="AK772">
        <v>15.414039397307899</v>
      </c>
      <c r="AL772">
        <v>82.167259359306698</v>
      </c>
      <c r="AM772">
        <v>95.989902850202597</v>
      </c>
      <c r="AN772">
        <v>1.0000000348905</v>
      </c>
    </row>
    <row r="773" spans="1:40" x14ac:dyDescent="0.3">
      <c r="A773" t="str">
        <f>"20200111150305035"</f>
        <v>20200111150305035</v>
      </c>
      <c r="B773" t="str">
        <f>"1578726185027597"</f>
        <v>1578726185027597</v>
      </c>
      <c r="C773" t="s">
        <v>40</v>
      </c>
      <c r="D773">
        <v>5.498043</v>
      </c>
      <c r="E773">
        <v>0.46615299999999998</v>
      </c>
      <c r="F773" t="s">
        <v>53</v>
      </c>
      <c r="G773">
        <v>-487.11700000000002</v>
      </c>
      <c r="H773" s="1">
        <v>4.3801760000000002E-6</v>
      </c>
      <c r="I773">
        <v>224.37790000000001</v>
      </c>
      <c r="J773">
        <v>-490.88869999999997</v>
      </c>
      <c r="K773">
        <v>1.1106240000000001</v>
      </c>
      <c r="L773">
        <v>239.45169999999999</v>
      </c>
      <c r="M773">
        <v>4.9978969999999998E-2</v>
      </c>
      <c r="N773">
        <v>0</v>
      </c>
      <c r="O773">
        <v>-0.99865899999999996</v>
      </c>
      <c r="P773">
        <v>0.1506701</v>
      </c>
      <c r="Q773">
        <v>0.12596940000000001</v>
      </c>
      <c r="R773">
        <v>-0.9805256</v>
      </c>
      <c r="S773">
        <v>0.734375</v>
      </c>
      <c r="T773">
        <v>-0.2151922</v>
      </c>
      <c r="U773">
        <v>-2.9752200000000002</v>
      </c>
      <c r="V773">
        <v>-0.1036103</v>
      </c>
      <c r="W773">
        <v>0.137706299999999</v>
      </c>
      <c r="X773">
        <v>0.985039</v>
      </c>
      <c r="Y773">
        <v>-0.19021930000000001</v>
      </c>
      <c r="Z773">
        <v>7.0297369999999998E-2</v>
      </c>
      <c r="AA773">
        <v>0.97922160000000003</v>
      </c>
      <c r="AB773">
        <v>35</v>
      </c>
      <c r="AC773">
        <v>3.7717000000000001</v>
      </c>
      <c r="AD773">
        <v>-1.1106196198239999</v>
      </c>
      <c r="AE773">
        <v>-15.073799999999901</v>
      </c>
      <c r="AF773">
        <v>-2.9982267525322901</v>
      </c>
      <c r="AG773">
        <v>-1.1106196198239999</v>
      </c>
      <c r="AH773">
        <v>15.1660023832971</v>
      </c>
      <c r="AI773">
        <v>94.109095956487593</v>
      </c>
      <c r="AJ773">
        <v>101.18283059193099</v>
      </c>
      <c r="AK773">
        <v>15.499369919119699</v>
      </c>
      <c r="AL773">
        <v>82.084858431976102</v>
      </c>
      <c r="AM773">
        <v>96.004517784047096</v>
      </c>
      <c r="AN773">
        <v>0.99999997542338903</v>
      </c>
    </row>
    <row r="774" spans="1:40" x14ac:dyDescent="0.3">
      <c r="A774" t="str">
        <f>"20200111150305048"</f>
        <v>20200111150305048</v>
      </c>
      <c r="B774" t="str">
        <f>"1578726185037358"</f>
        <v>1578726185037358</v>
      </c>
      <c r="C774" t="s">
        <v>40</v>
      </c>
      <c r="D774">
        <v>5.6625769999999997</v>
      </c>
      <c r="E774">
        <v>0.46615299999999998</v>
      </c>
      <c r="F774" t="s">
        <v>53</v>
      </c>
      <c r="G774">
        <v>-487.00020000000001</v>
      </c>
      <c r="H774" s="1">
        <v>4.2097840000000003E-6</v>
      </c>
      <c r="I774">
        <v>223.91149999999999</v>
      </c>
      <c r="J774">
        <v>-490.87470000000002</v>
      </c>
      <c r="K774">
        <v>1.1108340000000001</v>
      </c>
      <c r="L774">
        <v>239.24600000000001</v>
      </c>
      <c r="M774">
        <v>5.4479189999999997E-2</v>
      </c>
      <c r="N774">
        <v>0</v>
      </c>
      <c r="O774">
        <v>-0.99842339999999996</v>
      </c>
      <c r="P774">
        <v>0.15584049999999999</v>
      </c>
      <c r="Q774">
        <v>0.12627349999999901</v>
      </c>
      <c r="R774">
        <v>-0.97967820000000005</v>
      </c>
      <c r="S774">
        <v>0.74380489999999999</v>
      </c>
      <c r="T774">
        <v>-0.21244479999999999</v>
      </c>
      <c r="U774">
        <v>-2.97261</v>
      </c>
      <c r="V774">
        <v>-0.10444580000000001</v>
      </c>
      <c r="W774">
        <v>0.13796459999999999</v>
      </c>
      <c r="X774">
        <v>0.98491459999999997</v>
      </c>
      <c r="Y774">
        <v>-0.18893550000000001</v>
      </c>
      <c r="Z774">
        <v>6.9421170000000004E-2</v>
      </c>
      <c r="AA774">
        <v>0.97953259999999998</v>
      </c>
      <c r="AB774">
        <v>35</v>
      </c>
      <c r="AC774">
        <v>3.87450000000001</v>
      </c>
      <c r="AD774">
        <v>-1.110829790216</v>
      </c>
      <c r="AE774">
        <v>-15.334499999999901</v>
      </c>
      <c r="AF774">
        <v>-3.0183689427181601</v>
      </c>
      <c r="AG774">
        <v>-1.110829790216</v>
      </c>
      <c r="AH774">
        <v>15.4466288948684</v>
      </c>
      <c r="AI774">
        <v>94.037195368511902</v>
      </c>
      <c r="AJ774">
        <v>101.056635022908</v>
      </c>
      <c r="AK774">
        <v>15.7779224903972</v>
      </c>
      <c r="AL774">
        <v>82.069916209285793</v>
      </c>
      <c r="AM774">
        <v>96.053338238176394</v>
      </c>
      <c r="AN774">
        <v>0.99999996264197899</v>
      </c>
    </row>
    <row r="775" spans="1:40" x14ac:dyDescent="0.3">
      <c r="A775" t="str">
        <f>"20200111150305061"</f>
        <v>20200111150305061</v>
      </c>
      <c r="B775" t="str">
        <f>"1578726185057486"</f>
        <v>1578726185057486</v>
      </c>
      <c r="C775" t="s">
        <v>40</v>
      </c>
      <c r="D775">
        <v>5.701867</v>
      </c>
      <c r="E775">
        <v>0.46146900000000002</v>
      </c>
      <c r="F775" t="s">
        <v>53</v>
      </c>
      <c r="G775">
        <v>-486.90170000000001</v>
      </c>
      <c r="H775" s="1">
        <v>4.1204079999999998E-6</v>
      </c>
      <c r="I775">
        <v>223.6935</v>
      </c>
      <c r="J775">
        <v>-490.85969999999998</v>
      </c>
      <c r="K775">
        <v>1.1110450000000001</v>
      </c>
      <c r="L775">
        <v>239.0479</v>
      </c>
      <c r="M775">
        <v>5.905204E-2</v>
      </c>
      <c r="N775">
        <v>0</v>
      </c>
      <c r="O775">
        <v>-0.99816300000000002</v>
      </c>
      <c r="P775">
        <v>0.16134589999999999</v>
      </c>
      <c r="Q775">
        <v>0.12635199999999999</v>
      </c>
      <c r="R775">
        <v>-0.97877639999999999</v>
      </c>
      <c r="S775">
        <v>0.75842290000000001</v>
      </c>
      <c r="T775">
        <v>-0.21205199999999999</v>
      </c>
      <c r="U775">
        <v>-2.9689030000000001</v>
      </c>
      <c r="V775">
        <v>-0.10554760000000001</v>
      </c>
      <c r="W775">
        <v>0.13799529999999999</v>
      </c>
      <c r="X775">
        <v>0.98479289999999997</v>
      </c>
      <c r="Y775">
        <v>-0.1892605</v>
      </c>
      <c r="Z775">
        <v>6.9306610000000005E-2</v>
      </c>
      <c r="AA775">
        <v>0.97947790000000001</v>
      </c>
      <c r="AB775">
        <v>35</v>
      </c>
      <c r="AC775">
        <v>3.95799999999997</v>
      </c>
      <c r="AD775">
        <v>-1.1110408795919999</v>
      </c>
      <c r="AE775">
        <v>-15.354399999999901</v>
      </c>
      <c r="AF775">
        <v>-3.0294262543512902</v>
      </c>
      <c r="AG775">
        <v>-1.1110408795919999</v>
      </c>
      <c r="AH775">
        <v>15.4853214275618</v>
      </c>
      <c r="AI775">
        <v>94.027733072307399</v>
      </c>
      <c r="AJ775">
        <v>101.069095911945</v>
      </c>
      <c r="AK775">
        <v>15.817933334717999</v>
      </c>
      <c r="AL775">
        <v>82.068140757770493</v>
      </c>
      <c r="AM775">
        <v>96.117463560870405</v>
      </c>
      <c r="AN775">
        <v>1.0000000272891201</v>
      </c>
    </row>
    <row r="776" spans="1:40" x14ac:dyDescent="0.3">
      <c r="A776" t="str">
        <f>"20200111150305079"</f>
        <v>20200111150305079</v>
      </c>
      <c r="B776" t="str">
        <f>"1578726185068225"</f>
        <v>1578726185068225</v>
      </c>
      <c r="C776" t="s">
        <v>40</v>
      </c>
      <c r="D776">
        <v>5.6946560000000002</v>
      </c>
      <c r="E776">
        <v>0.40944259999999999</v>
      </c>
      <c r="F776" t="s">
        <v>62</v>
      </c>
      <c r="G776">
        <v>-473.52499999999998</v>
      </c>
      <c r="H776">
        <v>1.8610150000000001</v>
      </c>
      <c r="I776">
        <v>175.65719999999999</v>
      </c>
      <c r="J776">
        <v>-490.83800000000002</v>
      </c>
      <c r="K776">
        <v>1.1113500000000001</v>
      </c>
      <c r="L776">
        <v>238.7784</v>
      </c>
      <c r="M776">
        <v>6.5498249999999994E-2</v>
      </c>
      <c r="N776">
        <v>0</v>
      </c>
      <c r="O776">
        <v>-0.99776019999999999</v>
      </c>
      <c r="P776">
        <v>0.16964949999999901</v>
      </c>
      <c r="Q776">
        <v>0.12743470000000001</v>
      </c>
      <c r="R776">
        <v>-0.97723070000000001</v>
      </c>
      <c r="S776">
        <v>0.80084230000000001</v>
      </c>
      <c r="T776">
        <v>3.4647699999999997E-2</v>
      </c>
      <c r="U776">
        <v>-2.9285739999999998</v>
      </c>
      <c r="V776">
        <v>-0.107682399999999</v>
      </c>
      <c r="W776">
        <v>0.13899510000000001</v>
      </c>
      <c r="X776">
        <v>0.98442110000000005</v>
      </c>
      <c r="Y776">
        <v>-0.2000053</v>
      </c>
      <c r="Z776">
        <v>-1.1462190000000001E-2</v>
      </c>
      <c r="AA776">
        <v>0.97972769999999998</v>
      </c>
      <c r="AB776">
        <v>35</v>
      </c>
      <c r="AC776">
        <v>17.312999999999999</v>
      </c>
      <c r="AD776">
        <v>0.74966499999999903</v>
      </c>
      <c r="AE776">
        <v>-63.121200000000002</v>
      </c>
      <c r="AF776">
        <v>-13.1393832558387</v>
      </c>
      <c r="AG776">
        <v>0.74966499999999903</v>
      </c>
      <c r="AH776">
        <v>64.111299253790705</v>
      </c>
      <c r="AI776">
        <v>89.343700913204998</v>
      </c>
      <c r="AJ776">
        <v>101.58218180437601</v>
      </c>
      <c r="AK776">
        <v>65.448178599294494</v>
      </c>
      <c r="AL776">
        <v>82.010298959930907</v>
      </c>
      <c r="AM776">
        <v>96.242566686519794</v>
      </c>
      <c r="AN776">
        <v>1.00000001960948</v>
      </c>
    </row>
    <row r="777" spans="1:40" x14ac:dyDescent="0.3">
      <c r="A777" t="str">
        <f>"20200111150305093"</f>
        <v>20200111150305093</v>
      </c>
      <c r="B777" t="str">
        <f>"1578726185087742"</f>
        <v>1578726185087742</v>
      </c>
      <c r="C777" t="s">
        <v>40</v>
      </c>
      <c r="D777">
        <v>5.4357449999999998</v>
      </c>
      <c r="E777">
        <v>0.3969337</v>
      </c>
      <c r="F777" t="s">
        <v>53</v>
      </c>
      <c r="G777">
        <v>-479.2072</v>
      </c>
      <c r="H777" s="1">
        <v>1.755631E-6</v>
      </c>
      <c r="I777">
        <v>211.876</v>
      </c>
      <c r="J777">
        <v>-490.81939999999997</v>
      </c>
      <c r="K777">
        <v>1.11161</v>
      </c>
      <c r="L777">
        <v>238.5633</v>
      </c>
      <c r="M777">
        <v>7.0863339999999997E-2</v>
      </c>
      <c r="N777">
        <v>0</v>
      </c>
      <c r="O777">
        <v>-0.99739299999999997</v>
      </c>
      <c r="P777">
        <v>0.17568829999999999</v>
      </c>
      <c r="Q777">
        <v>0.1279323</v>
      </c>
      <c r="R777">
        <v>-0.97609780000000002</v>
      </c>
      <c r="S777">
        <v>1.2407840000000001</v>
      </c>
      <c r="T777">
        <v>-0.11855980000000001</v>
      </c>
      <c r="U777">
        <v>-2.86998</v>
      </c>
      <c r="V777">
        <v>-0.1085777</v>
      </c>
      <c r="W777">
        <v>0.13943939999999999</v>
      </c>
      <c r="X777">
        <v>0.98425989999999997</v>
      </c>
      <c r="Y777">
        <v>-0.33049499999999998</v>
      </c>
      <c r="Z777">
        <v>3.8252700000000001E-2</v>
      </c>
      <c r="AA777">
        <v>0.94303230000000005</v>
      </c>
      <c r="AB777">
        <v>35</v>
      </c>
      <c r="AC777">
        <v>11.6121999999999</v>
      </c>
      <c r="AD777">
        <v>-1.1116082443690001</v>
      </c>
      <c r="AE777">
        <v>-26.6873</v>
      </c>
      <c r="AF777">
        <v>-9.6775576713806704</v>
      </c>
      <c r="AG777">
        <v>-1.1116082443690001</v>
      </c>
      <c r="AH777">
        <v>27.403176807075699</v>
      </c>
      <c r="AI777">
        <v>92.190483371455898</v>
      </c>
      <c r="AJ777">
        <v>109.45090734458999</v>
      </c>
      <c r="AK777">
        <v>29.0830688630293</v>
      </c>
      <c r="AL777">
        <v>81.984592006629697</v>
      </c>
      <c r="AM777">
        <v>96.295076740803097</v>
      </c>
      <c r="AN777">
        <v>1.00000000697883</v>
      </c>
    </row>
    <row r="778" spans="1:40" x14ac:dyDescent="0.3">
      <c r="A778" t="str">
        <f>"20200111150305106"</f>
        <v>20200111150305106</v>
      </c>
      <c r="B778" t="str">
        <f>"1578726185097502"</f>
        <v>1578726185097502</v>
      </c>
      <c r="C778" t="s">
        <v>40</v>
      </c>
      <c r="D778">
        <v>5.5313970000000001</v>
      </c>
      <c r="E778">
        <v>0.39239980000000002</v>
      </c>
      <c r="F778" t="s">
        <v>64</v>
      </c>
      <c r="G778">
        <v>-470.15</v>
      </c>
      <c r="H778">
        <v>0.10648580000000001</v>
      </c>
      <c r="I778">
        <v>195.2756</v>
      </c>
      <c r="J778">
        <v>-490.80020000000002</v>
      </c>
      <c r="K778">
        <v>1.1118699999999999</v>
      </c>
      <c r="L778">
        <v>238.35640000000001</v>
      </c>
      <c r="M778">
        <v>7.6227470000000006E-2</v>
      </c>
      <c r="N778">
        <v>0</v>
      </c>
      <c r="O778">
        <v>-0.99699700000000002</v>
      </c>
      <c r="P778">
        <v>0.1818911</v>
      </c>
      <c r="Q778">
        <v>0.128159</v>
      </c>
      <c r="R778">
        <v>-0.9749314</v>
      </c>
      <c r="S778">
        <v>1.355194</v>
      </c>
      <c r="T778">
        <v>-6.5898419999999999E-2</v>
      </c>
      <c r="U778">
        <v>-2.8381500000000002</v>
      </c>
      <c r="V778">
        <v>-0.109638</v>
      </c>
      <c r="W778">
        <v>0.13961129999999999</v>
      </c>
      <c r="X778">
        <v>0.98411800000000005</v>
      </c>
      <c r="Y778">
        <v>-0.36074610000000001</v>
      </c>
      <c r="Z778">
        <v>2.1185320000000001E-2</v>
      </c>
      <c r="AA778">
        <v>0.93242340000000001</v>
      </c>
      <c r="AB778">
        <v>35</v>
      </c>
      <c r="AC778">
        <v>20.650200000000002</v>
      </c>
      <c r="AD778">
        <v>-1.0053842</v>
      </c>
      <c r="AE778">
        <v>-43.080800000000004</v>
      </c>
      <c r="AF778">
        <v>-17.2981988189878</v>
      </c>
      <c r="AG778">
        <v>-1.0053842</v>
      </c>
      <c r="AH778">
        <v>44.509978136128098</v>
      </c>
      <c r="AI778">
        <v>91.206113751292506</v>
      </c>
      <c r="AJ778">
        <v>111.23793960738401</v>
      </c>
      <c r="AK778">
        <v>47.7637585774972</v>
      </c>
      <c r="AL778">
        <v>81.974645692693997</v>
      </c>
      <c r="AM778">
        <v>96.356958685937997</v>
      </c>
      <c r="AN778">
        <v>1.00000002202784</v>
      </c>
    </row>
    <row r="779" spans="1:40" x14ac:dyDescent="0.3">
      <c r="A779" t="str">
        <f>"20200111150305128"</f>
        <v>20200111150305128</v>
      </c>
      <c r="B779" t="str">
        <f>"1578726185117998"</f>
        <v>1578726185117998</v>
      </c>
      <c r="C779" t="s">
        <v>40</v>
      </c>
      <c r="D779">
        <v>5.4641199999999897</v>
      </c>
      <c r="E779">
        <v>0.39273330000000001</v>
      </c>
      <c r="F779" t="s">
        <v>64</v>
      </c>
      <c r="G779">
        <v>-470.34609999999998</v>
      </c>
      <c r="H779">
        <v>0.65263749999999998</v>
      </c>
      <c r="I779">
        <v>197.38669999999999</v>
      </c>
      <c r="J779">
        <v>-490.76670000000001</v>
      </c>
      <c r="K779">
        <v>1.112293</v>
      </c>
      <c r="L779">
        <v>238.02529999999999</v>
      </c>
      <c r="M779">
        <v>8.5225519999999999E-2</v>
      </c>
      <c r="N779">
        <v>0</v>
      </c>
      <c r="O779">
        <v>-0.99626729999999997</v>
      </c>
      <c r="P779">
        <v>0.19253319999999999</v>
      </c>
      <c r="Q779">
        <v>0.12722059999999999</v>
      </c>
      <c r="R779">
        <v>-0.97300880000000001</v>
      </c>
      <c r="S779">
        <v>1.407257</v>
      </c>
      <c r="T779">
        <v>-3.1592849999999999E-2</v>
      </c>
      <c r="U779">
        <v>-2.8187259999999998</v>
      </c>
      <c r="V779">
        <v>-0.111625</v>
      </c>
      <c r="W779">
        <v>0.13858139999999999</v>
      </c>
      <c r="X779">
        <v>0.98404020000000003</v>
      </c>
      <c r="Y779">
        <v>-0.3687724</v>
      </c>
      <c r="Z779">
        <v>1.015428E-2</v>
      </c>
      <c r="AA779">
        <v>0.92946430000000002</v>
      </c>
      <c r="AB779">
        <v>35</v>
      </c>
      <c r="AC779">
        <v>20.4206</v>
      </c>
      <c r="AD779">
        <v>-0.45965549999999999</v>
      </c>
      <c r="AE779">
        <v>-40.638599999999997</v>
      </c>
      <c r="AF779">
        <v>-16.880793635689201</v>
      </c>
      <c r="AG779">
        <v>-0.45965549999999999</v>
      </c>
      <c r="AH779">
        <v>42.226922915678003</v>
      </c>
      <c r="AI779">
        <v>90.579104906643295</v>
      </c>
      <c r="AJ779">
        <v>111.78974013851099</v>
      </c>
      <c r="AK779">
        <v>45.478406918844598</v>
      </c>
      <c r="AL779">
        <v>82.034233948089906</v>
      </c>
      <c r="AM779">
        <v>96.471706222580096</v>
      </c>
      <c r="AN779">
        <v>1.0000000301334899</v>
      </c>
    </row>
    <row r="780" spans="1:40" x14ac:dyDescent="0.3">
      <c r="A780" t="str">
        <f>"20200111150305148"</f>
        <v>20200111150305148</v>
      </c>
      <c r="B780" t="str">
        <f>"1578726185137521"</f>
        <v>1578726185137521</v>
      </c>
      <c r="C780" t="s">
        <v>40</v>
      </c>
      <c r="D780">
        <v>5.4708699999999997</v>
      </c>
      <c r="E780">
        <v>0.39475719999999997</v>
      </c>
      <c r="F780" t="s">
        <v>64</v>
      </c>
      <c r="G780">
        <v>-470.03870000000001</v>
      </c>
      <c r="H780">
        <v>6.7081929999999998E-2</v>
      </c>
      <c r="I780">
        <v>197.51820000000001</v>
      </c>
      <c r="J780">
        <v>-490.73349999999999</v>
      </c>
      <c r="K780">
        <v>1.1126769999999999</v>
      </c>
      <c r="L780">
        <v>237.7268</v>
      </c>
      <c r="M780">
        <v>9.3818789999999999E-2</v>
      </c>
      <c r="N780">
        <v>0</v>
      </c>
      <c r="O780">
        <v>-0.99549410000000005</v>
      </c>
      <c r="P780">
        <v>0.20232249999999999</v>
      </c>
      <c r="Q780">
        <v>0.12587609999999999</v>
      </c>
      <c r="R780">
        <v>-0.97119580000000005</v>
      </c>
      <c r="S780">
        <v>1.437073</v>
      </c>
      <c r="T780">
        <v>-7.2461369999999997E-2</v>
      </c>
      <c r="U780">
        <v>-2.8083339999999999</v>
      </c>
      <c r="V780">
        <v>-0.1131363</v>
      </c>
      <c r="W780">
        <v>0.1371579</v>
      </c>
      <c r="X780">
        <v>0.98406700000000003</v>
      </c>
      <c r="Y780">
        <v>-0.36987910000000002</v>
      </c>
      <c r="Z780">
        <v>2.327543E-2</v>
      </c>
      <c r="AA780">
        <v>0.92878830000000001</v>
      </c>
      <c r="AB780">
        <v>35</v>
      </c>
      <c r="AC780">
        <v>20.694799999999901</v>
      </c>
      <c r="AD780">
        <v>-1.0455950700000001</v>
      </c>
      <c r="AE780">
        <v>-40.208599999999898</v>
      </c>
      <c r="AF780">
        <v>-16.821831139892499</v>
      </c>
      <c r="AG780">
        <v>-1.0455950700000001</v>
      </c>
      <c r="AH780">
        <v>41.9505360174335</v>
      </c>
      <c r="AI780">
        <v>91.325236824684197</v>
      </c>
      <c r="AJ780">
        <v>111.850392608885</v>
      </c>
      <c r="AK780">
        <v>45.209675337248903</v>
      </c>
      <c r="AL780">
        <v>82.116580528293397</v>
      </c>
      <c r="AM780">
        <v>96.558391752848195</v>
      </c>
      <c r="AN780">
        <v>0.999999986199549</v>
      </c>
    </row>
    <row r="781" spans="1:40" x14ac:dyDescent="0.3">
      <c r="A781" t="str">
        <f>"20200111150305161"</f>
        <v>20200111150305161</v>
      </c>
      <c r="B781" t="str">
        <f>"1578726185158014"</f>
        <v>1578726185158014</v>
      </c>
      <c r="C781" t="s">
        <v>40</v>
      </c>
      <c r="D781">
        <v>5.4971579999999998</v>
      </c>
      <c r="E781">
        <v>0.39597909999999997</v>
      </c>
      <c r="F781" t="s">
        <v>53</v>
      </c>
      <c r="G781">
        <v>-476.19080000000002</v>
      </c>
      <c r="H781" s="1">
        <v>2.996155E-6</v>
      </c>
      <c r="I781">
        <v>209.65350000000001</v>
      </c>
      <c r="J781">
        <v>-490.709</v>
      </c>
      <c r="K781">
        <v>1.1129500000000001</v>
      </c>
      <c r="L781">
        <v>237.5247</v>
      </c>
      <c r="M781">
        <v>9.9938009999999994E-2</v>
      </c>
      <c r="N781">
        <v>0</v>
      </c>
      <c r="O781">
        <v>-0.99489780000000005</v>
      </c>
      <c r="P781">
        <v>0.20882709999999999</v>
      </c>
      <c r="Q781">
        <v>0.1255819</v>
      </c>
      <c r="R781">
        <v>-0.96985589999999999</v>
      </c>
      <c r="S781">
        <v>1.4510190000000001</v>
      </c>
      <c r="T781">
        <v>-0.1110189</v>
      </c>
      <c r="U781">
        <v>-2.801056</v>
      </c>
      <c r="V781">
        <v>-0.1137644</v>
      </c>
      <c r="W781">
        <v>0.1368183</v>
      </c>
      <c r="X781">
        <v>0.98404190000000002</v>
      </c>
      <c r="Y781">
        <v>-0.36863040000000002</v>
      </c>
      <c r="Z781">
        <v>3.5666969999999999E-2</v>
      </c>
      <c r="AA781">
        <v>0.92889149999999998</v>
      </c>
      <c r="AB781">
        <v>35</v>
      </c>
      <c r="AC781">
        <v>14.518199999999901</v>
      </c>
      <c r="AD781">
        <v>-1.112947003845</v>
      </c>
      <c r="AE781">
        <v>-27.871199999999899</v>
      </c>
      <c r="AF781">
        <v>-11.6452393913712</v>
      </c>
      <c r="AG781">
        <v>-1.112947003845</v>
      </c>
      <c r="AH781">
        <v>29.146143329684701</v>
      </c>
      <c r="AI781">
        <v>92.030827283353403</v>
      </c>
      <c r="AJ781">
        <v>111.77900601901899</v>
      </c>
      <c r="AK781">
        <v>31.406176502564499</v>
      </c>
      <c r="AL781">
        <v>82.136223649033397</v>
      </c>
      <c r="AM781">
        <v>96.594648943599907</v>
      </c>
      <c r="AN781">
        <v>1.0000000234389199</v>
      </c>
    </row>
    <row r="782" spans="1:40" x14ac:dyDescent="0.3">
      <c r="A782" t="str">
        <f>"20200111150305180"</f>
        <v>20200111150305180</v>
      </c>
      <c r="B782" t="str">
        <f>"1578726185177534"</f>
        <v>1578726185177534</v>
      </c>
      <c r="C782" t="s">
        <v>40</v>
      </c>
      <c r="D782">
        <v>5.5039629999999997</v>
      </c>
      <c r="E782">
        <v>0.39717269999999999</v>
      </c>
      <c r="F782" t="s">
        <v>53</v>
      </c>
      <c r="G782">
        <v>-478.09379999999999</v>
      </c>
      <c r="H782" s="1">
        <v>2.3155570000000002E-6</v>
      </c>
      <c r="I782">
        <v>213.38929999999999</v>
      </c>
      <c r="J782">
        <v>-490.67129999999997</v>
      </c>
      <c r="K782">
        <v>1.113351</v>
      </c>
      <c r="L782">
        <v>237.23169999999999</v>
      </c>
      <c r="M782">
        <v>0.1091155</v>
      </c>
      <c r="N782">
        <v>0</v>
      </c>
      <c r="O782">
        <v>-0.99393209999999999</v>
      </c>
      <c r="P782">
        <v>0.2184391</v>
      </c>
      <c r="Q782">
        <v>0.1266902</v>
      </c>
      <c r="R782">
        <v>-0.9675918</v>
      </c>
      <c r="S782">
        <v>1.46109</v>
      </c>
      <c r="T782">
        <v>-0.12890119999999999</v>
      </c>
      <c r="U782">
        <v>-2.7953489999999999</v>
      </c>
      <c r="V782">
        <v>-0.11462319999999999</v>
      </c>
      <c r="W782">
        <v>0.13785890000000001</v>
      </c>
      <c r="X782">
        <v>0.98379700000000003</v>
      </c>
      <c r="Y782">
        <v>-0.36335020000000001</v>
      </c>
      <c r="Z782">
        <v>4.142784E-2</v>
      </c>
      <c r="AA782">
        <v>0.93073110000000003</v>
      </c>
      <c r="AB782">
        <v>35</v>
      </c>
      <c r="AC782">
        <v>12.577499999999899</v>
      </c>
      <c r="AD782">
        <v>-1.1133486844430001</v>
      </c>
      <c r="AE782">
        <v>-23.842400000000001</v>
      </c>
      <c r="AF782">
        <v>-9.8837001090690997</v>
      </c>
      <c r="AG782">
        <v>-1.1133486844430001</v>
      </c>
      <c r="AH782">
        <v>25.029847273417801</v>
      </c>
      <c r="AI782">
        <v>92.369096392686203</v>
      </c>
      <c r="AJ782">
        <v>111.547901874893</v>
      </c>
      <c r="AK782">
        <v>26.933628193575899</v>
      </c>
      <c r="AL782">
        <v>82.076031464031402</v>
      </c>
      <c r="AM782">
        <v>96.645627206836807</v>
      </c>
      <c r="AN782">
        <v>1.0000000457482201</v>
      </c>
    </row>
    <row r="783" spans="1:40" x14ac:dyDescent="0.3">
      <c r="A783" t="str">
        <f>"20200111150305204"</f>
        <v>20200111150305204</v>
      </c>
      <c r="B783" t="str">
        <f>"1578726185198032"</f>
        <v>1578726185198032</v>
      </c>
      <c r="C783" t="s">
        <v>40</v>
      </c>
      <c r="D783">
        <v>5.5058699999999998</v>
      </c>
      <c r="E783">
        <v>0.39802599999999999</v>
      </c>
      <c r="F783" t="s">
        <v>53</v>
      </c>
      <c r="G783">
        <v>-478.96879999999999</v>
      </c>
      <c r="H783" s="1">
        <v>2.0071100000000001E-6</v>
      </c>
      <c r="I783">
        <v>215.21039999999999</v>
      </c>
      <c r="J783">
        <v>-490.6198</v>
      </c>
      <c r="K783">
        <v>1.1138619999999999</v>
      </c>
      <c r="L783">
        <v>236.86240000000001</v>
      </c>
      <c r="M783">
        <v>0.1212695</v>
      </c>
      <c r="N783">
        <v>0</v>
      </c>
      <c r="O783">
        <v>-0.99252130000000005</v>
      </c>
      <c r="P783">
        <v>0.23183290000000001</v>
      </c>
      <c r="Q783">
        <v>0.12759369999999901</v>
      </c>
      <c r="R783">
        <v>-0.96435130000000002</v>
      </c>
      <c r="S783">
        <v>1.479919</v>
      </c>
      <c r="T783">
        <v>-0.14079610000000001</v>
      </c>
      <c r="U783">
        <v>-2.7848510000000002</v>
      </c>
      <c r="V783">
        <v>-0.1164361</v>
      </c>
      <c r="W783">
        <v>0.13866310000000001</v>
      </c>
      <c r="X783">
        <v>0.98347099999999998</v>
      </c>
      <c r="Y783">
        <v>-0.35822779999999999</v>
      </c>
      <c r="Z783">
        <v>4.5274729999999999E-2</v>
      </c>
      <c r="AA783">
        <v>0.93253580000000003</v>
      </c>
      <c r="AB783">
        <v>35</v>
      </c>
      <c r="AC783">
        <v>11.651</v>
      </c>
      <c r="AD783">
        <v>-1.1138599928899999</v>
      </c>
      <c r="AE783">
        <v>-21.652000000000001</v>
      </c>
      <c r="AF783">
        <v>-8.9207035300195692</v>
      </c>
      <c r="AG783">
        <v>-1.1138599928899999</v>
      </c>
      <c r="AH783">
        <v>22.8583070897973</v>
      </c>
      <c r="AI783">
        <v>92.599128049037503</v>
      </c>
      <c r="AJ783">
        <v>111.318757518025</v>
      </c>
      <c r="AK783">
        <v>24.562610581242001</v>
      </c>
      <c r="AL783">
        <v>82.029507120998801</v>
      </c>
      <c r="AM783">
        <v>96.751989989477707</v>
      </c>
      <c r="AN783">
        <v>1.00000001426291</v>
      </c>
    </row>
    <row r="784" spans="1:40" x14ac:dyDescent="0.3">
      <c r="A784" t="str">
        <f>"20200111150305226"</f>
        <v>20200111150305226</v>
      </c>
      <c r="B784" t="str">
        <f>"1578726185217549"</f>
        <v>1578726185217549</v>
      </c>
      <c r="C784" t="s">
        <v>40</v>
      </c>
      <c r="D784">
        <v>5.5278130000000001</v>
      </c>
      <c r="E784">
        <v>0.39861469999999999</v>
      </c>
      <c r="F784" t="s">
        <v>53</v>
      </c>
      <c r="G784">
        <v>-479.28050000000002</v>
      </c>
      <c r="H784" s="1">
        <v>1.9087539999999998E-6</v>
      </c>
      <c r="I784">
        <v>216.12190000000001</v>
      </c>
      <c r="J784">
        <v>-490.56970000000001</v>
      </c>
      <c r="K784">
        <v>1.114303</v>
      </c>
      <c r="L784">
        <v>236.53569999999999</v>
      </c>
      <c r="M784">
        <v>0.13257439999999901</v>
      </c>
      <c r="N784">
        <v>0</v>
      </c>
      <c r="O784">
        <v>-0.99107369999999995</v>
      </c>
      <c r="P784">
        <v>0.24437349999999999</v>
      </c>
      <c r="Q784">
        <v>0.1287895</v>
      </c>
      <c r="R784">
        <v>-0.96109080000000002</v>
      </c>
      <c r="S784">
        <v>1.5126949999999999</v>
      </c>
      <c r="T784">
        <v>-0.14859220000000001</v>
      </c>
      <c r="U784">
        <v>-2.7668460000000001</v>
      </c>
      <c r="V784">
        <v>-0.1182401</v>
      </c>
      <c r="W784">
        <v>0.13976710000000001</v>
      </c>
      <c r="X784">
        <v>0.98309939999999996</v>
      </c>
      <c r="Y784">
        <v>-0.3585892</v>
      </c>
      <c r="Z784">
        <v>4.7812739999999999E-2</v>
      </c>
      <c r="AA784">
        <v>0.93227020000000005</v>
      </c>
      <c r="AB784">
        <v>35</v>
      </c>
      <c r="AC784">
        <v>11.2891999999999</v>
      </c>
      <c r="AD784">
        <v>-1.1143010912459901</v>
      </c>
      <c r="AE784">
        <v>-20.413799999999899</v>
      </c>
      <c r="AF784">
        <v>-8.4636053553980393</v>
      </c>
      <c r="AG784">
        <v>-1.1143010912459901</v>
      </c>
      <c r="AH784">
        <v>21.6809084546524</v>
      </c>
      <c r="AI784">
        <v>92.741047193558302</v>
      </c>
      <c r="AJ784">
        <v>111.324248788905</v>
      </c>
      <c r="AK784">
        <v>23.300988690458801</v>
      </c>
      <c r="AL784">
        <v>81.965630417916302</v>
      </c>
      <c r="AM784">
        <v>96.858180316300604</v>
      </c>
      <c r="AN784">
        <v>0.99999999688538899</v>
      </c>
    </row>
    <row r="785" spans="1:40" x14ac:dyDescent="0.3">
      <c r="A785" t="str">
        <f>"20200111150305249"</f>
        <v>20200111150305249</v>
      </c>
      <c r="B785" t="str">
        <f>"1578726185238048"</f>
        <v>1578726185238048</v>
      </c>
      <c r="C785" t="s">
        <v>40</v>
      </c>
      <c r="D785">
        <v>5.5323789999999997</v>
      </c>
      <c r="E785">
        <v>0.39910449999999997</v>
      </c>
      <c r="F785" t="s">
        <v>53</v>
      </c>
      <c r="G785">
        <v>-479.23700000000002</v>
      </c>
      <c r="H785" s="1">
        <v>1.9394570000000001E-6</v>
      </c>
      <c r="I785">
        <v>216.38329999999999</v>
      </c>
      <c r="J785">
        <v>-490.51310000000001</v>
      </c>
      <c r="K785">
        <v>1.1147480000000001</v>
      </c>
      <c r="L785">
        <v>236.1951</v>
      </c>
      <c r="M785">
        <v>0.144900799999999</v>
      </c>
      <c r="N785">
        <v>0</v>
      </c>
      <c r="O785">
        <v>-0.98934549999999999</v>
      </c>
      <c r="P785">
        <v>0.2581135</v>
      </c>
      <c r="Q785">
        <v>0.1304602</v>
      </c>
      <c r="R785">
        <v>-0.9572659</v>
      </c>
      <c r="S785">
        <v>1.545776</v>
      </c>
      <c r="T785">
        <v>-0.15199019999999999</v>
      </c>
      <c r="U785">
        <v>-2.7487789999999999</v>
      </c>
      <c r="V785">
        <v>-0.120319</v>
      </c>
      <c r="W785">
        <v>0.14133589999999999</v>
      </c>
      <c r="X785">
        <v>0.98262269999999896</v>
      </c>
      <c r="Y785">
        <v>-0.3580875</v>
      </c>
      <c r="Z785">
        <v>4.8925059999999999E-2</v>
      </c>
      <c r="AA785">
        <v>0.93240540000000005</v>
      </c>
      <c r="AB785">
        <v>35</v>
      </c>
      <c r="AC785">
        <v>11.2761</v>
      </c>
      <c r="AD785">
        <v>-1.11474606054299</v>
      </c>
      <c r="AE785">
        <v>-19.811800000000002</v>
      </c>
      <c r="AF785">
        <v>-8.2662714682632306</v>
      </c>
      <c r="AG785">
        <v>-1.11474606054299</v>
      </c>
      <c r="AH785">
        <v>21.186084472637098</v>
      </c>
      <c r="AI785">
        <v>92.806271266096203</v>
      </c>
      <c r="AJ785">
        <v>111.314464912993</v>
      </c>
      <c r="AK785">
        <v>22.768927907308999</v>
      </c>
      <c r="AL785">
        <v>81.874843070784095</v>
      </c>
      <c r="AM785">
        <v>96.980934070152301</v>
      </c>
      <c r="AN785">
        <v>0.99999993447254698</v>
      </c>
    </row>
    <row r="786" spans="1:40" x14ac:dyDescent="0.3">
      <c r="A786" t="str">
        <f>"20200111150305265"</f>
        <v>20200111150305265</v>
      </c>
      <c r="B786" t="str">
        <f>"1578726185257638"</f>
        <v>1578726185257638</v>
      </c>
      <c r="C786" t="s">
        <v>40</v>
      </c>
      <c r="D786">
        <v>5.845072</v>
      </c>
      <c r="E786">
        <v>0.39942800000000001</v>
      </c>
      <c r="F786" t="s">
        <v>53</v>
      </c>
      <c r="G786">
        <v>-478.96210000000002</v>
      </c>
      <c r="H786" s="1">
        <v>2.0568139999999999E-6</v>
      </c>
      <c r="I786">
        <v>216.27889999999999</v>
      </c>
      <c r="J786">
        <v>-490.46879999999999</v>
      </c>
      <c r="K786">
        <v>1.1150679999999999</v>
      </c>
      <c r="L786">
        <v>235.94810000000001</v>
      </c>
      <c r="M786">
        <v>0.15422720000000001</v>
      </c>
      <c r="N786">
        <v>0</v>
      </c>
      <c r="O786">
        <v>-0.98793350000000002</v>
      </c>
      <c r="P786">
        <v>0.26828069999999998</v>
      </c>
      <c r="Q786">
        <v>0.13148460000000001</v>
      </c>
      <c r="R786">
        <v>-0.95432589999999995</v>
      </c>
      <c r="S786">
        <v>1.5822449999999999</v>
      </c>
      <c r="T786">
        <v>-0.15269679999999999</v>
      </c>
      <c r="U786">
        <v>-2.7281040000000001</v>
      </c>
      <c r="V786">
        <v>-0.1216656</v>
      </c>
      <c r="W786">
        <v>0.14229269999999999</v>
      </c>
      <c r="X786">
        <v>0.98231880000000005</v>
      </c>
      <c r="Y786">
        <v>-0.36166670000000001</v>
      </c>
      <c r="Z786">
        <v>4.9180210000000002E-2</v>
      </c>
      <c r="AA786">
        <v>0.93100939999999999</v>
      </c>
      <c r="AB786">
        <v>35</v>
      </c>
      <c r="AC786">
        <v>11.506699999999899</v>
      </c>
      <c r="AD786">
        <v>-1.1150659431859999</v>
      </c>
      <c r="AE786">
        <v>-19.6692</v>
      </c>
      <c r="AF786">
        <v>-8.31525791062362</v>
      </c>
      <c r="AG786">
        <v>-1.1150659431859999</v>
      </c>
      <c r="AH786">
        <v>21.157982377495198</v>
      </c>
      <c r="AI786">
        <v>92.808099148588099</v>
      </c>
      <c r="AJ786">
        <v>111.45522746135001</v>
      </c>
      <c r="AK786">
        <v>22.7606481556268</v>
      </c>
      <c r="AL786">
        <v>81.819463106155595</v>
      </c>
      <c r="AM786">
        <v>97.060441903454006</v>
      </c>
      <c r="AN786">
        <v>0.99999997776504401</v>
      </c>
    </row>
    <row r="787" spans="1:40" x14ac:dyDescent="0.3">
      <c r="A787" t="str">
        <f>"20200111150305281"</f>
        <v>20200111150305281</v>
      </c>
      <c r="B787" t="str">
        <f>"1578726185278135"</f>
        <v>1578726185278135</v>
      </c>
      <c r="C787" t="s">
        <v>40</v>
      </c>
      <c r="D787">
        <v>5.4906160000000002</v>
      </c>
      <c r="E787">
        <v>0.39989340000000001</v>
      </c>
      <c r="F787" t="s">
        <v>53</v>
      </c>
      <c r="G787">
        <v>-478.92140000000001</v>
      </c>
      <c r="H787" s="1">
        <v>2.0838599999999998E-6</v>
      </c>
      <c r="I787">
        <v>216.4847</v>
      </c>
      <c r="J787">
        <v>-490.42599999999999</v>
      </c>
      <c r="K787">
        <v>1.1153489999999999</v>
      </c>
      <c r="L787">
        <v>235.7227</v>
      </c>
      <c r="M787">
        <v>0.1629572</v>
      </c>
      <c r="N787">
        <v>0</v>
      </c>
      <c r="O787">
        <v>-0.98653000000000002</v>
      </c>
      <c r="P787">
        <v>0.27953909999999998</v>
      </c>
      <c r="Q787">
        <v>0.13257459999999999</v>
      </c>
      <c r="R787">
        <v>-0.95093740000000004</v>
      </c>
      <c r="S787">
        <v>1.6093440000000001</v>
      </c>
      <c r="T787">
        <v>-0.1554053</v>
      </c>
      <c r="U787">
        <v>-2.7125849999999998</v>
      </c>
      <c r="V787">
        <v>-0.1247457</v>
      </c>
      <c r="W787">
        <v>0.1432706</v>
      </c>
      <c r="X787">
        <v>0.98179019999999995</v>
      </c>
      <c r="Y787">
        <v>-0.36261919999999997</v>
      </c>
      <c r="Z787">
        <v>5.0061120000000001E-2</v>
      </c>
      <c r="AA787">
        <v>0.93059179999999997</v>
      </c>
      <c r="AB787">
        <v>35</v>
      </c>
      <c r="AC787">
        <v>11.5045999999999</v>
      </c>
      <c r="AD787">
        <v>-1.11534691614</v>
      </c>
      <c r="AE787">
        <v>-19.238</v>
      </c>
      <c r="AF787">
        <v>-8.1952084604396092</v>
      </c>
      <c r="AG787">
        <v>-1.11534691614</v>
      </c>
      <c r="AH787">
        <v>20.804235995548598</v>
      </c>
      <c r="AI787">
        <v>92.855600788172794</v>
      </c>
      <c r="AJ787">
        <v>111.50048150471</v>
      </c>
      <c r="AK787">
        <v>22.3879806104053</v>
      </c>
      <c r="AL787">
        <v>81.762853532668501</v>
      </c>
      <c r="AM787">
        <v>97.241167879839793</v>
      </c>
      <c r="AN787">
        <v>0.99999997565444398</v>
      </c>
    </row>
    <row r="788" spans="1:40" x14ac:dyDescent="0.3">
      <c r="A788" t="str">
        <f>"20200111150305295"</f>
        <v>20200111150305295</v>
      </c>
      <c r="B788" t="str">
        <f>"1578726185287894"</f>
        <v>1578726185287894</v>
      </c>
      <c r="C788" t="s">
        <v>40</v>
      </c>
      <c r="D788">
        <v>5.507663</v>
      </c>
      <c r="E788">
        <v>0.40020109999999998</v>
      </c>
      <c r="F788" t="s">
        <v>53</v>
      </c>
      <c r="G788">
        <v>-478.90260000000001</v>
      </c>
      <c r="H788" s="1">
        <v>2.103812E-6</v>
      </c>
      <c r="I788">
        <v>216.75129999999999</v>
      </c>
      <c r="J788">
        <v>-490.3809</v>
      </c>
      <c r="K788">
        <v>1.115618</v>
      </c>
      <c r="L788">
        <v>235.4956</v>
      </c>
      <c r="M788">
        <v>0.17194980000000001</v>
      </c>
      <c r="N788">
        <v>0</v>
      </c>
      <c r="O788">
        <v>-0.98500180000000004</v>
      </c>
      <c r="P788">
        <v>0.28952529999999999</v>
      </c>
      <c r="Q788">
        <v>0.1326049</v>
      </c>
      <c r="R788">
        <v>-0.94794060000000002</v>
      </c>
      <c r="S788">
        <v>1.637329</v>
      </c>
      <c r="T788">
        <v>-0.1584777</v>
      </c>
      <c r="U788">
        <v>-2.6956180000000001</v>
      </c>
      <c r="V788">
        <v>-0.126218</v>
      </c>
      <c r="W788">
        <v>0.14323559999999999</v>
      </c>
      <c r="X788">
        <v>0.98160709999999995</v>
      </c>
      <c r="Y788">
        <v>-0.36374859999999998</v>
      </c>
      <c r="Z788">
        <v>5.1064419999999999E-2</v>
      </c>
      <c r="AA788">
        <v>0.93009640000000005</v>
      </c>
      <c r="AB788">
        <v>35</v>
      </c>
      <c r="AC788">
        <v>11.4782999999999</v>
      </c>
      <c r="AD788">
        <v>-1.1156158961880001</v>
      </c>
      <c r="AE788">
        <v>-18.744299999999999</v>
      </c>
      <c r="AF788">
        <v>-8.0631222159125997</v>
      </c>
      <c r="AG788">
        <v>-1.1156158961880001</v>
      </c>
      <c r="AH788">
        <v>20.386431816418799</v>
      </c>
      <c r="AI788">
        <v>92.913142328393207</v>
      </c>
      <c r="AJ788">
        <v>111.57949804511399</v>
      </c>
      <c r="AK788">
        <v>21.951426853443099</v>
      </c>
      <c r="AL788">
        <v>81.764879651286705</v>
      </c>
      <c r="AM788">
        <v>97.327059690611705</v>
      </c>
      <c r="AN788">
        <v>0.99999995970088396</v>
      </c>
    </row>
    <row r="789" spans="1:40" x14ac:dyDescent="0.3">
      <c r="A789" t="str">
        <f>"20200111150305309"</f>
        <v>20200111150305309</v>
      </c>
      <c r="B789" t="str">
        <f>"1578726185297654"</f>
        <v>1578726185297654</v>
      </c>
      <c r="C789" t="s">
        <v>40</v>
      </c>
      <c r="D789">
        <v>5.4438110000000002</v>
      </c>
      <c r="E789">
        <v>0.40055639999999998</v>
      </c>
      <c r="F789" t="s">
        <v>53</v>
      </c>
      <c r="G789">
        <v>-478.74250000000001</v>
      </c>
      <c r="H789" s="1">
        <v>2.1747449999999999E-6</v>
      </c>
      <c r="I789">
        <v>216.7492</v>
      </c>
      <c r="J789">
        <v>-490.33940000000001</v>
      </c>
      <c r="K789">
        <v>1.115853</v>
      </c>
      <c r="L789">
        <v>235.29400000000001</v>
      </c>
      <c r="M789">
        <v>0.18007719999999999</v>
      </c>
      <c r="N789">
        <v>0</v>
      </c>
      <c r="O789">
        <v>-0.98354739999999996</v>
      </c>
      <c r="P789">
        <v>0.2984039</v>
      </c>
      <c r="Q789">
        <v>0.1320066</v>
      </c>
      <c r="R789">
        <v>-0.94526679999999996</v>
      </c>
      <c r="S789">
        <v>1.6632690000000001</v>
      </c>
      <c r="T789">
        <v>-0.15943470000000001</v>
      </c>
      <c r="U789">
        <v>-2.6790769999999999</v>
      </c>
      <c r="V789">
        <v>-0.12737589999999999</v>
      </c>
      <c r="W789">
        <v>0.1425825</v>
      </c>
      <c r="X789">
        <v>0.98155269999999994</v>
      </c>
      <c r="Y789">
        <v>-0.36512139999999998</v>
      </c>
      <c r="Z789">
        <v>5.1391470000000002E-2</v>
      </c>
      <c r="AA789">
        <v>0.92954040000000004</v>
      </c>
      <c r="AB789">
        <v>35</v>
      </c>
      <c r="AC789">
        <v>11.5969</v>
      </c>
      <c r="AD789">
        <v>-1.1158508252549999</v>
      </c>
      <c r="AE789">
        <v>-18.544799999999999</v>
      </c>
      <c r="AF789">
        <v>-8.0464964815563</v>
      </c>
      <c r="AG789">
        <v>-1.1158508252549999</v>
      </c>
      <c r="AH789">
        <v>20.2773527189883</v>
      </c>
      <c r="AI789">
        <v>92.928092451993706</v>
      </c>
      <c r="AJ789">
        <v>111.64425923394199</v>
      </c>
      <c r="AK789">
        <v>21.84404408488</v>
      </c>
      <c r="AL789">
        <v>81.802688307125806</v>
      </c>
      <c r="AM789">
        <v>97.393941596058099</v>
      </c>
      <c r="AN789">
        <v>1.0000000460421701</v>
      </c>
    </row>
    <row r="790" spans="1:40" x14ac:dyDescent="0.3">
      <c r="A790" t="str">
        <f>"20200111150305331"</f>
        <v>20200111150305331</v>
      </c>
      <c r="B790" t="str">
        <f>"1578726185327910"</f>
        <v>1578726185327910</v>
      </c>
      <c r="C790" t="s">
        <v>40</v>
      </c>
      <c r="D790">
        <v>5.4489179999999999</v>
      </c>
      <c r="E790">
        <v>0.40192280000000002</v>
      </c>
      <c r="F790" t="s">
        <v>53</v>
      </c>
      <c r="G790">
        <v>-478.74200000000002</v>
      </c>
      <c r="H790" s="1">
        <v>2.1843430000000001E-6</v>
      </c>
      <c r="I790">
        <v>216.96360000000001</v>
      </c>
      <c r="J790">
        <v>-490.26799999999997</v>
      </c>
      <c r="K790">
        <v>1.116209</v>
      </c>
      <c r="L790">
        <v>234.97059999999999</v>
      </c>
      <c r="M790">
        <v>0.1935413</v>
      </c>
      <c r="N790">
        <v>0</v>
      </c>
      <c r="O790">
        <v>-0.98098569999999996</v>
      </c>
      <c r="P790">
        <v>0.31332280000000001</v>
      </c>
      <c r="Q790">
        <v>0.1311908</v>
      </c>
      <c r="R790">
        <v>-0.94054170000000004</v>
      </c>
      <c r="S790">
        <v>1.685608</v>
      </c>
      <c r="T790">
        <v>-0.1621821</v>
      </c>
      <c r="U790">
        <v>-2.664215</v>
      </c>
      <c r="V790">
        <v>-0.1295433</v>
      </c>
      <c r="W790">
        <v>0.1416724</v>
      </c>
      <c r="X790">
        <v>0.98140070000000001</v>
      </c>
      <c r="Y790">
        <v>-0.36024080000000003</v>
      </c>
      <c r="Z790">
        <v>5.2259439999999997E-2</v>
      </c>
      <c r="AA790">
        <v>0.93139439999999996</v>
      </c>
      <c r="AB790">
        <v>34</v>
      </c>
      <c r="AC790">
        <v>11.526</v>
      </c>
      <c r="AD790">
        <v>-1.116206815657</v>
      </c>
      <c r="AE790">
        <v>-18.006999999999898</v>
      </c>
      <c r="AF790">
        <v>-7.8012958299497903</v>
      </c>
      <c r="AG790">
        <v>-1.116206815657</v>
      </c>
      <c r="AH790">
        <v>19.843357179205999</v>
      </c>
      <c r="AI790">
        <v>92.9967272931803</v>
      </c>
      <c r="AJ790">
        <v>111.46197069658299</v>
      </c>
      <c r="AK790">
        <v>21.350994319311202</v>
      </c>
      <c r="AL790">
        <v>81.855367067549693</v>
      </c>
      <c r="AM790">
        <v>97.519478950365894</v>
      </c>
      <c r="AN790">
        <v>0.99999993472856696</v>
      </c>
    </row>
    <row r="791" spans="1:40" x14ac:dyDescent="0.3">
      <c r="A791" t="str">
        <f>"20200111150305348"</f>
        <v>20200111150305348</v>
      </c>
      <c r="B791" t="str">
        <f>"1578726185337669"</f>
        <v>1578726185337669</v>
      </c>
      <c r="C791" t="s">
        <v>40</v>
      </c>
      <c r="D791">
        <v>5.4095120000000003</v>
      </c>
      <c r="E791">
        <v>0.40229809999999999</v>
      </c>
      <c r="F791" t="s">
        <v>53</v>
      </c>
      <c r="G791">
        <v>-479.21769999999998</v>
      </c>
      <c r="H791" s="1">
        <v>2.017825E-6</v>
      </c>
      <c r="I791">
        <v>217.9804</v>
      </c>
      <c r="J791">
        <v>-490.20839999999998</v>
      </c>
      <c r="K791">
        <v>1.116471</v>
      </c>
      <c r="L791">
        <v>234.715</v>
      </c>
      <c r="M791">
        <v>0.2044359</v>
      </c>
      <c r="N791">
        <v>0</v>
      </c>
      <c r="O791">
        <v>-0.97877219999999998</v>
      </c>
      <c r="P791">
        <v>0.32536369999999998</v>
      </c>
      <c r="Q791">
        <v>0.1302401</v>
      </c>
      <c r="R791">
        <v>-0.93657690000000005</v>
      </c>
      <c r="S791">
        <v>1.718048</v>
      </c>
      <c r="T791">
        <v>-0.173543</v>
      </c>
      <c r="U791">
        <v>-2.641556</v>
      </c>
      <c r="V791">
        <v>-0.1312701</v>
      </c>
      <c r="W791">
        <v>0.14064760000000001</v>
      </c>
      <c r="X791">
        <v>0.98131869999999999</v>
      </c>
      <c r="Y791">
        <v>-0.36144520000000002</v>
      </c>
      <c r="Z791">
        <v>5.59353E-2</v>
      </c>
      <c r="AA791">
        <v>0.93071409999999999</v>
      </c>
      <c r="AB791">
        <v>34</v>
      </c>
      <c r="AC791">
        <v>10.9907</v>
      </c>
      <c r="AD791">
        <v>-1.116468982175</v>
      </c>
      <c r="AE791">
        <v>-16.7346</v>
      </c>
      <c r="AF791">
        <v>-7.3142672511993698</v>
      </c>
      <c r="AG791">
        <v>-1.116468982175</v>
      </c>
      <c r="AH791">
        <v>18.570470995830998</v>
      </c>
      <c r="AI791">
        <v>93.201684807105906</v>
      </c>
      <c r="AJ791">
        <v>111.497767608554</v>
      </c>
      <c r="AK791">
        <v>19.990182625907298</v>
      </c>
      <c r="AL791">
        <v>81.9146781181297</v>
      </c>
      <c r="AM791">
        <v>97.619172334716296</v>
      </c>
      <c r="AN791">
        <v>0.99999998875472895</v>
      </c>
    </row>
    <row r="792" spans="1:40" x14ac:dyDescent="0.3">
      <c r="A792" t="str">
        <f>"20200111150305370"</f>
        <v>20200111150305370</v>
      </c>
      <c r="B792" t="str">
        <f>"1578726185367743"</f>
        <v>1578726185367743</v>
      </c>
      <c r="C792" t="s">
        <v>40</v>
      </c>
      <c r="D792">
        <v>5.4777589999999998</v>
      </c>
      <c r="E792">
        <v>0.40345720000000002</v>
      </c>
      <c r="F792" t="s">
        <v>53</v>
      </c>
      <c r="G792">
        <v>-479.2047</v>
      </c>
      <c r="H792" s="1">
        <v>2.0345289999999999E-6</v>
      </c>
      <c r="I792">
        <v>218.2302</v>
      </c>
      <c r="J792">
        <v>-490.13060000000002</v>
      </c>
      <c r="K792">
        <v>1.116778</v>
      </c>
      <c r="L792">
        <v>234.40110000000001</v>
      </c>
      <c r="M792">
        <v>0.21815960000000001</v>
      </c>
      <c r="N792">
        <v>0</v>
      </c>
      <c r="O792">
        <v>-0.97580370000000005</v>
      </c>
      <c r="P792">
        <v>0.33990740000000003</v>
      </c>
      <c r="Q792">
        <v>0.129025</v>
      </c>
      <c r="R792">
        <v>-0.93156629999999996</v>
      </c>
      <c r="S792">
        <v>1.749023</v>
      </c>
      <c r="T792">
        <v>-0.17745999999999901</v>
      </c>
      <c r="U792">
        <v>-2.620209</v>
      </c>
      <c r="V792">
        <v>-0.13281419999999999</v>
      </c>
      <c r="W792">
        <v>0.13936379999999901</v>
      </c>
      <c r="X792">
        <v>0.98129409999999895</v>
      </c>
      <c r="Y792">
        <v>-0.35942459999999998</v>
      </c>
      <c r="Z792">
        <v>5.7172319999999999E-2</v>
      </c>
      <c r="AA792">
        <v>0.93142119999999995</v>
      </c>
      <c r="AB792">
        <v>34</v>
      </c>
      <c r="AC792">
        <v>10.9259</v>
      </c>
      <c r="AD792">
        <v>-1.1167759654709899</v>
      </c>
      <c r="AE792">
        <v>-16.1709</v>
      </c>
      <c r="AF792">
        <v>-7.1111724263343898</v>
      </c>
      <c r="AG792">
        <v>-1.1167759654709899</v>
      </c>
      <c r="AH792">
        <v>18.105864958543901</v>
      </c>
      <c r="AI792">
        <v>93.285804761233194</v>
      </c>
      <c r="AJ792">
        <v>111.442675681834</v>
      </c>
      <c r="AK792">
        <v>19.484309270054698</v>
      </c>
      <c r="AL792">
        <v>81.988966186343802</v>
      </c>
      <c r="AM792">
        <v>97.707914591686603</v>
      </c>
      <c r="AN792">
        <v>0.99999999558344399</v>
      </c>
    </row>
    <row r="793" spans="1:40" x14ac:dyDescent="0.3">
      <c r="A793" t="str">
        <f>"20200111150305395"</f>
        <v>20200111150305395</v>
      </c>
      <c r="B793" t="str">
        <f>"1578726185388239"</f>
        <v>1578726185388239</v>
      </c>
      <c r="C793" t="s">
        <v>40</v>
      </c>
      <c r="D793">
        <v>5.4730249999999998</v>
      </c>
      <c r="E793">
        <v>0.40411059999999999</v>
      </c>
      <c r="F793" t="s">
        <v>53</v>
      </c>
      <c r="G793">
        <v>-479.58240000000001</v>
      </c>
      <c r="H793" s="1">
        <v>1.900996E-6</v>
      </c>
      <c r="I793">
        <v>219.0077</v>
      </c>
      <c r="J793">
        <v>-490.03339999999997</v>
      </c>
      <c r="K793">
        <v>1.1171230000000001</v>
      </c>
      <c r="L793">
        <v>234.03479999999999</v>
      </c>
      <c r="M793">
        <v>0.23463609999999999</v>
      </c>
      <c r="N793">
        <v>0</v>
      </c>
      <c r="O793">
        <v>-0.9719719</v>
      </c>
      <c r="P793">
        <v>0.35669030000000002</v>
      </c>
      <c r="Q793">
        <v>0.12763089999999999</v>
      </c>
      <c r="R793">
        <v>-0.92546340000000005</v>
      </c>
      <c r="S793">
        <v>1.779633</v>
      </c>
      <c r="T793">
        <v>-0.188416</v>
      </c>
      <c r="U793">
        <v>-2.597092</v>
      </c>
      <c r="V793">
        <v>-0.13399179999999999</v>
      </c>
      <c r="W793">
        <v>0.1379118</v>
      </c>
      <c r="X793">
        <v>0.98133919999999997</v>
      </c>
      <c r="Y793">
        <v>-0.35484710000000003</v>
      </c>
      <c r="Z793">
        <v>6.0648050000000002E-2</v>
      </c>
      <c r="AA793">
        <v>0.93295519999999998</v>
      </c>
      <c r="AB793">
        <v>34</v>
      </c>
      <c r="AC793">
        <v>10.450999999999899</v>
      </c>
      <c r="AD793">
        <v>-1.1171210990039999</v>
      </c>
      <c r="AE793">
        <v>-15.0270999999999</v>
      </c>
      <c r="AF793">
        <v>-6.6082815373644204</v>
      </c>
      <c r="AG793">
        <v>-1.1171210990039999</v>
      </c>
      <c r="AH793">
        <v>16.9966381335365</v>
      </c>
      <c r="AI793">
        <v>93.505489869650006</v>
      </c>
      <c r="AJ793">
        <v>111.24604817204801</v>
      </c>
      <c r="AK793">
        <v>18.270277837769701</v>
      </c>
      <c r="AL793">
        <v>82.072971291244698</v>
      </c>
      <c r="AM793">
        <v>97.775071625940299</v>
      </c>
      <c r="AN793">
        <v>1.0000000462515499</v>
      </c>
    </row>
    <row r="794" spans="1:40" x14ac:dyDescent="0.3">
      <c r="A794" t="str">
        <f>"20200111150305417"</f>
        <v>20200111150305417</v>
      </c>
      <c r="B794" t="str">
        <f>"1578726185407759"</f>
        <v>1578726185407759</v>
      </c>
      <c r="C794" t="s">
        <v>40</v>
      </c>
      <c r="D794">
        <v>5.4475910000000001</v>
      </c>
      <c r="E794">
        <v>0.40470980000000001</v>
      </c>
      <c r="F794" t="s">
        <v>53</v>
      </c>
      <c r="G794">
        <v>-479.5985</v>
      </c>
      <c r="H794" s="1">
        <v>1.9077209999999999E-6</v>
      </c>
      <c r="I794">
        <v>219.3246</v>
      </c>
      <c r="J794">
        <v>-489.94310000000002</v>
      </c>
      <c r="K794">
        <v>1.1173919999999999</v>
      </c>
      <c r="L794">
        <v>233.71510000000001</v>
      </c>
      <c r="M794">
        <v>0.24934410000000001</v>
      </c>
      <c r="N794">
        <v>0</v>
      </c>
      <c r="O794">
        <v>-0.968302</v>
      </c>
      <c r="P794">
        <v>0.37082310000000002</v>
      </c>
      <c r="Q794">
        <v>0.12501209999999999</v>
      </c>
      <c r="R794">
        <v>-0.92025140000000005</v>
      </c>
      <c r="S794">
        <v>1.82077</v>
      </c>
      <c r="T794">
        <v>-0.1949254</v>
      </c>
      <c r="U794">
        <v>-2.566757</v>
      </c>
      <c r="V794">
        <v>-0.1340741</v>
      </c>
      <c r="W794">
        <v>0.13528019999999999</v>
      </c>
      <c r="X794">
        <v>0.98169419999999996</v>
      </c>
      <c r="Y794">
        <v>-0.35574529999999999</v>
      </c>
      <c r="Z794">
        <v>6.2711020000000006E-2</v>
      </c>
      <c r="AA794">
        <v>0.93247659999999999</v>
      </c>
      <c r="AB794">
        <v>34</v>
      </c>
      <c r="AC794">
        <v>10.3446</v>
      </c>
      <c r="AD794">
        <v>-1.1173900922790001</v>
      </c>
      <c r="AE794">
        <v>-14.390499999999999</v>
      </c>
      <c r="AF794">
        <v>-6.4037584221610597</v>
      </c>
      <c r="AG794">
        <v>-1.1173900922790001</v>
      </c>
      <c r="AH794">
        <v>16.450130914119899</v>
      </c>
      <c r="AI794">
        <v>93.621923640131797</v>
      </c>
      <c r="AJ794">
        <v>111.27012378714601</v>
      </c>
      <c r="AK794">
        <v>17.6879475813166</v>
      </c>
      <c r="AL794">
        <v>82.225177584188401</v>
      </c>
      <c r="AM794">
        <v>97.777009848783905</v>
      </c>
      <c r="AN794">
        <v>1.00000004955824</v>
      </c>
    </row>
    <row r="795" spans="1:40" x14ac:dyDescent="0.3">
      <c r="A795" t="str">
        <f>"20200111150305440"</f>
        <v>20200111150305440</v>
      </c>
      <c r="B795" t="str">
        <f>"1578726185438016"</f>
        <v>1578726185438016</v>
      </c>
      <c r="C795" t="s">
        <v>40</v>
      </c>
      <c r="D795">
        <v>5.9532540000000003</v>
      </c>
      <c r="E795">
        <v>0.40503220000000001</v>
      </c>
      <c r="F795" t="s">
        <v>53</v>
      </c>
      <c r="G795">
        <v>-479.8399</v>
      </c>
      <c r="H795" s="1">
        <v>1.861756E-6</v>
      </c>
      <c r="I795">
        <v>219.88220000000001</v>
      </c>
      <c r="J795">
        <v>-489.84249999999997</v>
      </c>
      <c r="K795">
        <v>1.1176549999999901</v>
      </c>
      <c r="L795">
        <v>233.3794</v>
      </c>
      <c r="M795">
        <v>0.26511980000000002</v>
      </c>
      <c r="N795">
        <v>0</v>
      </c>
      <c r="O795">
        <v>-0.96410059999999997</v>
      </c>
      <c r="P795">
        <v>0.38646000000000003</v>
      </c>
      <c r="Q795">
        <v>0.1221739</v>
      </c>
      <c r="R795">
        <v>-0.91417839999999995</v>
      </c>
      <c r="S795">
        <v>1.8553470000000001</v>
      </c>
      <c r="T795">
        <v>-0.20519699999999999</v>
      </c>
      <c r="U795">
        <v>-2.5402680000000002</v>
      </c>
      <c r="V795">
        <v>-0.13469120000000001</v>
      </c>
      <c r="W795">
        <v>0.1324128</v>
      </c>
      <c r="X795">
        <v>0.9820006</v>
      </c>
      <c r="Y795">
        <v>-0.35326619999999997</v>
      </c>
      <c r="Z795">
        <v>6.5922480000000006E-2</v>
      </c>
      <c r="AA795">
        <v>0.93319730000000001</v>
      </c>
      <c r="AB795">
        <v>34</v>
      </c>
      <c r="AC795">
        <v>10.0025999999999</v>
      </c>
      <c r="AD795">
        <v>-1.11765313824399</v>
      </c>
      <c r="AE795">
        <v>-13.4971999999999</v>
      </c>
      <c r="AF795">
        <v>-6.0390803194320402</v>
      </c>
      <c r="AG795">
        <v>-1.11765313824399</v>
      </c>
      <c r="AH795">
        <v>15.597247047546199</v>
      </c>
      <c r="AI795">
        <v>93.822994204873098</v>
      </c>
      <c r="AJ795">
        <v>111.165848285783</v>
      </c>
      <c r="AK795">
        <v>16.7628683435791</v>
      </c>
      <c r="AL795">
        <v>82.390959047255606</v>
      </c>
      <c r="AM795">
        <v>97.809956407356694</v>
      </c>
      <c r="AN795">
        <v>1.00000002368081</v>
      </c>
    </row>
    <row r="796" spans="1:40" x14ac:dyDescent="0.3">
      <c r="A796" t="str">
        <f>"20200111150305465"</f>
        <v>20200111150305465</v>
      </c>
      <c r="B796" t="str">
        <f>"1578726185457456"</f>
        <v>1578726185457456</v>
      </c>
      <c r="C796" t="s">
        <v>40</v>
      </c>
      <c r="D796">
        <v>5.720097</v>
      </c>
      <c r="E796">
        <v>0.41571750000000002</v>
      </c>
      <c r="F796" t="s">
        <v>53</v>
      </c>
      <c r="G796">
        <v>-480.11270000000002</v>
      </c>
      <c r="H796" s="1">
        <v>1.9853840000000001E-6</v>
      </c>
      <c r="I796">
        <v>220.50620000000001</v>
      </c>
      <c r="J796">
        <v>-489.73070000000001</v>
      </c>
      <c r="K796">
        <v>1.1179250000000001</v>
      </c>
      <c r="L796">
        <v>233.02780000000001</v>
      </c>
      <c r="M796">
        <v>0.28198119999999999</v>
      </c>
      <c r="N796">
        <v>0</v>
      </c>
      <c r="O796">
        <v>-0.95930329999999997</v>
      </c>
      <c r="P796">
        <v>0.40296209999999999</v>
      </c>
      <c r="Q796">
        <v>0.1208246</v>
      </c>
      <c r="R796">
        <v>-0.90720650000000003</v>
      </c>
      <c r="S796">
        <v>1.896393</v>
      </c>
      <c r="T796">
        <v>-0.21783739999999999</v>
      </c>
      <c r="U796">
        <v>-2.5090479999999999</v>
      </c>
      <c r="V796">
        <v>-0.135272</v>
      </c>
      <c r="W796">
        <v>0.1310344</v>
      </c>
      <c r="X796">
        <v>0.98210560000000002</v>
      </c>
      <c r="Y796">
        <v>-0.35200100000000001</v>
      </c>
      <c r="Z796">
        <v>6.984725E-2</v>
      </c>
      <c r="AA796">
        <v>0.93338989999999999</v>
      </c>
      <c r="AB796">
        <v>34</v>
      </c>
      <c r="AC796">
        <v>9.6179999999999897</v>
      </c>
      <c r="AD796">
        <v>-1.117923014616</v>
      </c>
      <c r="AE796">
        <v>-12.521599999999999</v>
      </c>
      <c r="AF796">
        <v>-5.6679466736988298</v>
      </c>
      <c r="AG796">
        <v>-1.117923014616</v>
      </c>
      <c r="AH796">
        <v>14.652301455302799</v>
      </c>
      <c r="AI796">
        <v>94.070210308863494</v>
      </c>
      <c r="AJ796">
        <v>111.147954945378</v>
      </c>
      <c r="AK796">
        <v>15.750089183860901</v>
      </c>
      <c r="AL796">
        <v>82.470629350706204</v>
      </c>
      <c r="AM796">
        <v>97.842387241919795</v>
      </c>
      <c r="AN796">
        <v>0.99999996875935904</v>
      </c>
    </row>
    <row r="797" spans="1:40" x14ac:dyDescent="0.3">
      <c r="A797" t="str">
        <f>"20200111150305483"</f>
        <v>20200111150305483</v>
      </c>
      <c r="B797" t="str">
        <f>"1578726185477952"</f>
        <v>1578726185477952</v>
      </c>
      <c r="C797" t="s">
        <v>40</v>
      </c>
      <c r="D797">
        <v>8.6104570000000002</v>
      </c>
      <c r="E797">
        <v>0.39756150000000001</v>
      </c>
      <c r="F797" t="s">
        <v>53</v>
      </c>
      <c r="G797">
        <v>-484.678</v>
      </c>
      <c r="H797" s="1">
        <v>4.266126E-6</v>
      </c>
      <c r="I797">
        <v>226.2124</v>
      </c>
      <c r="J797">
        <v>-489.642</v>
      </c>
      <c r="K797">
        <v>1.1181289999999999</v>
      </c>
      <c r="L797">
        <v>232.76439999999999</v>
      </c>
      <c r="M797">
        <v>0.29486689999999999</v>
      </c>
      <c r="N797">
        <v>0</v>
      </c>
      <c r="O797">
        <v>-0.9554203</v>
      </c>
      <c r="P797">
        <v>0.41435139999999998</v>
      </c>
      <c r="Q797">
        <v>0.121182399999999</v>
      </c>
      <c r="R797">
        <v>-0.90201339999999997</v>
      </c>
      <c r="S797">
        <v>1.8750610000000001</v>
      </c>
      <c r="T797">
        <v>-0.41486909999999999</v>
      </c>
      <c r="U797">
        <v>-2.5292659999999998</v>
      </c>
      <c r="V797">
        <v>-0.13451299999999999</v>
      </c>
      <c r="W797">
        <v>0.13141449999999999</v>
      </c>
      <c r="X797">
        <v>0.98215909999999995</v>
      </c>
      <c r="Y797">
        <v>-0.32682440000000001</v>
      </c>
      <c r="Z797">
        <v>0.13138429999999901</v>
      </c>
      <c r="AA797">
        <v>0.93590810000000002</v>
      </c>
      <c r="AB797">
        <v>34</v>
      </c>
      <c r="AC797">
        <v>4.96399999999994</v>
      </c>
      <c r="AD797">
        <v>-1.1181247338739999</v>
      </c>
      <c r="AE797">
        <v>-6.5519999999999898</v>
      </c>
      <c r="AF797">
        <v>-2.7599892399930299</v>
      </c>
      <c r="AG797">
        <v>-1.1181247338739999</v>
      </c>
      <c r="AH797">
        <v>7.5841792802651202</v>
      </c>
      <c r="AI797">
        <v>97.8875527606383</v>
      </c>
      <c r="AJ797">
        <v>109.997156340201</v>
      </c>
      <c r="AK797">
        <v>8.1478536364235801</v>
      </c>
      <c r="AL797">
        <v>82.448661555923806</v>
      </c>
      <c r="AM797">
        <v>97.798507668564696</v>
      </c>
      <c r="AN797">
        <v>1.00000000784603</v>
      </c>
    </row>
    <row r="798" spans="1:40" x14ac:dyDescent="0.3">
      <c r="A798" t="str">
        <f>"20200111150305508"</f>
        <v>20200111150305508</v>
      </c>
      <c r="B798" t="str">
        <f>"1578726185497472"</f>
        <v>1578726185497472</v>
      </c>
      <c r="C798" t="s">
        <v>40</v>
      </c>
      <c r="D798">
        <v>5.4412880000000001</v>
      </c>
      <c r="E798">
        <v>0.39380700000000002</v>
      </c>
      <c r="F798" t="s">
        <v>53</v>
      </c>
      <c r="G798">
        <v>-478.7894</v>
      </c>
      <c r="H798" s="1">
        <v>2.3004290000000002E-6</v>
      </c>
      <c r="I798">
        <v>219.77610000000001</v>
      </c>
      <c r="J798">
        <v>-489.5197</v>
      </c>
      <c r="K798">
        <v>1.1183890000000001</v>
      </c>
      <c r="L798">
        <v>232.4179</v>
      </c>
      <c r="M798">
        <v>0.31208740000000001</v>
      </c>
      <c r="N798">
        <v>0</v>
      </c>
      <c r="O798">
        <v>-0.94993349999999999</v>
      </c>
      <c r="P798">
        <v>0.43005909999999897</v>
      </c>
      <c r="Q798">
        <v>0.12250220000000001</v>
      </c>
      <c r="R798">
        <v>-0.89445090000000005</v>
      </c>
      <c r="S798">
        <v>2.0251459999999999</v>
      </c>
      <c r="T798">
        <v>-0.208647</v>
      </c>
      <c r="U798">
        <v>-2.4236599999999999</v>
      </c>
      <c r="V798">
        <v>-0.1341242</v>
      </c>
      <c r="W798">
        <v>0.1327422</v>
      </c>
      <c r="X798">
        <v>0.98203370000000001</v>
      </c>
      <c r="Y798">
        <v>-0.36817729999999999</v>
      </c>
      <c r="Z798">
        <v>6.6562469999999999E-2</v>
      </c>
      <c r="AA798">
        <v>0.92736989999999997</v>
      </c>
      <c r="AB798">
        <v>34</v>
      </c>
      <c r="AC798">
        <v>10.7303</v>
      </c>
      <c r="AD798">
        <v>-1.1183866995709999</v>
      </c>
      <c r="AE798">
        <v>-12.6417999999999</v>
      </c>
      <c r="AF798">
        <v>-6.2201407839065803</v>
      </c>
      <c r="AG798">
        <v>-1.1183866995709999</v>
      </c>
      <c r="AH798">
        <v>15.2898555647392</v>
      </c>
      <c r="AI798">
        <v>93.876075061782899</v>
      </c>
      <c r="AJ798">
        <v>112.13722334818399</v>
      </c>
      <c r="AK798">
        <v>16.5445043253638</v>
      </c>
      <c r="AL798">
        <v>82.371917477293394</v>
      </c>
      <c r="AM798">
        <v>97.777223662137303</v>
      </c>
      <c r="AN798">
        <v>0.999999990311084</v>
      </c>
    </row>
    <row r="799" spans="1:40" x14ac:dyDescent="0.3">
      <c r="A799" t="str">
        <f>"20200111150305532"</f>
        <v>20200111150305532</v>
      </c>
      <c r="B799" t="str">
        <f>"1578726185527728"</f>
        <v>1578726185527728</v>
      </c>
      <c r="C799" t="s">
        <v>40</v>
      </c>
      <c r="D799">
        <v>5.3787710000000004</v>
      </c>
      <c r="E799">
        <v>0.39553389999999999</v>
      </c>
      <c r="F799" t="s">
        <v>53</v>
      </c>
      <c r="G799">
        <v>-476.75729999999999</v>
      </c>
      <c r="H799" s="1">
        <v>3.1078729999999998E-6</v>
      </c>
      <c r="I799">
        <v>217.95660000000001</v>
      </c>
      <c r="J799">
        <v>-489.39420000000001</v>
      </c>
      <c r="K799">
        <v>1.1186290000000001</v>
      </c>
      <c r="L799">
        <v>232.08359999999999</v>
      </c>
      <c r="M799">
        <v>0.32905610000000002</v>
      </c>
      <c r="N799">
        <v>0</v>
      </c>
      <c r="O799">
        <v>-0.94418820000000003</v>
      </c>
      <c r="P799">
        <v>0.44669219999999998</v>
      </c>
      <c r="Q799">
        <v>0.1231507</v>
      </c>
      <c r="R799">
        <v>-0.88617179999999995</v>
      </c>
      <c r="S799">
        <v>2.09375</v>
      </c>
      <c r="T799">
        <v>-0.18347730000000001</v>
      </c>
      <c r="U799">
        <v>-2.372452</v>
      </c>
      <c r="V799">
        <v>-0.13501250000000001</v>
      </c>
      <c r="W799">
        <v>0.133358</v>
      </c>
      <c r="X799">
        <v>0.98182849999999999</v>
      </c>
      <c r="Y799">
        <v>-0.3769151</v>
      </c>
      <c r="Z799">
        <v>5.8400140000000003E-2</v>
      </c>
      <c r="AA799">
        <v>0.92440489999999997</v>
      </c>
      <c r="AB799">
        <v>34</v>
      </c>
      <c r="AC799">
        <v>12.636900000000001</v>
      </c>
      <c r="AD799">
        <v>-1.118625892127</v>
      </c>
      <c r="AE799">
        <v>-14.126999999999899</v>
      </c>
      <c r="AF799">
        <v>-7.25859479936938</v>
      </c>
      <c r="AG799">
        <v>-1.118625892127</v>
      </c>
      <c r="AH799">
        <v>17.438077276477401</v>
      </c>
      <c r="AI799">
        <v>93.389253807130203</v>
      </c>
      <c r="AJ799">
        <v>112.599506612749</v>
      </c>
      <c r="AK799">
        <v>18.921550186186298</v>
      </c>
      <c r="AL799">
        <v>82.336318056702098</v>
      </c>
      <c r="AM799">
        <v>97.829711169673502</v>
      </c>
      <c r="AN799">
        <v>0.99999996736624897</v>
      </c>
    </row>
    <row r="800" spans="1:40" x14ac:dyDescent="0.3">
      <c r="A800" t="str">
        <f>"20200111150305551"</f>
        <v>20200111150305551</v>
      </c>
      <c r="B800" t="str">
        <f>"1578726185548223"</f>
        <v>1578726185548223</v>
      </c>
      <c r="C800" t="s">
        <v>40</v>
      </c>
      <c r="D800">
        <v>5.4060990000000002</v>
      </c>
      <c r="E800">
        <v>0.39790370000000003</v>
      </c>
      <c r="F800" t="s">
        <v>53</v>
      </c>
      <c r="G800">
        <v>-476.17869999999999</v>
      </c>
      <c r="H800" s="1">
        <v>3.345921E-6</v>
      </c>
      <c r="I800">
        <v>217.53280000000001</v>
      </c>
      <c r="J800">
        <v>-489.2928</v>
      </c>
      <c r="K800">
        <v>1.1188009999999999</v>
      </c>
      <c r="L800">
        <v>231.82550000000001</v>
      </c>
      <c r="M800">
        <v>0.34234369999999997</v>
      </c>
      <c r="N800">
        <v>0</v>
      </c>
      <c r="O800">
        <v>-0.93945100000000004</v>
      </c>
      <c r="P800">
        <v>0.45993040000000002</v>
      </c>
      <c r="Q800">
        <v>0.12281599999999999</v>
      </c>
      <c r="R800">
        <v>-0.8794206</v>
      </c>
      <c r="S800">
        <v>2.124695</v>
      </c>
      <c r="T800">
        <v>-0.17984459999999999</v>
      </c>
      <c r="U800">
        <v>-2.3393709999999999</v>
      </c>
      <c r="V800">
        <v>-0.1359204</v>
      </c>
      <c r="W800">
        <v>0.13299079999999999</v>
      </c>
      <c r="X800">
        <v>0.98175310000000005</v>
      </c>
      <c r="Y800">
        <v>-0.37708799999999998</v>
      </c>
      <c r="Z800">
        <v>5.7200670000000002E-2</v>
      </c>
      <c r="AA800">
        <v>0.92440940000000005</v>
      </c>
      <c r="AB800">
        <v>34</v>
      </c>
      <c r="AC800">
        <v>13.114100000000001</v>
      </c>
      <c r="AD800">
        <v>-1.1187976540789999</v>
      </c>
      <c r="AE800">
        <v>-14.2926999999999</v>
      </c>
      <c r="AF800">
        <v>-7.40327401638653</v>
      </c>
      <c r="AG800">
        <v>-1.1187976540789999</v>
      </c>
      <c r="AH800">
        <v>17.8594917777516</v>
      </c>
      <c r="AI800">
        <v>93.311981581125494</v>
      </c>
      <c r="AJ800">
        <v>112.515415859089</v>
      </c>
      <c r="AK800">
        <v>19.365474972539499</v>
      </c>
      <c r="AL800">
        <v>82.357546625987894</v>
      </c>
      <c r="AM800">
        <v>97.882300722462404</v>
      </c>
      <c r="AN800">
        <v>1.0000000286902</v>
      </c>
    </row>
    <row r="801" spans="1:40" x14ac:dyDescent="0.3">
      <c r="A801" t="str">
        <f>"20200111150305572"</f>
        <v>20200111150305572</v>
      </c>
      <c r="B801" t="str">
        <f>"1578726185567744"</f>
        <v>1578726185567744</v>
      </c>
      <c r="C801" t="s">
        <v>40</v>
      </c>
      <c r="D801">
        <v>5.3105710000000004</v>
      </c>
      <c r="E801">
        <v>0.40022669999999999</v>
      </c>
      <c r="F801" t="s">
        <v>53</v>
      </c>
      <c r="G801">
        <v>-477.26310000000001</v>
      </c>
      <c r="H801" s="1">
        <v>2.9213439999999998E-6</v>
      </c>
      <c r="I801">
        <v>218.821</v>
      </c>
      <c r="J801">
        <v>-489.16789999999997</v>
      </c>
      <c r="K801">
        <v>1.1189929999999999</v>
      </c>
      <c r="L801">
        <v>231.52260000000001</v>
      </c>
      <c r="M801">
        <v>0.35816679999999901</v>
      </c>
      <c r="N801">
        <v>0</v>
      </c>
      <c r="O801">
        <v>-0.93353189999999997</v>
      </c>
      <c r="P801">
        <v>0.47511680000000001</v>
      </c>
      <c r="Q801">
        <v>0.1215358</v>
      </c>
      <c r="R801">
        <v>-0.87148890000000001</v>
      </c>
      <c r="S801">
        <v>2.144104</v>
      </c>
      <c r="T801">
        <v>-0.19940849999999999</v>
      </c>
      <c r="U801">
        <v>-2.3178559999999999</v>
      </c>
      <c r="V801">
        <v>-0.13632420000000001</v>
      </c>
      <c r="W801">
        <v>0.1317033</v>
      </c>
      <c r="X801">
        <v>0.98187069999999999</v>
      </c>
      <c r="Y801">
        <v>-0.36961250000000001</v>
      </c>
      <c r="Z801">
        <v>6.318551E-2</v>
      </c>
      <c r="AA801">
        <v>0.92703519999999995</v>
      </c>
      <c r="AB801">
        <v>34</v>
      </c>
      <c r="AC801">
        <v>11.9047999999999</v>
      </c>
      <c r="AD801">
        <v>-1.1189900786560001</v>
      </c>
      <c r="AE801">
        <v>-12.701599999999999</v>
      </c>
      <c r="AF801">
        <v>-6.53797659257968</v>
      </c>
      <c r="AG801">
        <v>-1.1189900786560001</v>
      </c>
      <c r="AH801">
        <v>16.0568030906133</v>
      </c>
      <c r="AI801">
        <v>93.692979541334495</v>
      </c>
      <c r="AJ801">
        <v>112.155070788573</v>
      </c>
      <c r="AK801">
        <v>17.3729157659841</v>
      </c>
      <c r="AL801">
        <v>82.431969843420703</v>
      </c>
      <c r="AM801">
        <v>97.9044873919526</v>
      </c>
      <c r="AN801">
        <v>1.0000000591275</v>
      </c>
    </row>
    <row r="802" spans="1:40" x14ac:dyDescent="0.3">
      <c r="A802" t="str">
        <f>"20200111150305597"</f>
        <v>20200111150305597</v>
      </c>
      <c r="B802" t="str">
        <f>"1578726185588240"</f>
        <v>1578726185588240</v>
      </c>
      <c r="C802" t="s">
        <v>40</v>
      </c>
      <c r="D802">
        <v>5.4633379999999896</v>
      </c>
      <c r="E802">
        <v>0.4015107</v>
      </c>
      <c r="F802" t="s">
        <v>53</v>
      </c>
      <c r="G802">
        <v>-478.98320000000001</v>
      </c>
      <c r="H802">
        <v>8.0000150000000006E-2</v>
      </c>
      <c r="I802">
        <v>220.76920000000001</v>
      </c>
      <c r="J802">
        <v>-489.02179999999998</v>
      </c>
      <c r="K802">
        <v>1.1191879999999901</v>
      </c>
      <c r="L802">
        <v>231.1857</v>
      </c>
      <c r="M802">
        <v>0.3760288</v>
      </c>
      <c r="N802">
        <v>0</v>
      </c>
      <c r="O802">
        <v>-0.92648019999999998</v>
      </c>
      <c r="P802">
        <v>0.49253789999999997</v>
      </c>
      <c r="Q802">
        <v>0.12080299999999999</v>
      </c>
      <c r="R802">
        <v>-0.86186620000000003</v>
      </c>
      <c r="S802">
        <v>2.1694339999999999</v>
      </c>
      <c r="T802">
        <v>-0.22131290000000001</v>
      </c>
      <c r="U802">
        <v>-2.290543</v>
      </c>
      <c r="V802">
        <v>-0.13721069999999999</v>
      </c>
      <c r="W802">
        <v>0.13094510000000001</v>
      </c>
      <c r="X802">
        <v>0.98184850000000001</v>
      </c>
      <c r="Y802">
        <v>-0.3623499</v>
      </c>
      <c r="Z802">
        <v>6.9796520000000001E-2</v>
      </c>
      <c r="AA802">
        <v>0.9294251</v>
      </c>
      <c r="AB802">
        <v>34</v>
      </c>
      <c r="AC802">
        <v>10.038599999999899</v>
      </c>
      <c r="AD802">
        <v>-1.03918784999999</v>
      </c>
      <c r="AE802">
        <v>-10.4164999999999</v>
      </c>
      <c r="AF802">
        <v>-5.3566561990708799</v>
      </c>
      <c r="AG802">
        <v>-1.03918784999999</v>
      </c>
      <c r="AH802">
        <v>13.358142730091901</v>
      </c>
      <c r="AI802">
        <v>94.129887495671994</v>
      </c>
      <c r="AJ802">
        <v>111.850936725788</v>
      </c>
      <c r="AK802">
        <v>14.4296103280767</v>
      </c>
      <c r="AL802">
        <v>82.4757900858814</v>
      </c>
      <c r="AM802">
        <v>97.955410907701406</v>
      </c>
      <c r="AN802">
        <v>0.99999993618037297</v>
      </c>
    </row>
    <row r="803" spans="1:40" x14ac:dyDescent="0.3">
      <c r="A803" t="str">
        <f>"20200111150305618"</f>
        <v>20200111150305618</v>
      </c>
      <c r="B803" t="str">
        <f>"1578726185607759"</f>
        <v>1578726185607759</v>
      </c>
      <c r="C803" t="s">
        <v>40</v>
      </c>
      <c r="D803">
        <v>5.4351969999999996</v>
      </c>
      <c r="E803">
        <v>0.40275889999999998</v>
      </c>
      <c r="F803" t="s">
        <v>53</v>
      </c>
      <c r="G803">
        <v>-479.10559999999998</v>
      </c>
      <c r="H803">
        <v>8.0000269999999998E-2</v>
      </c>
      <c r="I803">
        <v>221.0617</v>
      </c>
      <c r="J803">
        <v>-488.89120000000003</v>
      </c>
      <c r="K803">
        <v>1.119345</v>
      </c>
      <c r="L803">
        <v>230.89859999999999</v>
      </c>
      <c r="M803">
        <v>0.3914472</v>
      </c>
      <c r="N803">
        <v>0</v>
      </c>
      <c r="O803">
        <v>-0.92007059999999996</v>
      </c>
      <c r="P803">
        <v>0.50839469999999998</v>
      </c>
      <c r="Q803">
        <v>0.11941640000000001</v>
      </c>
      <c r="R803">
        <v>-0.85280419999999901</v>
      </c>
      <c r="S803">
        <v>2.2062379999999999</v>
      </c>
      <c r="T803">
        <v>-0.231207</v>
      </c>
      <c r="U803">
        <v>-2.252472</v>
      </c>
      <c r="V803">
        <v>-0.13890759999999999</v>
      </c>
      <c r="W803">
        <v>0.1295007</v>
      </c>
      <c r="X803">
        <v>0.98180149999999999</v>
      </c>
      <c r="Y803">
        <v>-0.36222650000000001</v>
      </c>
      <c r="Z803">
        <v>7.2688150000000007E-2</v>
      </c>
      <c r="AA803">
        <v>0.92925150000000001</v>
      </c>
      <c r="AB803">
        <v>34</v>
      </c>
      <c r="AC803">
        <v>9.7856000000000396</v>
      </c>
      <c r="AD803">
        <v>-1.03934473</v>
      </c>
      <c r="AE803">
        <v>-9.8368999999999804</v>
      </c>
      <c r="AF803">
        <v>-5.1246778491621496</v>
      </c>
      <c r="AG803">
        <v>-1.03934473</v>
      </c>
      <c r="AH803">
        <v>12.810847724229101</v>
      </c>
      <c r="AI803">
        <v>94.307765248337802</v>
      </c>
      <c r="AJ803">
        <v>111.802715579825</v>
      </c>
      <c r="AK803">
        <v>13.8369208980487</v>
      </c>
      <c r="AL803">
        <v>82.559259126828394</v>
      </c>
      <c r="AM803">
        <v>98.052894055156798</v>
      </c>
      <c r="AN803">
        <v>0.99999996902024901</v>
      </c>
    </row>
    <row r="804" spans="1:40" x14ac:dyDescent="0.3">
      <c r="A804" t="str">
        <f>"20200111150305640"</f>
        <v>20200111150305640</v>
      </c>
      <c r="B804" t="str">
        <f>"1578726185638016"</f>
        <v>1578726185638016</v>
      </c>
      <c r="C804" t="s">
        <v>40</v>
      </c>
      <c r="D804">
        <v>5.486955</v>
      </c>
      <c r="E804">
        <v>0.40396729999999997</v>
      </c>
      <c r="F804" t="s">
        <v>53</v>
      </c>
      <c r="G804">
        <v>-479.36329999999998</v>
      </c>
      <c r="H804">
        <v>8.0000299999999996E-2</v>
      </c>
      <c r="I804">
        <v>221.4606</v>
      </c>
      <c r="J804">
        <v>-488.75259999999997</v>
      </c>
      <c r="K804">
        <v>1.1195040000000001</v>
      </c>
      <c r="L804">
        <v>230.6071</v>
      </c>
      <c r="M804">
        <v>0.40729310000000002</v>
      </c>
      <c r="N804">
        <v>0</v>
      </c>
      <c r="O804">
        <v>-0.91316540000000002</v>
      </c>
      <c r="P804">
        <v>0.52259460000000002</v>
      </c>
      <c r="Q804">
        <v>0.11830739999999899</v>
      </c>
      <c r="R804">
        <v>-0.84433320000000001</v>
      </c>
      <c r="S804">
        <v>2.2385860000000002</v>
      </c>
      <c r="T804">
        <v>-0.24419260000000001</v>
      </c>
      <c r="U804">
        <v>-2.2174529999999999</v>
      </c>
      <c r="V804">
        <v>-0.1383152</v>
      </c>
      <c r="W804">
        <v>0.12842410000000001</v>
      </c>
      <c r="X804">
        <v>0.98202659999999997</v>
      </c>
      <c r="Y804">
        <v>-0.35993969999999997</v>
      </c>
      <c r="Z804">
        <v>7.6456609999999994E-2</v>
      </c>
      <c r="AA804">
        <v>0.92983749999999998</v>
      </c>
      <c r="AB804">
        <v>34</v>
      </c>
      <c r="AC804">
        <v>9.3892999999999898</v>
      </c>
      <c r="AD804">
        <v>-1.0395037</v>
      </c>
      <c r="AE804">
        <v>-9.1464999999999996</v>
      </c>
      <c r="AF804">
        <v>-4.8189559642403896</v>
      </c>
      <c r="AG804">
        <v>-1.0395037</v>
      </c>
      <c r="AH804">
        <v>12.101824733450799</v>
      </c>
      <c r="AI804">
        <v>94.562663486547507</v>
      </c>
      <c r="AJ804">
        <v>111.71248532648799</v>
      </c>
      <c r="AK804">
        <v>13.0674047311149</v>
      </c>
      <c r="AL804">
        <v>82.621463757367295</v>
      </c>
      <c r="AM804">
        <v>98.017184286595494</v>
      </c>
      <c r="AN804">
        <v>1.0000000435597001</v>
      </c>
    </row>
    <row r="805" spans="1:40" x14ac:dyDescent="0.3">
      <c r="A805" t="str">
        <f>"20200111150305662"</f>
        <v>20200111150305662</v>
      </c>
      <c r="B805" t="str">
        <f>"1578726185657537"</f>
        <v>1578726185657537</v>
      </c>
      <c r="C805" t="s">
        <v>40</v>
      </c>
      <c r="D805">
        <v>5.4881070000000003</v>
      </c>
      <c r="E805">
        <v>0.40455479999999999</v>
      </c>
      <c r="F805" t="s">
        <v>53</v>
      </c>
      <c r="G805">
        <v>-479.34370000000001</v>
      </c>
      <c r="H805">
        <v>8.0000340000000003E-2</v>
      </c>
      <c r="I805">
        <v>221.54409999999999</v>
      </c>
      <c r="J805">
        <v>-488.60610000000003</v>
      </c>
      <c r="K805">
        <v>1.11965</v>
      </c>
      <c r="L805">
        <v>230.3125</v>
      </c>
      <c r="M805">
        <v>0.4235102</v>
      </c>
      <c r="N805">
        <v>0</v>
      </c>
      <c r="O805">
        <v>-0.90575700000000003</v>
      </c>
      <c r="P805">
        <v>0.5361918</v>
      </c>
      <c r="Q805">
        <v>0.11787069999999999</v>
      </c>
      <c r="R805">
        <v>-0.8358257</v>
      </c>
      <c r="S805">
        <v>2.2679140000000002</v>
      </c>
      <c r="T805">
        <v>-0.25055919999999998</v>
      </c>
      <c r="U805">
        <v>-2.1845249999999998</v>
      </c>
      <c r="V805">
        <v>-0.13670829999999901</v>
      </c>
      <c r="W805">
        <v>0.12806229999999999</v>
      </c>
      <c r="X805">
        <v>0.98229880000000003</v>
      </c>
      <c r="Y805">
        <v>-0.35620449999999998</v>
      </c>
      <c r="Z805">
        <v>7.8073740000000003E-2</v>
      </c>
      <c r="AA805">
        <v>0.93114059999999998</v>
      </c>
      <c r="AB805">
        <v>34</v>
      </c>
      <c r="AC805">
        <v>9.2624000000000102</v>
      </c>
      <c r="AD805">
        <v>-1.03964966</v>
      </c>
      <c r="AE805">
        <v>-8.7684000000000104</v>
      </c>
      <c r="AF805">
        <v>-4.6456786863350104</v>
      </c>
      <c r="AG805">
        <v>-1.03964966</v>
      </c>
      <c r="AH805">
        <v>11.787882531946201</v>
      </c>
      <c r="AI805">
        <v>94.690842978350602</v>
      </c>
      <c r="AJ805">
        <v>111.509711818521</v>
      </c>
      <c r="AK805">
        <v>12.712882303363299</v>
      </c>
      <c r="AL805">
        <v>82.642365806516295</v>
      </c>
      <c r="AM805">
        <v>97.923065384431595</v>
      </c>
      <c r="AN805">
        <v>1.0000000222258001</v>
      </c>
    </row>
    <row r="806" spans="1:40" x14ac:dyDescent="0.3">
      <c r="A806" t="str">
        <f>"20200111150305684"</f>
        <v>20200111150305684</v>
      </c>
      <c r="B806" t="str">
        <f>"1578726185678031"</f>
        <v>1578726185678031</v>
      </c>
      <c r="C806" t="s">
        <v>40</v>
      </c>
      <c r="D806">
        <v>5.5220820000000002</v>
      </c>
      <c r="E806">
        <v>0.40530709999999998</v>
      </c>
      <c r="F806" t="s">
        <v>53</v>
      </c>
      <c r="G806">
        <v>-479.15350000000001</v>
      </c>
      <c r="H806">
        <v>8.0000429999999997E-2</v>
      </c>
      <c r="I806">
        <v>221.47540000000001</v>
      </c>
      <c r="J806">
        <v>-488.45139999999998</v>
      </c>
      <c r="K806">
        <v>1.119793</v>
      </c>
      <c r="L806">
        <v>230.01480000000001</v>
      </c>
      <c r="M806">
        <v>0.4400828</v>
      </c>
      <c r="N806">
        <v>0</v>
      </c>
      <c r="O806">
        <v>-0.89782050000000002</v>
      </c>
      <c r="P806">
        <v>0.55129799999999995</v>
      </c>
      <c r="Q806">
        <v>0.1181355</v>
      </c>
      <c r="R806">
        <v>-0.82590209999999997</v>
      </c>
      <c r="S806">
        <v>2.2995000000000001</v>
      </c>
      <c r="T806">
        <v>-0.2529112</v>
      </c>
      <c r="U806">
        <v>-2.1497649999999999</v>
      </c>
      <c r="V806">
        <v>-0.13659460000000001</v>
      </c>
      <c r="W806">
        <v>0.1283427</v>
      </c>
      <c r="X806">
        <v>0.98227799999999998</v>
      </c>
      <c r="Y806">
        <v>-0.35289619999999999</v>
      </c>
      <c r="Z806">
        <v>7.8374159999999998E-2</v>
      </c>
      <c r="AA806">
        <v>0.93237420000000004</v>
      </c>
      <c r="AB806">
        <v>34</v>
      </c>
      <c r="AC806">
        <v>9.2978999999999701</v>
      </c>
      <c r="AD806">
        <v>-1.0397925699999999</v>
      </c>
      <c r="AE806">
        <v>-8.5394000000000005</v>
      </c>
      <c r="AF806">
        <v>-4.5594347866167002</v>
      </c>
      <c r="AG806">
        <v>-1.0397925699999999</v>
      </c>
      <c r="AH806">
        <v>11.6808955282683</v>
      </c>
      <c r="AI806">
        <v>94.740309599907704</v>
      </c>
      <c r="AJ806">
        <v>111.32232446453099</v>
      </c>
      <c r="AK806">
        <v>12.582246798738099</v>
      </c>
      <c r="AL806">
        <v>82.626166238000593</v>
      </c>
      <c r="AM806">
        <v>97.916724879951602</v>
      </c>
      <c r="AN806">
        <v>1.00000000133822</v>
      </c>
    </row>
    <row r="807" spans="1:40" x14ac:dyDescent="0.3">
      <c r="A807" t="str">
        <f>"20200111150305709"</f>
        <v>20200111150305709</v>
      </c>
      <c r="B807" t="str">
        <f>"1578726185697554"</f>
        <v>1578726185697554</v>
      </c>
      <c r="C807" t="s">
        <v>40</v>
      </c>
      <c r="D807">
        <v>5.5689089999999997</v>
      </c>
      <c r="E807">
        <v>0.40595160000000002</v>
      </c>
      <c r="F807" t="s">
        <v>53</v>
      </c>
      <c r="G807">
        <v>-478.90320000000003</v>
      </c>
      <c r="H807">
        <v>8.0000450000000001E-2</v>
      </c>
      <c r="I807">
        <v>221.37710000000001</v>
      </c>
      <c r="J807">
        <v>-488.28370000000001</v>
      </c>
      <c r="K807">
        <v>1.11995</v>
      </c>
      <c r="L807">
        <v>229.7063</v>
      </c>
      <c r="M807">
        <v>0.4574645</v>
      </c>
      <c r="N807">
        <v>0</v>
      </c>
      <c r="O807">
        <v>-0.88908889999999996</v>
      </c>
      <c r="P807">
        <v>0.56747749999999997</v>
      </c>
      <c r="Q807">
        <v>0.1191943</v>
      </c>
      <c r="R807">
        <v>-0.81471610000000005</v>
      </c>
      <c r="S807">
        <v>2.333618</v>
      </c>
      <c r="T807">
        <v>-0.25412950000000001</v>
      </c>
      <c r="U807">
        <v>-2.1110989999999998</v>
      </c>
      <c r="V807">
        <v>-0.137022</v>
      </c>
      <c r="W807">
        <v>0.129396699999999</v>
      </c>
      <c r="X807">
        <v>0.98208019999999996</v>
      </c>
      <c r="Y807">
        <v>-0.34996759999999999</v>
      </c>
      <c r="Z807">
        <v>7.8270820000000005E-2</v>
      </c>
      <c r="AA807">
        <v>0.93348620000000004</v>
      </c>
      <c r="AB807">
        <v>34</v>
      </c>
      <c r="AC807">
        <v>9.3804999999999801</v>
      </c>
      <c r="AD807">
        <v>-1.03994955</v>
      </c>
      <c r="AE807">
        <v>-8.3291999999999806</v>
      </c>
      <c r="AF807">
        <v>-4.4994234560065696</v>
      </c>
      <c r="AG807">
        <v>-1.03994955</v>
      </c>
      <c r="AH807">
        <v>11.6182462506983</v>
      </c>
      <c r="AI807">
        <v>94.771376325038005</v>
      </c>
      <c r="AJ807">
        <v>111.16999921103999</v>
      </c>
      <c r="AK807">
        <v>12.502397867804101</v>
      </c>
      <c r="AL807">
        <v>82.565268882138</v>
      </c>
      <c r="AM807">
        <v>97.9427595324169</v>
      </c>
      <c r="AN807">
        <v>1.0000000268434599</v>
      </c>
    </row>
    <row r="808" spans="1:40" x14ac:dyDescent="0.3">
      <c r="A808" t="str">
        <f>"20200111150305729"</f>
        <v>20200111150305729</v>
      </c>
      <c r="B808" t="str">
        <f>"1578726185727807"</f>
        <v>1578726185727807</v>
      </c>
      <c r="C808" t="s">
        <v>40</v>
      </c>
      <c r="D808">
        <v>5.4969219999999996</v>
      </c>
      <c r="E808">
        <v>0.40743119999999999</v>
      </c>
      <c r="F808" t="s">
        <v>53</v>
      </c>
      <c r="G808">
        <v>-478.45679999999999</v>
      </c>
      <c r="H808">
        <v>8.0000420000000003E-2</v>
      </c>
      <c r="I808">
        <v>221.13900000000001</v>
      </c>
      <c r="J808">
        <v>-488.13080000000002</v>
      </c>
      <c r="K808">
        <v>1.1200920000000001</v>
      </c>
      <c r="L808">
        <v>229.43790000000001</v>
      </c>
      <c r="M808">
        <v>0.47277160000000001</v>
      </c>
      <c r="N808">
        <v>0</v>
      </c>
      <c r="O808">
        <v>-0.88104349999999998</v>
      </c>
      <c r="P808">
        <v>0.58175600000000005</v>
      </c>
      <c r="Q808">
        <v>0.1198335</v>
      </c>
      <c r="R808">
        <v>-0.80448759999999997</v>
      </c>
      <c r="S808">
        <v>2.3712460000000002</v>
      </c>
      <c r="T808">
        <v>-0.25094100000000003</v>
      </c>
      <c r="U808">
        <v>-2.067291</v>
      </c>
      <c r="V808">
        <v>-0.13747179999999901</v>
      </c>
      <c r="W808">
        <v>0.13002939999999999</v>
      </c>
      <c r="X808">
        <v>0.98193370000000002</v>
      </c>
      <c r="Y808">
        <v>-0.35098200000000002</v>
      </c>
      <c r="Z808">
        <v>7.6920669999999997E-2</v>
      </c>
      <c r="AA808">
        <v>0.93321750000000003</v>
      </c>
      <c r="AB808">
        <v>34</v>
      </c>
      <c r="AC808">
        <v>9.6740000000000297</v>
      </c>
      <c r="AD808">
        <v>-1.0400915799999999</v>
      </c>
      <c r="AE808">
        <v>-8.2988999999999997</v>
      </c>
      <c r="AF808">
        <v>-4.5698739020524899</v>
      </c>
      <c r="AG808">
        <v>-1.0400915799999999</v>
      </c>
      <c r="AH808">
        <v>11.8081374074997</v>
      </c>
      <c r="AI808">
        <v>94.6960419044877</v>
      </c>
      <c r="AJ808">
        <v>111.156963842153</v>
      </c>
      <c r="AK808">
        <v>12.7042373643537</v>
      </c>
      <c r="AL808">
        <v>82.528708511360094</v>
      </c>
      <c r="AM808">
        <v>97.969672315303399</v>
      </c>
      <c r="AN808">
        <v>0.99999996592764395</v>
      </c>
    </row>
    <row r="809" spans="1:40" x14ac:dyDescent="0.3">
      <c r="A809" t="str">
        <f>"20200111150305752"</f>
        <v>20200111150305752</v>
      </c>
      <c r="B809" t="str">
        <f>"1578726185747329"</f>
        <v>1578726185747329</v>
      </c>
      <c r="C809" t="s">
        <v>40</v>
      </c>
      <c r="D809">
        <v>5.6943140000000003</v>
      </c>
      <c r="E809">
        <v>0.40842709999999999</v>
      </c>
      <c r="F809" t="s">
        <v>53</v>
      </c>
      <c r="G809">
        <v>-478.19659999999999</v>
      </c>
      <c r="H809">
        <v>8.0000340000000003E-2</v>
      </c>
      <c r="I809">
        <v>221.02520000000001</v>
      </c>
      <c r="J809">
        <v>-487.96480000000003</v>
      </c>
      <c r="K809">
        <v>1.1202270000000001</v>
      </c>
      <c r="L809">
        <v>229.1585</v>
      </c>
      <c r="M809">
        <v>0.48888740000000003</v>
      </c>
      <c r="N809">
        <v>0</v>
      </c>
      <c r="O809">
        <v>-0.87220309999999901</v>
      </c>
      <c r="P809">
        <v>0.59718169999999904</v>
      </c>
      <c r="Q809">
        <v>0.1199273</v>
      </c>
      <c r="R809">
        <v>-0.79309019999999997</v>
      </c>
      <c r="S809">
        <v>2.3991389999999999</v>
      </c>
      <c r="T809">
        <v>-0.2511852</v>
      </c>
      <c r="U809">
        <v>-2.0317080000000001</v>
      </c>
      <c r="V809">
        <v>-0.13843929999999999</v>
      </c>
      <c r="W809">
        <v>0.1300974</v>
      </c>
      <c r="X809">
        <v>0.98178880000000002</v>
      </c>
      <c r="Y809">
        <v>-0.34718979999999999</v>
      </c>
      <c r="Z809">
        <v>7.6493729999999996E-2</v>
      </c>
      <c r="AA809">
        <v>0.93467</v>
      </c>
      <c r="AB809">
        <v>34</v>
      </c>
      <c r="AC809">
        <v>9.7682000000000304</v>
      </c>
      <c r="AD809">
        <v>-1.0402266600000001</v>
      </c>
      <c r="AE809">
        <v>-8.1332999999999895</v>
      </c>
      <c r="AF809">
        <v>-4.5139253302276199</v>
      </c>
      <c r="AG809">
        <v>-1.0402266600000001</v>
      </c>
      <c r="AH809">
        <v>11.7919541884231</v>
      </c>
      <c r="AI809">
        <v>94.709683830452903</v>
      </c>
      <c r="AJ809">
        <v>110.946698732621</v>
      </c>
      <c r="AK809">
        <v>12.6691663882402</v>
      </c>
      <c r="AL809">
        <v>82.524779355236006</v>
      </c>
      <c r="AM809">
        <v>98.026202109394802</v>
      </c>
      <c r="AN809">
        <v>1.00000001053834</v>
      </c>
    </row>
    <row r="810" spans="1:40" x14ac:dyDescent="0.3">
      <c r="A810" t="str">
        <f>"20200111150305774"</f>
        <v>20200111150305774</v>
      </c>
      <c r="B810" t="str">
        <f>"1578726185767823"</f>
        <v>1578726185767823</v>
      </c>
      <c r="C810" t="s">
        <v>40</v>
      </c>
      <c r="D810">
        <v>5.5238399999999999</v>
      </c>
      <c r="E810">
        <v>0.40964279999999997</v>
      </c>
      <c r="F810" t="s">
        <v>53</v>
      </c>
      <c r="G810">
        <v>-478.15530000000001</v>
      </c>
      <c r="H810">
        <v>8.0000299999999996E-2</v>
      </c>
      <c r="I810">
        <v>221.12880000000001</v>
      </c>
      <c r="J810">
        <v>-487.79149999999998</v>
      </c>
      <c r="K810">
        <v>1.1203510000000001</v>
      </c>
      <c r="L810">
        <v>228.87880000000001</v>
      </c>
      <c r="M810">
        <v>0.50517179999999995</v>
      </c>
      <c r="N810">
        <v>0</v>
      </c>
      <c r="O810">
        <v>-0.86287209999999903</v>
      </c>
      <c r="P810">
        <v>0.61299369999999997</v>
      </c>
      <c r="Q810">
        <v>0.120033</v>
      </c>
      <c r="R810">
        <v>-0.78091659999999996</v>
      </c>
      <c r="S810">
        <v>2.4317929999999999</v>
      </c>
      <c r="T810">
        <v>-0.25787450000000001</v>
      </c>
      <c r="U810">
        <v>-1.99057</v>
      </c>
      <c r="V810">
        <v>-0.13979229999999901</v>
      </c>
      <c r="W810">
        <v>0.13016220000000001</v>
      </c>
      <c r="X810">
        <v>0.98158849999999997</v>
      </c>
      <c r="Y810">
        <v>-0.34509109999999998</v>
      </c>
      <c r="Z810">
        <v>7.7980179999999996E-2</v>
      </c>
      <c r="AA810">
        <v>0.93532409999999999</v>
      </c>
      <c r="AB810">
        <v>34</v>
      </c>
      <c r="AC810">
        <v>9.6361999999999703</v>
      </c>
      <c r="AD810">
        <v>-1.0403506999999901</v>
      </c>
      <c r="AE810">
        <v>-7.75</v>
      </c>
      <c r="AF810">
        <v>-4.3693583128896201</v>
      </c>
      <c r="AG810">
        <v>-1.0403506999999901</v>
      </c>
      <c r="AH810">
        <v>11.475437498764</v>
      </c>
      <c r="AI810">
        <v>94.842826985735698</v>
      </c>
      <c r="AJ810">
        <v>110.844704098592</v>
      </c>
      <c r="AK810">
        <v>12.323120036478</v>
      </c>
      <c r="AL810">
        <v>82.521034927652295</v>
      </c>
      <c r="AM810">
        <v>98.105238731046498</v>
      </c>
      <c r="AN810">
        <v>1.00000003439018</v>
      </c>
    </row>
    <row r="811" spans="1:40" x14ac:dyDescent="0.3">
      <c r="A811" t="str">
        <f>"20200111150305797"</f>
        <v>20200111150305797</v>
      </c>
      <c r="B811" t="str">
        <f>"1578726185787343"</f>
        <v>1578726185787343</v>
      </c>
      <c r="C811" t="s">
        <v>40</v>
      </c>
      <c r="D811">
        <v>5.5459569999999996</v>
      </c>
      <c r="E811">
        <v>0.41090599999999999</v>
      </c>
      <c r="F811" t="s">
        <v>53</v>
      </c>
      <c r="G811">
        <v>-477.90769999999998</v>
      </c>
      <c r="H811">
        <v>8.0000329999999995E-2</v>
      </c>
      <c r="I811">
        <v>221.06100000000001</v>
      </c>
      <c r="J811">
        <v>-487.60770000000002</v>
      </c>
      <c r="K811">
        <v>1.1204730000000001</v>
      </c>
      <c r="L811">
        <v>228.5941</v>
      </c>
      <c r="M811">
        <v>0.521899</v>
      </c>
      <c r="N811">
        <v>0</v>
      </c>
      <c r="O811">
        <v>-0.852858</v>
      </c>
      <c r="P811">
        <v>0.62883369999999905</v>
      </c>
      <c r="Q811">
        <v>0.1213986</v>
      </c>
      <c r="R811">
        <v>-0.76800419999999903</v>
      </c>
      <c r="S811">
        <v>2.4629819999999998</v>
      </c>
      <c r="T811">
        <v>-0.25924750000000002</v>
      </c>
      <c r="U811">
        <v>-1.9481200000000001</v>
      </c>
      <c r="V811">
        <v>-0.140935</v>
      </c>
      <c r="W811">
        <v>0.1314948</v>
      </c>
      <c r="X811">
        <v>0.98124739999999999</v>
      </c>
      <c r="Y811">
        <v>-0.34245979999999998</v>
      </c>
      <c r="Z811">
        <v>7.7811669999999999E-2</v>
      </c>
      <c r="AA811">
        <v>0.93630469999999999</v>
      </c>
      <c r="AB811">
        <v>34</v>
      </c>
      <c r="AC811">
        <v>9.7000000000000401</v>
      </c>
      <c r="AD811">
        <v>-1.04047267</v>
      </c>
      <c r="AE811">
        <v>-7.5331000000000099</v>
      </c>
      <c r="AF811">
        <v>-4.3108187529986903</v>
      </c>
      <c r="AG811">
        <v>-1.04047267</v>
      </c>
      <c r="AH811">
        <v>11.4066804563207</v>
      </c>
      <c r="AI811">
        <v>94.877010784600003</v>
      </c>
      <c r="AJ811">
        <v>110.70260812151599</v>
      </c>
      <c r="AK811">
        <v>12.238386361397099</v>
      </c>
      <c r="AL811">
        <v>82.444020433707294</v>
      </c>
      <c r="AM811">
        <v>98.173403993509098</v>
      </c>
      <c r="AN811">
        <v>1.0000000083293901</v>
      </c>
    </row>
    <row r="812" spans="1:40" x14ac:dyDescent="0.3">
      <c r="A812" t="str">
        <f>"20200111150305819"</f>
        <v>20200111150305819</v>
      </c>
      <c r="B812" t="str">
        <f>"1578726185817600"</f>
        <v>1578726185817600</v>
      </c>
      <c r="C812" t="s">
        <v>40</v>
      </c>
      <c r="D812">
        <v>5.561032</v>
      </c>
      <c r="E812">
        <v>0.43601269999999998</v>
      </c>
      <c r="F812" t="s">
        <v>53</v>
      </c>
      <c r="G812">
        <v>-477.53789999999998</v>
      </c>
      <c r="H812">
        <v>8.0000349999999998E-2</v>
      </c>
      <c r="I812">
        <v>220.90770000000001</v>
      </c>
      <c r="J812">
        <v>-487.42469999999997</v>
      </c>
      <c r="K812">
        <v>1.1205849999999999</v>
      </c>
      <c r="L812">
        <v>228.32249999999999</v>
      </c>
      <c r="M812">
        <v>0.53800479999999995</v>
      </c>
      <c r="N812">
        <v>0</v>
      </c>
      <c r="O812">
        <v>-0.84278969999999898</v>
      </c>
      <c r="P812">
        <v>0.64490959999999997</v>
      </c>
      <c r="Q812">
        <v>0.12416240000000001</v>
      </c>
      <c r="R812">
        <v>-0.75410630000000001</v>
      </c>
      <c r="S812">
        <v>2.49472</v>
      </c>
      <c r="T812">
        <v>-0.25777070000000002</v>
      </c>
      <c r="U812">
        <v>-1.904282</v>
      </c>
      <c r="V812">
        <v>-0.14340849999999999</v>
      </c>
      <c r="W812">
        <v>0.1341647</v>
      </c>
      <c r="X812">
        <v>0.98052729999999999</v>
      </c>
      <c r="Y812">
        <v>-0.3408062</v>
      </c>
      <c r="Z812">
        <v>7.6786649999999998E-2</v>
      </c>
      <c r="AA812">
        <v>0.93699250000000001</v>
      </c>
      <c r="AB812">
        <v>34</v>
      </c>
      <c r="AC812">
        <v>9.8867999999999903</v>
      </c>
      <c r="AD812">
        <v>-1.04058465</v>
      </c>
      <c r="AE812">
        <v>-7.4147999999999801</v>
      </c>
      <c r="AF812">
        <v>-4.3132716661030397</v>
      </c>
      <c r="AG812">
        <v>-1.04058465</v>
      </c>
      <c r="AH812">
        <v>11.488295920014</v>
      </c>
      <c r="AI812">
        <v>94.846978445371406</v>
      </c>
      <c r="AJ812">
        <v>110.578606734657</v>
      </c>
      <c r="AK812">
        <v>12.315359191888501</v>
      </c>
      <c r="AL812">
        <v>82.289678486538307</v>
      </c>
      <c r="AM812">
        <v>98.320884806577396</v>
      </c>
      <c r="AN812">
        <v>0.99999997532181395</v>
      </c>
    </row>
    <row r="813" spans="1:40" x14ac:dyDescent="0.3">
      <c r="A813" t="str">
        <f>"20200111150305841"</f>
        <v>20200111150305841</v>
      </c>
      <c r="B813" t="str">
        <f>"1578726185838096"</f>
        <v>1578726185838096</v>
      </c>
      <c r="C813" t="s">
        <v>40</v>
      </c>
      <c r="D813">
        <v>5.6187870000000002</v>
      </c>
      <c r="E813">
        <v>0.43589129999999998</v>
      </c>
      <c r="F813" t="s">
        <v>53</v>
      </c>
      <c r="G813">
        <v>-478.6293</v>
      </c>
      <c r="H813">
        <v>8.0000390000000005E-2</v>
      </c>
      <c r="I813">
        <v>221.00630000000001</v>
      </c>
      <c r="J813">
        <v>-487.24990000000003</v>
      </c>
      <c r="K813">
        <v>1.1206780000000001</v>
      </c>
      <c r="L813">
        <v>228.07300000000001</v>
      </c>
      <c r="M813">
        <v>0.55291309999999905</v>
      </c>
      <c r="N813">
        <v>0</v>
      </c>
      <c r="O813">
        <v>-0.83308419999999905</v>
      </c>
      <c r="P813">
        <v>0.66008739999999999</v>
      </c>
      <c r="Q813">
        <v>0.12558039999999901</v>
      </c>
      <c r="R813">
        <v>-0.74061769999999905</v>
      </c>
      <c r="S813">
        <v>2.3856510000000002</v>
      </c>
      <c r="T813">
        <v>-0.28224870000000002</v>
      </c>
      <c r="U813">
        <v>-1.984451</v>
      </c>
      <c r="V813">
        <v>-0.1460989</v>
      </c>
      <c r="W813">
        <v>0.13547909999999999</v>
      </c>
      <c r="X813">
        <v>0.97994919999999996</v>
      </c>
      <c r="Y813">
        <v>-0.28380100000000003</v>
      </c>
      <c r="Z813">
        <v>8.2797239999999994E-2</v>
      </c>
      <c r="AA813">
        <v>0.95530179999999998</v>
      </c>
      <c r="AB813">
        <v>34</v>
      </c>
      <c r="AC813">
        <v>8.6206000000000191</v>
      </c>
      <c r="AD813">
        <v>-1.0406776099999999</v>
      </c>
      <c r="AE813">
        <v>-7.06669999999996</v>
      </c>
      <c r="AF813">
        <v>-3.24653945512659</v>
      </c>
      <c r="AG813">
        <v>-1.0406776099999999</v>
      </c>
      <c r="AH813">
        <v>10.562904362132301</v>
      </c>
      <c r="AI813">
        <v>95.379915026596706</v>
      </c>
      <c r="AJ813">
        <v>107.084963344611</v>
      </c>
      <c r="AK813">
        <v>11.0994584050396</v>
      </c>
      <c r="AL813">
        <v>82.213674822273106</v>
      </c>
      <c r="AM813">
        <v>98.479668237730806</v>
      </c>
      <c r="AN813">
        <v>0.99999995484932802</v>
      </c>
    </row>
    <row r="814" spans="1:40" x14ac:dyDescent="0.3">
      <c r="A814" t="str">
        <f>"20200111150305864"</f>
        <v>20200111150305864</v>
      </c>
      <c r="B814" t="str">
        <f>"1578726185857617"</f>
        <v>1578726185857617</v>
      </c>
      <c r="C814" t="s">
        <v>40</v>
      </c>
      <c r="D814">
        <v>5.6204700000000001</v>
      </c>
      <c r="E814">
        <v>0.4366623</v>
      </c>
      <c r="F814" t="s">
        <v>53</v>
      </c>
      <c r="G814">
        <v>-478.12310000000002</v>
      </c>
      <c r="H814">
        <v>8.0000329999999995E-2</v>
      </c>
      <c r="I814">
        <v>220.79679999999999</v>
      </c>
      <c r="J814">
        <v>-487.04500000000002</v>
      </c>
      <c r="K814">
        <v>1.1207640000000001</v>
      </c>
      <c r="L814">
        <v>227.79179999999999</v>
      </c>
      <c r="M814">
        <v>0.56983790000000001</v>
      </c>
      <c r="N814">
        <v>0</v>
      </c>
      <c r="O814">
        <v>-0.82159919999999997</v>
      </c>
      <c r="P814">
        <v>0.67683289999999996</v>
      </c>
      <c r="Q814">
        <v>0.1241405</v>
      </c>
      <c r="R814">
        <v>-0.72559419999999897</v>
      </c>
      <c r="S814">
        <v>2.426758</v>
      </c>
      <c r="T814">
        <v>-0.27671069999999998</v>
      </c>
      <c r="U814">
        <v>-1.934677</v>
      </c>
      <c r="V814">
        <v>-0.14827699999999999</v>
      </c>
      <c r="W814">
        <v>0.13396240000000001</v>
      </c>
      <c r="X814">
        <v>0.9798306</v>
      </c>
      <c r="Y814">
        <v>-0.28422049999999999</v>
      </c>
      <c r="Z814">
        <v>8.0383430000000006E-2</v>
      </c>
      <c r="AA814">
        <v>0.95538319999999999</v>
      </c>
      <c r="AB814">
        <v>34</v>
      </c>
      <c r="AC814">
        <v>8.9218999999999902</v>
      </c>
      <c r="AD814">
        <v>-1.04076366999999</v>
      </c>
      <c r="AE814">
        <v>-6.9950000000000001</v>
      </c>
      <c r="AF814">
        <v>-3.3166924072634099</v>
      </c>
      <c r="AG814">
        <v>-1.04076366999999</v>
      </c>
      <c r="AH814">
        <v>10.7420007101103</v>
      </c>
      <c r="AI814">
        <v>95.289085186735704</v>
      </c>
      <c r="AJ814">
        <v>107.158558049715</v>
      </c>
      <c r="AK814">
        <v>11.290448033501599</v>
      </c>
      <c r="AL814">
        <v>82.301375194197007</v>
      </c>
      <c r="AM814">
        <v>98.605233854751205</v>
      </c>
      <c r="AN814">
        <v>0.99999999901955905</v>
      </c>
    </row>
    <row r="815" spans="1:40" x14ac:dyDescent="0.3">
      <c r="A815" t="str">
        <f>"20200111150305887"</f>
        <v>20200111150305887</v>
      </c>
      <c r="B815" t="str">
        <f>"1578726185878112"</f>
        <v>1578726185878112</v>
      </c>
      <c r="C815" t="s">
        <v>40</v>
      </c>
      <c r="D815">
        <v>5.6159530000000002</v>
      </c>
      <c r="E815">
        <v>0.43758200000000003</v>
      </c>
      <c r="F815" t="s">
        <v>53</v>
      </c>
      <c r="G815">
        <v>-478.11020000000002</v>
      </c>
      <c r="H815">
        <v>8.0000310000000005E-2</v>
      </c>
      <c r="I815">
        <v>220.96510000000001</v>
      </c>
      <c r="J815">
        <v>-486.8408</v>
      </c>
      <c r="K815">
        <v>1.1208370000000001</v>
      </c>
      <c r="L815">
        <v>227.523</v>
      </c>
      <c r="M815">
        <v>0.58614060000000001</v>
      </c>
      <c r="N815">
        <v>0</v>
      </c>
      <c r="O815">
        <v>-0.81004809999999905</v>
      </c>
      <c r="P815">
        <v>0.69171879999999997</v>
      </c>
      <c r="Q815">
        <v>0.1222188</v>
      </c>
      <c r="R815">
        <v>-0.71174999999999999</v>
      </c>
      <c r="S815">
        <v>2.4655149999999999</v>
      </c>
      <c r="T815">
        <v>-0.28719349999999999</v>
      </c>
      <c r="U815">
        <v>-1.883804</v>
      </c>
      <c r="V815">
        <v>-0.1487541</v>
      </c>
      <c r="W815">
        <v>0.1320365</v>
      </c>
      <c r="X815">
        <v>0.98001970000000005</v>
      </c>
      <c r="Y815">
        <v>-0.28455399999999997</v>
      </c>
      <c r="Z815">
        <v>8.2594529999999999E-2</v>
      </c>
      <c r="AA815">
        <v>0.95509540000000004</v>
      </c>
      <c r="AB815">
        <v>33</v>
      </c>
      <c r="AC815">
        <v>8.7305999999999795</v>
      </c>
      <c r="AD815">
        <v>-1.0408366899999999</v>
      </c>
      <c r="AE815">
        <v>-6.5578999999999796</v>
      </c>
      <c r="AF815">
        <v>-3.1997032189888701</v>
      </c>
      <c r="AG815">
        <v>-1.0408366899999999</v>
      </c>
      <c r="AH815">
        <v>10.3370122681869</v>
      </c>
      <c r="AI815">
        <v>95.494241219694999</v>
      </c>
      <c r="AJ815">
        <v>107.199309062068</v>
      </c>
      <c r="AK815">
        <v>10.870844692916201</v>
      </c>
      <c r="AL815">
        <v>82.412710372080099</v>
      </c>
      <c r="AM815">
        <v>98.630865211830198</v>
      </c>
      <c r="AN815">
        <v>1.00000001599357</v>
      </c>
    </row>
    <row r="816" spans="1:40" x14ac:dyDescent="0.3">
      <c r="A816" t="str">
        <f>"20200111150305910"</f>
        <v>20200111150305910</v>
      </c>
      <c r="B816" t="str">
        <f>"1578726185897631"</f>
        <v>1578726185897631</v>
      </c>
      <c r="C816" t="s">
        <v>40</v>
      </c>
      <c r="D816">
        <v>5.6370740000000001</v>
      </c>
      <c r="E816">
        <v>0.43867099999999998</v>
      </c>
      <c r="F816" t="s">
        <v>53</v>
      </c>
      <c r="G816">
        <v>-478.00670000000002</v>
      </c>
      <c r="H816">
        <v>8.0000329999999995E-2</v>
      </c>
      <c r="I816">
        <v>221.02510000000001</v>
      </c>
      <c r="J816">
        <v>-486.63909999999998</v>
      </c>
      <c r="K816">
        <v>1.120903</v>
      </c>
      <c r="L816">
        <v>227.26830000000001</v>
      </c>
      <c r="M816">
        <v>0.60169519999999999</v>
      </c>
      <c r="N816">
        <v>0</v>
      </c>
      <c r="O816">
        <v>-0.79856149999999904</v>
      </c>
      <c r="P816">
        <v>0.70441750000000003</v>
      </c>
      <c r="Q816">
        <v>0.1220778</v>
      </c>
      <c r="R816">
        <v>-0.69920909999999903</v>
      </c>
      <c r="S816">
        <v>2.49823</v>
      </c>
      <c r="T816">
        <v>-0.2943403</v>
      </c>
      <c r="U816">
        <v>-1.837555</v>
      </c>
      <c r="V816">
        <v>-0.14744640000000001</v>
      </c>
      <c r="W816">
        <v>0.13196749999999999</v>
      </c>
      <c r="X816">
        <v>0.98022659999999995</v>
      </c>
      <c r="Y816">
        <v>-0.2833272</v>
      </c>
      <c r="Z816">
        <v>8.3772059999999995E-2</v>
      </c>
      <c r="AA816">
        <v>0.95535749999999997</v>
      </c>
      <c r="AB816">
        <v>33</v>
      </c>
      <c r="AC816">
        <v>8.6323999999999597</v>
      </c>
      <c r="AD816">
        <v>-1.0409026699999999</v>
      </c>
      <c r="AE816">
        <v>-6.2431999999999999</v>
      </c>
      <c r="AF816">
        <v>-3.1077427102786199</v>
      </c>
      <c r="AG816">
        <v>-1.0409026699999999</v>
      </c>
      <c r="AH816">
        <v>10.0847158708044</v>
      </c>
      <c r="AI816">
        <v>95.633345793628706</v>
      </c>
      <c r="AJ816">
        <v>107.127395241741</v>
      </c>
      <c r="AK816">
        <v>10.6039161311545</v>
      </c>
      <c r="AL816">
        <v>82.4166987466389</v>
      </c>
      <c r="AM816">
        <v>98.554339713717098</v>
      </c>
      <c r="AN816">
        <v>1.00000002463838</v>
      </c>
    </row>
    <row r="817" spans="1:40" x14ac:dyDescent="0.3">
      <c r="A817" t="str">
        <f>"20200111150305931"</f>
        <v>20200111150305931</v>
      </c>
      <c r="B817" t="str">
        <f>"1578726185927888"</f>
        <v>1578726185927888</v>
      </c>
      <c r="C817" t="s">
        <v>40</v>
      </c>
      <c r="D817">
        <v>5.6196199999999896</v>
      </c>
      <c r="E817">
        <v>0.43985049999999998</v>
      </c>
      <c r="F817" t="s">
        <v>53</v>
      </c>
      <c r="G817">
        <v>-477.67720000000003</v>
      </c>
      <c r="H817">
        <v>8.0000340000000003E-2</v>
      </c>
      <c r="I817">
        <v>220.8879</v>
      </c>
      <c r="J817">
        <v>-486.43720000000002</v>
      </c>
      <c r="K817">
        <v>1.1209639999999901</v>
      </c>
      <c r="L817">
        <v>227.02379999999999</v>
      </c>
      <c r="M817">
        <v>0.61673639999999996</v>
      </c>
      <c r="N817">
        <v>0</v>
      </c>
      <c r="O817">
        <v>-0.78700209999999904</v>
      </c>
      <c r="P817">
        <v>0.71750059999999904</v>
      </c>
      <c r="Q817">
        <v>0.1226897</v>
      </c>
      <c r="R817">
        <v>-0.6856681</v>
      </c>
      <c r="S817">
        <v>2.5251769999999998</v>
      </c>
      <c r="T817">
        <v>-0.29329339999999998</v>
      </c>
      <c r="U817">
        <v>-1.797806</v>
      </c>
      <c r="V817">
        <v>-0.14748349999999999</v>
      </c>
      <c r="W817">
        <v>0.13259099999999999</v>
      </c>
      <c r="X817">
        <v>0.98013689999999998</v>
      </c>
      <c r="Y817">
        <v>-0.27999590000000002</v>
      </c>
      <c r="Z817">
        <v>8.2531030000000005E-2</v>
      </c>
      <c r="AA817">
        <v>0.95644709999999999</v>
      </c>
      <c r="AB817">
        <v>33</v>
      </c>
      <c r="AC817">
        <v>8.7599999999999891</v>
      </c>
      <c r="AD817">
        <v>-1.0409636599999901</v>
      </c>
      <c r="AE817">
        <v>-6.1358999999999897</v>
      </c>
      <c r="AF817">
        <v>-3.0811279400067701</v>
      </c>
      <c r="AG817">
        <v>-1.0409636599999901</v>
      </c>
      <c r="AH817">
        <v>10.136898925762701</v>
      </c>
      <c r="AI817">
        <v>95.611425707863404</v>
      </c>
      <c r="AJ817">
        <v>106.90673994767</v>
      </c>
      <c r="AK817">
        <v>10.6458289745449</v>
      </c>
      <c r="AL817">
        <v>82.380658310791802</v>
      </c>
      <c r="AM817">
        <v>98.557231750364494</v>
      </c>
      <c r="AN817">
        <v>1.0000000493974199</v>
      </c>
    </row>
    <row r="818" spans="1:40" x14ac:dyDescent="0.3">
      <c r="A818" t="str">
        <f>"20200111150305954"</f>
        <v>20200111150305954</v>
      </c>
      <c r="B818" t="str">
        <f>"1578726185947407"</f>
        <v>1578726185947407</v>
      </c>
      <c r="C818" t="s">
        <v>40</v>
      </c>
      <c r="D818">
        <v>5.6195209999999998</v>
      </c>
      <c r="E818">
        <v>0.44578109999999999</v>
      </c>
      <c r="F818" t="s">
        <v>53</v>
      </c>
      <c r="G818">
        <v>-477.38479999999998</v>
      </c>
      <c r="H818">
        <v>8.0000360000000006E-2</v>
      </c>
      <c r="I818">
        <v>220.78659999999999</v>
      </c>
      <c r="J818">
        <v>-486.22750000000002</v>
      </c>
      <c r="K818">
        <v>1.1210260000000001</v>
      </c>
      <c r="L818">
        <v>226.77940000000001</v>
      </c>
      <c r="M818">
        <v>0.63184899999999999</v>
      </c>
      <c r="N818">
        <v>0</v>
      </c>
      <c r="O818">
        <v>-0.77492050000000001</v>
      </c>
      <c r="P818">
        <v>0.73055559999999997</v>
      </c>
      <c r="Q818">
        <v>0.1221223</v>
      </c>
      <c r="R818">
        <v>-0.67184449999999996</v>
      </c>
      <c r="S818">
        <v>2.5514220000000001</v>
      </c>
      <c r="T818">
        <v>-0.29339670000000001</v>
      </c>
      <c r="U818">
        <v>-1.757965</v>
      </c>
      <c r="V818">
        <v>-0.14730090000000001</v>
      </c>
      <c r="W818">
        <v>0.1320451</v>
      </c>
      <c r="X818">
        <v>0.98023800000000005</v>
      </c>
      <c r="Y818">
        <v>-0.27618670000000001</v>
      </c>
      <c r="Z818">
        <v>8.1542199999999995E-2</v>
      </c>
      <c r="AA818">
        <v>0.95763869999999895</v>
      </c>
      <c r="AB818">
        <v>33</v>
      </c>
      <c r="AC818">
        <v>8.8427000000000309</v>
      </c>
      <c r="AD818">
        <v>-1.04102564</v>
      </c>
      <c r="AE818">
        <v>-5.9928000000000097</v>
      </c>
      <c r="AF818">
        <v>-3.0374033913621599</v>
      </c>
      <c r="AG818">
        <v>-1.04102564</v>
      </c>
      <c r="AH818">
        <v>10.136281318127001</v>
      </c>
      <c r="AI818">
        <v>95.618726302538605</v>
      </c>
      <c r="AJ818">
        <v>106.681190665923</v>
      </c>
      <c r="AK818">
        <v>10.6326738267101</v>
      </c>
      <c r="AL818">
        <v>82.412213154715701</v>
      </c>
      <c r="AM818">
        <v>98.545925081227395</v>
      </c>
      <c r="AN818">
        <v>1.00000000010941</v>
      </c>
    </row>
    <row r="819" spans="1:40" x14ac:dyDescent="0.3">
      <c r="A819" t="str">
        <f>"20200111150305977"</f>
        <v>20200111150305977</v>
      </c>
      <c r="B819" t="str">
        <f>"1578726185967904"</f>
        <v>1578726185967904</v>
      </c>
      <c r="C819" t="s">
        <v>40</v>
      </c>
      <c r="D819">
        <v>7.3696390000000003</v>
      </c>
      <c r="E819">
        <v>0.44578109999999999</v>
      </c>
      <c r="F819" t="s">
        <v>53</v>
      </c>
      <c r="G819">
        <v>-477.83699999999999</v>
      </c>
      <c r="H819">
        <v>8.0000329999999995E-2</v>
      </c>
      <c r="I819">
        <v>221.0479</v>
      </c>
      <c r="J819">
        <v>-485.99880000000002</v>
      </c>
      <c r="K819">
        <v>1.1210719999999901</v>
      </c>
      <c r="L819">
        <v>226.52340000000001</v>
      </c>
      <c r="M819">
        <v>0.64776109999999998</v>
      </c>
      <c r="N819">
        <v>0</v>
      </c>
      <c r="O819">
        <v>-0.76166909999999999</v>
      </c>
      <c r="P819">
        <v>0.743753</v>
      </c>
      <c r="Q819">
        <v>0.12072819999999999</v>
      </c>
      <c r="R819">
        <v>-0.65746260000000001</v>
      </c>
      <c r="S819">
        <v>2.5546259999999998</v>
      </c>
      <c r="T819">
        <v>-0.31695709999999999</v>
      </c>
      <c r="U819">
        <v>-1.7450559999999999</v>
      </c>
      <c r="V819">
        <v>-0.14625969999999999</v>
      </c>
      <c r="W819">
        <v>0.13071099999999999</v>
      </c>
      <c r="X819">
        <v>0.98057260000000002</v>
      </c>
      <c r="Y819">
        <v>-0.2596097</v>
      </c>
      <c r="Z819">
        <v>8.6472759999999996E-2</v>
      </c>
      <c r="AA819">
        <v>0.96183430000000003</v>
      </c>
      <c r="AB819">
        <v>33</v>
      </c>
      <c r="AC819">
        <v>8.1618000000000208</v>
      </c>
      <c r="AD819">
        <v>-1.04107166999999</v>
      </c>
      <c r="AE819">
        <v>-5.47550000000001</v>
      </c>
      <c r="AF819">
        <v>-2.6405027127220002</v>
      </c>
      <c r="AG819">
        <v>-1.04107166999999</v>
      </c>
      <c r="AH819">
        <v>9.3537216500692502</v>
      </c>
      <c r="AI819">
        <v>96.113874382406905</v>
      </c>
      <c r="AJ819">
        <v>105.764072995867</v>
      </c>
      <c r="AK819">
        <v>9.7748756260600693</v>
      </c>
      <c r="AL819">
        <v>82.489319375195095</v>
      </c>
      <c r="AM819">
        <v>98.483547012692895</v>
      </c>
      <c r="AN819">
        <v>0.99999994461792296</v>
      </c>
    </row>
    <row r="820" spans="1:40" x14ac:dyDescent="0.3">
      <c r="A820" t="str">
        <f>"20200111150306000"</f>
        <v>20200111150306000</v>
      </c>
      <c r="B820" t="str">
        <f>"1578726185987423"</f>
        <v>1578726185987423</v>
      </c>
      <c r="C820" t="s">
        <v>40</v>
      </c>
      <c r="D820">
        <v>5.5322889999999996</v>
      </c>
      <c r="E820">
        <v>0.33839750000000002</v>
      </c>
      <c r="F820" t="s">
        <v>53</v>
      </c>
      <c r="G820">
        <v>-477.58710000000002</v>
      </c>
      <c r="H820">
        <v>8.0000360000000006E-2</v>
      </c>
      <c r="I820">
        <v>221.0222</v>
      </c>
      <c r="J820">
        <v>-485.7783</v>
      </c>
      <c r="K820">
        <v>1.1211089999999999</v>
      </c>
      <c r="L820">
        <v>226.28620000000001</v>
      </c>
      <c r="M820">
        <v>0.66257129999999997</v>
      </c>
      <c r="N820">
        <v>0</v>
      </c>
      <c r="O820">
        <v>-0.74882079999999995</v>
      </c>
      <c r="P820">
        <v>0.75581140000000002</v>
      </c>
      <c r="Q820">
        <v>0.12108820000000001</v>
      </c>
      <c r="R820">
        <v>-0.64349609999999902</v>
      </c>
      <c r="S820">
        <v>2.5889280000000001</v>
      </c>
      <c r="T820">
        <v>-0.32041720000000001</v>
      </c>
      <c r="U820">
        <v>-1.69313</v>
      </c>
      <c r="V820">
        <v>-0.14528139999999901</v>
      </c>
      <c r="W820">
        <v>0.13112470000000001</v>
      </c>
      <c r="X820">
        <v>0.98066279999999995</v>
      </c>
      <c r="Y820">
        <v>-0.25999329999999998</v>
      </c>
      <c r="Z820">
        <v>8.6313639999999997E-2</v>
      </c>
      <c r="AA820">
        <v>0.96174499999999996</v>
      </c>
      <c r="AB820">
        <v>33</v>
      </c>
      <c r="AC820">
        <v>8.1911999999999807</v>
      </c>
      <c r="AD820">
        <v>-1.04110863999999</v>
      </c>
      <c r="AE820">
        <v>-5.2640000000000002</v>
      </c>
      <c r="AF820">
        <v>-2.6164052367852202</v>
      </c>
      <c r="AG820">
        <v>-1.04110863999999</v>
      </c>
      <c r="AH820">
        <v>9.2643769761229997</v>
      </c>
      <c r="AI820">
        <v>96.1724061345476</v>
      </c>
      <c r="AJ820">
        <v>105.770511242532</v>
      </c>
      <c r="AK820">
        <v>9.6828799599642696</v>
      </c>
      <c r="AL820">
        <v>82.465410368463594</v>
      </c>
      <c r="AM820">
        <v>98.426855950331301</v>
      </c>
      <c r="AN820">
        <v>0.99999994971994299</v>
      </c>
    </row>
    <row r="821" spans="1:40" x14ac:dyDescent="0.3">
      <c r="A821" t="str">
        <f>"20200111150306020"</f>
        <v>20200111150306020</v>
      </c>
      <c r="B821" t="str">
        <f>"1578726186017679"</f>
        <v>1578726186017679</v>
      </c>
      <c r="C821" t="s">
        <v>40</v>
      </c>
      <c r="D821">
        <v>5.4963249999999997</v>
      </c>
      <c r="E821">
        <v>0.40054079999999997</v>
      </c>
      <c r="F821" t="s">
        <v>44</v>
      </c>
      <c r="G821">
        <v>0</v>
      </c>
      <c r="H821">
        <v>0</v>
      </c>
      <c r="I821">
        <v>0</v>
      </c>
      <c r="J821">
        <v>-485.56540000000001</v>
      </c>
      <c r="K821">
        <v>1.121146</v>
      </c>
      <c r="L821">
        <v>226.0658</v>
      </c>
      <c r="M821">
        <v>0.67639320000000003</v>
      </c>
      <c r="N821">
        <v>0</v>
      </c>
      <c r="O821">
        <v>-0.73635899999999999</v>
      </c>
      <c r="P821">
        <v>0.76743859999999997</v>
      </c>
      <c r="Q821">
        <v>0.1228124</v>
      </c>
      <c r="R821">
        <v>-0.62925019999999998</v>
      </c>
      <c r="S821">
        <v>3.0714419999999998</v>
      </c>
      <c r="T821">
        <v>0.66374080000000002</v>
      </c>
      <c r="U821">
        <v>-0.9296875</v>
      </c>
      <c r="V821">
        <v>-0.14525189999999999</v>
      </c>
      <c r="W821">
        <v>0.132857</v>
      </c>
      <c r="X821">
        <v>0.98043409999999998</v>
      </c>
      <c r="Y821">
        <v>-0.48725469999999999</v>
      </c>
      <c r="Z821">
        <v>-0.18621679999999999</v>
      </c>
      <c r="AA821">
        <v>0.85317410000000005</v>
      </c>
      <c r="AB821">
        <v>33</v>
      </c>
      <c r="AC821">
        <v>3.0714419999999998</v>
      </c>
      <c r="AD821">
        <v>0.66374080000000002</v>
      </c>
      <c r="AE821">
        <v>-0.9296875</v>
      </c>
      <c r="AF821">
        <v>-1.56607164942779</v>
      </c>
      <c r="AG821">
        <v>0.66374080000000002</v>
      </c>
      <c r="AH821">
        <v>2.6491262913536202</v>
      </c>
      <c r="AI821">
        <v>77.828795046134999</v>
      </c>
      <c r="AJ821">
        <v>120.590107937536</v>
      </c>
      <c r="AK821">
        <v>3.1481744501007398</v>
      </c>
      <c r="AL821">
        <v>82.365281683514795</v>
      </c>
      <c r="AM821">
        <v>98.427106475124802</v>
      </c>
      <c r="AN821">
        <v>1.0000000606727</v>
      </c>
    </row>
    <row r="822" spans="1:40" x14ac:dyDescent="0.3">
      <c r="A822" t="str">
        <f>"20200111150306043"</f>
        <v>20200111150306043</v>
      </c>
      <c r="B822" t="str">
        <f>"1578726186038175"</f>
        <v>1578726186038175</v>
      </c>
      <c r="C822" t="s">
        <v>40</v>
      </c>
      <c r="D822">
        <v>5.4329450000000001</v>
      </c>
      <c r="E822">
        <v>0.40061469999999999</v>
      </c>
      <c r="F822" t="s">
        <v>56</v>
      </c>
      <c r="G822">
        <v>-468.85849999999999</v>
      </c>
      <c r="H822" s="1">
        <v>3.0105339999999999E-6</v>
      </c>
      <c r="I822">
        <v>218.43100000000001</v>
      </c>
      <c r="J822">
        <v>-485.34350000000001</v>
      </c>
      <c r="K822">
        <v>1.121175</v>
      </c>
      <c r="L822">
        <v>225.84460000000001</v>
      </c>
      <c r="M822">
        <v>0.69031799999999999</v>
      </c>
      <c r="N822">
        <v>0</v>
      </c>
      <c r="O822">
        <v>-0.72332050000000003</v>
      </c>
      <c r="P822">
        <v>0.77906889999999995</v>
      </c>
      <c r="Q822">
        <v>0.1240208</v>
      </c>
      <c r="R822">
        <v>-0.61454919999999902</v>
      </c>
      <c r="S822">
        <v>2.8659970000000001</v>
      </c>
      <c r="T822">
        <v>-0.192328</v>
      </c>
      <c r="U822">
        <v>-1.309723</v>
      </c>
      <c r="V822">
        <v>-0.14510719999999999</v>
      </c>
      <c r="W822">
        <v>0.13407820000000001</v>
      </c>
      <c r="X822">
        <v>0.98028919999999997</v>
      </c>
      <c r="Y822">
        <v>-0.36935370000000001</v>
      </c>
      <c r="Z822">
        <v>5.215558E-2</v>
      </c>
      <c r="AA822">
        <v>0.92782419999999999</v>
      </c>
      <c r="AB822">
        <v>33</v>
      </c>
      <c r="AC822">
        <v>16.484999999999999</v>
      </c>
      <c r="AD822">
        <v>-1.1211719894659999</v>
      </c>
      <c r="AE822">
        <v>-7.4136000000000299</v>
      </c>
      <c r="AF822">
        <v>-6.7810212279430901</v>
      </c>
      <c r="AG822">
        <v>-1.1211719894659999</v>
      </c>
      <c r="AH822">
        <v>16.680372381311098</v>
      </c>
      <c r="AI822">
        <v>93.563006404936104</v>
      </c>
      <c r="AJ822">
        <v>112.12306816927899</v>
      </c>
      <c r="AK822">
        <v>18.040900706533002</v>
      </c>
      <c r="AL822">
        <v>82.2946798678813</v>
      </c>
      <c r="AM822">
        <v>98.420058340063804</v>
      </c>
      <c r="AN822">
        <v>0.99999998942185897</v>
      </c>
    </row>
    <row r="823" spans="1:40" x14ac:dyDescent="0.3">
      <c r="A823" t="str">
        <f>"20200111150306065"</f>
        <v>20200111150306065</v>
      </c>
      <c r="B823" t="str">
        <f>"1578726186057696"</f>
        <v>1578726186057696</v>
      </c>
      <c r="C823" t="s">
        <v>40</v>
      </c>
      <c r="D823">
        <v>5.4378769999999896</v>
      </c>
      <c r="E823">
        <v>0.40113290000000001</v>
      </c>
      <c r="F823" t="s">
        <v>56</v>
      </c>
      <c r="G823">
        <v>-468.01310000000001</v>
      </c>
      <c r="H823" s="1">
        <v>2.5658180000000001E-6</v>
      </c>
      <c r="I823">
        <v>218.31290000000001</v>
      </c>
      <c r="J823">
        <v>-485.10090000000002</v>
      </c>
      <c r="K823">
        <v>1.121197</v>
      </c>
      <c r="L823">
        <v>225.61189999999999</v>
      </c>
      <c r="M823">
        <v>0.70502030000000004</v>
      </c>
      <c r="N823">
        <v>0</v>
      </c>
      <c r="O823">
        <v>-0.70899749999999995</v>
      </c>
      <c r="P823">
        <v>0.79050859999999901</v>
      </c>
      <c r="Q823">
        <v>0.123129</v>
      </c>
      <c r="R823">
        <v>-0.59994650000000005</v>
      </c>
      <c r="S823">
        <v>2.8898009999999998</v>
      </c>
      <c r="T823">
        <v>-0.1869526</v>
      </c>
      <c r="U823">
        <v>-1.25589</v>
      </c>
      <c r="V823">
        <v>-0.143293</v>
      </c>
      <c r="W823">
        <v>0.1332767</v>
      </c>
      <c r="X823">
        <v>0.98066529999999996</v>
      </c>
      <c r="Y823">
        <v>-0.36772929999999998</v>
      </c>
      <c r="Z823">
        <v>4.9985259999999997E-2</v>
      </c>
      <c r="AA823">
        <v>0.92858850000000004</v>
      </c>
      <c r="AB823">
        <v>33</v>
      </c>
      <c r="AC823">
        <v>17.087800000000001</v>
      </c>
      <c r="AD823">
        <v>-1.1211944341819999</v>
      </c>
      <c r="AE823">
        <v>-7.2989999999999702</v>
      </c>
      <c r="AF823">
        <v>-6.9449160575583804</v>
      </c>
      <c r="AG823">
        <v>-1.1211944341819999</v>
      </c>
      <c r="AH823">
        <v>17.162050025643399</v>
      </c>
      <c r="AI823">
        <v>93.465560391125294</v>
      </c>
      <c r="AJ823">
        <v>112.03155677815001</v>
      </c>
      <c r="AK823">
        <v>18.547908159370898</v>
      </c>
      <c r="AL823">
        <v>82.341018385054397</v>
      </c>
      <c r="AM823">
        <v>98.313123316165004</v>
      </c>
      <c r="AN823">
        <v>0.999999996617989</v>
      </c>
    </row>
    <row r="824" spans="1:40" x14ac:dyDescent="0.3">
      <c r="A824" t="str">
        <f>"20200111150306087"</f>
        <v>20200111150306087</v>
      </c>
      <c r="B824" t="str">
        <f>"1578726186078192"</f>
        <v>1578726186078192</v>
      </c>
      <c r="C824" t="s">
        <v>40</v>
      </c>
      <c r="D824">
        <v>5.323874</v>
      </c>
      <c r="E824">
        <v>0.40204669999999998</v>
      </c>
      <c r="F824" t="s">
        <v>56</v>
      </c>
      <c r="G824">
        <v>-468.44709999999998</v>
      </c>
      <c r="H824" s="1">
        <v>2.778968E-6</v>
      </c>
      <c r="I824">
        <v>218.71940000000001</v>
      </c>
      <c r="J824">
        <v>-484.86770000000001</v>
      </c>
      <c r="K824">
        <v>1.121208</v>
      </c>
      <c r="L824">
        <v>225.39709999999999</v>
      </c>
      <c r="M824">
        <v>0.71864410000000001</v>
      </c>
      <c r="N824">
        <v>0</v>
      </c>
      <c r="O824">
        <v>-0.69518449999999998</v>
      </c>
      <c r="P824">
        <v>0.80071300000000001</v>
      </c>
      <c r="Q824">
        <v>0.1223138</v>
      </c>
      <c r="R824">
        <v>-0.58642850000000002</v>
      </c>
      <c r="S824">
        <v>2.9111630000000002</v>
      </c>
      <c r="T824">
        <v>-0.1959901</v>
      </c>
      <c r="U824">
        <v>-1.204834</v>
      </c>
      <c r="V824">
        <v>-0.14098429999999901</v>
      </c>
      <c r="W824">
        <v>0.132572</v>
      </c>
      <c r="X824">
        <v>0.98109539999999995</v>
      </c>
      <c r="Y824">
        <v>-0.36587009999999998</v>
      </c>
      <c r="Z824">
        <v>5.1657830000000002E-2</v>
      </c>
      <c r="AA824">
        <v>0.92923120000000003</v>
      </c>
      <c r="AB824">
        <v>33</v>
      </c>
      <c r="AC824">
        <v>16.4206</v>
      </c>
      <c r="AD824">
        <v>-1.121205221032</v>
      </c>
      <c r="AE824">
        <v>-6.6776999999999802</v>
      </c>
      <c r="AF824">
        <v>-6.59097964052199</v>
      </c>
      <c r="AG824">
        <v>-1.121205221032</v>
      </c>
      <c r="AH824">
        <v>16.379486382331599</v>
      </c>
      <c r="AI824">
        <v>93.633596145482102</v>
      </c>
      <c r="AJ824">
        <v>111.91947592181801</v>
      </c>
      <c r="AK824">
        <v>17.691401524990301</v>
      </c>
      <c r="AL824">
        <v>82.381756600062104</v>
      </c>
      <c r="AM824">
        <v>98.177474056040197</v>
      </c>
      <c r="AN824">
        <v>1.00000004596582</v>
      </c>
    </row>
    <row r="825" spans="1:40" x14ac:dyDescent="0.3">
      <c r="A825" t="str">
        <f>"20200111150306111"</f>
        <v>20200111150306111</v>
      </c>
      <c r="B825" t="str">
        <f>"1578726186107471"</f>
        <v>1578726186107471</v>
      </c>
      <c r="C825" t="s">
        <v>40</v>
      </c>
      <c r="D825">
        <v>5.2349800000000002</v>
      </c>
      <c r="E825">
        <v>0.40354970000000001</v>
      </c>
      <c r="F825" t="s">
        <v>56</v>
      </c>
      <c r="G825">
        <v>-468.55149999999998</v>
      </c>
      <c r="H825" s="1">
        <v>2.825327E-6</v>
      </c>
      <c r="I825">
        <v>218.9306</v>
      </c>
      <c r="J825">
        <v>-484.62819999999999</v>
      </c>
      <c r="K825">
        <v>1.1212219999999999</v>
      </c>
      <c r="L825">
        <v>225.18520000000001</v>
      </c>
      <c r="M825">
        <v>0.73214009999999996</v>
      </c>
      <c r="N825">
        <v>0</v>
      </c>
      <c r="O825">
        <v>-0.68095609999999995</v>
      </c>
      <c r="P825">
        <v>0.81145900000000004</v>
      </c>
      <c r="Q825">
        <v>0.1217983</v>
      </c>
      <c r="R825">
        <v>-0.57157619999999998</v>
      </c>
      <c r="S825">
        <v>2.9276119999999999</v>
      </c>
      <c r="T825">
        <v>-0.2011783</v>
      </c>
      <c r="U825">
        <v>-1.1602779999999999</v>
      </c>
      <c r="V825">
        <v>-0.13985420000000001</v>
      </c>
      <c r="W825">
        <v>0.13211410000000001</v>
      </c>
      <c r="X825">
        <v>0.98131880000000005</v>
      </c>
      <c r="Y825">
        <v>-0.3615602</v>
      </c>
      <c r="Z825">
        <v>5.2191000000000001E-2</v>
      </c>
      <c r="AA825">
        <v>0.93088689999999996</v>
      </c>
      <c r="AB825">
        <v>33</v>
      </c>
      <c r="AC825">
        <v>16.076699999999999</v>
      </c>
      <c r="AD825">
        <v>-1.121219174673</v>
      </c>
      <c r="AE825">
        <v>-6.2546000000000097</v>
      </c>
      <c r="AF825">
        <v>-6.3423489372270199</v>
      </c>
      <c r="AG825">
        <v>-1.121219174673</v>
      </c>
      <c r="AH825">
        <v>15.9642253863794</v>
      </c>
      <c r="AI825">
        <v>93.734446762623506</v>
      </c>
      <c r="AJ825">
        <v>111.66718743632001</v>
      </c>
      <c r="AK825">
        <v>17.214500128273201</v>
      </c>
      <c r="AL825">
        <v>82.408224497802806</v>
      </c>
      <c r="AM825">
        <v>98.110978927015793</v>
      </c>
      <c r="AN825">
        <v>0.99999995995494395</v>
      </c>
    </row>
    <row r="826" spans="1:40" x14ac:dyDescent="0.3">
      <c r="A826" t="str">
        <f>"20200111150306132"</f>
        <v>20200111150306132</v>
      </c>
      <c r="B826" t="str">
        <f>"1578726186127967"</f>
        <v>1578726186127967</v>
      </c>
      <c r="C826" t="s">
        <v>40</v>
      </c>
      <c r="D826">
        <v>5.2630119999999998</v>
      </c>
      <c r="E826">
        <v>0.40375090000000002</v>
      </c>
      <c r="F826" t="s">
        <v>56</v>
      </c>
      <c r="G826">
        <v>-468.48259999999999</v>
      </c>
      <c r="H826" s="1">
        <v>2.7827469999999999E-6</v>
      </c>
      <c r="I826">
        <v>219.0651</v>
      </c>
      <c r="J826">
        <v>-484.37869999999998</v>
      </c>
      <c r="K826">
        <v>1.1212409999999999</v>
      </c>
      <c r="L826">
        <v>224.97370000000001</v>
      </c>
      <c r="M826">
        <v>0.74569030000000003</v>
      </c>
      <c r="N826">
        <v>0</v>
      </c>
      <c r="O826">
        <v>-0.66608999999999996</v>
      </c>
      <c r="P826">
        <v>0.82272299999999998</v>
      </c>
      <c r="Q826">
        <v>0.1220517</v>
      </c>
      <c r="R826">
        <v>-0.55518509999999999</v>
      </c>
      <c r="S826">
        <v>2.9421689999999998</v>
      </c>
      <c r="T826">
        <v>-0.20431630000000001</v>
      </c>
      <c r="U826">
        <v>-1.1152500000000001</v>
      </c>
      <c r="V826">
        <v>-0.13978750000000001</v>
      </c>
      <c r="W826">
        <v>0.13237589999999999</v>
      </c>
      <c r="X826">
        <v>0.98129310000000003</v>
      </c>
      <c r="Y826">
        <v>-0.35675180000000001</v>
      </c>
      <c r="Z826">
        <v>5.2120699999999999E-2</v>
      </c>
      <c r="AA826">
        <v>0.93274409999999996</v>
      </c>
      <c r="AB826">
        <v>33</v>
      </c>
      <c r="AC826">
        <v>15.896099999999899</v>
      </c>
      <c r="AD826">
        <v>-1.121238217253</v>
      </c>
      <c r="AE826">
        <v>-5.9085999999999999</v>
      </c>
      <c r="AF826">
        <v>-6.1561721136205696</v>
      </c>
      <c r="AG826">
        <v>-1.121238217253</v>
      </c>
      <c r="AH826">
        <v>15.722631290566801</v>
      </c>
      <c r="AI826">
        <v>93.799138181569305</v>
      </c>
      <c r="AJ826">
        <v>111.382750766162</v>
      </c>
      <c r="AK826">
        <v>16.922079214194</v>
      </c>
      <c r="AL826">
        <v>82.393092132819305</v>
      </c>
      <c r="AM826">
        <v>98.107371537880994</v>
      </c>
      <c r="AN826">
        <v>1.00000003608233</v>
      </c>
    </row>
    <row r="827" spans="1:40" x14ac:dyDescent="0.3">
      <c r="A827" t="str">
        <f>"20200111150306156"</f>
        <v>20200111150306156</v>
      </c>
      <c r="B827" t="str">
        <f>"1578726186147487"</f>
        <v>1578726186147487</v>
      </c>
      <c r="C827" t="s">
        <v>40</v>
      </c>
      <c r="D827">
        <v>5.291741</v>
      </c>
      <c r="E827">
        <v>0.40380630000000001</v>
      </c>
      <c r="F827" t="s">
        <v>56</v>
      </c>
      <c r="G827">
        <v>-468.0804</v>
      </c>
      <c r="H827" s="1">
        <v>2.5646649999999999E-6</v>
      </c>
      <c r="I827">
        <v>219.15790000000001</v>
      </c>
      <c r="J827">
        <v>-484.12099999999998</v>
      </c>
      <c r="K827">
        <v>1.1212500000000001</v>
      </c>
      <c r="L827">
        <v>224.76410000000001</v>
      </c>
      <c r="M827">
        <v>0.75915999999999995</v>
      </c>
      <c r="N827">
        <v>0</v>
      </c>
      <c r="O827">
        <v>-0.65069630000000001</v>
      </c>
      <c r="P827">
        <v>0.8334376</v>
      </c>
      <c r="Q827">
        <v>0.1225111</v>
      </c>
      <c r="R827">
        <v>-0.53886250000000002</v>
      </c>
      <c r="S827">
        <v>2.963165</v>
      </c>
      <c r="T827">
        <v>-0.20385049999999999</v>
      </c>
      <c r="U827">
        <v>-1.057358</v>
      </c>
      <c r="V827">
        <v>-0.13903219999999999</v>
      </c>
      <c r="W827">
        <v>0.13287409999999999</v>
      </c>
      <c r="X827">
        <v>0.98133300000000001</v>
      </c>
      <c r="Y827">
        <v>-0.35594120000000001</v>
      </c>
      <c r="Z827">
        <v>5.1150559999999998E-2</v>
      </c>
      <c r="AA827">
        <v>0.93310740000000003</v>
      </c>
      <c r="AB827">
        <v>33</v>
      </c>
      <c r="AC827">
        <v>16.040599999999898</v>
      </c>
      <c r="AD827">
        <v>-1.1212474353349999</v>
      </c>
      <c r="AE827">
        <v>-5.6062000000000003</v>
      </c>
      <c r="AF827">
        <v>-6.1555894539593004</v>
      </c>
      <c r="AG827">
        <v>-1.1212474353349999</v>
      </c>
      <c r="AH827">
        <v>15.758838191738199</v>
      </c>
      <c r="AI827">
        <v>93.791666843243505</v>
      </c>
      <c r="AJ827">
        <v>111.33620721665299</v>
      </c>
      <c r="AK827">
        <v>16.955514102802301</v>
      </c>
      <c r="AL827">
        <v>82.364292449649298</v>
      </c>
      <c r="AM827">
        <v>98.063819965316</v>
      </c>
      <c r="AN827">
        <v>0.99999996798832402</v>
      </c>
    </row>
    <row r="828" spans="1:40" x14ac:dyDescent="0.3">
      <c r="A828" t="str">
        <f>"20200111150306179"</f>
        <v>20200111150306179</v>
      </c>
      <c r="B828" t="str">
        <f>"1578726186167984"</f>
        <v>1578726186167984</v>
      </c>
      <c r="C828" t="s">
        <v>40</v>
      </c>
      <c r="D828">
        <v>5.2461599999999997</v>
      </c>
      <c r="E828">
        <v>0.40405760000000002</v>
      </c>
      <c r="F828" t="s">
        <v>56</v>
      </c>
      <c r="G828">
        <v>-467.43020000000001</v>
      </c>
      <c r="H828" s="1">
        <v>2.217677E-6</v>
      </c>
      <c r="I828">
        <v>219.18100000000001</v>
      </c>
      <c r="J828">
        <v>-483.8569</v>
      </c>
      <c r="K828">
        <v>1.121254</v>
      </c>
      <c r="L828">
        <v>224.55789999999999</v>
      </c>
      <c r="M828">
        <v>0.77245620000000004</v>
      </c>
      <c r="N828">
        <v>0</v>
      </c>
      <c r="O828">
        <v>-0.63485469999999999</v>
      </c>
      <c r="P828">
        <v>0.84376509999999905</v>
      </c>
      <c r="Q828">
        <v>0.1230376</v>
      </c>
      <c r="R828">
        <v>-0.52241990000000005</v>
      </c>
      <c r="S828">
        <v>2.9837340000000001</v>
      </c>
      <c r="T828">
        <v>-0.2004399</v>
      </c>
      <c r="U828">
        <v>-0.99804689999999996</v>
      </c>
      <c r="V828">
        <v>-0.13794879999999901</v>
      </c>
      <c r="W828">
        <v>0.13345389999999999</v>
      </c>
      <c r="X828">
        <v>0.98140720000000004</v>
      </c>
      <c r="Y828">
        <v>-0.355327</v>
      </c>
      <c r="Z828">
        <v>4.9427909999999999E-2</v>
      </c>
      <c r="AA828">
        <v>0.93343430000000005</v>
      </c>
      <c r="AB828">
        <v>33</v>
      </c>
      <c r="AC828">
        <v>16.426699999999901</v>
      </c>
      <c r="AD828">
        <v>-1.1212517823229999</v>
      </c>
      <c r="AE828">
        <v>-5.3769</v>
      </c>
      <c r="AF828">
        <v>-6.2496978732904802</v>
      </c>
      <c r="AG828">
        <v>-1.1212517823229999</v>
      </c>
      <c r="AH828">
        <v>16.037149846671301</v>
      </c>
      <c r="AI828">
        <v>93.727212791989899</v>
      </c>
      <c r="AJ828">
        <v>111.290926448018</v>
      </c>
      <c r="AK828">
        <v>17.248365263739199</v>
      </c>
      <c r="AL828">
        <v>82.330773727346894</v>
      </c>
      <c r="AM828">
        <v>98.001202996201997</v>
      </c>
      <c r="AN828">
        <v>0.99999995352924398</v>
      </c>
    </row>
    <row r="829" spans="1:40" x14ac:dyDescent="0.3">
      <c r="A829" t="str">
        <f>"20200111150306201"</f>
        <v>20200111150306201</v>
      </c>
      <c r="B829" t="str">
        <f>"1578726186198240"</f>
        <v>1578726186198240</v>
      </c>
      <c r="C829" t="s">
        <v>40</v>
      </c>
      <c r="D829">
        <v>5.189686</v>
      </c>
      <c r="E829">
        <v>0.40515790000000002</v>
      </c>
      <c r="F829" t="s">
        <v>56</v>
      </c>
      <c r="G829">
        <v>-466.84890000000001</v>
      </c>
      <c r="H829" s="1">
        <v>1.9063949999999999E-6</v>
      </c>
      <c r="I829">
        <v>219.22540000000001</v>
      </c>
      <c r="J829">
        <v>-483.60989999999998</v>
      </c>
      <c r="K829">
        <v>1.121259</v>
      </c>
      <c r="L829">
        <v>224.37280000000001</v>
      </c>
      <c r="M829">
        <v>0.78443249999999998</v>
      </c>
      <c r="N829">
        <v>0</v>
      </c>
      <c r="O829">
        <v>-0.61999559999999998</v>
      </c>
      <c r="P829">
        <v>0.85339900000000002</v>
      </c>
      <c r="Q829">
        <v>0.1221048</v>
      </c>
      <c r="R829">
        <v>-0.50675479999999995</v>
      </c>
      <c r="S829">
        <v>3.0016780000000001</v>
      </c>
      <c r="T829">
        <v>-0.1978859</v>
      </c>
      <c r="U829">
        <v>-0.94110110000000002</v>
      </c>
      <c r="V829">
        <v>-0.137377799999999</v>
      </c>
      <c r="W829">
        <v>0.13255220000000001</v>
      </c>
      <c r="X829">
        <v>0.98160950000000002</v>
      </c>
      <c r="Y829">
        <v>-0.35527700000000001</v>
      </c>
      <c r="Z829">
        <v>4.8011159999999997E-2</v>
      </c>
      <c r="AA829">
        <v>0.93352729999999995</v>
      </c>
      <c r="AB829">
        <v>33</v>
      </c>
      <c r="AC829">
        <v>16.7609999999999</v>
      </c>
      <c r="AD829">
        <v>-1.1212570936049999</v>
      </c>
      <c r="AE829">
        <v>-5.1474000000000002</v>
      </c>
      <c r="AF829">
        <v>-6.3289377877938104</v>
      </c>
      <c r="AG829">
        <v>-1.1212570936049999</v>
      </c>
      <c r="AH829">
        <v>16.274897841144199</v>
      </c>
      <c r="AI829">
        <v>93.673952670629106</v>
      </c>
      <c r="AJ829">
        <v>111.249927078776</v>
      </c>
      <c r="AK829">
        <v>17.498141922255801</v>
      </c>
      <c r="AL829">
        <v>82.3829006372968</v>
      </c>
      <c r="AM829">
        <v>97.966889418051693</v>
      </c>
      <c r="AN829">
        <v>0.99999997807396401</v>
      </c>
    </row>
    <row r="830" spans="1:40" x14ac:dyDescent="0.3">
      <c r="A830" t="str">
        <f>"20200111150306223"</f>
        <v>20200111150306223</v>
      </c>
      <c r="B830" t="str">
        <f>"1578726186217760"</f>
        <v>1578726186217760</v>
      </c>
      <c r="C830" t="s">
        <v>40</v>
      </c>
      <c r="D830">
        <v>5.0880910000000004</v>
      </c>
      <c r="E830">
        <v>0.40613199999999999</v>
      </c>
      <c r="F830" t="s">
        <v>56</v>
      </c>
      <c r="G830">
        <v>-467.93619999999999</v>
      </c>
      <c r="H830">
        <v>8.0000650000000006E-2</v>
      </c>
      <c r="I830">
        <v>219.73230000000001</v>
      </c>
      <c r="J830">
        <v>-483.34859999999998</v>
      </c>
      <c r="K830">
        <v>1.1212530000000001</v>
      </c>
      <c r="L830">
        <v>224.1849</v>
      </c>
      <c r="M830">
        <v>0.79663869999999903</v>
      </c>
      <c r="N830">
        <v>0</v>
      </c>
      <c r="O830">
        <v>-0.60423169999999904</v>
      </c>
      <c r="P830">
        <v>0.86328039999999995</v>
      </c>
      <c r="Q830">
        <v>0.12131400000000001</v>
      </c>
      <c r="R830">
        <v>-0.48992930000000001</v>
      </c>
      <c r="S830">
        <v>3.0141300000000002</v>
      </c>
      <c r="T830">
        <v>-0.2002391</v>
      </c>
      <c r="U830">
        <v>-0.89239500000000005</v>
      </c>
      <c r="V830">
        <v>-0.1370816</v>
      </c>
      <c r="W830">
        <v>0.13178029999999999</v>
      </c>
      <c r="X830">
        <v>0.98175480000000004</v>
      </c>
      <c r="Y830">
        <v>-0.35154150000000001</v>
      </c>
      <c r="Z830">
        <v>4.7651800000000001E-2</v>
      </c>
      <c r="AA830">
        <v>0.93495879999999998</v>
      </c>
      <c r="AB830">
        <v>33</v>
      </c>
      <c r="AC830">
        <v>15.4123999999999</v>
      </c>
      <c r="AD830">
        <v>-1.0412523499999999</v>
      </c>
      <c r="AE830">
        <v>-4.4525999999999897</v>
      </c>
      <c r="AF830">
        <v>-5.7421383300451296</v>
      </c>
      <c r="AG830">
        <v>-1.0412523499999999</v>
      </c>
      <c r="AH830">
        <v>14.907742306333301</v>
      </c>
      <c r="AI830">
        <v>93.7291806367584</v>
      </c>
      <c r="AJ830">
        <v>111.06560042679899</v>
      </c>
      <c r="AK830">
        <v>16.009282923660098</v>
      </c>
      <c r="AL830">
        <v>82.427518446039599</v>
      </c>
      <c r="AM830">
        <v>97.948770325575595</v>
      </c>
      <c r="AN830">
        <v>0.99999994992484298</v>
      </c>
    </row>
    <row r="831" spans="1:40" x14ac:dyDescent="0.3">
      <c r="A831" t="str">
        <f>"20200111150306245"</f>
        <v>20200111150306245</v>
      </c>
      <c r="B831" t="str">
        <f>"1578726186238255"</f>
        <v>1578726186238255</v>
      </c>
      <c r="C831" t="s">
        <v>40</v>
      </c>
      <c r="D831">
        <v>5.0742409999999998</v>
      </c>
      <c r="E831">
        <v>0.42266870000000001</v>
      </c>
      <c r="F831" t="s">
        <v>56</v>
      </c>
      <c r="G831">
        <v>-467.71269999999998</v>
      </c>
      <c r="H831">
        <v>8.0000580000000002E-2</v>
      </c>
      <c r="I831">
        <v>219.85</v>
      </c>
      <c r="J831">
        <v>-483.09010000000001</v>
      </c>
      <c r="K831">
        <v>1.1212500000000001</v>
      </c>
      <c r="L831">
        <v>224.0067</v>
      </c>
      <c r="M831">
        <v>0.80825669999999905</v>
      </c>
      <c r="N831">
        <v>0</v>
      </c>
      <c r="O831">
        <v>-0.58860009999999996</v>
      </c>
      <c r="P831">
        <v>0.87245659999999903</v>
      </c>
      <c r="Q831">
        <v>0.12060999999999999</v>
      </c>
      <c r="R831">
        <v>-0.47357480000000002</v>
      </c>
      <c r="S831">
        <v>3.027161</v>
      </c>
      <c r="T831">
        <v>-0.20159099999999999</v>
      </c>
      <c r="U831">
        <v>-0.83926389999999995</v>
      </c>
      <c r="V831">
        <v>-0.13648489999999999</v>
      </c>
      <c r="W831">
        <v>0.13110820000000001</v>
      </c>
      <c r="X831">
        <v>0.98192800000000002</v>
      </c>
      <c r="Y831">
        <v>-0.34958270000000002</v>
      </c>
      <c r="Z831">
        <v>4.7083010000000002E-2</v>
      </c>
      <c r="AA831">
        <v>0.93572169999999999</v>
      </c>
      <c r="AB831">
        <v>33</v>
      </c>
      <c r="AC831">
        <v>15.3774</v>
      </c>
      <c r="AD831">
        <v>-1.04124942</v>
      </c>
      <c r="AE831">
        <v>-4.1566999999999998</v>
      </c>
      <c r="AF831">
        <v>-5.6680115039830996</v>
      </c>
      <c r="AG831">
        <v>-1.04124942</v>
      </c>
      <c r="AH831">
        <v>14.814238070324899</v>
      </c>
      <c r="AI831">
        <v>93.755863052013893</v>
      </c>
      <c r="AJ831">
        <v>110.93713412673399</v>
      </c>
      <c r="AK831">
        <v>15.895666213411699</v>
      </c>
      <c r="AL831">
        <v>82.466364685297805</v>
      </c>
      <c r="AM831">
        <v>97.913231326088194</v>
      </c>
      <c r="AN831">
        <v>1.0000000426096201</v>
      </c>
    </row>
    <row r="832" spans="1:40" x14ac:dyDescent="0.3">
      <c r="A832" t="str">
        <f>"20200111150306267"</f>
        <v>20200111150306267</v>
      </c>
      <c r="B832" t="str">
        <f>"1578726186257775"</f>
        <v>1578726186257775</v>
      </c>
      <c r="C832" t="s">
        <v>40</v>
      </c>
      <c r="D832">
        <v>5.1010689999999999</v>
      </c>
      <c r="E832">
        <v>0.42261870000000001</v>
      </c>
      <c r="F832" t="s">
        <v>53</v>
      </c>
      <c r="G832">
        <v>-470.42570000000001</v>
      </c>
      <c r="H832">
        <v>7.9999509999999996E-2</v>
      </c>
      <c r="I832">
        <v>220.19239999999999</v>
      </c>
      <c r="J832">
        <v>-482.83150000000001</v>
      </c>
      <c r="K832">
        <v>1.121245</v>
      </c>
      <c r="L832">
        <v>223.8357</v>
      </c>
      <c r="M832">
        <v>0.81944810000000001</v>
      </c>
      <c r="N832">
        <v>0</v>
      </c>
      <c r="O832">
        <v>-0.57291669999999995</v>
      </c>
      <c r="P832">
        <v>0.88109519999999997</v>
      </c>
      <c r="Q832">
        <v>0.120281</v>
      </c>
      <c r="R832">
        <v>-0.45738820000000002</v>
      </c>
      <c r="S832">
        <v>2.9846189999999999</v>
      </c>
      <c r="T832">
        <v>-0.2453909</v>
      </c>
      <c r="U832">
        <v>-0.8989258</v>
      </c>
      <c r="V832">
        <v>-0.13570109999999999</v>
      </c>
      <c r="W832">
        <v>0.13081880000000001</v>
      </c>
      <c r="X832">
        <v>0.98207520000000004</v>
      </c>
      <c r="Y832">
        <v>-0.30984840000000002</v>
      </c>
      <c r="Z832">
        <v>5.5254949999999997E-2</v>
      </c>
      <c r="AA832">
        <v>0.94917910000000005</v>
      </c>
      <c r="AB832">
        <v>33</v>
      </c>
      <c r="AC832">
        <v>12.405799999999999</v>
      </c>
      <c r="AD832">
        <v>-1.0412454900000001</v>
      </c>
      <c r="AE832">
        <v>-3.6433</v>
      </c>
      <c r="AF832">
        <v>-4.0959903021380901</v>
      </c>
      <c r="AG832">
        <v>-1.0412454900000001</v>
      </c>
      <c r="AH832">
        <v>12.1759147728632</v>
      </c>
      <c r="AI832">
        <v>94.633891995324205</v>
      </c>
      <c r="AJ832">
        <v>108.59299256994601</v>
      </c>
      <c r="AK832">
        <v>12.8885309202283</v>
      </c>
      <c r="AL832">
        <v>82.483089985942996</v>
      </c>
      <c r="AM832">
        <v>97.867193760679399</v>
      </c>
      <c r="AN832">
        <v>1.00000002271484</v>
      </c>
    </row>
    <row r="833" spans="1:40" x14ac:dyDescent="0.3">
      <c r="A833" t="str">
        <f>"20200111150306290"</f>
        <v>20200111150306290</v>
      </c>
      <c r="B833" t="str">
        <f>"1578726186288033"</f>
        <v>1578726186288033</v>
      </c>
      <c r="C833" t="s">
        <v>40</v>
      </c>
      <c r="D833">
        <v>6.1335540000000002</v>
      </c>
      <c r="E833">
        <v>0.42435060000000002</v>
      </c>
      <c r="F833" t="s">
        <v>56</v>
      </c>
      <c r="G833">
        <v>-469.34980000000002</v>
      </c>
      <c r="H833">
        <v>8.0001059999999999E-2</v>
      </c>
      <c r="I833">
        <v>220.04759999999999</v>
      </c>
      <c r="J833">
        <v>-482.55900000000003</v>
      </c>
      <c r="K833">
        <v>1.121238</v>
      </c>
      <c r="L833">
        <v>223.66329999999999</v>
      </c>
      <c r="M833">
        <v>0.83078269999999999</v>
      </c>
      <c r="N833">
        <v>0</v>
      </c>
      <c r="O833">
        <v>-0.55635330000000005</v>
      </c>
      <c r="P833">
        <v>0.88951080000000005</v>
      </c>
      <c r="Q833">
        <v>0.11948930000000001</v>
      </c>
      <c r="R833">
        <v>-0.44101390000000001</v>
      </c>
      <c r="S833">
        <v>2.9990540000000001</v>
      </c>
      <c r="T833">
        <v>-0.2316288</v>
      </c>
      <c r="U833">
        <v>-0.84268189999999998</v>
      </c>
      <c r="V833">
        <v>-0.1341745</v>
      </c>
      <c r="W833">
        <v>0.1301012</v>
      </c>
      <c r="X833">
        <v>0.98238020000000004</v>
      </c>
      <c r="Y833">
        <v>-0.30875999999999998</v>
      </c>
      <c r="Z833">
        <v>5.1066640000000003E-2</v>
      </c>
      <c r="AA833">
        <v>0.9497681</v>
      </c>
      <c r="AB833">
        <v>33</v>
      </c>
      <c r="AC833">
        <v>13.209199999999999</v>
      </c>
      <c r="AD833">
        <v>-1.0412369400000001</v>
      </c>
      <c r="AE833">
        <v>-3.6156999999999999</v>
      </c>
      <c r="AF833">
        <v>-4.3207339981677801</v>
      </c>
      <c r="AG833">
        <v>-1.0412369400000001</v>
      </c>
      <c r="AH833">
        <v>12.9126998552663</v>
      </c>
      <c r="AI833">
        <v>94.372856938996193</v>
      </c>
      <c r="AJ833">
        <v>108.500818289669</v>
      </c>
      <c r="AK833">
        <v>13.6561610345052</v>
      </c>
      <c r="AL833">
        <v>82.524559595689595</v>
      </c>
      <c r="AM833">
        <v>97.777394038281699</v>
      </c>
      <c r="AN833">
        <v>0.99999998802186496</v>
      </c>
    </row>
    <row r="834" spans="1:40" x14ac:dyDescent="0.3">
      <c r="A834" t="str">
        <f>"20200111150306312"</f>
        <v>20200111150306312</v>
      </c>
      <c r="B834" t="str">
        <f>"1578726186307552"</f>
        <v>1578726186307552</v>
      </c>
      <c r="C834" t="s">
        <v>40</v>
      </c>
      <c r="D834">
        <v>5.0873759999999999</v>
      </c>
      <c r="E834">
        <v>0.4270719</v>
      </c>
      <c r="F834" t="s">
        <v>56</v>
      </c>
      <c r="G834">
        <v>-469.42329999999998</v>
      </c>
      <c r="H834">
        <v>8.0001069999999994E-2</v>
      </c>
      <c r="I834">
        <v>220.17169999999999</v>
      </c>
      <c r="J834">
        <v>-482.28870000000001</v>
      </c>
      <c r="K834">
        <v>1.121232</v>
      </c>
      <c r="L834">
        <v>223.50030000000001</v>
      </c>
      <c r="M834">
        <v>0.84157090000000001</v>
      </c>
      <c r="N834">
        <v>0</v>
      </c>
      <c r="O834">
        <v>-0.53989519999999902</v>
      </c>
      <c r="P834">
        <v>0.89704349999999999</v>
      </c>
      <c r="Q834">
        <v>0.1188232</v>
      </c>
      <c r="R834">
        <v>-0.42566890000000002</v>
      </c>
      <c r="S834">
        <v>3.0082089999999999</v>
      </c>
      <c r="T834">
        <v>-0.2384549</v>
      </c>
      <c r="U834">
        <v>-0.79962159999999904</v>
      </c>
      <c r="V834">
        <v>-0.1317295</v>
      </c>
      <c r="W834">
        <v>0.12954949999999901</v>
      </c>
      <c r="X834">
        <v>0.98278399999999999</v>
      </c>
      <c r="Y834">
        <v>-0.30337160000000002</v>
      </c>
      <c r="Z834">
        <v>5.1295210000000001E-2</v>
      </c>
      <c r="AA834">
        <v>0.95149059999999996</v>
      </c>
      <c r="AB834">
        <v>33</v>
      </c>
      <c r="AC834">
        <v>12.865399999999999</v>
      </c>
      <c r="AD834">
        <v>-1.04123093</v>
      </c>
      <c r="AE834">
        <v>-3.3286000000000202</v>
      </c>
      <c r="AF834">
        <v>-4.1199845662031001</v>
      </c>
      <c r="AG834">
        <v>-1.04123093</v>
      </c>
      <c r="AH834">
        <v>12.548916442702801</v>
      </c>
      <c r="AI834">
        <v>94.507517984938204</v>
      </c>
      <c r="AJ834">
        <v>108.17573071216501</v>
      </c>
      <c r="AK834">
        <v>13.248914618234799</v>
      </c>
      <c r="AL834">
        <v>82.556440038140593</v>
      </c>
      <c r="AM834">
        <v>97.634257250257804</v>
      </c>
      <c r="AN834">
        <v>1.0000000623882399</v>
      </c>
    </row>
    <row r="835" spans="1:40" x14ac:dyDescent="0.3">
      <c r="A835" t="str">
        <f>"20200111150306334"</f>
        <v>20200111150306334</v>
      </c>
      <c r="B835" t="str">
        <f>"1578726186328047"</f>
        <v>1578726186328047</v>
      </c>
      <c r="C835" t="s">
        <v>40</v>
      </c>
      <c r="D835">
        <v>5.1207180000000001</v>
      </c>
      <c r="E835">
        <v>0.4314537</v>
      </c>
      <c r="F835" t="s">
        <v>56</v>
      </c>
      <c r="G835">
        <v>-447.416</v>
      </c>
      <c r="H835" s="1">
        <v>2.4103449999999998E-6</v>
      </c>
      <c r="I835">
        <v>214.60069999999999</v>
      </c>
      <c r="J835">
        <v>-482.00700000000001</v>
      </c>
      <c r="K835">
        <v>1.1212260000000001</v>
      </c>
      <c r="L835">
        <v>223.33789999999999</v>
      </c>
      <c r="M835">
        <v>0.85236069999999997</v>
      </c>
      <c r="N835">
        <v>0</v>
      </c>
      <c r="O835">
        <v>-0.52269469999999996</v>
      </c>
      <c r="P835">
        <v>0.90452270000000001</v>
      </c>
      <c r="Q835">
        <v>0.11838949999999999</v>
      </c>
      <c r="R835">
        <v>-0.40966170000000002</v>
      </c>
      <c r="S835">
        <v>2.9944459999999999</v>
      </c>
      <c r="T835">
        <v>-9.6277710000000002E-2</v>
      </c>
      <c r="U835">
        <v>-0.764190699999999</v>
      </c>
      <c r="V835">
        <v>-0.12924089999999999</v>
      </c>
      <c r="W835">
        <v>0.12923080000000001</v>
      </c>
      <c r="X835">
        <v>0.98315629999999998</v>
      </c>
      <c r="Y835">
        <v>-0.29536859999999998</v>
      </c>
      <c r="Z835">
        <v>2.0292029999999999E-2</v>
      </c>
      <c r="AA835">
        <v>0.95516789999999996</v>
      </c>
      <c r="AB835">
        <v>33</v>
      </c>
      <c r="AC835">
        <v>34.590999999999902</v>
      </c>
      <c r="AD835">
        <v>-1.121223589655</v>
      </c>
      <c r="AE835">
        <v>-8.7371999999999996</v>
      </c>
      <c r="AF835">
        <v>-10.6242372423108</v>
      </c>
      <c r="AG835">
        <v>-1.121223589655</v>
      </c>
      <c r="AH835">
        <v>34.021918862605901</v>
      </c>
      <c r="AI835">
        <v>91.8018031310488</v>
      </c>
      <c r="AJ835">
        <v>107.34234452815799</v>
      </c>
      <c r="AK835">
        <v>35.659816634590896</v>
      </c>
      <c r="AL835">
        <v>82.574854985223396</v>
      </c>
      <c r="AM835">
        <v>97.488881800246403</v>
      </c>
      <c r="AN835">
        <v>1.0000000600655601</v>
      </c>
    </row>
    <row r="836" spans="1:40" x14ac:dyDescent="0.3">
      <c r="A836" t="str">
        <f>"20200111150306358"</f>
        <v>20200111150306358</v>
      </c>
      <c r="B836" t="str">
        <f>"1578726186347568"</f>
        <v>1578726186347568</v>
      </c>
      <c r="C836" t="s">
        <v>40</v>
      </c>
      <c r="D836">
        <v>5.0483120000000001</v>
      </c>
      <c r="E836">
        <v>0.43420819999999999</v>
      </c>
      <c r="F836" t="s">
        <v>56</v>
      </c>
      <c r="G836">
        <v>-468.66239999999999</v>
      </c>
      <c r="H836">
        <v>8.0000849999999998E-2</v>
      </c>
      <c r="I836">
        <v>220.02709999999999</v>
      </c>
      <c r="J836">
        <v>-481.72539999999998</v>
      </c>
      <c r="K836">
        <v>1.1212120000000001</v>
      </c>
      <c r="L836">
        <v>223.1831</v>
      </c>
      <c r="M836">
        <v>0.86270049999999898</v>
      </c>
      <c r="N836">
        <v>0</v>
      </c>
      <c r="O836">
        <v>-0.50544699999999998</v>
      </c>
      <c r="P836">
        <v>0.91131930000000005</v>
      </c>
      <c r="Q836">
        <v>0.1182049</v>
      </c>
      <c r="R836">
        <v>-0.39436729999999998</v>
      </c>
      <c r="S836">
        <v>3.009277</v>
      </c>
      <c r="T836">
        <v>-0.2348008</v>
      </c>
      <c r="U836">
        <v>-0.74659730000000002</v>
      </c>
      <c r="V836">
        <v>-0.1260259</v>
      </c>
      <c r="W836">
        <v>0.12918959999999999</v>
      </c>
      <c r="X836">
        <v>0.98357890000000003</v>
      </c>
      <c r="Y836">
        <v>-0.28079690000000002</v>
      </c>
      <c r="Z836">
        <v>4.7566949999999997E-2</v>
      </c>
      <c r="AA836">
        <v>0.95858779999999999</v>
      </c>
      <c r="AB836">
        <v>33</v>
      </c>
      <c r="AC836">
        <v>13.062999999999899</v>
      </c>
      <c r="AD836">
        <v>-1.0412111500000001</v>
      </c>
      <c r="AE836">
        <v>-3.1560000000000001</v>
      </c>
      <c r="AF836">
        <v>-3.8573426893759102</v>
      </c>
      <c r="AG836">
        <v>-1.0412111500000001</v>
      </c>
      <c r="AH836">
        <v>12.789618417398501</v>
      </c>
      <c r="AI836">
        <v>94.456786579282905</v>
      </c>
      <c r="AJ836">
        <v>106.783285486658</v>
      </c>
      <c r="AK836">
        <v>13.399162382209701</v>
      </c>
      <c r="AL836">
        <v>82.577234827353493</v>
      </c>
      <c r="AM836">
        <v>97.301520877508096</v>
      </c>
      <c r="AN836">
        <v>0.99999996637208899</v>
      </c>
    </row>
    <row r="837" spans="1:40" x14ac:dyDescent="0.3">
      <c r="A837" t="str">
        <f>"20200111150306379"</f>
        <v>20200111150306379</v>
      </c>
      <c r="B837" t="str">
        <f>"1578726186368070"</f>
        <v>1578726186368070</v>
      </c>
      <c r="C837" t="s">
        <v>40</v>
      </c>
      <c r="D837">
        <v>5.0861510000000001</v>
      </c>
      <c r="E837">
        <v>0.4368204</v>
      </c>
      <c r="F837" t="s">
        <v>56</v>
      </c>
      <c r="G837">
        <v>-469.2287</v>
      </c>
      <c r="H837">
        <v>8.0001009999999997E-2</v>
      </c>
      <c r="I837">
        <v>220.21530000000001</v>
      </c>
      <c r="J837">
        <v>-481.45170000000002</v>
      </c>
      <c r="K837">
        <v>1.1211990000000001</v>
      </c>
      <c r="L837">
        <v>223.0395</v>
      </c>
      <c r="M837">
        <v>0.87232399999999999</v>
      </c>
      <c r="N837">
        <v>0</v>
      </c>
      <c r="O837">
        <v>-0.488651</v>
      </c>
      <c r="P837">
        <v>0.91776880000000005</v>
      </c>
      <c r="Q837">
        <v>0.11796959999999999</v>
      </c>
      <c r="R837">
        <v>-0.37918780000000002</v>
      </c>
      <c r="S837">
        <v>3.0147400000000002</v>
      </c>
      <c r="T837">
        <v>-0.25118430000000003</v>
      </c>
      <c r="U837">
        <v>-0.71594239999999998</v>
      </c>
      <c r="V837">
        <v>-0.1233051</v>
      </c>
      <c r="W837">
        <v>0.1290724</v>
      </c>
      <c r="X837">
        <v>0.98393909999999996</v>
      </c>
      <c r="Y837">
        <v>-0.27159440000000001</v>
      </c>
      <c r="Z837">
        <v>4.9314080000000003E-2</v>
      </c>
      <c r="AA837">
        <v>0.96114750000000004</v>
      </c>
      <c r="AB837">
        <v>32</v>
      </c>
      <c r="AC837">
        <v>12.223000000000001</v>
      </c>
      <c r="AD837">
        <v>-1.0411979899999999</v>
      </c>
      <c r="AE837">
        <v>-2.8241999999999901</v>
      </c>
      <c r="AF837">
        <v>-3.4856287236329</v>
      </c>
      <c r="AG837">
        <v>-1.0411979899999999</v>
      </c>
      <c r="AH837">
        <v>11.961698866430901</v>
      </c>
      <c r="AI837">
        <v>94.7770258601346</v>
      </c>
      <c r="AJ837">
        <v>106.246077098528</v>
      </c>
      <c r="AK837">
        <v>12.502637346758901</v>
      </c>
      <c r="AL837">
        <v>82.584006782727101</v>
      </c>
      <c r="AM837">
        <v>97.142945068320103</v>
      </c>
      <c r="AN837">
        <v>0.99999999231828995</v>
      </c>
    </row>
    <row r="838" spans="1:40" x14ac:dyDescent="0.3">
      <c r="A838" t="str">
        <f>"20200111150306403"</f>
        <v>20200111150306403</v>
      </c>
      <c r="B838" t="str">
        <f>"1578726186398319"</f>
        <v>1578726186398319</v>
      </c>
      <c r="C838" t="s">
        <v>40</v>
      </c>
      <c r="D838">
        <v>5.1417449999999896</v>
      </c>
      <c r="E838">
        <v>0.4392028</v>
      </c>
      <c r="F838" t="s">
        <v>56</v>
      </c>
      <c r="G838">
        <v>-469.73230000000001</v>
      </c>
      <c r="H838">
        <v>8.0001149999999993E-2</v>
      </c>
      <c r="I838">
        <v>220.3817</v>
      </c>
      <c r="J838">
        <v>-481.16329999999999</v>
      </c>
      <c r="K838">
        <v>1.1210199999999999</v>
      </c>
      <c r="L838">
        <v>222.89519999999999</v>
      </c>
      <c r="M838">
        <v>0.88208319999999996</v>
      </c>
      <c r="N838">
        <v>0</v>
      </c>
      <c r="O838">
        <v>-0.4707983</v>
      </c>
      <c r="P838">
        <v>0.92502119999999999</v>
      </c>
      <c r="Q838">
        <v>0.1175548</v>
      </c>
      <c r="R838">
        <v>-0.3612708</v>
      </c>
      <c r="S838">
        <v>3.0202939999999998</v>
      </c>
      <c r="T838">
        <v>-0.26833420000000002</v>
      </c>
      <c r="U838">
        <v>-0.68498230000000004</v>
      </c>
      <c r="V838">
        <v>-0.1223518</v>
      </c>
      <c r="W838">
        <v>0.1289778</v>
      </c>
      <c r="X838">
        <v>0.98407049999999996</v>
      </c>
      <c r="Y838">
        <v>-0.261515</v>
      </c>
      <c r="Z838">
        <v>5.0862249999999998E-2</v>
      </c>
      <c r="AA838">
        <v>0.9638584</v>
      </c>
      <c r="AB838">
        <v>32</v>
      </c>
      <c r="AC838">
        <v>11.4309999999999</v>
      </c>
      <c r="AD838">
        <v>-1.0410188499999999</v>
      </c>
      <c r="AE838">
        <v>-2.5134999999999899</v>
      </c>
      <c r="AF838">
        <v>-3.1401769207707999</v>
      </c>
      <c r="AG838">
        <v>-1.0410188499999999</v>
      </c>
      <c r="AH838">
        <v>11.1795681321126</v>
      </c>
      <c r="AI838">
        <v>95.122793685076999</v>
      </c>
      <c r="AJ838">
        <v>105.689274662046</v>
      </c>
      <c r="AK838">
        <v>11.658781023775299</v>
      </c>
      <c r="AL838">
        <v>82.589472651619502</v>
      </c>
      <c r="AM838">
        <v>97.087348372046904</v>
      </c>
      <c r="AN838">
        <v>0.99999999241316495</v>
      </c>
    </row>
    <row r="839" spans="1:40" x14ac:dyDescent="0.3">
      <c r="A839" t="str">
        <f>"20200111150306423"</f>
        <v>20200111150306423</v>
      </c>
      <c r="B839" t="str">
        <f>"1578726186417839"</f>
        <v>1578726186417839</v>
      </c>
      <c r="C839" t="s">
        <v>40</v>
      </c>
      <c r="D839">
        <v>4.9836669999999996</v>
      </c>
      <c r="E839">
        <v>0.41545219999999999</v>
      </c>
      <c r="F839" t="s">
        <v>53</v>
      </c>
      <c r="G839">
        <v>-469.97730000000001</v>
      </c>
      <c r="H839">
        <v>7.999945E-2</v>
      </c>
      <c r="I839">
        <v>220.51230000000001</v>
      </c>
      <c r="J839">
        <v>-480.90179999999998</v>
      </c>
      <c r="K839">
        <v>1.121065</v>
      </c>
      <c r="L839">
        <v>222.76949999999999</v>
      </c>
      <c r="M839">
        <v>0.89093599999999995</v>
      </c>
      <c r="N839">
        <v>0</v>
      </c>
      <c r="O839">
        <v>-0.45381139999999998</v>
      </c>
      <c r="P839">
        <v>0.93216480000000002</v>
      </c>
      <c r="Q839">
        <v>0.11633789999999999</v>
      </c>
      <c r="R839">
        <v>-0.34283269999999999</v>
      </c>
      <c r="S839">
        <v>3.0271300000000001</v>
      </c>
      <c r="T839">
        <v>-0.28171740000000001</v>
      </c>
      <c r="U839">
        <v>-0.64483639999999998</v>
      </c>
      <c r="V839">
        <v>-0.12300220000000001</v>
      </c>
      <c r="W839">
        <v>0.12809780000000001</v>
      </c>
      <c r="X839">
        <v>0.98410439999999999</v>
      </c>
      <c r="Y839">
        <v>-0.2555115</v>
      </c>
      <c r="Z839">
        <v>5.1730900000000003E-2</v>
      </c>
      <c r="AA839">
        <v>0.96542110000000003</v>
      </c>
      <c r="AB839">
        <v>32</v>
      </c>
      <c r="AC839">
        <v>10.924499999999901</v>
      </c>
      <c r="AD839">
        <v>-1.0410655499999999</v>
      </c>
      <c r="AE839">
        <v>-2.2571999999999801</v>
      </c>
      <c r="AF839">
        <v>-2.92162059016405</v>
      </c>
      <c r="AG839">
        <v>-1.0410655499999999</v>
      </c>
      <c r="AH839">
        <v>10.6660275518409</v>
      </c>
      <c r="AI839">
        <v>95.377859610446393</v>
      </c>
      <c r="AJ839">
        <v>105.318618225517</v>
      </c>
      <c r="AK839">
        <v>11.107827334312301</v>
      </c>
      <c r="AL839">
        <v>82.640314963811306</v>
      </c>
      <c r="AM839">
        <v>97.124394366060798</v>
      </c>
      <c r="AN839">
        <v>1.0000000288345099</v>
      </c>
    </row>
    <row r="840" spans="1:40" x14ac:dyDescent="0.3">
      <c r="A840" t="str">
        <f>"20200111150306447"</f>
        <v>20200111150306447</v>
      </c>
      <c r="B840" t="str">
        <f>"1578726186437359"</f>
        <v>1578726186437359</v>
      </c>
      <c r="C840" t="s">
        <v>40</v>
      </c>
      <c r="D840">
        <v>5.0391750000000002</v>
      </c>
      <c r="E840">
        <v>0.41494819999999999</v>
      </c>
      <c r="F840" t="s">
        <v>56</v>
      </c>
      <c r="G840">
        <v>-462.2054</v>
      </c>
      <c r="H840">
        <v>8.0000420000000003E-2</v>
      </c>
      <c r="I840">
        <v>220.31309999999999</v>
      </c>
      <c r="J840">
        <v>-480.59899999999999</v>
      </c>
      <c r="K840">
        <v>1.1221719999999999</v>
      </c>
      <c r="L840">
        <v>222.62979999999999</v>
      </c>
      <c r="M840">
        <v>0.90141830000000001</v>
      </c>
      <c r="N840">
        <v>0</v>
      </c>
      <c r="O840">
        <v>-0.43261430000000001</v>
      </c>
      <c r="P840">
        <v>0.94030709999999995</v>
      </c>
      <c r="Q840">
        <v>0.1151182</v>
      </c>
      <c r="R840">
        <v>-0.3202663</v>
      </c>
      <c r="S840">
        <v>3.0904850000000001</v>
      </c>
      <c r="T840">
        <v>-0.17208609999999999</v>
      </c>
      <c r="U840">
        <v>-0.40603640000000002</v>
      </c>
      <c r="V840">
        <v>-0.12363349999999999</v>
      </c>
      <c r="W840">
        <v>0.1267395</v>
      </c>
      <c r="X840">
        <v>0.98420110000000005</v>
      </c>
      <c r="Y840">
        <v>-0.31046970000000002</v>
      </c>
      <c r="Z840">
        <v>3.178396E-2</v>
      </c>
      <c r="AA840">
        <v>0.95005170000000005</v>
      </c>
      <c r="AB840">
        <v>32</v>
      </c>
      <c r="AC840">
        <v>18.3935999999999</v>
      </c>
      <c r="AD840">
        <v>-1.04217158</v>
      </c>
      <c r="AE840">
        <v>-2.3166999999999902</v>
      </c>
      <c r="AF840">
        <v>-5.8513782486018799</v>
      </c>
      <c r="AG840">
        <v>-1.04217158</v>
      </c>
      <c r="AH840">
        <v>17.529717709818101</v>
      </c>
      <c r="AI840">
        <v>93.227661046067894</v>
      </c>
      <c r="AJ840">
        <v>108.45888756878701</v>
      </c>
      <c r="AK840">
        <v>18.509882549499899</v>
      </c>
      <c r="AL840">
        <v>82.718778986931099</v>
      </c>
      <c r="AM840">
        <v>97.159884967911395</v>
      </c>
      <c r="AN840">
        <v>0.99999997421185405</v>
      </c>
    </row>
    <row r="841" spans="1:40" x14ac:dyDescent="0.3">
      <c r="A841" t="str">
        <f>"20200111150306469"</f>
        <v>20200111150306469</v>
      </c>
      <c r="B841" t="str">
        <f>"1578726186457855"</f>
        <v>1578726186457855</v>
      </c>
      <c r="C841" t="s">
        <v>40</v>
      </c>
      <c r="D841">
        <v>5.0473600000000003</v>
      </c>
      <c r="E841">
        <v>0.41641309999999898</v>
      </c>
      <c r="F841" t="s">
        <v>56</v>
      </c>
      <c r="G841">
        <v>-462.42110000000002</v>
      </c>
      <c r="H841">
        <v>8.0000459999999995E-2</v>
      </c>
      <c r="I841">
        <v>220.7073</v>
      </c>
      <c r="J841">
        <v>-480.32619999999997</v>
      </c>
      <c r="K841">
        <v>1.124163</v>
      </c>
      <c r="L841">
        <v>222.51009999999999</v>
      </c>
      <c r="M841">
        <v>0.91069270000000002</v>
      </c>
      <c r="N841">
        <v>0</v>
      </c>
      <c r="O841">
        <v>-0.4127615</v>
      </c>
      <c r="P841">
        <v>0.94674190000000003</v>
      </c>
      <c r="Q841">
        <v>0.1153747</v>
      </c>
      <c r="R841">
        <v>-0.30061369999999998</v>
      </c>
      <c r="S841">
        <v>3.1004939999999999</v>
      </c>
      <c r="T841">
        <v>-0.17775729999999901</v>
      </c>
      <c r="U841">
        <v>-0.32789610000000002</v>
      </c>
      <c r="V841">
        <v>-0.12294769999999999</v>
      </c>
      <c r="W841">
        <v>0.12594810000000001</v>
      </c>
      <c r="X841">
        <v>0.98438859999999995</v>
      </c>
      <c r="Y841">
        <v>-0.31360149999999998</v>
      </c>
      <c r="Z841">
        <v>3.1862670000000003E-2</v>
      </c>
      <c r="AA841">
        <v>0.94901999999999997</v>
      </c>
      <c r="AB841">
        <v>32</v>
      </c>
      <c r="AC841">
        <v>17.905099999999901</v>
      </c>
      <c r="AD841">
        <v>-1.0441625400000001</v>
      </c>
      <c r="AE841">
        <v>-1.80279999999999</v>
      </c>
      <c r="AF841">
        <v>-5.7302142166221</v>
      </c>
      <c r="AG841">
        <v>-1.0441625400000001</v>
      </c>
      <c r="AH841">
        <v>16.995227290919701</v>
      </c>
      <c r="AI841">
        <v>93.331911210729601</v>
      </c>
      <c r="AJ841">
        <v>108.63236139656399</v>
      </c>
      <c r="AK841">
        <v>17.965616634236099</v>
      </c>
      <c r="AL841">
        <v>82.764489269792506</v>
      </c>
      <c r="AM841">
        <v>97.119235232713095</v>
      </c>
      <c r="AN841">
        <v>0.99999998831942905</v>
      </c>
    </row>
    <row r="842" spans="1:40" x14ac:dyDescent="0.3">
      <c r="A842" t="str">
        <f>"20200111150306492"</f>
        <v>20200111150306492</v>
      </c>
      <c r="B842" t="str">
        <f>"1578726186488111"</f>
        <v>1578726186488111</v>
      </c>
      <c r="C842" t="s">
        <v>40</v>
      </c>
      <c r="D842">
        <v>5.1518430000000004</v>
      </c>
      <c r="E842">
        <v>0.41935879999999998</v>
      </c>
      <c r="F842" t="s">
        <v>56</v>
      </c>
      <c r="G842">
        <v>-462.90690000000001</v>
      </c>
      <c r="H842">
        <v>8.0000600000000005E-2</v>
      </c>
      <c r="I842">
        <v>220.97229999999999</v>
      </c>
      <c r="J842">
        <v>-480.03089999999997</v>
      </c>
      <c r="K842">
        <v>1.12676</v>
      </c>
      <c r="L842">
        <v>222.38849999999999</v>
      </c>
      <c r="M842">
        <v>0.91981760000000001</v>
      </c>
      <c r="N842">
        <v>0</v>
      </c>
      <c r="O842">
        <v>-0.39206079999999999</v>
      </c>
      <c r="P842">
        <v>0.95213680000000001</v>
      </c>
      <c r="Q842">
        <v>0.1167338</v>
      </c>
      <c r="R842">
        <v>-0.28250419999999998</v>
      </c>
      <c r="S842">
        <v>3.1044010000000002</v>
      </c>
      <c r="T842">
        <v>-0.1860869</v>
      </c>
      <c r="U842">
        <v>-0.2740631</v>
      </c>
      <c r="V842">
        <v>-0.11992170000000001</v>
      </c>
      <c r="W842">
        <v>0.12561839999999999</v>
      </c>
      <c r="X842">
        <v>0.98480389999999995</v>
      </c>
      <c r="Y842">
        <v>-0.30847960000000002</v>
      </c>
      <c r="Z842">
        <v>3.2067560000000002E-2</v>
      </c>
      <c r="AA842">
        <v>0.95069029999999999</v>
      </c>
      <c r="AB842">
        <v>32</v>
      </c>
      <c r="AC842">
        <v>17.123999999999899</v>
      </c>
      <c r="AD842">
        <v>-1.0467594</v>
      </c>
      <c r="AE842">
        <v>-1.4161999999999999</v>
      </c>
      <c r="AF842">
        <v>-5.3915996489137497</v>
      </c>
      <c r="AG842">
        <v>-1.0467594</v>
      </c>
      <c r="AH842">
        <v>16.247719239328799</v>
      </c>
      <c r="AI842">
        <v>93.499069197826699</v>
      </c>
      <c r="AJ842">
        <v>108.35777063496199</v>
      </c>
      <c r="AK842">
        <v>17.1509017983227</v>
      </c>
      <c r="AL842">
        <v>82.783530709536507</v>
      </c>
      <c r="AM842">
        <v>96.942848348777105</v>
      </c>
      <c r="AN842">
        <v>0.99999995900232896</v>
      </c>
    </row>
    <row r="843" spans="1:40" x14ac:dyDescent="0.3">
      <c r="A843" t="str">
        <f>"20200111150306513"</f>
        <v>20200111150306513</v>
      </c>
      <c r="B843" t="str">
        <f>"1578726186507632"</f>
        <v>1578726186507632</v>
      </c>
      <c r="C843" t="s">
        <v>40</v>
      </c>
      <c r="D843">
        <v>5.2014319999999996</v>
      </c>
      <c r="E843">
        <v>0.42116310000000001</v>
      </c>
      <c r="F843" t="s">
        <v>56</v>
      </c>
      <c r="G843">
        <v>-462.87259999999998</v>
      </c>
      <c r="H843">
        <v>8.0000580000000002E-2</v>
      </c>
      <c r="I843">
        <v>221.08320000000001</v>
      </c>
      <c r="J843">
        <v>-479.75510000000003</v>
      </c>
      <c r="K843">
        <v>1.1290739999999999</v>
      </c>
      <c r="L843">
        <v>222.2816</v>
      </c>
      <c r="M843">
        <v>0.92727969999999904</v>
      </c>
      <c r="N843">
        <v>0</v>
      </c>
      <c r="O843">
        <v>-0.3741236</v>
      </c>
      <c r="P843">
        <v>0.95554499999999998</v>
      </c>
      <c r="Q843">
        <v>0.119575</v>
      </c>
      <c r="R843">
        <v>-0.26951069999999999</v>
      </c>
      <c r="S843">
        <v>3.1039729999999999</v>
      </c>
      <c r="T843">
        <v>-0.18936149999999999</v>
      </c>
      <c r="U843">
        <v>-0.2361298</v>
      </c>
      <c r="V843">
        <v>-0.11456570000000001</v>
      </c>
      <c r="W843">
        <v>0.12699340000000001</v>
      </c>
      <c r="X843">
        <v>0.9852651</v>
      </c>
      <c r="Y843">
        <v>-0.30152129999999999</v>
      </c>
      <c r="Z843">
        <v>3.1437899999999998E-2</v>
      </c>
      <c r="AA843">
        <v>0.95294100000000004</v>
      </c>
      <c r="AB843">
        <v>32</v>
      </c>
      <c r="AC843">
        <v>16.8825</v>
      </c>
      <c r="AD843">
        <v>-1.04907341999999</v>
      </c>
      <c r="AE843">
        <v>-1.1983999999999899</v>
      </c>
      <c r="AF843">
        <v>-5.1854459202038097</v>
      </c>
      <c r="AG843">
        <v>-1.04907341999999</v>
      </c>
      <c r="AH843">
        <v>16.042993162377599</v>
      </c>
      <c r="AI843">
        <v>93.560460426467003</v>
      </c>
      <c r="AJ843">
        <v>107.911966046606</v>
      </c>
      <c r="AK843">
        <v>16.892810128572599</v>
      </c>
      <c r="AL843">
        <v>82.704113055849504</v>
      </c>
      <c r="AM843">
        <v>96.632514081400103</v>
      </c>
      <c r="AN843">
        <v>0.99999997026902898</v>
      </c>
    </row>
    <row r="844" spans="1:40" x14ac:dyDescent="0.3">
      <c r="A844" t="str">
        <f>"20200111150306538"</f>
        <v>20200111150306538</v>
      </c>
      <c r="B844" t="str">
        <f>"1578726186528129"</f>
        <v>1578726186528129</v>
      </c>
      <c r="C844" t="s">
        <v>40</v>
      </c>
      <c r="D844">
        <v>5.1487550000000004</v>
      </c>
      <c r="E844">
        <v>0.42196860000000003</v>
      </c>
      <c r="F844" t="s">
        <v>56</v>
      </c>
      <c r="G844">
        <v>-461.83350000000002</v>
      </c>
      <c r="H844">
        <v>8.0000269999999998E-2</v>
      </c>
      <c r="I844">
        <v>221.08920000000001</v>
      </c>
      <c r="J844">
        <v>-479.42520000000002</v>
      </c>
      <c r="K844">
        <v>1.1311850000000001</v>
      </c>
      <c r="L844">
        <v>222.16200000000001</v>
      </c>
      <c r="M844">
        <v>0.93422550000000004</v>
      </c>
      <c r="N844">
        <v>0</v>
      </c>
      <c r="O844">
        <v>-0.35647190000000001</v>
      </c>
      <c r="P844">
        <v>0.95900739999999995</v>
      </c>
      <c r="Q844">
        <v>0.1210326</v>
      </c>
      <c r="R844">
        <v>-0.25623479999999998</v>
      </c>
      <c r="S844">
        <v>3.1040649999999999</v>
      </c>
      <c r="T844">
        <v>-0.18170259999999999</v>
      </c>
      <c r="U844">
        <v>-0.20652770000000001</v>
      </c>
      <c r="V844">
        <v>-0.1096622</v>
      </c>
      <c r="W844">
        <v>0.12729660000000001</v>
      </c>
      <c r="X844">
        <v>0.98578379999999999</v>
      </c>
      <c r="Y844">
        <v>-0.29260740000000002</v>
      </c>
      <c r="Z844">
        <v>2.8959780000000001E-2</v>
      </c>
      <c r="AA844">
        <v>0.95579400000000003</v>
      </c>
      <c r="AB844">
        <v>32</v>
      </c>
      <c r="AC844">
        <v>17.591699999999999</v>
      </c>
      <c r="AD844">
        <v>-1.0511847299999999</v>
      </c>
      <c r="AE844">
        <v>-1.0728</v>
      </c>
      <c r="AF844">
        <v>-5.2504283489296002</v>
      </c>
      <c r="AG844">
        <v>-1.0511847299999999</v>
      </c>
      <c r="AH844">
        <v>16.758686378290601</v>
      </c>
      <c r="AI844">
        <v>93.425406832570303</v>
      </c>
      <c r="AJ844">
        <v>107.395561758287</v>
      </c>
      <c r="AK844">
        <v>17.593338407185001</v>
      </c>
      <c r="AL844">
        <v>82.686598766798298</v>
      </c>
      <c r="AM844">
        <v>96.347693634560301</v>
      </c>
      <c r="AN844">
        <v>0.999999961411419</v>
      </c>
    </row>
    <row r="845" spans="1:40" x14ac:dyDescent="0.3">
      <c r="A845" t="str">
        <f>"20200111150306559"</f>
        <v>20200111150306559</v>
      </c>
      <c r="B845" t="str">
        <f>"1578726186547647"</f>
        <v>1578726186547647</v>
      </c>
      <c r="C845" t="s">
        <v>40</v>
      </c>
      <c r="D845">
        <v>5.1861800000000002</v>
      </c>
      <c r="E845">
        <v>0.43676189999999998</v>
      </c>
      <c r="F845" t="s">
        <v>56</v>
      </c>
      <c r="G845">
        <v>-461.375</v>
      </c>
      <c r="H845">
        <v>8.0000130000000003E-2</v>
      </c>
      <c r="I845">
        <v>221.18119999999999</v>
      </c>
      <c r="J845">
        <v>-479.14839999999998</v>
      </c>
      <c r="K845">
        <v>1.132612</v>
      </c>
      <c r="L845">
        <v>222.06819999999999</v>
      </c>
      <c r="M845">
        <v>0.93913780000000002</v>
      </c>
      <c r="N845">
        <v>0</v>
      </c>
      <c r="O845">
        <v>-0.34336420000000001</v>
      </c>
      <c r="P845">
        <v>0.96213669999999996</v>
      </c>
      <c r="Q845">
        <v>0.11944929999999999</v>
      </c>
      <c r="R845">
        <v>-0.245</v>
      </c>
      <c r="S845">
        <v>3.1060180000000002</v>
      </c>
      <c r="T845">
        <v>-0.18088509999999999</v>
      </c>
      <c r="U845">
        <v>-0.1687622</v>
      </c>
      <c r="V845">
        <v>-0.1072471</v>
      </c>
      <c r="W845">
        <v>0.1246656</v>
      </c>
      <c r="X845">
        <v>0.98638559999999997</v>
      </c>
      <c r="Y845">
        <v>-0.29087600000000002</v>
      </c>
      <c r="Z845">
        <v>2.8063069999999999E-2</v>
      </c>
      <c r="AA845">
        <v>0.95634909999999995</v>
      </c>
      <c r="AB845">
        <v>32</v>
      </c>
      <c r="AC845">
        <v>17.773399999999899</v>
      </c>
      <c r="AD845">
        <v>-1.05261187</v>
      </c>
      <c r="AE845">
        <v>-0.88700000000000001</v>
      </c>
      <c r="AF845">
        <v>-5.2516790599035303</v>
      </c>
      <c r="AG845">
        <v>-1.05261187</v>
      </c>
      <c r="AH845">
        <v>16.938003894087299</v>
      </c>
      <c r="AI845">
        <v>93.396939366113003</v>
      </c>
      <c r="AJ845">
        <v>107.226207014398</v>
      </c>
      <c r="AK845">
        <v>17.764686898822902</v>
      </c>
      <c r="AL845">
        <v>82.838554995095294</v>
      </c>
      <c r="AM845">
        <v>96.205243278661399</v>
      </c>
      <c r="AN845">
        <v>1.0000000020845601</v>
      </c>
    </row>
    <row r="846" spans="1:40" x14ac:dyDescent="0.3">
      <c r="A846" t="str">
        <f>"20200111150306581"</f>
        <v>20200111150306581</v>
      </c>
      <c r="B846" t="str">
        <f>"1578726186577903"</f>
        <v>1578726186577903</v>
      </c>
      <c r="C846" t="s">
        <v>40</v>
      </c>
      <c r="D846">
        <v>5.2029370000000004</v>
      </c>
      <c r="E846">
        <v>0.44029279999999998</v>
      </c>
      <c r="F846" t="s">
        <v>56</v>
      </c>
      <c r="G846">
        <v>-465.35050000000001</v>
      </c>
      <c r="H846">
        <v>7.9999840000000003E-2</v>
      </c>
      <c r="I846">
        <v>220.9693</v>
      </c>
      <c r="J846">
        <v>-478.85860000000002</v>
      </c>
      <c r="K846">
        <v>1.133785</v>
      </c>
      <c r="L846">
        <v>221.9769</v>
      </c>
      <c r="M846">
        <v>0.94410899999999998</v>
      </c>
      <c r="N846">
        <v>0</v>
      </c>
      <c r="O846">
        <v>-0.32950679999999999</v>
      </c>
      <c r="P846">
        <v>0.96569539999999998</v>
      </c>
      <c r="Q846">
        <v>0.1184471</v>
      </c>
      <c r="R846">
        <v>-0.23108960000000001</v>
      </c>
      <c r="S846">
        <v>3.0847169999999999</v>
      </c>
      <c r="T846">
        <v>-0.23532529999999999</v>
      </c>
      <c r="U846">
        <v>-0.24566650000000001</v>
      </c>
      <c r="V846">
        <v>-0.1066313</v>
      </c>
      <c r="W846">
        <v>0.1219958</v>
      </c>
      <c r="X846">
        <v>0.9867861</v>
      </c>
      <c r="Y846">
        <v>-0.25188549999999998</v>
      </c>
      <c r="Z846">
        <v>3.4199309999999997E-2</v>
      </c>
      <c r="AA846">
        <v>0.96715260000000003</v>
      </c>
      <c r="AB846">
        <v>32</v>
      </c>
      <c r="AC846">
        <v>13.508100000000001</v>
      </c>
      <c r="AD846">
        <v>-1.0537851600000001</v>
      </c>
      <c r="AE846">
        <v>-1.0075999999999901</v>
      </c>
      <c r="AF846">
        <v>-3.4788184899308501</v>
      </c>
      <c r="AG846">
        <v>-1.0537851600000001</v>
      </c>
      <c r="AH846">
        <v>13.0069565762665</v>
      </c>
      <c r="AI846">
        <v>94.475191575234703</v>
      </c>
      <c r="AJ846">
        <v>104.97375478852901</v>
      </c>
      <c r="AK846">
        <v>13.5053160135631</v>
      </c>
      <c r="AL846">
        <v>82.992700159933904</v>
      </c>
      <c r="AM846">
        <v>96.167404275575606</v>
      </c>
      <c r="AN846">
        <v>1.00000000825527</v>
      </c>
    </row>
    <row r="847" spans="1:40" x14ac:dyDescent="0.3">
      <c r="A847" t="str">
        <f>"20200111150306603"</f>
        <v>20200111150306603</v>
      </c>
      <c r="B847" t="str">
        <f>"1578726186597423"</f>
        <v>1578726186597423</v>
      </c>
      <c r="C847" t="s">
        <v>40</v>
      </c>
      <c r="D847">
        <v>5.2498719999999999</v>
      </c>
      <c r="E847">
        <v>0.4423705</v>
      </c>
      <c r="F847" t="s">
        <v>56</v>
      </c>
      <c r="G847">
        <v>-465.57119999999998</v>
      </c>
      <c r="H847">
        <v>7.9999909999999994E-2</v>
      </c>
      <c r="I847">
        <v>220.99590000000001</v>
      </c>
      <c r="J847">
        <v>-478.56819999999999</v>
      </c>
      <c r="K847">
        <v>1.1346229999999999</v>
      </c>
      <c r="L847">
        <v>221.89160000000001</v>
      </c>
      <c r="M847">
        <v>0.94932899999999998</v>
      </c>
      <c r="N847">
        <v>0</v>
      </c>
      <c r="O847">
        <v>-0.31421159999999998</v>
      </c>
      <c r="P847">
        <v>0.96906139999999996</v>
      </c>
      <c r="Q847">
        <v>0.1206593</v>
      </c>
      <c r="R847">
        <v>-0.2153178</v>
      </c>
      <c r="S847">
        <v>3.0820620000000001</v>
      </c>
      <c r="T847">
        <v>-0.24442900000000001</v>
      </c>
      <c r="U847">
        <v>-0.22753909999999999</v>
      </c>
      <c r="V847">
        <v>-0.10631160000000001</v>
      </c>
      <c r="W847">
        <v>0.1221894</v>
      </c>
      <c r="X847">
        <v>0.98679660000000002</v>
      </c>
      <c r="Y847">
        <v>-0.2417678</v>
      </c>
      <c r="Z847">
        <v>3.4011350000000003E-2</v>
      </c>
      <c r="AA847">
        <v>0.96973790000000004</v>
      </c>
      <c r="AB847">
        <v>32</v>
      </c>
      <c r="AC847">
        <v>12.997</v>
      </c>
      <c r="AD847">
        <v>-1.05462309</v>
      </c>
      <c r="AE847">
        <v>-0.89570000000000505</v>
      </c>
      <c r="AF847">
        <v>-3.2125156583341998</v>
      </c>
      <c r="AG847">
        <v>-1.05462309</v>
      </c>
      <c r="AH847">
        <v>12.537992154246799</v>
      </c>
      <c r="AI847">
        <v>94.658286969071298</v>
      </c>
      <c r="AJ847">
        <v>104.371299971998</v>
      </c>
      <c r="AK847">
        <v>12.9859052043729</v>
      </c>
      <c r="AL847">
        <v>82.981523800103403</v>
      </c>
      <c r="AM847">
        <v>96.148990217985897</v>
      </c>
      <c r="AN847">
        <v>0.99999996776923905</v>
      </c>
    </row>
    <row r="848" spans="1:40" x14ac:dyDescent="0.3">
      <c r="A848" t="str">
        <f>"20200111150306626"</f>
        <v>20200111150306626</v>
      </c>
      <c r="B848" t="str">
        <f>"1578726186617923"</f>
        <v>1578726186617923</v>
      </c>
      <c r="C848" t="s">
        <v>40</v>
      </c>
      <c r="D848">
        <v>5.233168</v>
      </c>
      <c r="E848">
        <v>0.443469</v>
      </c>
      <c r="F848" t="s">
        <v>56</v>
      </c>
      <c r="G848">
        <v>-465.21179999999998</v>
      </c>
      <c r="H848">
        <v>7.9999799999999996E-2</v>
      </c>
      <c r="I848">
        <v>221.04050000000001</v>
      </c>
      <c r="J848">
        <v>-478.26369999999997</v>
      </c>
      <c r="K848">
        <v>1.135915</v>
      </c>
      <c r="L848">
        <v>221.8074</v>
      </c>
      <c r="M848">
        <v>0.95502200000000004</v>
      </c>
      <c r="N848">
        <v>0</v>
      </c>
      <c r="O848">
        <v>-0.29649959999999997</v>
      </c>
      <c r="P848">
        <v>0.97222310000000001</v>
      </c>
      <c r="Q848">
        <v>0.124074</v>
      </c>
      <c r="R848">
        <v>-0.1984649</v>
      </c>
      <c r="S848">
        <v>3.0824579999999999</v>
      </c>
      <c r="T848">
        <v>-0.24339069999999999</v>
      </c>
      <c r="U848">
        <v>-0.19641110000000001</v>
      </c>
      <c r="V848">
        <v>-0.1045818</v>
      </c>
      <c r="W848">
        <v>0.12388159999999999</v>
      </c>
      <c r="X848">
        <v>0.98677049999999999</v>
      </c>
      <c r="Y848">
        <v>-0.23355780000000001</v>
      </c>
      <c r="Z848">
        <v>3.2225450000000003E-2</v>
      </c>
      <c r="AA848">
        <v>0.97180880000000003</v>
      </c>
      <c r="AB848">
        <v>32</v>
      </c>
      <c r="AC848">
        <v>13.0518999999999</v>
      </c>
      <c r="AD848">
        <v>-1.0559152000000001</v>
      </c>
      <c r="AE848">
        <v>-0.76689999999999203</v>
      </c>
      <c r="AF848">
        <v>-3.11717787000407</v>
      </c>
      <c r="AG848">
        <v>-1.0559152000000001</v>
      </c>
      <c r="AH848">
        <v>12.610120785828901</v>
      </c>
      <c r="AI848">
        <v>94.6472834420466</v>
      </c>
      <c r="AJ848">
        <v>103.884964688639</v>
      </c>
      <c r="AK848">
        <v>13.0325324099359</v>
      </c>
      <c r="AL848">
        <v>82.883825896043902</v>
      </c>
      <c r="AM848">
        <v>96.049846617802203</v>
      </c>
      <c r="AN848">
        <v>1.0000000116900201</v>
      </c>
    </row>
    <row r="849" spans="1:40" x14ac:dyDescent="0.3">
      <c r="A849" t="str">
        <f>"20200111150306648"</f>
        <v>20200111150306648</v>
      </c>
      <c r="B849" t="str">
        <f>"1578726186637440"</f>
        <v>1578726186637440</v>
      </c>
      <c r="C849" t="s">
        <v>40</v>
      </c>
      <c r="D849">
        <v>5.2435070000000001</v>
      </c>
      <c r="E849">
        <v>0.46105859999999899</v>
      </c>
      <c r="F849" t="s">
        <v>56</v>
      </c>
      <c r="G849">
        <v>-464.3605</v>
      </c>
      <c r="H849">
        <v>8.0001009999999997E-2</v>
      </c>
      <c r="I849">
        <v>221.10550000000001</v>
      </c>
      <c r="J849">
        <v>-477.9753</v>
      </c>
      <c r="K849">
        <v>1.1382399999999999</v>
      </c>
      <c r="L849">
        <v>221.73169999999999</v>
      </c>
      <c r="M849">
        <v>0.96037640000000002</v>
      </c>
      <c r="N849">
        <v>0</v>
      </c>
      <c r="O849">
        <v>-0.27868890000000002</v>
      </c>
      <c r="P849">
        <v>0.97488649999999999</v>
      </c>
      <c r="Q849">
        <v>0.12536130000000001</v>
      </c>
      <c r="R849">
        <v>-0.18406919999999999</v>
      </c>
      <c r="S849">
        <v>3.0838009999999998</v>
      </c>
      <c r="T849">
        <v>-0.2342072</v>
      </c>
      <c r="U849">
        <v>-0.1556854</v>
      </c>
      <c r="V849">
        <v>-0.1004949</v>
      </c>
      <c r="W849">
        <v>0.1241357</v>
      </c>
      <c r="X849">
        <v>0.98716320000000002</v>
      </c>
      <c r="Y849">
        <v>-0.22847709999999999</v>
      </c>
      <c r="Z849">
        <v>2.9529529999999998E-2</v>
      </c>
      <c r="AA849">
        <v>0.97310129999999995</v>
      </c>
      <c r="AB849">
        <v>32</v>
      </c>
      <c r="AC849">
        <v>13.614800000000001</v>
      </c>
      <c r="AD849">
        <v>-1.05823899</v>
      </c>
      <c r="AE849">
        <v>-0.62619999999998299</v>
      </c>
      <c r="AF849">
        <v>-3.1737873989842602</v>
      </c>
      <c r="AG849">
        <v>-1.05823899</v>
      </c>
      <c r="AH849">
        <v>13.1705099429019</v>
      </c>
      <c r="AI849">
        <v>94.466482720204297</v>
      </c>
      <c r="AJ849">
        <v>103.548640195709</v>
      </c>
      <c r="AK849">
        <v>13.588786861599701</v>
      </c>
      <c r="AL849">
        <v>82.869153990863097</v>
      </c>
      <c r="AM849">
        <v>95.812782991773602</v>
      </c>
      <c r="AN849">
        <v>1.0000000401873601</v>
      </c>
    </row>
    <row r="850" spans="1:40" x14ac:dyDescent="0.3">
      <c r="A850" t="str">
        <f>"20200111150306682"</f>
        <v>20200111150306682</v>
      </c>
      <c r="B850" t="str">
        <f>"1578726186677456"</f>
        <v>1578726186677456</v>
      </c>
      <c r="C850" t="s">
        <v>40</v>
      </c>
      <c r="D850">
        <v>5.1762489999999897</v>
      </c>
      <c r="E850">
        <v>0.46646510000000002</v>
      </c>
      <c r="F850" t="s">
        <v>56</v>
      </c>
      <c r="G850">
        <v>-462.21280000000002</v>
      </c>
      <c r="H850">
        <v>8.0000420000000003E-2</v>
      </c>
      <c r="I850">
        <v>220.44489999999999</v>
      </c>
      <c r="J850">
        <v>-477.52910000000003</v>
      </c>
      <c r="K850">
        <v>1.143508</v>
      </c>
      <c r="L850">
        <v>221.62200000000001</v>
      </c>
      <c r="M850">
        <v>0.96730039999999995</v>
      </c>
      <c r="N850">
        <v>0</v>
      </c>
      <c r="O850">
        <v>-0.25362839999999998</v>
      </c>
      <c r="P850">
        <v>0.97877619999999999</v>
      </c>
      <c r="Q850">
        <v>0.1251313</v>
      </c>
      <c r="R850">
        <v>-0.16229399999999999</v>
      </c>
      <c r="S850">
        <v>3.056549</v>
      </c>
      <c r="T850">
        <v>-0.20520559999999999</v>
      </c>
      <c r="U850">
        <v>-0.249527</v>
      </c>
      <c r="V850">
        <v>-9.6699220000000002E-2</v>
      </c>
      <c r="W850">
        <v>0.1226588</v>
      </c>
      <c r="X850">
        <v>0.98772669999999996</v>
      </c>
      <c r="Y850">
        <v>-0.1731422</v>
      </c>
      <c r="Z850">
        <v>2.2591489999999999E-2</v>
      </c>
      <c r="AA850">
        <v>0.98463769999999995</v>
      </c>
      <c r="AB850">
        <v>32</v>
      </c>
      <c r="AC850">
        <v>15.3163</v>
      </c>
      <c r="AD850">
        <v>-1.06350758</v>
      </c>
      <c r="AE850">
        <v>-1.17710000000002</v>
      </c>
      <c r="AF850">
        <v>-2.73294363752811</v>
      </c>
      <c r="AG850">
        <v>-1.06350758</v>
      </c>
      <c r="AH850">
        <v>15.041931151684199</v>
      </c>
      <c r="AI850">
        <v>93.979313456212395</v>
      </c>
      <c r="AJ850">
        <v>100.29764547862899</v>
      </c>
      <c r="AK850">
        <v>15.3251336721945</v>
      </c>
      <c r="AL850">
        <v>82.954425388301601</v>
      </c>
      <c r="AM850">
        <v>95.591483286640397</v>
      </c>
      <c r="AN850">
        <v>0.99999997712946898</v>
      </c>
    </row>
    <row r="851" spans="1:40" x14ac:dyDescent="0.3">
      <c r="A851" t="str">
        <f>"20200111150306702"</f>
        <v>20200111150306702</v>
      </c>
      <c r="B851" t="str">
        <f>"1578726186697951"</f>
        <v>1578726186697951</v>
      </c>
      <c r="C851" t="s">
        <v>40</v>
      </c>
      <c r="D851">
        <v>5.2253299999999996</v>
      </c>
      <c r="E851">
        <v>0.47750100000000001</v>
      </c>
      <c r="F851" t="s">
        <v>56</v>
      </c>
      <c r="G851">
        <v>-462.35840000000002</v>
      </c>
      <c r="H851">
        <v>8.0000450000000001E-2</v>
      </c>
      <c r="I851">
        <v>220.51679999999999</v>
      </c>
      <c r="J851">
        <v>-477.23469999999998</v>
      </c>
      <c r="K851">
        <v>1.1472309999999999</v>
      </c>
      <c r="L851">
        <v>221.55410000000001</v>
      </c>
      <c r="M851">
        <v>0.97082500000000005</v>
      </c>
      <c r="N851">
        <v>0</v>
      </c>
      <c r="O851">
        <v>-0.2397861</v>
      </c>
      <c r="P851">
        <v>0.98080449999999997</v>
      </c>
      <c r="Q851">
        <v>0.126852399999999</v>
      </c>
      <c r="R851">
        <v>-0.1480919</v>
      </c>
      <c r="S851">
        <v>3.0554809999999999</v>
      </c>
      <c r="T851">
        <v>-0.21419759999999999</v>
      </c>
      <c r="U851">
        <v>-0.22259519999999999</v>
      </c>
      <c r="V851">
        <v>-9.6844669999999994E-2</v>
      </c>
      <c r="W851">
        <v>0.1241025</v>
      </c>
      <c r="X851">
        <v>0.98753210000000002</v>
      </c>
      <c r="Y851">
        <v>-0.167632</v>
      </c>
      <c r="Z851">
        <v>2.246714E-2</v>
      </c>
      <c r="AA851">
        <v>0.98559359999999996</v>
      </c>
      <c r="AB851">
        <v>32</v>
      </c>
      <c r="AC851">
        <v>14.876299999999899</v>
      </c>
      <c r="AD851">
        <v>-1.0672305500000001</v>
      </c>
      <c r="AE851">
        <v>-1.0373000000000101</v>
      </c>
      <c r="AF851">
        <v>-2.5470496311839201</v>
      </c>
      <c r="AG851">
        <v>-1.0672305500000001</v>
      </c>
      <c r="AH851">
        <v>14.616164035463299</v>
      </c>
      <c r="AI851">
        <v>94.114376393486793</v>
      </c>
      <c r="AJ851">
        <v>99.885241682841894</v>
      </c>
      <c r="AK851">
        <v>14.8747670227852</v>
      </c>
      <c r="AL851">
        <v>82.871070635999999</v>
      </c>
      <c r="AM851">
        <v>95.600936762809297</v>
      </c>
      <c r="AN851">
        <v>0.99999998457203398</v>
      </c>
    </row>
    <row r="852" spans="1:40" x14ac:dyDescent="0.3">
      <c r="A852" t="str">
        <f>"20200111150306726"</f>
        <v>20200111150306726</v>
      </c>
      <c r="B852" t="str">
        <f>"1578726186717472"</f>
        <v>1578726186717472</v>
      </c>
      <c r="C852" t="s">
        <v>40</v>
      </c>
      <c r="D852">
        <v>5.2705970000000004</v>
      </c>
      <c r="E852">
        <v>0.4775877</v>
      </c>
      <c r="F852" t="s">
        <v>56</v>
      </c>
      <c r="G852">
        <v>-457.15469999999999</v>
      </c>
      <c r="H852">
        <v>8.0000420000000003E-2</v>
      </c>
      <c r="I852">
        <v>219.79060000000001</v>
      </c>
      <c r="J852">
        <v>-476.92290000000003</v>
      </c>
      <c r="K852">
        <v>1.151168</v>
      </c>
      <c r="L852">
        <v>221.48689999999999</v>
      </c>
      <c r="M852">
        <v>0.97379570000000004</v>
      </c>
      <c r="N852">
        <v>0</v>
      </c>
      <c r="O852">
        <v>-0.22741929999999999</v>
      </c>
      <c r="P852">
        <v>0.98283180000000003</v>
      </c>
      <c r="Q852">
        <v>0.12655250000000001</v>
      </c>
      <c r="R852">
        <v>-0.13426189999999999</v>
      </c>
      <c r="S852">
        <v>3.0392760000000001</v>
      </c>
      <c r="T852">
        <v>-0.16153429999999999</v>
      </c>
      <c r="U852">
        <v>-0.26692199999999999</v>
      </c>
      <c r="V852">
        <v>-9.8006289999999996E-2</v>
      </c>
      <c r="W852">
        <v>0.12410210000000001</v>
      </c>
      <c r="X852">
        <v>0.98741760000000001</v>
      </c>
      <c r="Y852">
        <v>-0.14084360000000001</v>
      </c>
      <c r="Z852">
        <v>1.567853E-2</v>
      </c>
      <c r="AA852">
        <v>0.98990769999999995</v>
      </c>
      <c r="AB852">
        <v>32</v>
      </c>
      <c r="AC852">
        <v>19.7682</v>
      </c>
      <c r="AD852">
        <v>-1.07116758</v>
      </c>
      <c r="AE852">
        <v>-1.6962999999999699</v>
      </c>
      <c r="AF852">
        <v>-2.8355591522716899</v>
      </c>
      <c r="AG852">
        <v>-1.07116758</v>
      </c>
      <c r="AH852">
        <v>19.578916297896502</v>
      </c>
      <c r="AI852">
        <v>93.099274163033698</v>
      </c>
      <c r="AJ852">
        <v>98.240688797128399</v>
      </c>
      <c r="AK852">
        <v>19.812161898452999</v>
      </c>
      <c r="AL852">
        <v>82.871094133258893</v>
      </c>
      <c r="AM852">
        <v>95.668336269250901</v>
      </c>
      <c r="AN852">
        <v>1.0000000404468601</v>
      </c>
    </row>
    <row r="853" spans="1:40" x14ac:dyDescent="0.3">
      <c r="A853" t="str">
        <f>"20200111150306749"</f>
        <v>20200111150306749</v>
      </c>
      <c r="B853" t="str">
        <f>"1578726186737968"</f>
        <v>1578726186737968</v>
      </c>
      <c r="C853" t="s">
        <v>40</v>
      </c>
      <c r="D853">
        <v>5.3034280000000003</v>
      </c>
      <c r="E853">
        <v>0.47895260000000001</v>
      </c>
      <c r="F853" t="s">
        <v>56</v>
      </c>
      <c r="G853">
        <v>-459.7534</v>
      </c>
      <c r="H853">
        <v>8.0001169999999996E-2</v>
      </c>
      <c r="I853">
        <v>220.2021</v>
      </c>
      <c r="J853">
        <v>-476.60750000000002</v>
      </c>
      <c r="K853">
        <v>1.1546590000000001</v>
      </c>
      <c r="L853">
        <v>221.42330000000001</v>
      </c>
      <c r="M853">
        <v>0.97641900000000004</v>
      </c>
      <c r="N853">
        <v>0</v>
      </c>
      <c r="O853">
        <v>-0.2158775</v>
      </c>
      <c r="P853">
        <v>0.98500200000000004</v>
      </c>
      <c r="Q853">
        <v>0.12191100000000001</v>
      </c>
      <c r="R853">
        <v>-0.1221023</v>
      </c>
      <c r="S853">
        <v>3.0457459999999998</v>
      </c>
      <c r="T853">
        <v>-0.19001670000000001</v>
      </c>
      <c r="U853">
        <v>-0.22790530000000001</v>
      </c>
      <c r="V853">
        <v>-9.8099430000000001E-2</v>
      </c>
      <c r="W853">
        <v>0.11996329999999999</v>
      </c>
      <c r="X853">
        <v>0.98791969999999996</v>
      </c>
      <c r="Y853">
        <v>-0.141733</v>
      </c>
      <c r="Z853">
        <v>1.7739850000000001E-2</v>
      </c>
      <c r="AA853">
        <v>0.98974600000000001</v>
      </c>
      <c r="AB853">
        <v>31</v>
      </c>
      <c r="AC853">
        <v>16.854099999999999</v>
      </c>
      <c r="AD853">
        <v>-1.07465783</v>
      </c>
      <c r="AE853">
        <v>-1.2212000000000101</v>
      </c>
      <c r="AF853">
        <v>-2.43616869982035</v>
      </c>
      <c r="AG853">
        <v>-1.07465783</v>
      </c>
      <c r="AH853">
        <v>16.652965404676301</v>
      </c>
      <c r="AI853">
        <v>93.653540729666702</v>
      </c>
      <c r="AJ853">
        <v>98.3227850233895</v>
      </c>
      <c r="AK853">
        <v>16.864491221347599</v>
      </c>
      <c r="AL853">
        <v>83.110015563464998</v>
      </c>
      <c r="AM853">
        <v>95.670823232846701</v>
      </c>
      <c r="AN853">
        <v>1.0000000125806501</v>
      </c>
    </row>
    <row r="854" spans="1:40" x14ac:dyDescent="0.3">
      <c r="A854" t="str">
        <f>"20200111150306772"</f>
        <v>20200111150306772</v>
      </c>
      <c r="B854" t="str">
        <f>"1578726186768223"</f>
        <v>1578726186768223</v>
      </c>
      <c r="C854" t="s">
        <v>40</v>
      </c>
      <c r="D854">
        <v>5.2905579999999999</v>
      </c>
      <c r="E854">
        <v>0.48152640000000002</v>
      </c>
      <c r="F854" t="s">
        <v>56</v>
      </c>
      <c r="G854">
        <v>-453.30829999999997</v>
      </c>
      <c r="H854">
        <v>8.0000760000000004E-2</v>
      </c>
      <c r="I854">
        <v>219.87710000000001</v>
      </c>
      <c r="J854">
        <v>-476.3014</v>
      </c>
      <c r="K854">
        <v>1.1575500000000001</v>
      </c>
      <c r="L854">
        <v>221.36519999999999</v>
      </c>
      <c r="M854">
        <v>0.97873010000000005</v>
      </c>
      <c r="N854">
        <v>0</v>
      </c>
      <c r="O854">
        <v>-0.20514260000000001</v>
      </c>
      <c r="P854">
        <v>0.98712569999999999</v>
      </c>
      <c r="Q854">
        <v>0.116019899999999</v>
      </c>
      <c r="R854">
        <v>-0.1101018</v>
      </c>
      <c r="S854">
        <v>3.0380250000000002</v>
      </c>
      <c r="T854">
        <v>-0.14012669999999999</v>
      </c>
      <c r="U854">
        <v>-0.2016144</v>
      </c>
      <c r="V854">
        <v>-9.8714949999999996E-2</v>
      </c>
      <c r="W854">
        <v>0.1147629</v>
      </c>
      <c r="X854">
        <v>0.98847600000000002</v>
      </c>
      <c r="Y854">
        <v>-0.1395219</v>
      </c>
      <c r="Z854">
        <v>1.2592320000000001E-2</v>
      </c>
      <c r="AA854">
        <v>0.99013890000000004</v>
      </c>
      <c r="AB854">
        <v>32</v>
      </c>
      <c r="AC854">
        <v>22.993099999999998</v>
      </c>
      <c r="AD854">
        <v>-1.07754924</v>
      </c>
      <c r="AE854">
        <v>-1.48809999999997</v>
      </c>
      <c r="AF854">
        <v>-3.2533071896827201</v>
      </c>
      <c r="AG854">
        <v>-1.07754924</v>
      </c>
      <c r="AH854">
        <v>22.7595793675669</v>
      </c>
      <c r="AI854">
        <v>92.683401679981699</v>
      </c>
      <c r="AJ854">
        <v>98.134885260025598</v>
      </c>
      <c r="AK854">
        <v>23.016158954605</v>
      </c>
      <c r="AL854">
        <v>83.410050213665897</v>
      </c>
      <c r="AM854">
        <v>95.702980272093797</v>
      </c>
      <c r="AN854">
        <v>0.99999998357295605</v>
      </c>
    </row>
    <row r="855" spans="1:40" x14ac:dyDescent="0.3">
      <c r="A855" t="str">
        <f>"20200111150306792"</f>
        <v>20200111150306792</v>
      </c>
      <c r="B855" t="str">
        <f>"1578726186787744"</f>
        <v>1578726186787744</v>
      </c>
      <c r="C855" t="s">
        <v>40</v>
      </c>
      <c r="D855">
        <v>5.802162</v>
      </c>
      <c r="E855">
        <v>0.48354819999999998</v>
      </c>
      <c r="F855" t="s">
        <v>56</v>
      </c>
      <c r="G855">
        <v>-450.32799999999997</v>
      </c>
      <c r="H855">
        <v>7.9999890000000004E-2</v>
      </c>
      <c r="I855">
        <v>219.7809</v>
      </c>
      <c r="J855">
        <v>-476.00510000000003</v>
      </c>
      <c r="K855">
        <v>1.1602669999999999</v>
      </c>
      <c r="L855">
        <v>221.3115</v>
      </c>
      <c r="M855">
        <v>0.98074839999999996</v>
      </c>
      <c r="N855">
        <v>0</v>
      </c>
      <c r="O855">
        <v>-0.19525899999999999</v>
      </c>
      <c r="P855">
        <v>0.98881819999999998</v>
      </c>
      <c r="Q855">
        <v>0.1136567</v>
      </c>
      <c r="R855">
        <v>-9.6545500000000006E-2</v>
      </c>
      <c r="S855">
        <v>3.033264</v>
      </c>
      <c r="T855">
        <v>-0.12584020000000001</v>
      </c>
      <c r="U855">
        <v>-0.1850281</v>
      </c>
      <c r="V855">
        <v>-0.101782</v>
      </c>
      <c r="W855">
        <v>0.1132739</v>
      </c>
      <c r="X855">
        <v>0.98833669999999996</v>
      </c>
      <c r="Y855">
        <v>-0.1349023</v>
      </c>
      <c r="Z855">
        <v>1.0832909999999999E-2</v>
      </c>
      <c r="AA855">
        <v>0.99079969999999995</v>
      </c>
      <c r="AB855">
        <v>32</v>
      </c>
      <c r="AC855">
        <v>25.677099999999999</v>
      </c>
      <c r="AD855">
        <v>-1.0802671100000001</v>
      </c>
      <c r="AE855">
        <v>-1.53059999999999</v>
      </c>
      <c r="AF855">
        <v>-3.5063785077287402</v>
      </c>
      <c r="AG855">
        <v>-1.0802671100000001</v>
      </c>
      <c r="AH855">
        <v>25.436857444468899</v>
      </c>
      <c r="AI855">
        <v>92.409055816098999</v>
      </c>
      <c r="AJ855">
        <v>97.848552994485502</v>
      </c>
      <c r="AK855">
        <v>25.7001047452855</v>
      </c>
      <c r="AL855">
        <v>83.495923707557793</v>
      </c>
      <c r="AM855">
        <v>95.879770757866893</v>
      </c>
      <c r="AN855">
        <v>0.99999999225604996</v>
      </c>
    </row>
    <row r="856" spans="1:40" x14ac:dyDescent="0.3">
      <c r="A856" t="str">
        <f>"20200111150306816"</f>
        <v>20200111150306816</v>
      </c>
      <c r="B856" t="str">
        <f>"1578726186808240"</f>
        <v>1578726186808240</v>
      </c>
      <c r="C856" t="s">
        <v>40</v>
      </c>
      <c r="D856">
        <v>5.1140210000000002</v>
      </c>
      <c r="E856">
        <v>0.485323</v>
      </c>
      <c r="F856" t="s">
        <v>56</v>
      </c>
      <c r="G856">
        <v>-451.6678</v>
      </c>
      <c r="H856">
        <v>8.0000269999999998E-2</v>
      </c>
      <c r="I856">
        <v>220.01840000000001</v>
      </c>
      <c r="J856">
        <v>-475.68709999999999</v>
      </c>
      <c r="K856">
        <v>1.1632309999999999</v>
      </c>
      <c r="L856">
        <v>221.2561</v>
      </c>
      <c r="M856">
        <v>0.98259560000000001</v>
      </c>
      <c r="N856">
        <v>0</v>
      </c>
      <c r="O856">
        <v>-0.185726</v>
      </c>
      <c r="P856">
        <v>0.98982360000000003</v>
      </c>
      <c r="Q856">
        <v>0.1145962</v>
      </c>
      <c r="R856">
        <v>-8.4363129999999995E-2</v>
      </c>
      <c r="S856">
        <v>3.0336609999999999</v>
      </c>
      <c r="T856">
        <v>-0.1346561</v>
      </c>
      <c r="U856">
        <v>-0.16117860000000001</v>
      </c>
      <c r="V856">
        <v>-0.1038488</v>
      </c>
      <c r="W856">
        <v>0.1154303</v>
      </c>
      <c r="X856">
        <v>0.98787210000000003</v>
      </c>
      <c r="Y856">
        <v>-0.1330228</v>
      </c>
      <c r="Z856">
        <v>1.113655E-2</v>
      </c>
      <c r="AA856">
        <v>0.9910504</v>
      </c>
      <c r="AB856">
        <v>32</v>
      </c>
      <c r="AC856">
        <v>24.019299999999902</v>
      </c>
      <c r="AD856">
        <v>-1.0832307299999999</v>
      </c>
      <c r="AE856">
        <v>-1.23769999999998</v>
      </c>
      <c r="AF856">
        <v>-3.2383001746261799</v>
      </c>
      <c r="AG856">
        <v>-1.0832307299999999</v>
      </c>
      <c r="AH856">
        <v>23.783028180514801</v>
      </c>
      <c r="AI856">
        <v>92.584002409230706</v>
      </c>
      <c r="AJ856">
        <v>97.753718431062495</v>
      </c>
      <c r="AK856">
        <v>24.026910044168499</v>
      </c>
      <c r="AL856">
        <v>83.371555336659895</v>
      </c>
      <c r="AM856">
        <v>96.001104764446794</v>
      </c>
      <c r="AN856">
        <v>1.0000000066889601</v>
      </c>
    </row>
    <row r="857" spans="1:40" x14ac:dyDescent="0.3">
      <c r="A857" t="str">
        <f>"20200111150306839"</f>
        <v>20200111150306839</v>
      </c>
      <c r="B857" t="str">
        <f>"1578726186827759"</f>
        <v>1578726186827759</v>
      </c>
      <c r="C857" t="s">
        <v>40</v>
      </c>
      <c r="D857">
        <v>5.2423539999999997</v>
      </c>
      <c r="E857">
        <v>0.48878270000000001</v>
      </c>
      <c r="F857" t="s">
        <v>56</v>
      </c>
      <c r="G857">
        <v>-448.86790000000002</v>
      </c>
      <c r="H857">
        <v>8.0000920000000003E-2</v>
      </c>
      <c r="I857">
        <v>220.02170000000001</v>
      </c>
      <c r="J857">
        <v>-475.36660000000001</v>
      </c>
      <c r="K857">
        <v>1.1662300000000001</v>
      </c>
      <c r="L857">
        <v>221.2022</v>
      </c>
      <c r="M857">
        <v>0.9840932</v>
      </c>
      <c r="N857">
        <v>0</v>
      </c>
      <c r="O857">
        <v>-0.17759939999999999</v>
      </c>
      <c r="P857">
        <v>0.99035930000000005</v>
      </c>
      <c r="Q857">
        <v>0.11501359999999999</v>
      </c>
      <c r="R857">
        <v>-7.7203880000000003E-2</v>
      </c>
      <c r="S857">
        <v>3.033112</v>
      </c>
      <c r="T857">
        <v>-0.1225077</v>
      </c>
      <c r="U857">
        <v>-0.1396027</v>
      </c>
      <c r="V857">
        <v>-0.102383</v>
      </c>
      <c r="W857">
        <v>0.11724039999999999</v>
      </c>
      <c r="X857">
        <v>0.98781189999999996</v>
      </c>
      <c r="Y857">
        <v>-0.13191649999999999</v>
      </c>
      <c r="Z857">
        <v>9.7921620000000001E-3</v>
      </c>
      <c r="AA857">
        <v>0.99121250000000005</v>
      </c>
      <c r="AB857">
        <v>32</v>
      </c>
      <c r="AC857">
        <v>26.4986999999999</v>
      </c>
      <c r="AD857">
        <v>-1.0862290799999901</v>
      </c>
      <c r="AE857">
        <v>-1.1804999999999899</v>
      </c>
      <c r="AF857">
        <v>-3.53853080781741</v>
      </c>
      <c r="AG857">
        <v>-1.0862290799999901</v>
      </c>
      <c r="AH857">
        <v>26.243087036923601</v>
      </c>
      <c r="AI857">
        <v>92.348947171512805</v>
      </c>
      <c r="AJ857">
        <v>97.679257682061106</v>
      </c>
      <c r="AK857">
        <v>26.502843453479802</v>
      </c>
      <c r="AL857">
        <v>83.267134969756896</v>
      </c>
      <c r="AM857">
        <v>95.917363914877498</v>
      </c>
      <c r="AN857">
        <v>0.99999996993138396</v>
      </c>
    </row>
    <row r="858" spans="1:40" x14ac:dyDescent="0.3">
      <c r="A858" t="str">
        <f>"20200111150306859"</f>
        <v>20200111150306859</v>
      </c>
      <c r="B858" t="str">
        <f>"1578726186858015"</f>
        <v>1578726186858015</v>
      </c>
      <c r="C858" t="s">
        <v>40</v>
      </c>
      <c r="D858">
        <v>5.3591509999999998</v>
      </c>
      <c r="E858">
        <v>0.49130990000000002</v>
      </c>
      <c r="F858" t="s">
        <v>56</v>
      </c>
      <c r="G858">
        <v>-451.9357</v>
      </c>
      <c r="H858">
        <v>8.0000349999999998E-2</v>
      </c>
      <c r="I858">
        <v>220.08330000000001</v>
      </c>
      <c r="J858">
        <v>-475.07330000000002</v>
      </c>
      <c r="K858">
        <v>1.1688510000000001</v>
      </c>
      <c r="L858">
        <v>221.15430000000001</v>
      </c>
      <c r="M858">
        <v>0.98516420000000005</v>
      </c>
      <c r="N858">
        <v>0</v>
      </c>
      <c r="O858">
        <v>-0.17153260000000001</v>
      </c>
      <c r="P858">
        <v>0.99050470000000002</v>
      </c>
      <c r="Q858">
        <v>0.1157931</v>
      </c>
      <c r="R858">
        <v>-7.4110659999999995E-2</v>
      </c>
      <c r="S858">
        <v>3.0342410000000002</v>
      </c>
      <c r="T858">
        <v>-0.14066400000000001</v>
      </c>
      <c r="U858">
        <v>-0.14489749999999901</v>
      </c>
      <c r="V858">
        <v>-9.9039489999999994E-2</v>
      </c>
      <c r="W858">
        <v>0.11927069999999999</v>
      </c>
      <c r="X858">
        <v>0.9879097</v>
      </c>
      <c r="Y858">
        <v>-0.1240323</v>
      </c>
      <c r="Z858">
        <v>1.0777429999999999E-2</v>
      </c>
      <c r="AA858">
        <v>0.99221959999999998</v>
      </c>
      <c r="AB858">
        <v>32</v>
      </c>
      <c r="AC858">
        <v>23.137599999999999</v>
      </c>
      <c r="AD858">
        <v>-1.0888506499999999</v>
      </c>
      <c r="AE858">
        <v>-1.07099999999999</v>
      </c>
      <c r="AF858">
        <v>-2.9073577788682101</v>
      </c>
      <c r="AG858">
        <v>-1.0888506499999999</v>
      </c>
      <c r="AH858">
        <v>22.927701390215599</v>
      </c>
      <c r="AI858">
        <v>92.697401146507204</v>
      </c>
      <c r="AJ858">
        <v>97.226847527636707</v>
      </c>
      <c r="AK858">
        <v>23.136936185053699</v>
      </c>
      <c r="AL858">
        <v>83.1499851559674</v>
      </c>
      <c r="AM858">
        <v>95.724863484316799</v>
      </c>
      <c r="AN858">
        <v>0.99999994790601798</v>
      </c>
    </row>
    <row r="859" spans="1:40" x14ac:dyDescent="0.3">
      <c r="A859" t="str">
        <f>"20200111150306882"</f>
        <v>20200111150306882</v>
      </c>
      <c r="B859" t="str">
        <f>"1578726186877535"</f>
        <v>1578726186877535</v>
      </c>
      <c r="C859" t="s">
        <v>40</v>
      </c>
      <c r="D859">
        <v>5.306972</v>
      </c>
      <c r="E859">
        <v>0.4921527</v>
      </c>
      <c r="F859" t="s">
        <v>56</v>
      </c>
      <c r="G859">
        <v>-452.95780000000002</v>
      </c>
      <c r="H859">
        <v>8.0000650000000006E-2</v>
      </c>
      <c r="I859">
        <v>220.0164</v>
      </c>
      <c r="J859">
        <v>-474.75700000000001</v>
      </c>
      <c r="K859">
        <v>1.17141299999999</v>
      </c>
      <c r="L859">
        <v>221.1035</v>
      </c>
      <c r="M859">
        <v>0.98604789999999998</v>
      </c>
      <c r="N859">
        <v>0</v>
      </c>
      <c r="O859">
        <v>-0.166348</v>
      </c>
      <c r="P859">
        <v>0.99048840000000005</v>
      </c>
      <c r="Q859">
        <v>0.1173208</v>
      </c>
      <c r="R859">
        <v>-7.1893600000000002E-2</v>
      </c>
      <c r="S859">
        <v>3.0345759999999999</v>
      </c>
      <c r="T859">
        <v>-0.14940609999999999</v>
      </c>
      <c r="U859">
        <v>-0.15612789999999999</v>
      </c>
      <c r="V859">
        <v>-9.5738470000000006E-2</v>
      </c>
      <c r="W859">
        <v>0.1219773</v>
      </c>
      <c r="X859">
        <v>0.98790469999999997</v>
      </c>
      <c r="Y859">
        <v>-0.1151278</v>
      </c>
      <c r="Z859">
        <v>1.097299E-2</v>
      </c>
      <c r="AA859">
        <v>0.99329009999999995</v>
      </c>
      <c r="AB859">
        <v>32</v>
      </c>
      <c r="AC859">
        <v>21.7991999999999</v>
      </c>
      <c r="AD859">
        <v>-1.0914123499999899</v>
      </c>
      <c r="AE859">
        <v>-1.08709999999999</v>
      </c>
      <c r="AF859">
        <v>-2.5479978945555701</v>
      </c>
      <c r="AG859">
        <v>-1.0914123499999899</v>
      </c>
      <c r="AH859">
        <v>21.622237573989398</v>
      </c>
      <c r="AI859">
        <v>92.8698075208424</v>
      </c>
      <c r="AJ859">
        <v>96.720827703174393</v>
      </c>
      <c r="AK859">
        <v>21.799188789824999</v>
      </c>
      <c r="AL859">
        <v>82.993768093898595</v>
      </c>
      <c r="AM859">
        <v>95.535284932716095</v>
      </c>
      <c r="AN859">
        <v>1.00000000631766</v>
      </c>
    </row>
    <row r="860" spans="1:40" x14ac:dyDescent="0.3">
      <c r="A860" t="str">
        <f>"20200111150306904"</f>
        <v>20200111150306904</v>
      </c>
      <c r="B860" t="str">
        <f>"1578726186898031"</f>
        <v>1578726186898031</v>
      </c>
      <c r="C860" t="s">
        <v>40</v>
      </c>
      <c r="D860">
        <v>5.5483479999999998</v>
      </c>
      <c r="E860">
        <v>0.49423470000000003</v>
      </c>
      <c r="F860" t="s">
        <v>56</v>
      </c>
      <c r="G860">
        <v>-454.10430000000002</v>
      </c>
      <c r="H860">
        <v>8.0000979999999999E-2</v>
      </c>
      <c r="I860">
        <v>220.0266</v>
      </c>
      <c r="J860">
        <v>-474.44560000000001</v>
      </c>
      <c r="K860">
        <v>1.173543</v>
      </c>
      <c r="L860">
        <v>221.05359999999999</v>
      </c>
      <c r="M860">
        <v>0.98671439999999999</v>
      </c>
      <c r="N860">
        <v>0</v>
      </c>
      <c r="O860">
        <v>-0.16230739999999999</v>
      </c>
      <c r="P860">
        <v>0.99047940000000001</v>
      </c>
      <c r="Q860">
        <v>0.11790440000000001</v>
      </c>
      <c r="R860">
        <v>-7.1060399999999996E-2</v>
      </c>
      <c r="S860">
        <v>3.0363159999999998</v>
      </c>
      <c r="T860">
        <v>-0.16045770000000001</v>
      </c>
      <c r="U860">
        <v>-0.1583252</v>
      </c>
      <c r="V860">
        <v>-9.2388940000000003E-2</v>
      </c>
      <c r="W860">
        <v>0.1237089</v>
      </c>
      <c r="X860">
        <v>0.98800829999999995</v>
      </c>
      <c r="Y860">
        <v>-0.1103317</v>
      </c>
      <c r="Z860">
        <v>1.143943E-2</v>
      </c>
      <c r="AA860">
        <v>0.99382899999999996</v>
      </c>
      <c r="AB860">
        <v>32</v>
      </c>
      <c r="AC860">
        <v>20.341299999999901</v>
      </c>
      <c r="AD860">
        <v>-1.0935420199999999</v>
      </c>
      <c r="AE860">
        <v>-1.0269999999999799</v>
      </c>
      <c r="AF860">
        <v>-2.2816686843845599</v>
      </c>
      <c r="AG860">
        <v>-1.0935420199999999</v>
      </c>
      <c r="AH860">
        <v>20.180085150764199</v>
      </c>
      <c r="AI860">
        <v>93.082176755894494</v>
      </c>
      <c r="AJ860">
        <v>96.450772870914903</v>
      </c>
      <c r="AK860">
        <v>20.3380845417384</v>
      </c>
      <c r="AL860">
        <v>82.893797530224006</v>
      </c>
      <c r="AM860">
        <v>95.342209876390896</v>
      </c>
      <c r="AN860">
        <v>1.0000000045212101</v>
      </c>
    </row>
    <row r="861" spans="1:40" x14ac:dyDescent="0.3">
      <c r="A861" t="str">
        <f>"20200111150306927"</f>
        <v>20200111150306927</v>
      </c>
      <c r="B861" t="str">
        <f>"1578726186917551"</f>
        <v>1578726186917551</v>
      </c>
      <c r="C861" t="s">
        <v>40</v>
      </c>
      <c r="D861">
        <v>5.3526300000000004</v>
      </c>
      <c r="E861">
        <v>0.4961853</v>
      </c>
      <c r="F861" t="s">
        <v>56</v>
      </c>
      <c r="G861">
        <v>-453.35090000000002</v>
      </c>
      <c r="H861">
        <v>8.0000769999999999E-2</v>
      </c>
      <c r="I861">
        <v>219.85919999999999</v>
      </c>
      <c r="J861">
        <v>-474.13</v>
      </c>
      <c r="K861">
        <v>1.1749780000000001</v>
      </c>
      <c r="L861">
        <v>221.00319999999999</v>
      </c>
      <c r="M861">
        <v>0.98737059999999999</v>
      </c>
      <c r="N861">
        <v>0</v>
      </c>
      <c r="O861">
        <v>-0.1582327</v>
      </c>
      <c r="P861">
        <v>0.9905735</v>
      </c>
      <c r="Q861">
        <v>0.1167638</v>
      </c>
      <c r="R861">
        <v>-7.1628819999999996E-2</v>
      </c>
      <c r="S861">
        <v>3.0352169999999998</v>
      </c>
      <c r="T861">
        <v>-0.15734429999999999</v>
      </c>
      <c r="U861">
        <v>-0.17184449999999901</v>
      </c>
      <c r="V861">
        <v>-8.758581E-2</v>
      </c>
      <c r="W861">
        <v>0.12344529999999999</v>
      </c>
      <c r="X861">
        <v>0.98847859999999999</v>
      </c>
      <c r="Y861">
        <v>-0.1018245</v>
      </c>
      <c r="Z861">
        <v>1.0791190000000001E-2</v>
      </c>
      <c r="AA861">
        <v>0.99474379999999996</v>
      </c>
      <c r="AB861">
        <v>32</v>
      </c>
      <c r="AC861">
        <v>20.7790999999999</v>
      </c>
      <c r="AD861">
        <v>-1.09497723</v>
      </c>
      <c r="AE861">
        <v>-1.1439999999999999</v>
      </c>
      <c r="AF861">
        <v>-2.15248859674861</v>
      </c>
      <c r="AG861">
        <v>-1.09497723</v>
      </c>
      <c r="AH861">
        <v>20.641184481231399</v>
      </c>
      <c r="AI861">
        <v>93.020243449781503</v>
      </c>
      <c r="AJ861">
        <v>95.953357859974901</v>
      </c>
      <c r="AK861">
        <v>20.7819796718594</v>
      </c>
      <c r="AL861">
        <v>82.909017179235704</v>
      </c>
      <c r="AM861">
        <v>95.063565012094898</v>
      </c>
      <c r="AN861">
        <v>0.99999997943170205</v>
      </c>
    </row>
    <row r="862" spans="1:40" x14ac:dyDescent="0.3">
      <c r="A862" t="str">
        <f>"20200111150306949"</f>
        <v>20200111150306949</v>
      </c>
      <c r="B862" t="str">
        <f>"1578726186938047"</f>
        <v>1578726186938047</v>
      </c>
      <c r="C862" t="s">
        <v>40</v>
      </c>
      <c r="D862">
        <v>5.3525859999999996</v>
      </c>
      <c r="E862">
        <v>0.49776609999999999</v>
      </c>
      <c r="F862" t="s">
        <v>56</v>
      </c>
      <c r="G862">
        <v>-455.15519999999998</v>
      </c>
      <c r="H862">
        <v>7.9999829999999994E-2</v>
      </c>
      <c r="I862">
        <v>219.82919999999999</v>
      </c>
      <c r="J862">
        <v>-473.81549999999999</v>
      </c>
      <c r="K862">
        <v>1.17622</v>
      </c>
      <c r="L862">
        <v>220.95339999999999</v>
      </c>
      <c r="M862">
        <v>0.98787119999999995</v>
      </c>
      <c r="N862">
        <v>0</v>
      </c>
      <c r="O862">
        <v>-0.155033</v>
      </c>
      <c r="P862">
        <v>0.99058800000000002</v>
      </c>
      <c r="Q862">
        <v>0.1168493</v>
      </c>
      <c r="R862">
        <v>-7.1289179999999994E-2</v>
      </c>
      <c r="S862">
        <v>3.0356139999999998</v>
      </c>
      <c r="T862">
        <v>-0.17517579999999999</v>
      </c>
      <c r="U862">
        <v>-0.1878204</v>
      </c>
      <c r="V862">
        <v>-8.4581320000000002E-2</v>
      </c>
      <c r="W862">
        <v>0.1244844</v>
      </c>
      <c r="X862">
        <v>0.98860999999999999</v>
      </c>
      <c r="Y862">
        <v>-9.3326339999999994E-2</v>
      </c>
      <c r="Z862">
        <v>1.1580989999999999E-2</v>
      </c>
      <c r="AA862">
        <v>0.99556820000000001</v>
      </c>
      <c r="AB862">
        <v>32</v>
      </c>
      <c r="AC862">
        <v>18.660299999999999</v>
      </c>
      <c r="AD862">
        <v>-1.09622017</v>
      </c>
      <c r="AE862">
        <v>-1.1242000000000001</v>
      </c>
      <c r="AF862">
        <v>-1.77635633870535</v>
      </c>
      <c r="AG862">
        <v>-1.09622017</v>
      </c>
      <c r="AH862">
        <v>18.545191359175998</v>
      </c>
      <c r="AI862">
        <v>93.367483126154298</v>
      </c>
      <c r="AJ862">
        <v>95.471399965440696</v>
      </c>
      <c r="AK862">
        <v>18.6622952246403</v>
      </c>
      <c r="AL862">
        <v>82.849018834937198</v>
      </c>
      <c r="AM862">
        <v>94.890078029856994</v>
      </c>
      <c r="AN862">
        <v>1.00000004881815</v>
      </c>
    </row>
    <row r="863" spans="1:40" x14ac:dyDescent="0.3">
      <c r="A863" t="str">
        <f>"20200111150306971"</f>
        <v>20200111150306971</v>
      </c>
      <c r="B863" t="str">
        <f>"1578726186968085"</f>
        <v>1578726186968085</v>
      </c>
      <c r="C863" t="s">
        <v>40</v>
      </c>
      <c r="D863">
        <v>5.30443</v>
      </c>
      <c r="E863">
        <v>0.50001579999999901</v>
      </c>
      <c r="F863" t="s">
        <v>56</v>
      </c>
      <c r="G863">
        <v>-454.87169999999998</v>
      </c>
      <c r="H863">
        <v>8.0001230000000007E-2</v>
      </c>
      <c r="I863">
        <v>219.71700000000001</v>
      </c>
      <c r="J863">
        <v>-473.50749999999999</v>
      </c>
      <c r="K863">
        <v>1.1773709999999999</v>
      </c>
      <c r="L863">
        <v>220.905</v>
      </c>
      <c r="M863">
        <v>0.98815600000000003</v>
      </c>
      <c r="N863">
        <v>0</v>
      </c>
      <c r="O863">
        <v>-0.15314410000000001</v>
      </c>
      <c r="P863">
        <v>0.99084589999999995</v>
      </c>
      <c r="Q863">
        <v>0.115774</v>
      </c>
      <c r="R863">
        <v>-6.943212E-2</v>
      </c>
      <c r="S863">
        <v>3.0349430000000002</v>
      </c>
      <c r="T863">
        <v>-0.1756231</v>
      </c>
      <c r="U863">
        <v>-0.1980896</v>
      </c>
      <c r="V863">
        <v>-8.448754E-2</v>
      </c>
      <c r="W863">
        <v>0.1244825</v>
      </c>
      <c r="X863">
        <v>0.9886182</v>
      </c>
      <c r="Y863">
        <v>-8.8064160000000002E-2</v>
      </c>
      <c r="Z863">
        <v>1.135152E-2</v>
      </c>
      <c r="AA863">
        <v>0.99605010000000005</v>
      </c>
      <c r="AB863">
        <v>32</v>
      </c>
      <c r="AC863">
        <v>18.6358</v>
      </c>
      <c r="AD863">
        <v>-1.09736977</v>
      </c>
      <c r="AE863">
        <v>-1.18799999999998</v>
      </c>
      <c r="AF863">
        <v>-1.67433080909468</v>
      </c>
      <c r="AG863">
        <v>-1.09736977</v>
      </c>
      <c r="AH863">
        <v>18.533887341054001</v>
      </c>
      <c r="AI863">
        <v>93.374749173925807</v>
      </c>
      <c r="AJ863">
        <v>95.162024925346699</v>
      </c>
      <c r="AK863">
        <v>18.641689409527199</v>
      </c>
      <c r="AL863">
        <v>82.849128136833798</v>
      </c>
      <c r="AM863">
        <v>94.884642057611003</v>
      </c>
      <c r="AN863">
        <v>0.99999999129636996</v>
      </c>
    </row>
    <row r="864" spans="1:40" x14ac:dyDescent="0.3">
      <c r="A864" t="str">
        <f>"20200111150306993"</f>
        <v>20200111150306993</v>
      </c>
      <c r="B864" t="str">
        <f>"1578726186987605"</f>
        <v>1578726186987605</v>
      </c>
      <c r="C864" t="s">
        <v>40</v>
      </c>
      <c r="D864">
        <v>6.9528089999999896</v>
      </c>
      <c r="E864">
        <v>0.50001579999999901</v>
      </c>
      <c r="F864" t="s">
        <v>56</v>
      </c>
      <c r="G864">
        <v>-455.5702</v>
      </c>
      <c r="H864">
        <v>7.9999959999999995E-2</v>
      </c>
      <c r="I864">
        <v>219.66210000000001</v>
      </c>
      <c r="J864">
        <v>-473.20260000000002</v>
      </c>
      <c r="K864">
        <v>1.1784079999999999</v>
      </c>
      <c r="L864">
        <v>220.8571</v>
      </c>
      <c r="M864">
        <v>0.98829469999999997</v>
      </c>
      <c r="N864">
        <v>0</v>
      </c>
      <c r="O864">
        <v>-0.1521807</v>
      </c>
      <c r="P864">
        <v>0.9913149</v>
      </c>
      <c r="Q864">
        <v>0.112331399999999</v>
      </c>
      <c r="R864">
        <v>-6.8385210000000002E-2</v>
      </c>
      <c r="S864">
        <v>3.0346679999999999</v>
      </c>
      <c r="T864">
        <v>-0.18565509999999999</v>
      </c>
      <c r="U864">
        <v>-0.21028140000000001</v>
      </c>
      <c r="V864">
        <v>-8.4602640000000007E-2</v>
      </c>
      <c r="W864">
        <v>0.1220261</v>
      </c>
      <c r="X864">
        <v>0.98891450000000003</v>
      </c>
      <c r="Y864">
        <v>-8.3068379999999997E-2</v>
      </c>
      <c r="Z864">
        <v>1.1787000000000001E-2</v>
      </c>
      <c r="AA864">
        <v>0.99647410000000003</v>
      </c>
      <c r="AB864">
        <v>32</v>
      </c>
      <c r="AC864">
        <v>17.632400000000001</v>
      </c>
      <c r="AD864">
        <v>-1.09840803999999</v>
      </c>
      <c r="AE864">
        <v>-1.1949999999999901</v>
      </c>
      <c r="AF864">
        <v>-1.49660367095187</v>
      </c>
      <c r="AG864">
        <v>-1.09840803999999</v>
      </c>
      <c r="AH864">
        <v>17.541112903589099</v>
      </c>
      <c r="AI864">
        <v>93.570192295953504</v>
      </c>
      <c r="AJ864">
        <v>94.876652321768105</v>
      </c>
      <c r="AK864">
        <v>17.639074937952401</v>
      </c>
      <c r="AL864">
        <v>82.990950492792194</v>
      </c>
      <c r="AM864">
        <v>94.889805873999705</v>
      </c>
      <c r="AN864">
        <v>0.99999993204321203</v>
      </c>
    </row>
    <row r="865" spans="1:40" x14ac:dyDescent="0.3">
      <c r="A865" t="str">
        <f>"20200111150307016"</f>
        <v>20200111150307016</v>
      </c>
      <c r="B865" t="str">
        <f>"1578726187008101"</f>
        <v>1578726187008101</v>
      </c>
      <c r="C865" t="s">
        <v>40</v>
      </c>
      <c r="D865">
        <v>5.380217</v>
      </c>
      <c r="E865">
        <v>0.50180519999999995</v>
      </c>
      <c r="F865" t="s">
        <v>56</v>
      </c>
      <c r="G865">
        <v>-456.2158</v>
      </c>
      <c r="H865">
        <v>8.0000150000000006E-2</v>
      </c>
      <c r="I865">
        <v>219.70310000000001</v>
      </c>
      <c r="J865">
        <v>-472.87</v>
      </c>
      <c r="K865">
        <v>1.1793610000000001</v>
      </c>
      <c r="L865">
        <v>220.80510000000001</v>
      </c>
      <c r="M865">
        <v>0.98832790000000004</v>
      </c>
      <c r="N865">
        <v>0</v>
      </c>
      <c r="O865">
        <v>-0.151888299999999</v>
      </c>
      <c r="P865">
        <v>0.99152949999999995</v>
      </c>
      <c r="Q865">
        <v>0.10887239999999999</v>
      </c>
      <c r="R865">
        <v>-7.0827600000000004E-2</v>
      </c>
      <c r="S865">
        <v>3.0342709999999999</v>
      </c>
      <c r="T865">
        <v>-0.1962033</v>
      </c>
      <c r="U865">
        <v>-0.20613100000000001</v>
      </c>
      <c r="V865">
        <v>-8.1961999999999993E-2</v>
      </c>
      <c r="W865">
        <v>0.11959690000000001</v>
      </c>
      <c r="X865">
        <v>0.98943360000000002</v>
      </c>
      <c r="Y865">
        <v>-8.4070500000000006E-2</v>
      </c>
      <c r="Z865">
        <v>1.2471579999999999E-2</v>
      </c>
      <c r="AA865">
        <v>0.99638179999999998</v>
      </c>
      <c r="AB865">
        <v>32</v>
      </c>
      <c r="AC865">
        <v>16.654199999999999</v>
      </c>
      <c r="AD865">
        <v>-1.0993608500000001</v>
      </c>
      <c r="AE865">
        <v>-1.1020000000000001</v>
      </c>
      <c r="AF865">
        <v>-1.4343173844586401</v>
      </c>
      <c r="AG865">
        <v>-1.0993608500000001</v>
      </c>
      <c r="AH865">
        <v>16.556508283307799</v>
      </c>
      <c r="AI865">
        <v>93.784758867942202</v>
      </c>
      <c r="AJ865">
        <v>94.951265275665094</v>
      </c>
      <c r="AK865">
        <v>16.654843955231598</v>
      </c>
      <c r="AL865">
        <v>83.131161014407795</v>
      </c>
      <c r="AM865">
        <v>94.735415464649293</v>
      </c>
      <c r="AN865">
        <v>1.0000000183712801</v>
      </c>
    </row>
    <row r="866" spans="1:40" x14ac:dyDescent="0.3">
      <c r="A866" t="str">
        <f>"20200111150307038"</f>
        <v>20200111150307038</v>
      </c>
      <c r="B866" t="str">
        <f>"1578726187027621"</f>
        <v>1578726187027621</v>
      </c>
      <c r="C866" t="s">
        <v>40</v>
      </c>
      <c r="D866">
        <v>5.4809479999999997</v>
      </c>
      <c r="E866">
        <v>0.50349319999999997</v>
      </c>
      <c r="F866" t="s">
        <v>56</v>
      </c>
      <c r="G866">
        <v>-457.45350000000002</v>
      </c>
      <c r="H866">
        <v>8.0000520000000006E-2</v>
      </c>
      <c r="I866">
        <v>219.65880000000001</v>
      </c>
      <c r="J866">
        <v>-472.55549999999999</v>
      </c>
      <c r="K866">
        <v>1.18005</v>
      </c>
      <c r="L866">
        <v>220.75569999999999</v>
      </c>
      <c r="M866">
        <v>0.98828859999999996</v>
      </c>
      <c r="N866">
        <v>0</v>
      </c>
      <c r="O866">
        <v>-0.1520601</v>
      </c>
      <c r="P866">
        <v>0.99123340000000004</v>
      </c>
      <c r="Q866">
        <v>0.1086081</v>
      </c>
      <c r="R866">
        <v>-7.5238070000000004E-2</v>
      </c>
      <c r="S866">
        <v>3.0332949999999999</v>
      </c>
      <c r="T866">
        <v>-0.21630569999999999</v>
      </c>
      <c r="U866">
        <v>-0.2255402</v>
      </c>
      <c r="V866">
        <v>-7.7822100000000005E-2</v>
      </c>
      <c r="W866">
        <v>0.1203529</v>
      </c>
      <c r="X866">
        <v>0.98967620000000001</v>
      </c>
      <c r="Y866">
        <v>-7.7789499999999998E-2</v>
      </c>
      <c r="Z866">
        <v>1.3535149999999999E-2</v>
      </c>
      <c r="AA866">
        <v>0.99687789999999998</v>
      </c>
      <c r="AB866">
        <v>32</v>
      </c>
      <c r="AC866">
        <v>15.101999999999901</v>
      </c>
      <c r="AD866">
        <v>-1.10004948</v>
      </c>
      <c r="AE866">
        <v>-1.09689999999997</v>
      </c>
      <c r="AF866">
        <v>-1.20609114394887</v>
      </c>
      <c r="AG866">
        <v>-1.10004948</v>
      </c>
      <c r="AH866">
        <v>15.0139184424351</v>
      </c>
      <c r="AI866">
        <v>94.177088133295001</v>
      </c>
      <c r="AJ866">
        <v>94.592795629965295</v>
      </c>
      <c r="AK866">
        <v>15.1024008588718</v>
      </c>
      <c r="AL866">
        <v>83.087530409023898</v>
      </c>
      <c r="AM866">
        <v>94.496138888121294</v>
      </c>
      <c r="AN866">
        <v>1.00000004031662</v>
      </c>
    </row>
    <row r="867" spans="1:40" x14ac:dyDescent="0.3">
      <c r="A867" t="str">
        <f>"20200111150307061"</f>
        <v>20200111150307061</v>
      </c>
      <c r="B867" t="str">
        <f>"1578726187057877"</f>
        <v>1578726187057877</v>
      </c>
      <c r="C867" t="s">
        <v>40</v>
      </c>
      <c r="D867">
        <v>5.329726</v>
      </c>
      <c r="E867">
        <v>0.50621819999999995</v>
      </c>
      <c r="F867" t="s">
        <v>56</v>
      </c>
      <c r="G867">
        <v>-456.44850000000002</v>
      </c>
      <c r="H867" s="1">
        <v>1.6846980000000001E-6</v>
      </c>
      <c r="I867">
        <v>219.42250000000001</v>
      </c>
      <c r="J867">
        <v>-472.23239999999998</v>
      </c>
      <c r="K867">
        <v>1.18052</v>
      </c>
      <c r="L867">
        <v>220.7047</v>
      </c>
      <c r="M867">
        <v>0.98820479999999999</v>
      </c>
      <c r="N867">
        <v>0</v>
      </c>
      <c r="O867">
        <v>-0.15250540000000001</v>
      </c>
      <c r="P867">
        <v>0.99093500000000001</v>
      </c>
      <c r="Q867">
        <v>0.10924499999999999</v>
      </c>
      <c r="R867">
        <v>-7.8191159999999996E-2</v>
      </c>
      <c r="S867">
        <v>3.0318299999999998</v>
      </c>
      <c r="T867">
        <v>-0.2221206</v>
      </c>
      <c r="U867">
        <v>-0.250946</v>
      </c>
      <c r="V867">
        <v>-7.5424560000000002E-2</v>
      </c>
      <c r="W867">
        <v>0.12208189999999999</v>
      </c>
      <c r="X867">
        <v>0.98965000000000003</v>
      </c>
      <c r="Y867">
        <v>-6.9889209999999993E-2</v>
      </c>
      <c r="Z867">
        <v>1.364222E-2</v>
      </c>
      <c r="AA867">
        <v>0.9974615</v>
      </c>
      <c r="AB867">
        <v>32</v>
      </c>
      <c r="AC867">
        <v>15.7838999999999</v>
      </c>
      <c r="AD867">
        <v>-1.180518315302</v>
      </c>
      <c r="AE867">
        <v>-1.28219999999998</v>
      </c>
      <c r="AF867">
        <v>-1.13386286953102</v>
      </c>
      <c r="AG867">
        <v>-1.180518315302</v>
      </c>
      <c r="AH867">
        <v>15.7075048066067</v>
      </c>
      <c r="AI867">
        <v>94.286946801494594</v>
      </c>
      <c r="AJ867">
        <v>94.128794982458501</v>
      </c>
      <c r="AK867">
        <v>15.792560772377501</v>
      </c>
      <c r="AL867">
        <v>82.987729702823003</v>
      </c>
      <c r="AM867">
        <v>94.358279058405103</v>
      </c>
      <c r="AN867">
        <v>0.99999998852940097</v>
      </c>
    </row>
    <row r="868" spans="1:40" x14ac:dyDescent="0.3">
      <c r="A868" t="str">
        <f>"20200111150307083"</f>
        <v>20200111150307083</v>
      </c>
      <c r="B868" t="str">
        <f>"1578726187077526"</f>
        <v>1578726187077526</v>
      </c>
      <c r="C868" t="s">
        <v>40</v>
      </c>
      <c r="D868">
        <v>6.2855259999999999</v>
      </c>
      <c r="E868">
        <v>0.50680079999999905</v>
      </c>
      <c r="F868" t="s">
        <v>56</v>
      </c>
      <c r="G868">
        <v>-456.27229999999997</v>
      </c>
      <c r="H868" s="1">
        <v>1.599535E-6</v>
      </c>
      <c r="I868">
        <v>219.2261</v>
      </c>
      <c r="J868">
        <v>-471.93270000000001</v>
      </c>
      <c r="K868">
        <v>1.1804079999999999</v>
      </c>
      <c r="L868">
        <v>220.65600000000001</v>
      </c>
      <c r="M868">
        <v>0.98821309999999996</v>
      </c>
      <c r="N868">
        <v>0</v>
      </c>
      <c r="O868">
        <v>-0.1524083</v>
      </c>
      <c r="P868">
        <v>0.99063760000000001</v>
      </c>
      <c r="Q868">
        <v>0.1107332</v>
      </c>
      <c r="R868">
        <v>-7.9847340000000003E-2</v>
      </c>
      <c r="S868">
        <v>3.0299680000000002</v>
      </c>
      <c r="T868">
        <v>-0.22411819999999999</v>
      </c>
      <c r="U868">
        <v>-0.28070070000000003</v>
      </c>
      <c r="V868">
        <v>-7.3868139999999999E-2</v>
      </c>
      <c r="W868">
        <v>0.1239232</v>
      </c>
      <c r="X868">
        <v>0.98953860000000005</v>
      </c>
      <c r="Y868">
        <v>-6.00346E-2</v>
      </c>
      <c r="Z868">
        <v>1.339485E-2</v>
      </c>
      <c r="AA868">
        <v>0.99810639999999995</v>
      </c>
      <c r="AB868">
        <v>32</v>
      </c>
      <c r="AC868">
        <v>15.660399999999999</v>
      </c>
      <c r="AD868">
        <v>-1.1804064004649999</v>
      </c>
      <c r="AE868">
        <v>-1.42989999999997</v>
      </c>
      <c r="AF868">
        <v>-0.96837336726010304</v>
      </c>
      <c r="AG868">
        <v>-1.1804064004649999</v>
      </c>
      <c r="AH868">
        <v>15.6074230223816</v>
      </c>
      <c r="AI868">
        <v>94.316838369634993</v>
      </c>
      <c r="AJ868">
        <v>93.550405016278404</v>
      </c>
      <c r="AK868">
        <v>15.6819246155644</v>
      </c>
      <c r="AL868">
        <v>82.881424165765097</v>
      </c>
      <c r="AM868">
        <v>94.269158684277599</v>
      </c>
      <c r="AN868">
        <v>1.0000000512476199</v>
      </c>
    </row>
    <row r="869" spans="1:40" x14ac:dyDescent="0.3">
      <c r="A869" t="str">
        <f>"20200111150307105"</f>
        <v>20200111150307105</v>
      </c>
      <c r="B869" t="str">
        <f>"1578726187098023"</f>
        <v>1578726187098023</v>
      </c>
      <c r="C869" t="s">
        <v>40</v>
      </c>
      <c r="D869">
        <v>5.4743680000000001</v>
      </c>
      <c r="E869">
        <v>0.57705629999999997</v>
      </c>
      <c r="F869" t="s">
        <v>56</v>
      </c>
      <c r="G869">
        <v>-456.34359999999998</v>
      </c>
      <c r="H869" s="1">
        <v>1.640024E-6</v>
      </c>
      <c r="I869">
        <v>219.1678</v>
      </c>
      <c r="J869">
        <v>-471.60129999999998</v>
      </c>
      <c r="K869">
        <v>1.1798139999999999</v>
      </c>
      <c r="L869">
        <v>220.6011</v>
      </c>
      <c r="M869">
        <v>0.98834339999999998</v>
      </c>
      <c r="N869">
        <v>0</v>
      </c>
      <c r="O869">
        <v>-0.15153910000000001</v>
      </c>
      <c r="P869">
        <v>0.99065289999999995</v>
      </c>
      <c r="Q869">
        <v>0.11027380000000001</v>
      </c>
      <c r="R869">
        <v>-8.0292080000000002E-2</v>
      </c>
      <c r="S869">
        <v>3.0307010000000001</v>
      </c>
      <c r="T869">
        <v>-0.2294843</v>
      </c>
      <c r="U869">
        <v>-0.28932190000000002</v>
      </c>
      <c r="V869">
        <v>-7.2763739999999993E-2</v>
      </c>
      <c r="W869">
        <v>0.1235868</v>
      </c>
      <c r="X869">
        <v>0.98966240000000005</v>
      </c>
      <c r="Y869">
        <v>-5.6350289999999997E-2</v>
      </c>
      <c r="Z869">
        <v>1.350525E-2</v>
      </c>
      <c r="AA869">
        <v>0.99831970000000003</v>
      </c>
      <c r="AB869">
        <v>32</v>
      </c>
      <c r="AC869">
        <v>15.2577</v>
      </c>
      <c r="AD869">
        <v>-1.179812359976</v>
      </c>
      <c r="AE869">
        <v>-1.4333</v>
      </c>
      <c r="AF869">
        <v>-0.890363870490259</v>
      </c>
      <c r="AG869">
        <v>-1.179812359976</v>
      </c>
      <c r="AH869">
        <v>15.208538786616799</v>
      </c>
      <c r="AI869">
        <v>94.428321526493306</v>
      </c>
      <c r="AJ869">
        <v>93.350481661385501</v>
      </c>
      <c r="AK869">
        <v>15.280194928424599</v>
      </c>
      <c r="AL869">
        <v>82.900847144817007</v>
      </c>
      <c r="AM869">
        <v>94.2050371791494</v>
      </c>
      <c r="AN869">
        <v>0.99999996248339296</v>
      </c>
    </row>
    <row r="870" spans="1:40" x14ac:dyDescent="0.3">
      <c r="A870" t="str">
        <f>"20200111150307130"</f>
        <v>20200111150307130</v>
      </c>
      <c r="B870" t="str">
        <f>"1578726187117541"</f>
        <v>1578726187117541</v>
      </c>
      <c r="C870" t="s">
        <v>40</v>
      </c>
      <c r="D870">
        <v>5.4248599999999998</v>
      </c>
      <c r="E870">
        <v>0.57715539999999999</v>
      </c>
      <c r="F870" t="s">
        <v>56</v>
      </c>
      <c r="G870">
        <v>-453.87779999999998</v>
      </c>
      <c r="H870" s="1">
        <v>4.8575150000000001E-7</v>
      </c>
      <c r="I870">
        <v>215.5556</v>
      </c>
      <c r="J870">
        <v>-471.27780000000001</v>
      </c>
      <c r="K870">
        <v>1.179438</v>
      </c>
      <c r="L870">
        <v>220.5472</v>
      </c>
      <c r="M870">
        <v>0.98839290000000002</v>
      </c>
      <c r="N870">
        <v>0</v>
      </c>
      <c r="O870">
        <v>-0.15114339999999901</v>
      </c>
      <c r="P870">
        <v>0.99073149999999999</v>
      </c>
      <c r="Q870">
        <v>0.1090131</v>
      </c>
      <c r="R870">
        <v>-8.1039319999999998E-2</v>
      </c>
      <c r="S870">
        <v>2.9815670000000001</v>
      </c>
      <c r="T870">
        <v>-0.1984765</v>
      </c>
      <c r="U870">
        <v>-0.84880069999999996</v>
      </c>
      <c r="V870">
        <v>-7.1865419999999999E-2</v>
      </c>
      <c r="W870">
        <v>0.1229333</v>
      </c>
      <c r="X870">
        <v>0.98980950000000001</v>
      </c>
      <c r="Y870">
        <v>0.12532349999999901</v>
      </c>
      <c r="Z870">
        <v>5.6905439999999996E-3</v>
      </c>
      <c r="AA870">
        <v>0.99209959999999997</v>
      </c>
      <c r="AB870">
        <v>32</v>
      </c>
      <c r="AC870">
        <v>17.399999999999999</v>
      </c>
      <c r="AD870">
        <v>-1.1794375142485001</v>
      </c>
      <c r="AE870">
        <v>-4.9916</v>
      </c>
      <c r="AF870">
        <v>2.2942978403496501</v>
      </c>
      <c r="AG870">
        <v>-1.1794375142485001</v>
      </c>
      <c r="AH870">
        <v>17.878695113470901</v>
      </c>
      <c r="AI870">
        <v>93.743659598532503</v>
      </c>
      <c r="AJ870">
        <v>82.687438431227903</v>
      </c>
      <c r="AK870">
        <v>18.063848271913098</v>
      </c>
      <c r="AL870">
        <v>82.938578210635995</v>
      </c>
      <c r="AM870">
        <v>94.152690727675804</v>
      </c>
      <c r="AN870">
        <v>1.0000000405654501</v>
      </c>
    </row>
    <row r="871" spans="1:40" x14ac:dyDescent="0.3">
      <c r="A871" t="str">
        <f>"20200111150307152"</f>
        <v>20200111150307152</v>
      </c>
      <c r="B871" t="str">
        <f>"1578726187147798"</f>
        <v>1578726187147798</v>
      </c>
      <c r="C871" t="s">
        <v>40</v>
      </c>
      <c r="D871">
        <v>5.4952100000000002</v>
      </c>
      <c r="E871">
        <v>0.57605890000000004</v>
      </c>
      <c r="F871" t="s">
        <v>42</v>
      </c>
      <c r="G871">
        <v>-470.30130000000003</v>
      </c>
      <c r="H871">
        <v>1.1124810000000001</v>
      </c>
      <c r="I871">
        <v>220.26820000000001</v>
      </c>
      <c r="J871">
        <v>-470.95409999999998</v>
      </c>
      <c r="K871">
        <v>1.1793830000000001</v>
      </c>
      <c r="L871">
        <v>220.4932</v>
      </c>
      <c r="M871">
        <v>0.98822270000000001</v>
      </c>
      <c r="N871">
        <v>0</v>
      </c>
      <c r="O871">
        <v>-0.15214169999999999</v>
      </c>
      <c r="P871">
        <v>0.99057030000000001</v>
      </c>
      <c r="Q871">
        <v>0.1083311</v>
      </c>
      <c r="R871">
        <v>-8.3872379999999996E-2</v>
      </c>
      <c r="S871">
        <v>2.9809570000000001</v>
      </c>
      <c r="T871">
        <v>-0.20437050000000001</v>
      </c>
      <c r="U871">
        <v>-0.85096740000000004</v>
      </c>
      <c r="V871">
        <v>-7.0386130000000005E-2</v>
      </c>
      <c r="W871">
        <v>0.12315</v>
      </c>
      <c r="X871">
        <v>0.98988880000000001</v>
      </c>
      <c r="Y871">
        <v>0.12504489999999999</v>
      </c>
      <c r="Z871">
        <v>5.9348760000000004E-3</v>
      </c>
      <c r="AA871">
        <v>0.9921333</v>
      </c>
      <c r="AB871">
        <v>32</v>
      </c>
      <c r="AC871">
        <v>0.65279999999995597</v>
      </c>
      <c r="AD871">
        <v>-6.6902000000000003E-2</v>
      </c>
      <c r="AE871">
        <v>-0.22499999999999401</v>
      </c>
      <c r="AF871">
        <v>0.12190412537256599</v>
      </c>
      <c r="AG871">
        <v>-6.6902000000000003E-2</v>
      </c>
      <c r="AH871">
        <v>0.673115863882776</v>
      </c>
      <c r="AI871">
        <v>95.585796308440905</v>
      </c>
      <c r="AJ871">
        <v>79.734756321789504</v>
      </c>
      <c r="AK871">
        <v>0.687329222132674</v>
      </c>
      <c r="AL871">
        <v>82.926066741785604</v>
      </c>
      <c r="AM871">
        <v>94.067176190411502</v>
      </c>
      <c r="AN871">
        <v>0.99999998308090798</v>
      </c>
    </row>
    <row r="872" spans="1:40" x14ac:dyDescent="0.3">
      <c r="A872" t="str">
        <f>"20200111150307174"</f>
        <v>20200111150307174</v>
      </c>
      <c r="B872" t="str">
        <f>"1578726187168293"</f>
        <v>1578726187168293</v>
      </c>
      <c r="C872" t="s">
        <v>40</v>
      </c>
      <c r="D872">
        <v>5.4425730000000003</v>
      </c>
      <c r="E872">
        <v>0.57558229999999999</v>
      </c>
      <c r="F872" t="s">
        <v>42</v>
      </c>
      <c r="G872">
        <v>-470.01830000000001</v>
      </c>
      <c r="H872">
        <v>1.1135079999999999</v>
      </c>
      <c r="I872">
        <v>220.22640000000001</v>
      </c>
      <c r="J872">
        <v>-470.65480000000002</v>
      </c>
      <c r="K872">
        <v>1.1793089999999999</v>
      </c>
      <c r="L872">
        <v>220.4434</v>
      </c>
      <c r="M872">
        <v>0.98794800000000005</v>
      </c>
      <c r="N872">
        <v>0</v>
      </c>
      <c r="O872">
        <v>-0.15382319999999999</v>
      </c>
      <c r="P872">
        <v>0.99029670000000003</v>
      </c>
      <c r="Q872">
        <v>0.108296699999999</v>
      </c>
      <c r="R872">
        <v>-8.7088529999999997E-2</v>
      </c>
      <c r="S872">
        <v>2.9796140000000002</v>
      </c>
      <c r="T872">
        <v>-0.20970079999999999</v>
      </c>
      <c r="U872">
        <v>-0.84890750000000004</v>
      </c>
      <c r="V872">
        <v>-6.9219760000000005E-2</v>
      </c>
      <c r="W872">
        <v>0.1238002</v>
      </c>
      <c r="X872">
        <v>0.98989000000000005</v>
      </c>
      <c r="Y872">
        <v>0.1228494</v>
      </c>
      <c r="Z872">
        <v>6.2820769999999996E-3</v>
      </c>
      <c r="AA872">
        <v>0.99240539999999999</v>
      </c>
      <c r="AB872">
        <v>32</v>
      </c>
      <c r="AC872">
        <v>0.63650000000001195</v>
      </c>
      <c r="AD872">
        <v>-6.5800999999999998E-2</v>
      </c>
      <c r="AE872">
        <v>-0.21699999999998401</v>
      </c>
      <c r="AF872">
        <v>0.11538877529108001</v>
      </c>
      <c r="AG872">
        <v>-6.5800999999999998E-2</v>
      </c>
      <c r="AH872">
        <v>0.65602586387634998</v>
      </c>
      <c r="AI872">
        <v>95.641716022136194</v>
      </c>
      <c r="AJ872">
        <v>80.024251292482901</v>
      </c>
      <c r="AK872">
        <v>0.66933868492631299</v>
      </c>
      <c r="AL872">
        <v>82.888526143982304</v>
      </c>
      <c r="AM872">
        <v>93.999994708077097</v>
      </c>
      <c r="AN872">
        <v>1.0000000383972401</v>
      </c>
    </row>
    <row r="873" spans="1:40" x14ac:dyDescent="0.3">
      <c r="A873" t="str">
        <f>"20200111150307197"</f>
        <v>20200111150307197</v>
      </c>
      <c r="B873" t="str">
        <f>"1578726187187814"</f>
        <v>1578726187187814</v>
      </c>
      <c r="C873" t="s">
        <v>40</v>
      </c>
      <c r="D873">
        <v>5.440531</v>
      </c>
      <c r="E873">
        <v>0.57557340000000001</v>
      </c>
      <c r="F873" t="s">
        <v>42</v>
      </c>
      <c r="G873">
        <v>-469.73480000000001</v>
      </c>
      <c r="H873">
        <v>1.115135</v>
      </c>
      <c r="I873">
        <v>220.17959999999999</v>
      </c>
      <c r="J873">
        <v>-470.31950000000001</v>
      </c>
      <c r="K873">
        <v>1.1789179999999999</v>
      </c>
      <c r="L873">
        <v>220.38759999999999</v>
      </c>
      <c r="M873">
        <v>0.98761160000000003</v>
      </c>
      <c r="N873">
        <v>0</v>
      </c>
      <c r="O873">
        <v>-0.15589229999999901</v>
      </c>
      <c r="P873">
        <v>0.9900139</v>
      </c>
      <c r="Q873">
        <v>0.10867590000000001</v>
      </c>
      <c r="R873">
        <v>-8.9789740000000007E-2</v>
      </c>
      <c r="S873">
        <v>2.9771420000000002</v>
      </c>
      <c r="T873">
        <v>-0.20759920000000001</v>
      </c>
      <c r="U873">
        <v>-0.85249330000000001</v>
      </c>
      <c r="V873">
        <v>-6.8971050000000006E-2</v>
      </c>
      <c r="W873">
        <v>0.1246632</v>
      </c>
      <c r="X873">
        <v>0.98979899999999998</v>
      </c>
      <c r="Y873">
        <v>0.1220957</v>
      </c>
      <c r="Z873">
        <v>6.3872919999999897E-3</v>
      </c>
      <c r="AA873">
        <v>0.99249779999999999</v>
      </c>
      <c r="AB873">
        <v>32</v>
      </c>
      <c r="AC873">
        <v>0.584699999999997</v>
      </c>
      <c r="AD873">
        <v>-6.3783000000000104E-2</v>
      </c>
      <c r="AE873">
        <v>-0.20799999999999799</v>
      </c>
      <c r="AF873">
        <v>0.11309666857435199</v>
      </c>
      <c r="AG873">
        <v>-6.3783000000000104E-2</v>
      </c>
      <c r="AH873">
        <v>0.60360402629909005</v>
      </c>
      <c r="AI873">
        <v>95.929640980666804</v>
      </c>
      <c r="AJ873">
        <v>79.387597035683001</v>
      </c>
      <c r="AK873">
        <v>0.61741149009075802</v>
      </c>
      <c r="AL873">
        <v>82.838693497588693</v>
      </c>
      <c r="AM873">
        <v>93.986034186250606</v>
      </c>
      <c r="AN873">
        <v>0.99999998978667104</v>
      </c>
    </row>
    <row r="874" spans="1:40" x14ac:dyDescent="0.3">
      <c r="A874" t="str">
        <f>"20200111150307219"</f>
        <v>20200111150307219</v>
      </c>
      <c r="B874" t="str">
        <f>"1578726187208311"</f>
        <v>1578726187208311</v>
      </c>
      <c r="C874" t="s">
        <v>40</v>
      </c>
      <c r="D874">
        <v>5.4325330000000003</v>
      </c>
      <c r="E874">
        <v>0.57529249999999998</v>
      </c>
      <c r="F874" t="s">
        <v>42</v>
      </c>
      <c r="G874">
        <v>-469.44940000000003</v>
      </c>
      <c r="H874">
        <v>1.1163400000000001</v>
      </c>
      <c r="I874">
        <v>220.13640000000001</v>
      </c>
      <c r="J874">
        <v>-470.01679999999999</v>
      </c>
      <c r="K874">
        <v>1.178261</v>
      </c>
      <c r="L874">
        <v>220.33690000000001</v>
      </c>
      <c r="M874">
        <v>0.98734140000000004</v>
      </c>
      <c r="N874">
        <v>0</v>
      </c>
      <c r="O874">
        <v>-0.15754889999999999</v>
      </c>
      <c r="P874">
        <v>0.98961469999999896</v>
      </c>
      <c r="Q874">
        <v>0.1093745</v>
      </c>
      <c r="R874">
        <v>-9.3274759999999998E-2</v>
      </c>
      <c r="S874">
        <v>2.9758610000000001</v>
      </c>
      <c r="T874">
        <v>-0.21393719999999999</v>
      </c>
      <c r="U874">
        <v>-0.85894780000000004</v>
      </c>
      <c r="V874">
        <v>-6.7428989999999994E-2</v>
      </c>
      <c r="W874">
        <v>0.12565809999999999</v>
      </c>
      <c r="X874">
        <v>0.98977950000000003</v>
      </c>
      <c r="Y874">
        <v>0.1225382</v>
      </c>
      <c r="Z874">
        <v>6.6809019999999998E-3</v>
      </c>
      <c r="AA874">
        <v>0.99244129999999997</v>
      </c>
      <c r="AB874">
        <v>32</v>
      </c>
      <c r="AC874">
        <v>0.56739999999996305</v>
      </c>
      <c r="AD874">
        <v>-6.1921000000000101E-2</v>
      </c>
      <c r="AE874">
        <v>-0.20050000000000501</v>
      </c>
      <c r="AF874">
        <v>0.107449285598244</v>
      </c>
      <c r="AG874">
        <v>-6.1921000000000101E-2</v>
      </c>
      <c r="AH874">
        <v>0.58570413058021698</v>
      </c>
      <c r="AI874">
        <v>95.936581587100207</v>
      </c>
      <c r="AJ874">
        <v>79.604498881384302</v>
      </c>
      <c r="AK874">
        <v>0.59868930823533195</v>
      </c>
      <c r="AL874">
        <v>82.781238506483305</v>
      </c>
      <c r="AM874">
        <v>93.897268422846096</v>
      </c>
      <c r="AN874">
        <v>1.00000004270413</v>
      </c>
    </row>
    <row r="875" spans="1:40" x14ac:dyDescent="0.3">
      <c r="A875" t="str">
        <f>"20200111150307242"</f>
        <v>20200111150307242</v>
      </c>
      <c r="B875" t="str">
        <f>"1578726187237590"</f>
        <v>1578726187237590</v>
      </c>
      <c r="C875" t="s">
        <v>40</v>
      </c>
      <c r="D875">
        <v>5.4838209999999998</v>
      </c>
      <c r="E875">
        <v>0.57537989999999894</v>
      </c>
      <c r="F875" t="s">
        <v>56</v>
      </c>
      <c r="G875">
        <v>-453.56029999999998</v>
      </c>
      <c r="H875" s="1">
        <v>3.1722080000000002E-7</v>
      </c>
      <c r="I875">
        <v>215.54519999999999</v>
      </c>
      <c r="J875">
        <v>-469.69470000000001</v>
      </c>
      <c r="K875">
        <v>1.177322</v>
      </c>
      <c r="L875">
        <v>220.2824</v>
      </c>
      <c r="M875">
        <v>0.98708810000000002</v>
      </c>
      <c r="N875">
        <v>0</v>
      </c>
      <c r="O875">
        <v>-0.159101399999999</v>
      </c>
      <c r="P875">
        <v>0.98900580000000005</v>
      </c>
      <c r="Q875">
        <v>0.11012859999999999</v>
      </c>
      <c r="R875">
        <v>-9.8687430000000007E-2</v>
      </c>
      <c r="S875">
        <v>2.9734189999999998</v>
      </c>
      <c r="T875">
        <v>-0.21289240000000001</v>
      </c>
      <c r="U875">
        <v>-0.86578369999999905</v>
      </c>
      <c r="V875">
        <v>-6.3823329999999998E-2</v>
      </c>
      <c r="W875">
        <v>0.1266254</v>
      </c>
      <c r="X875">
        <v>0.98989519999999998</v>
      </c>
      <c r="Y875">
        <v>0.1232996</v>
      </c>
      <c r="Z875">
        <v>6.730906E-3</v>
      </c>
      <c r="AA875">
        <v>0.99234659999999997</v>
      </c>
      <c r="AB875">
        <v>32</v>
      </c>
      <c r="AC875">
        <v>16.134399999999999</v>
      </c>
      <c r="AD875">
        <v>-1.1773216827791999</v>
      </c>
      <c r="AE875">
        <v>-4.7371999999999996</v>
      </c>
      <c r="AF875">
        <v>2.09910101123014</v>
      </c>
      <c r="AG875">
        <v>-1.1773216827791999</v>
      </c>
      <c r="AH875">
        <v>16.601258409626698</v>
      </c>
      <c r="AI875">
        <v>94.024551350747203</v>
      </c>
      <c r="AJ875">
        <v>82.793632761402407</v>
      </c>
      <c r="AK875">
        <v>16.774805280041001</v>
      </c>
      <c r="AL875">
        <v>82.725369416195704</v>
      </c>
      <c r="AM875">
        <v>93.689029831603904</v>
      </c>
      <c r="AN875">
        <v>0.99999995818024301</v>
      </c>
    </row>
    <row r="876" spans="1:40" x14ac:dyDescent="0.3">
      <c r="A876" t="str">
        <f>"20200111150307261"</f>
        <v>20200111150307261</v>
      </c>
      <c r="B876" t="str">
        <f>"1578726187258085"</f>
        <v>1578726187258085</v>
      </c>
      <c r="C876" t="s">
        <v>40</v>
      </c>
      <c r="D876">
        <v>5.4575950000000004</v>
      </c>
      <c r="E876">
        <v>0.57509449999999995</v>
      </c>
      <c r="F876" t="s">
        <v>56</v>
      </c>
      <c r="G876">
        <v>-453.59530000000001</v>
      </c>
      <c r="H876" s="1">
        <v>3.3734890000000002E-7</v>
      </c>
      <c r="I876">
        <v>215.51140000000001</v>
      </c>
      <c r="J876">
        <v>-469.41629999999998</v>
      </c>
      <c r="K876">
        <v>1.1764079999999999</v>
      </c>
      <c r="L876">
        <v>220.2347</v>
      </c>
      <c r="M876">
        <v>0.98687329999999995</v>
      </c>
      <c r="N876">
        <v>0</v>
      </c>
      <c r="O876">
        <v>-0.16042379999999901</v>
      </c>
      <c r="P876">
        <v>0.98853279999999999</v>
      </c>
      <c r="Q876">
        <v>0.1107655</v>
      </c>
      <c r="R876">
        <v>-0.1026344</v>
      </c>
      <c r="S876">
        <v>2.9697269999999998</v>
      </c>
      <c r="T876">
        <v>-0.2171717</v>
      </c>
      <c r="U876">
        <v>-0.88006589999999996</v>
      </c>
      <c r="V876">
        <v>-6.1402150000000003E-2</v>
      </c>
      <c r="W876">
        <v>0.12728339999999999</v>
      </c>
      <c r="X876">
        <v>0.98996399999999996</v>
      </c>
      <c r="Y876">
        <v>0.12669149999999901</v>
      </c>
      <c r="Z876">
        <v>6.8397409999999999E-3</v>
      </c>
      <c r="AA876">
        <v>0.99191859999999998</v>
      </c>
      <c r="AB876">
        <v>32</v>
      </c>
      <c r="AC876">
        <v>15.8209999999999</v>
      </c>
      <c r="AD876">
        <v>-1.1764076626511</v>
      </c>
      <c r="AE876">
        <v>-4.7232999999999903</v>
      </c>
      <c r="AF876">
        <v>2.1128742836016898</v>
      </c>
      <c r="AG876">
        <v>-1.1764076626511</v>
      </c>
      <c r="AH876">
        <v>16.291176483971402</v>
      </c>
      <c r="AI876">
        <v>94.096048703222493</v>
      </c>
      <c r="AJ876">
        <v>82.610307401764004</v>
      </c>
      <c r="AK876">
        <v>16.469687427481801</v>
      </c>
      <c r="AL876">
        <v>82.687361591378504</v>
      </c>
      <c r="AM876">
        <v>93.549202811825296</v>
      </c>
      <c r="AN876">
        <v>1.0000000046180899</v>
      </c>
    </row>
    <row r="877" spans="1:40" x14ac:dyDescent="0.3">
      <c r="A877" t="str">
        <f>"20200111150307284"</f>
        <v>20200111150307284</v>
      </c>
      <c r="B877" t="str">
        <f>"1578726187277606"</f>
        <v>1578726187277606</v>
      </c>
      <c r="C877" t="s">
        <v>40</v>
      </c>
      <c r="D877">
        <v>5.5127730000000001</v>
      </c>
      <c r="E877">
        <v>0.57451300000000005</v>
      </c>
      <c r="F877" t="s">
        <v>56</v>
      </c>
      <c r="G877">
        <v>-453.44670000000002</v>
      </c>
      <c r="H877" s="1">
        <v>2.6096859999999999E-7</v>
      </c>
      <c r="I877">
        <v>215.4496</v>
      </c>
      <c r="J877">
        <v>-469.09750000000003</v>
      </c>
      <c r="K877">
        <v>1.1753229999999999</v>
      </c>
      <c r="L877">
        <v>220.17949999999999</v>
      </c>
      <c r="M877">
        <v>0.98657819999999996</v>
      </c>
      <c r="N877">
        <v>0</v>
      </c>
      <c r="O877">
        <v>-0.1622362</v>
      </c>
      <c r="P877">
        <v>0.98814349999999995</v>
      </c>
      <c r="Q877">
        <v>0.11183410000000001</v>
      </c>
      <c r="R877">
        <v>-0.1051943</v>
      </c>
      <c r="S877">
        <v>2.9670100000000001</v>
      </c>
      <c r="T877">
        <v>-0.21856709999999999</v>
      </c>
      <c r="U877">
        <v>-0.88903809999999905</v>
      </c>
      <c r="V877">
        <v>-6.0902949999999997E-2</v>
      </c>
      <c r="W877">
        <v>0.12820699999999999</v>
      </c>
      <c r="X877">
        <v>0.98987559999999997</v>
      </c>
      <c r="Y877">
        <v>0.12787419999999999</v>
      </c>
      <c r="Z877">
        <v>6.9711039999999997E-3</v>
      </c>
      <c r="AA877">
        <v>0.99176589999999998</v>
      </c>
      <c r="AB877">
        <v>32</v>
      </c>
      <c r="AC877">
        <v>15.6508</v>
      </c>
      <c r="AD877">
        <v>-1.1753227390313901</v>
      </c>
      <c r="AE877">
        <v>-4.7298999999999802</v>
      </c>
      <c r="AF877">
        <v>2.11671648368627</v>
      </c>
      <c r="AG877">
        <v>-1.1753227390313901</v>
      </c>
      <c r="AH877">
        <v>16.1275387876303</v>
      </c>
      <c r="AI877">
        <v>94.132841835735803</v>
      </c>
      <c r="AJ877">
        <v>82.522749958732803</v>
      </c>
      <c r="AK877">
        <v>16.308261083258198</v>
      </c>
      <c r="AL877">
        <v>82.634005690646006</v>
      </c>
      <c r="AM877">
        <v>93.520734224711504</v>
      </c>
      <c r="AN877">
        <v>0.99999995382152995</v>
      </c>
    </row>
    <row r="878" spans="1:40" x14ac:dyDescent="0.3">
      <c r="A878" t="str">
        <f>"20200111150307306"</f>
        <v>20200111150307306</v>
      </c>
      <c r="B878" t="str">
        <f>"1578726187298102"</f>
        <v>1578726187298102</v>
      </c>
      <c r="C878" t="s">
        <v>40</v>
      </c>
      <c r="D878">
        <v>5.5666169999999999</v>
      </c>
      <c r="E878">
        <v>0.57379669999999905</v>
      </c>
      <c r="F878" t="s">
        <v>56</v>
      </c>
      <c r="G878">
        <v>-453.0745</v>
      </c>
      <c r="H878" s="1">
        <v>6.6790770000000005E-8</v>
      </c>
      <c r="I878">
        <v>215.3605</v>
      </c>
      <c r="J878">
        <v>-468.78629999999998</v>
      </c>
      <c r="K878">
        <v>1.1742349999999999</v>
      </c>
      <c r="L878">
        <v>220.1249</v>
      </c>
      <c r="M878">
        <v>0.98620649999999999</v>
      </c>
      <c r="N878">
        <v>0</v>
      </c>
      <c r="O878">
        <v>-0.16449229999999901</v>
      </c>
      <c r="P878">
        <v>0.98761540000000003</v>
      </c>
      <c r="Q878">
        <v>0.1138256</v>
      </c>
      <c r="R878">
        <v>-0.1079808</v>
      </c>
      <c r="S878">
        <v>2.965668</v>
      </c>
      <c r="T878">
        <v>-0.21753919999999999</v>
      </c>
      <c r="U878">
        <v>-0.89193729999999904</v>
      </c>
      <c r="V878">
        <v>-6.0625779999999997E-2</v>
      </c>
      <c r="W878">
        <v>0.12999910000000001</v>
      </c>
      <c r="X878">
        <v>0.98965890000000001</v>
      </c>
      <c r="Y878">
        <v>0.1266264</v>
      </c>
      <c r="Z878">
        <v>7.1430720000000003E-3</v>
      </c>
      <c r="AA878">
        <v>0.99192480000000005</v>
      </c>
      <c r="AB878">
        <v>32</v>
      </c>
      <c r="AC878">
        <v>15.711799999999901</v>
      </c>
      <c r="AD878">
        <v>-1.1742349332092299</v>
      </c>
      <c r="AE878">
        <v>-4.7643999999999904</v>
      </c>
      <c r="AF878">
        <v>2.10380940430196</v>
      </c>
      <c r="AG878">
        <v>-1.1742349332092299</v>
      </c>
      <c r="AH878">
        <v>16.198688600568701</v>
      </c>
      <c r="AI878">
        <v>94.111678579135202</v>
      </c>
      <c r="AJ878">
        <v>82.600114504641795</v>
      </c>
      <c r="AK878">
        <v>16.376884748516598</v>
      </c>
      <c r="AL878">
        <v>82.530459651869194</v>
      </c>
      <c r="AM878">
        <v>93.505516855951598</v>
      </c>
      <c r="AN878">
        <v>0.99999999477531398</v>
      </c>
    </row>
    <row r="879" spans="1:40" x14ac:dyDescent="0.3">
      <c r="A879" t="str">
        <f>"20200111150307328"</f>
        <v>20200111150307328</v>
      </c>
      <c r="B879" t="str">
        <f>"1578726187317622"</f>
        <v>1578726187317622</v>
      </c>
      <c r="C879" t="s">
        <v>40</v>
      </c>
      <c r="D879">
        <v>5.535412</v>
      </c>
      <c r="E879">
        <v>0.57340789999999997</v>
      </c>
      <c r="F879" t="s">
        <v>56</v>
      </c>
      <c r="G879">
        <v>-452.65050000000002</v>
      </c>
      <c r="H879" s="1">
        <v>-1.546385E-7</v>
      </c>
      <c r="I879">
        <v>215.2645</v>
      </c>
      <c r="J879">
        <v>-468.48099999999999</v>
      </c>
      <c r="K879">
        <v>1.173074</v>
      </c>
      <c r="L879">
        <v>220.07060000000001</v>
      </c>
      <c r="M879">
        <v>0.98578129999999997</v>
      </c>
      <c r="N879">
        <v>0</v>
      </c>
      <c r="O879">
        <v>-0.16704189999999999</v>
      </c>
      <c r="P879">
        <v>0.98711369999999998</v>
      </c>
      <c r="Q879">
        <v>0.11568970000000001</v>
      </c>
      <c r="R879">
        <v>-0.11055479999999999</v>
      </c>
      <c r="S879">
        <v>2.9648439999999998</v>
      </c>
      <c r="T879">
        <v>-0.2157588</v>
      </c>
      <c r="U879">
        <v>-0.89308169999999898</v>
      </c>
      <c r="V879">
        <v>-6.0813430000000002E-2</v>
      </c>
      <c r="W879">
        <v>0.13159360000000001</v>
      </c>
      <c r="X879">
        <v>0.9894366</v>
      </c>
      <c r="Y879">
        <v>0.1244984</v>
      </c>
      <c r="Z879">
        <v>7.33900099999999E-3</v>
      </c>
      <c r="AA879">
        <v>0.99219270000000004</v>
      </c>
      <c r="AB879">
        <v>32</v>
      </c>
      <c r="AC879">
        <v>15.830499999999899</v>
      </c>
      <c r="AD879">
        <v>-1.1730741546385</v>
      </c>
      <c r="AE879">
        <v>-4.8061000000000096</v>
      </c>
      <c r="AF879">
        <v>2.0832803981936001</v>
      </c>
      <c r="AG879">
        <v>-1.1730741546385</v>
      </c>
      <c r="AH879">
        <v>16.328860401061799</v>
      </c>
      <c r="AI879">
        <v>94.076172348396696</v>
      </c>
      <c r="AJ879">
        <v>82.729327999403395</v>
      </c>
      <c r="AK879">
        <v>16.502964648424399</v>
      </c>
      <c r="AL879">
        <v>82.438309675318493</v>
      </c>
      <c r="AM879">
        <v>93.517128056589101</v>
      </c>
      <c r="AN879">
        <v>0.99999996712444195</v>
      </c>
    </row>
    <row r="880" spans="1:40" x14ac:dyDescent="0.3">
      <c r="A880" t="str">
        <f>"20200111150307352"</f>
        <v>20200111150307352</v>
      </c>
      <c r="B880" t="str">
        <f>"1578726187347878"</f>
        <v>1578726187347878</v>
      </c>
      <c r="C880" t="s">
        <v>40</v>
      </c>
      <c r="D880">
        <v>5.47959</v>
      </c>
      <c r="E880">
        <v>0.57286669999999995</v>
      </c>
      <c r="F880" t="s">
        <v>56</v>
      </c>
      <c r="G880">
        <v>-452.04140000000001</v>
      </c>
      <c r="H880" s="1">
        <v>-4.7137799999999997E-7</v>
      </c>
      <c r="I880">
        <v>215.09540000000001</v>
      </c>
      <c r="J880">
        <v>-468.16030000000001</v>
      </c>
      <c r="K880">
        <v>1.171727</v>
      </c>
      <c r="L880">
        <v>220.01249999999999</v>
      </c>
      <c r="M880">
        <v>0.98530490000000004</v>
      </c>
      <c r="N880">
        <v>0</v>
      </c>
      <c r="O880">
        <v>-0.16986119999999999</v>
      </c>
      <c r="P880">
        <v>0.98677590000000004</v>
      </c>
      <c r="Q880">
        <v>0.116813899999999</v>
      </c>
      <c r="R880">
        <v>-0.11237560000000001</v>
      </c>
      <c r="S880">
        <v>2.9635009999999999</v>
      </c>
      <c r="T880">
        <v>-0.2114664</v>
      </c>
      <c r="U880">
        <v>-0.89686580000000005</v>
      </c>
      <c r="V880">
        <v>-6.1959889999999997E-2</v>
      </c>
      <c r="W880">
        <v>0.13232720000000001</v>
      </c>
      <c r="X880">
        <v>0.98926760000000002</v>
      </c>
      <c r="Y880">
        <v>0.12295200000000001</v>
      </c>
      <c r="Z880">
        <v>7.4407049999999997E-3</v>
      </c>
      <c r="AA880">
        <v>0.99238470000000001</v>
      </c>
      <c r="AB880">
        <v>32</v>
      </c>
      <c r="AC880">
        <v>16.118899999999901</v>
      </c>
      <c r="AD880">
        <v>-1.1717274713779999</v>
      </c>
      <c r="AE880">
        <v>-4.9170999999999703</v>
      </c>
      <c r="AF880">
        <v>2.0970677121302899</v>
      </c>
      <c r="AG880">
        <v>-1.1717274713779999</v>
      </c>
      <c r="AH880">
        <v>16.639501509631302</v>
      </c>
      <c r="AI880">
        <v>93.996518756551396</v>
      </c>
      <c r="AJ880">
        <v>82.816913664924598</v>
      </c>
      <c r="AK880">
        <v>16.812009063329199</v>
      </c>
      <c r="AL880">
        <v>82.395906544258807</v>
      </c>
      <c r="AM880">
        <v>93.583872639778605</v>
      </c>
      <c r="AN880">
        <v>0.99999995011920395</v>
      </c>
    </row>
    <row r="881" spans="1:40" x14ac:dyDescent="0.3">
      <c r="A881" t="str">
        <f>"20200111150307372"</f>
        <v>20200111150307372</v>
      </c>
      <c r="B881" t="str">
        <f>"1578726187367611"</f>
        <v>1578726187367611</v>
      </c>
      <c r="C881" t="s">
        <v>40</v>
      </c>
      <c r="D881">
        <v>5.5524979999999999</v>
      </c>
      <c r="E881">
        <v>0.57263090000000005</v>
      </c>
      <c r="F881" t="s">
        <v>42</v>
      </c>
      <c r="G881">
        <v>-467.22</v>
      </c>
      <c r="H881">
        <v>1.1049209999999901</v>
      </c>
      <c r="I881">
        <v>219.7276</v>
      </c>
      <c r="J881">
        <v>-467.87150000000003</v>
      </c>
      <c r="K881">
        <v>1.170482</v>
      </c>
      <c r="L881">
        <v>219.95920000000001</v>
      </c>
      <c r="M881">
        <v>0.98486079999999998</v>
      </c>
      <c r="N881">
        <v>0</v>
      </c>
      <c r="O881">
        <v>-0.17245050000000001</v>
      </c>
      <c r="P881">
        <v>0.98657910000000004</v>
      </c>
      <c r="Q881">
        <v>0.1171577</v>
      </c>
      <c r="R881">
        <v>-0.1137364</v>
      </c>
      <c r="S881">
        <v>2.96286</v>
      </c>
      <c r="T881">
        <v>-0.2106045</v>
      </c>
      <c r="U881">
        <v>-0.89778139999999995</v>
      </c>
      <c r="V881">
        <v>-6.3270309999999996E-2</v>
      </c>
      <c r="W881">
        <v>0.1322662</v>
      </c>
      <c r="X881">
        <v>0.98919279999999998</v>
      </c>
      <c r="Y881">
        <v>0.1206946</v>
      </c>
      <c r="Z881">
        <v>7.6654409999999899E-3</v>
      </c>
      <c r="AA881">
        <v>0.99266010000000005</v>
      </c>
      <c r="AB881">
        <v>32</v>
      </c>
      <c r="AC881">
        <v>0.65149999999999797</v>
      </c>
      <c r="AD881">
        <v>-6.5561000000000202E-2</v>
      </c>
      <c r="AE881">
        <v>-0.23160000000001399</v>
      </c>
      <c r="AF881">
        <v>0.11472874505679299</v>
      </c>
      <c r="AG881">
        <v>-6.5561000000000202E-2</v>
      </c>
      <c r="AH881">
        <v>0.67560801554783501</v>
      </c>
      <c r="AI881">
        <v>95.464875510575098</v>
      </c>
      <c r="AJ881">
        <v>80.362226500067194</v>
      </c>
      <c r="AK881">
        <v>0.68840912278658195</v>
      </c>
      <c r="AL881">
        <v>82.399432485179503</v>
      </c>
      <c r="AM881">
        <v>93.659741837802102</v>
      </c>
      <c r="AN881">
        <v>0.99999993768088602</v>
      </c>
    </row>
    <row r="882" spans="1:40" x14ac:dyDescent="0.3">
      <c r="A882" t="str">
        <f>"20200111150307395"</f>
        <v>20200111150307395</v>
      </c>
      <c r="B882" t="str">
        <f>"1578726187388107"</f>
        <v>1578726187388107</v>
      </c>
      <c r="C882" t="s">
        <v>40</v>
      </c>
      <c r="D882">
        <v>5.5412339999999896</v>
      </c>
      <c r="E882">
        <v>0.57241819999999999</v>
      </c>
      <c r="F882" t="s">
        <v>42</v>
      </c>
      <c r="G882">
        <v>-466.94220000000001</v>
      </c>
      <c r="H882">
        <v>1.1044989999999999</v>
      </c>
      <c r="I882">
        <v>219.67660000000001</v>
      </c>
      <c r="J882">
        <v>-467.55220000000003</v>
      </c>
      <c r="K882">
        <v>1.169173</v>
      </c>
      <c r="L882">
        <v>219.89920000000001</v>
      </c>
      <c r="M882">
        <v>0.984348</v>
      </c>
      <c r="N882">
        <v>0</v>
      </c>
      <c r="O882">
        <v>-0.175392299999999</v>
      </c>
      <c r="P882">
        <v>0.98613759999999995</v>
      </c>
      <c r="Q882">
        <v>0.11798980000000001</v>
      </c>
      <c r="R882">
        <v>-0.1166672</v>
      </c>
      <c r="S882">
        <v>2.9620669999999998</v>
      </c>
      <c r="T882">
        <v>-0.21014550000000001</v>
      </c>
      <c r="U882">
        <v>-0.89962770000000003</v>
      </c>
      <c r="V882">
        <v>-6.335412E-2</v>
      </c>
      <c r="W882">
        <v>0.13267229999999999</v>
      </c>
      <c r="X882">
        <v>0.98913309999999999</v>
      </c>
      <c r="Y882">
        <v>0.1183811</v>
      </c>
      <c r="Z882">
        <v>7.9289080000000001E-3</v>
      </c>
      <c r="AA882">
        <v>0.99293659999999995</v>
      </c>
      <c r="AB882">
        <v>32</v>
      </c>
      <c r="AC882">
        <v>0.61000000000001298</v>
      </c>
      <c r="AD882">
        <v>-6.4674000000000106E-2</v>
      </c>
      <c r="AE882">
        <v>-0.22259999999999899</v>
      </c>
      <c r="AF882">
        <v>0.111041670998097</v>
      </c>
      <c r="AG882">
        <v>-6.4674000000000106E-2</v>
      </c>
      <c r="AH882">
        <v>0.63330711744246004</v>
      </c>
      <c r="AI882">
        <v>95.743869091169202</v>
      </c>
      <c r="AJ882">
        <v>80.055064448331095</v>
      </c>
      <c r="AK882">
        <v>0.64621272347217595</v>
      </c>
      <c r="AL882">
        <v>82.375958162942396</v>
      </c>
      <c r="AM882">
        <v>93.664797030763793</v>
      </c>
      <c r="AN882">
        <v>0.99999998661193701</v>
      </c>
    </row>
    <row r="883" spans="1:40" x14ac:dyDescent="0.3">
      <c r="A883" t="str">
        <f>"20200111150307418"</f>
        <v>20200111150307418</v>
      </c>
      <c r="B883" t="str">
        <f>"1578726187407627"</f>
        <v>1578726187407627</v>
      </c>
      <c r="C883" t="s">
        <v>40</v>
      </c>
      <c r="D883">
        <v>5.5582120000000002</v>
      </c>
      <c r="E883">
        <v>0.57219229999999999</v>
      </c>
      <c r="F883" t="s">
        <v>42</v>
      </c>
      <c r="G883">
        <v>-466.66239999999999</v>
      </c>
      <c r="H883">
        <v>1.1067819999999999</v>
      </c>
      <c r="I883">
        <v>219.6267</v>
      </c>
      <c r="J883">
        <v>-467.23480000000001</v>
      </c>
      <c r="K883">
        <v>1.1679820000000001</v>
      </c>
      <c r="L883">
        <v>219.8383</v>
      </c>
      <c r="M883">
        <v>0.98379890000000003</v>
      </c>
      <c r="N883">
        <v>0</v>
      </c>
      <c r="O883">
        <v>-0.1784857</v>
      </c>
      <c r="P883">
        <v>0.98560219999999998</v>
      </c>
      <c r="Q883">
        <v>0.11834409999999999</v>
      </c>
      <c r="R883">
        <v>-0.12076199999999999</v>
      </c>
      <c r="S883">
        <v>2.9598080000000002</v>
      </c>
      <c r="T883">
        <v>-0.20743780000000001</v>
      </c>
      <c r="U883">
        <v>-0.90608219999999995</v>
      </c>
      <c r="V883">
        <v>-6.240308E-2</v>
      </c>
      <c r="W883">
        <v>0.132634</v>
      </c>
      <c r="X883">
        <v>0.98919869999999999</v>
      </c>
      <c r="Y883">
        <v>0.1174581</v>
      </c>
      <c r="Z883">
        <v>8.0676110000000006E-3</v>
      </c>
      <c r="AA883">
        <v>0.99304510000000001</v>
      </c>
      <c r="AB883">
        <v>32</v>
      </c>
      <c r="AC883">
        <v>0.57240000000001601</v>
      </c>
      <c r="AD883">
        <v>-6.1200000000000102E-2</v>
      </c>
      <c r="AE883">
        <v>-0.21160000000000401</v>
      </c>
      <c r="AF883">
        <v>0.104965956913569</v>
      </c>
      <c r="AG883">
        <v>-6.1200000000000102E-2</v>
      </c>
      <c r="AH883">
        <v>0.594995039071056</v>
      </c>
      <c r="AI883">
        <v>95.783980948507306</v>
      </c>
      <c r="AJ883">
        <v>79.995117685100098</v>
      </c>
      <c r="AK883">
        <v>0.60727455786484996</v>
      </c>
      <c r="AL883">
        <v>82.378172223424301</v>
      </c>
      <c r="AM883">
        <v>93.609690766803496</v>
      </c>
      <c r="AN883">
        <v>0.99999999521558802</v>
      </c>
    </row>
    <row r="884" spans="1:40" x14ac:dyDescent="0.3">
      <c r="A884" t="str">
        <f>"20200111150307441"</f>
        <v>20200111150307441</v>
      </c>
      <c r="B884" t="str">
        <f>"1578726187437882"</f>
        <v>1578726187437882</v>
      </c>
      <c r="C884" t="s">
        <v>40</v>
      </c>
      <c r="D884">
        <v>5.5652809999999997</v>
      </c>
      <c r="E884">
        <v>0.57178830000000003</v>
      </c>
      <c r="F884" t="s">
        <v>56</v>
      </c>
      <c r="G884">
        <v>-450.471</v>
      </c>
      <c r="H884" s="1">
        <v>-1.287296E-6</v>
      </c>
      <c r="I884">
        <v>214.64259999999999</v>
      </c>
      <c r="J884">
        <v>-466.91329999999999</v>
      </c>
      <c r="K884">
        <v>1.166893</v>
      </c>
      <c r="L884">
        <v>219.7756</v>
      </c>
      <c r="M884">
        <v>0.98319449999999997</v>
      </c>
      <c r="N884">
        <v>0</v>
      </c>
      <c r="O884">
        <v>-0.18182290000000001</v>
      </c>
      <c r="P884">
        <v>0.98504769999999997</v>
      </c>
      <c r="Q884">
        <v>0.11860420000000001</v>
      </c>
      <c r="R884">
        <v>-0.1249575</v>
      </c>
      <c r="S884">
        <v>2.956299</v>
      </c>
      <c r="T884">
        <v>-0.2059744</v>
      </c>
      <c r="U884">
        <v>-0.91627499999999995</v>
      </c>
      <c r="V884">
        <v>-6.1584859999999998E-2</v>
      </c>
      <c r="W884">
        <v>0.13249929999999999</v>
      </c>
      <c r="X884">
        <v>0.98926809999999998</v>
      </c>
      <c r="Y884">
        <v>0.1175515</v>
      </c>
      <c r="Z884">
        <v>8.23283E-3</v>
      </c>
      <c r="AA884">
        <v>0.99303269999999999</v>
      </c>
      <c r="AB884">
        <v>32</v>
      </c>
      <c r="AC884">
        <v>16.4422999999999</v>
      </c>
      <c r="AD884">
        <v>-1.166894287296</v>
      </c>
      <c r="AE884">
        <v>-5.1330000000000098</v>
      </c>
      <c r="AF884">
        <v>2.0480283576407601</v>
      </c>
      <c r="AG884">
        <v>-1.166894287296</v>
      </c>
      <c r="AH884">
        <v>17.0234499038027</v>
      </c>
      <c r="AI884">
        <v>93.893292631791198</v>
      </c>
      <c r="AJ884">
        <v>83.139926358765393</v>
      </c>
      <c r="AK884">
        <v>17.185863640175398</v>
      </c>
      <c r="AL884">
        <v>82.385959234164702</v>
      </c>
      <c r="AM884">
        <v>93.562234454038006</v>
      </c>
      <c r="AN884">
        <v>1.00000006657965</v>
      </c>
    </row>
    <row r="885" spans="1:40" x14ac:dyDescent="0.3">
      <c r="A885" t="str">
        <f>"20200111150307463"</f>
        <v>20200111150307463</v>
      </c>
      <c r="B885" t="str">
        <f>"1578726187458379"</f>
        <v>1578726187458379</v>
      </c>
      <c r="C885" t="s">
        <v>40</v>
      </c>
      <c r="D885">
        <v>5.5268730000000001</v>
      </c>
      <c r="E885">
        <v>0.57160469999999997</v>
      </c>
      <c r="F885" t="s">
        <v>56</v>
      </c>
      <c r="G885">
        <v>-450.15589999999997</v>
      </c>
      <c r="H885" s="1">
        <v>-1.449583E-6</v>
      </c>
      <c r="I885">
        <v>214.51910000000001</v>
      </c>
      <c r="J885">
        <v>-466.61529999999999</v>
      </c>
      <c r="K885">
        <v>1.165983</v>
      </c>
      <c r="L885">
        <v>219.71639999999999</v>
      </c>
      <c r="M885">
        <v>0.98259249999999998</v>
      </c>
      <c r="N885">
        <v>0</v>
      </c>
      <c r="O885">
        <v>-0.18508060000000001</v>
      </c>
      <c r="P885">
        <v>0.98450859999999996</v>
      </c>
      <c r="Q885">
        <v>0.1192261</v>
      </c>
      <c r="R885">
        <v>-0.1285627</v>
      </c>
      <c r="S885">
        <v>2.9527589999999999</v>
      </c>
      <c r="T885">
        <v>-0.2056144</v>
      </c>
      <c r="U885">
        <v>-0.92622380000000004</v>
      </c>
      <c r="V885">
        <v>-6.1273750000000002E-2</v>
      </c>
      <c r="W885">
        <v>0.13275689999999901</v>
      </c>
      <c r="X885">
        <v>0.98925280000000004</v>
      </c>
      <c r="Y885">
        <v>0.11765299999999999</v>
      </c>
      <c r="Z885">
        <v>8.4347620000000002E-3</v>
      </c>
      <c r="AA885">
        <v>0.99301890000000004</v>
      </c>
      <c r="AB885">
        <v>32</v>
      </c>
      <c r="AC885">
        <v>16.459399999999999</v>
      </c>
      <c r="AD885">
        <v>-1.1659844495829901</v>
      </c>
      <c r="AE885">
        <v>-5.1972999999999798</v>
      </c>
      <c r="AF885">
        <v>2.05141609875007</v>
      </c>
      <c r="AG885">
        <v>-1.1659844495829901</v>
      </c>
      <c r="AH885">
        <v>17.059159630930498</v>
      </c>
      <c r="AI885">
        <v>93.882172237279903</v>
      </c>
      <c r="AJ885">
        <v>83.142933729757004</v>
      </c>
      <c r="AK885">
        <v>17.221578181468999</v>
      </c>
      <c r="AL885">
        <v>82.371067664886596</v>
      </c>
      <c r="AM885">
        <v>93.544339677551804</v>
      </c>
      <c r="AN885">
        <v>0.99999998462225603</v>
      </c>
    </row>
    <row r="886" spans="1:40" x14ac:dyDescent="0.3">
      <c r="A886" t="str">
        <f>"20200111150307485"</f>
        <v>20200111150307485</v>
      </c>
      <c r="B886" t="str">
        <f>"1578726187477901"</f>
        <v>1578726187477901</v>
      </c>
      <c r="C886" t="s">
        <v>40</v>
      </c>
      <c r="D886">
        <v>5.5950419999999896</v>
      </c>
      <c r="E886">
        <v>0.57140899999999994</v>
      </c>
      <c r="F886" t="s">
        <v>56</v>
      </c>
      <c r="G886">
        <v>-449.75319999999999</v>
      </c>
      <c r="H886" s="1">
        <v>3.6642500000000001E-6</v>
      </c>
      <c r="I886">
        <v>214.36760000000001</v>
      </c>
      <c r="J886">
        <v>-466.30360000000002</v>
      </c>
      <c r="K886">
        <v>1.165122</v>
      </c>
      <c r="L886">
        <v>219.6533</v>
      </c>
      <c r="M886">
        <v>0.98192760000000001</v>
      </c>
      <c r="N886">
        <v>0</v>
      </c>
      <c r="O886">
        <v>-0.18860689999999999</v>
      </c>
      <c r="P886">
        <v>0.98388140000000002</v>
      </c>
      <c r="Q886">
        <v>0.12028560000000001</v>
      </c>
      <c r="R886">
        <v>-0.13232079999999999</v>
      </c>
      <c r="S886">
        <v>2.949738</v>
      </c>
      <c r="T886">
        <v>-0.20396829999999999</v>
      </c>
      <c r="U886">
        <v>-0.93566890000000003</v>
      </c>
      <c r="V886">
        <v>-6.107692E-2</v>
      </c>
      <c r="W886">
        <v>0.133455399999999</v>
      </c>
      <c r="X886">
        <v>0.98917100000000002</v>
      </c>
      <c r="Y886">
        <v>0.1172772</v>
      </c>
      <c r="Z886">
        <v>8.6144800000000007E-3</v>
      </c>
      <c r="AA886">
        <v>0.99306179999999999</v>
      </c>
      <c r="AB886">
        <v>31</v>
      </c>
      <c r="AC886">
        <v>16.5504</v>
      </c>
      <c r="AD886">
        <v>-1.1651183357499999</v>
      </c>
      <c r="AE886">
        <v>-5.2856999999999896</v>
      </c>
      <c r="AF886">
        <v>2.0596465305628802</v>
      </c>
      <c r="AG886">
        <v>-1.1651183357499999</v>
      </c>
      <c r="AH886">
        <v>17.173101787793399</v>
      </c>
      <c r="AI886">
        <v>93.853781201938205</v>
      </c>
      <c r="AJ886">
        <v>83.160928997259404</v>
      </c>
      <c r="AK886">
        <v>17.335370477179701</v>
      </c>
      <c r="AL886">
        <v>82.330687371083101</v>
      </c>
      <c r="AM886">
        <v>93.533274482181994</v>
      </c>
      <c r="AN886">
        <v>1.00000000059342</v>
      </c>
    </row>
    <row r="887" spans="1:40" x14ac:dyDescent="0.3">
      <c r="A887" t="str">
        <f>"20200111150307508"</f>
        <v>20200111150307508</v>
      </c>
      <c r="B887" t="str">
        <f>"1578726187498395"</f>
        <v>1578726187498395</v>
      </c>
      <c r="C887" t="s">
        <v>40</v>
      </c>
      <c r="D887">
        <v>5.5806449999999996</v>
      </c>
      <c r="E887">
        <v>0.57125479999999995</v>
      </c>
      <c r="F887" t="s">
        <v>56</v>
      </c>
      <c r="G887">
        <v>-449.31420000000003</v>
      </c>
      <c r="H887" s="1">
        <v>3.4375149999999999E-6</v>
      </c>
      <c r="I887">
        <v>214.21029999999999</v>
      </c>
      <c r="J887">
        <v>-465.99329999999998</v>
      </c>
      <c r="K887">
        <v>1.164364</v>
      </c>
      <c r="L887">
        <v>219.58940000000001</v>
      </c>
      <c r="M887">
        <v>0.98123709999999997</v>
      </c>
      <c r="N887">
        <v>0</v>
      </c>
      <c r="O887">
        <v>-0.19219330000000001</v>
      </c>
      <c r="P887">
        <v>0.98337629999999998</v>
      </c>
      <c r="Q887">
        <v>0.1214147</v>
      </c>
      <c r="R887">
        <v>-0.13501659999999999</v>
      </c>
      <c r="S887">
        <v>2.9468380000000001</v>
      </c>
      <c r="T887">
        <v>-0.2020911</v>
      </c>
      <c r="U887">
        <v>-0.94410709999999998</v>
      </c>
      <c r="V887">
        <v>-6.2004459999999997E-2</v>
      </c>
      <c r="W887">
        <v>0.1342072</v>
      </c>
      <c r="X887">
        <v>0.98901159999999999</v>
      </c>
      <c r="Y887">
        <v>0.11651839999999999</v>
      </c>
      <c r="Z887">
        <v>8.7970530000000009E-3</v>
      </c>
      <c r="AA887">
        <v>0.99314959999999997</v>
      </c>
      <c r="AB887">
        <v>31</v>
      </c>
      <c r="AC887">
        <v>16.679099999999899</v>
      </c>
      <c r="AD887">
        <v>-1.164360562485</v>
      </c>
      <c r="AE887">
        <v>-5.3791000000000198</v>
      </c>
      <c r="AF887">
        <v>2.06369562368883</v>
      </c>
      <c r="AG887">
        <v>-1.164360562485</v>
      </c>
      <c r="AH887">
        <v>17.325548520256099</v>
      </c>
      <c r="AI887">
        <v>93.817864215822198</v>
      </c>
      <c r="AJ887">
        <v>83.207339696806997</v>
      </c>
      <c r="AK887">
        <v>17.486829520369099</v>
      </c>
      <c r="AL887">
        <v>82.287221657625096</v>
      </c>
      <c r="AM887">
        <v>93.587369829785004</v>
      </c>
      <c r="AN887">
        <v>1.00000003526314</v>
      </c>
    </row>
    <row r="888" spans="1:40" x14ac:dyDescent="0.3">
      <c r="A888" t="str">
        <f>"20200111150307530"</f>
        <v>20200111150307530</v>
      </c>
      <c r="B888" t="str">
        <f>"1578726187527676"</f>
        <v>1578726187527676</v>
      </c>
      <c r="C888" t="s">
        <v>40</v>
      </c>
      <c r="D888">
        <v>5.5637309999999998</v>
      </c>
      <c r="E888">
        <v>0.57095299999999904</v>
      </c>
      <c r="F888" t="s">
        <v>56</v>
      </c>
      <c r="G888">
        <v>-448.85059999999999</v>
      </c>
      <c r="H888" s="1">
        <v>3.197513E-6</v>
      </c>
      <c r="I888">
        <v>214.05760000000001</v>
      </c>
      <c r="J888">
        <v>-465.68459999999999</v>
      </c>
      <c r="K888">
        <v>1.16371</v>
      </c>
      <c r="L888">
        <v>219.52459999999999</v>
      </c>
      <c r="M888">
        <v>0.98052870000000003</v>
      </c>
      <c r="N888">
        <v>0</v>
      </c>
      <c r="O888">
        <v>-0.19579920000000001</v>
      </c>
      <c r="P888">
        <v>0.98323470000000002</v>
      </c>
      <c r="Q888">
        <v>0.12135650000000001</v>
      </c>
      <c r="R888">
        <v>-0.13609749999999901</v>
      </c>
      <c r="S888">
        <v>2.9449459999999998</v>
      </c>
      <c r="T888">
        <v>-0.20002690000000001</v>
      </c>
      <c r="U888">
        <v>-0.95030210000000004</v>
      </c>
      <c r="V888">
        <v>-6.45569E-2</v>
      </c>
      <c r="W888">
        <v>0.13373699999999999</v>
      </c>
      <c r="X888">
        <v>0.98891189999999995</v>
      </c>
      <c r="Y888">
        <v>0.114954</v>
      </c>
      <c r="Z888">
        <v>8.9926339999999994E-3</v>
      </c>
      <c r="AA888">
        <v>0.99333009999999999</v>
      </c>
      <c r="AB888">
        <v>31</v>
      </c>
      <c r="AC888">
        <v>16.834</v>
      </c>
      <c r="AD888">
        <v>-1.1637068024869901</v>
      </c>
      <c r="AE888">
        <v>-5.4669999999999801</v>
      </c>
      <c r="AF888">
        <v>2.05581325249298</v>
      </c>
      <c r="AG888">
        <v>-1.1637068024869901</v>
      </c>
      <c r="AH888">
        <v>17.502980065330501</v>
      </c>
      <c r="AI888">
        <v>93.777887006408207</v>
      </c>
      <c r="AJ888">
        <v>83.301015012944106</v>
      </c>
      <c r="AK888">
        <v>17.661678652343198</v>
      </c>
      <c r="AL888">
        <v>82.314406642691594</v>
      </c>
      <c r="AM888">
        <v>93.7350111885454</v>
      </c>
      <c r="AN888">
        <v>0.99999996223410903</v>
      </c>
    </row>
    <row r="889" spans="1:40" x14ac:dyDescent="0.3">
      <c r="A889" t="str">
        <f>"20200111150307552"</f>
        <v>20200111150307552</v>
      </c>
      <c r="B889" t="str">
        <f>"1578726187548172"</f>
        <v>1578726187548172</v>
      </c>
      <c r="C889" t="s">
        <v>40</v>
      </c>
      <c r="D889">
        <v>5.541868</v>
      </c>
      <c r="E889">
        <v>0.53967299999999996</v>
      </c>
      <c r="F889" t="s">
        <v>42</v>
      </c>
      <c r="G889">
        <v>-464.73309999999998</v>
      </c>
      <c r="H889">
        <v>1.098827</v>
      </c>
      <c r="I889">
        <v>219.21680000000001</v>
      </c>
      <c r="J889">
        <v>-465.39080000000001</v>
      </c>
      <c r="K889">
        <v>1.1631849999999999</v>
      </c>
      <c r="L889">
        <v>219.46180000000001</v>
      </c>
      <c r="M889">
        <v>0.97983900000000002</v>
      </c>
      <c r="N889">
        <v>0</v>
      </c>
      <c r="O889">
        <v>-0.19924130000000001</v>
      </c>
      <c r="P889">
        <v>0.98319990000000002</v>
      </c>
      <c r="Q889">
        <v>0.12080589999999999</v>
      </c>
      <c r="R889">
        <v>-0.13683589999999901</v>
      </c>
      <c r="S889">
        <v>2.944153</v>
      </c>
      <c r="T889">
        <v>-0.20063810000000001</v>
      </c>
      <c r="U889">
        <v>-0.95162959999999996</v>
      </c>
      <c r="V889">
        <v>-6.7283609999999994E-2</v>
      </c>
      <c r="W889">
        <v>0.13280790000000001</v>
      </c>
      <c r="X889">
        <v>0.98885540000000005</v>
      </c>
      <c r="Y889">
        <v>0.1119637</v>
      </c>
      <c r="Z889">
        <v>9.3423949999999999E-3</v>
      </c>
      <c r="AA889">
        <v>0.99366840000000001</v>
      </c>
      <c r="AB889">
        <v>31</v>
      </c>
      <c r="AC889">
        <v>0.65770000000003304</v>
      </c>
      <c r="AD889">
        <v>-6.4358000000000096E-2</v>
      </c>
      <c r="AE889">
        <v>-0.24500000000000399</v>
      </c>
      <c r="AF889">
        <v>0.108122320351138</v>
      </c>
      <c r="AG889">
        <v>-6.4358000000000096E-2</v>
      </c>
      <c r="AH889">
        <v>0.68754874188049997</v>
      </c>
      <c r="AI889">
        <v>95.2830378025523</v>
      </c>
      <c r="AJ889">
        <v>81.062989664504897</v>
      </c>
      <c r="AK889">
        <v>0.69896756776231905</v>
      </c>
      <c r="AL889">
        <v>82.368119686927301</v>
      </c>
      <c r="AM889">
        <v>93.892514603563896</v>
      </c>
      <c r="AN889">
        <v>1.0000000122931001</v>
      </c>
    </row>
    <row r="890" spans="1:40" x14ac:dyDescent="0.3">
      <c r="A890" t="str">
        <f>"20200111150307574"</f>
        <v>20200111150307574</v>
      </c>
      <c r="B890" t="str">
        <f>"1578726187568071"</f>
        <v>1578726187568071</v>
      </c>
      <c r="C890" t="s">
        <v>40</v>
      </c>
      <c r="D890">
        <v>7.525855</v>
      </c>
      <c r="E890">
        <v>0.53967299999999996</v>
      </c>
      <c r="F890" t="s">
        <v>42</v>
      </c>
      <c r="G890">
        <v>-464.45089999999999</v>
      </c>
      <c r="H890">
        <v>1.0862940000000001</v>
      </c>
      <c r="I890">
        <v>219.23920000000001</v>
      </c>
      <c r="J890">
        <v>-465.07159999999999</v>
      </c>
      <c r="K890">
        <v>1.162696</v>
      </c>
      <c r="L890">
        <v>219.39250000000001</v>
      </c>
      <c r="M890">
        <v>0.97902199999999995</v>
      </c>
      <c r="N890">
        <v>0</v>
      </c>
      <c r="O890">
        <v>-0.20324439999999999</v>
      </c>
      <c r="P890">
        <v>0.98302690000000004</v>
      </c>
      <c r="Q890">
        <v>0.1204427</v>
      </c>
      <c r="R890">
        <v>-0.13839089999999901</v>
      </c>
      <c r="S890">
        <v>2.9830019999999999</v>
      </c>
      <c r="T890">
        <v>-0.24378089999999999</v>
      </c>
      <c r="U890">
        <v>-0.70555109999999999</v>
      </c>
      <c r="V890">
        <v>-6.9765800000000003E-2</v>
      </c>
      <c r="W890">
        <v>0.13197320000000001</v>
      </c>
      <c r="X890">
        <v>0.98879510000000004</v>
      </c>
      <c r="Y890">
        <v>2.810002E-2</v>
      </c>
      <c r="Z890">
        <v>1.5046449999999999E-2</v>
      </c>
      <c r="AA890">
        <v>0.99949189999999999</v>
      </c>
      <c r="AB890">
        <v>31</v>
      </c>
      <c r="AC890">
        <v>0.62069999999999903</v>
      </c>
      <c r="AD890">
        <v>-7.6401999999999803E-2</v>
      </c>
      <c r="AE890">
        <v>-0.15330000000000099</v>
      </c>
      <c r="AF890">
        <v>2.3595807936317399E-2</v>
      </c>
      <c r="AG890">
        <v>-7.6401999999999803E-2</v>
      </c>
      <c r="AH890">
        <v>0.62990751619151297</v>
      </c>
      <c r="AI890">
        <v>96.910870964312807</v>
      </c>
      <c r="AJ890">
        <v>87.8547511125239</v>
      </c>
      <c r="AK890">
        <v>0.63496260260800297</v>
      </c>
      <c r="AL890">
        <v>82.416368870483296</v>
      </c>
      <c r="AM890">
        <v>94.035894329743599</v>
      </c>
      <c r="AN890">
        <v>0.99999997107594396</v>
      </c>
    </row>
    <row r="891" spans="1:40" x14ac:dyDescent="0.3">
      <c r="A891" t="str">
        <f>"20200111150307598"</f>
        <v>20200111150307598</v>
      </c>
      <c r="B891" t="str">
        <f>"1578726187587590"</f>
        <v>1578726187587590</v>
      </c>
      <c r="C891" t="s">
        <v>40</v>
      </c>
      <c r="D891">
        <v>5.7508330000000001</v>
      </c>
      <c r="E891">
        <v>0.44359320000000002</v>
      </c>
      <c r="F891" t="s">
        <v>42</v>
      </c>
      <c r="G891">
        <v>-464.1721</v>
      </c>
      <c r="H891">
        <v>1.0887739999999999</v>
      </c>
      <c r="I891">
        <v>219.1782</v>
      </c>
      <c r="J891">
        <v>-464.74799999999999</v>
      </c>
      <c r="K891">
        <v>1.162209</v>
      </c>
      <c r="L891">
        <v>219.32130000000001</v>
      </c>
      <c r="M891">
        <v>0.97797000000000001</v>
      </c>
      <c r="N891">
        <v>0</v>
      </c>
      <c r="O891">
        <v>-0.208288</v>
      </c>
      <c r="P891">
        <v>0.98271269999999999</v>
      </c>
      <c r="Q891">
        <v>0.12010510000000001</v>
      </c>
      <c r="R891">
        <v>-0.14089179999999901</v>
      </c>
      <c r="S891">
        <v>2.9818419999999999</v>
      </c>
      <c r="T891">
        <v>-0.2449363</v>
      </c>
      <c r="U891">
        <v>-0.71009829999999996</v>
      </c>
      <c r="V891">
        <v>-7.2344919999999993E-2</v>
      </c>
      <c r="W891">
        <v>0.1309205</v>
      </c>
      <c r="X891">
        <v>0.98874969999999995</v>
      </c>
      <c r="Y891">
        <v>2.4510819999999999E-2</v>
      </c>
      <c r="Z891">
        <v>1.5661410000000001E-2</v>
      </c>
      <c r="AA891">
        <v>0.99957689999999999</v>
      </c>
      <c r="AB891">
        <v>31</v>
      </c>
      <c r="AC891">
        <v>0.57590000000004604</v>
      </c>
      <c r="AD891">
        <v>-7.3435000000000097E-2</v>
      </c>
      <c r="AE891">
        <v>-0.143100000000004</v>
      </c>
      <c r="AF891">
        <v>1.9694747188265901E-2</v>
      </c>
      <c r="AG891">
        <v>-7.3435000000000097E-2</v>
      </c>
      <c r="AH891">
        <v>0.58413006126830203</v>
      </c>
      <c r="AI891">
        <v>97.161427119868193</v>
      </c>
      <c r="AJ891">
        <v>88.068925633498296</v>
      </c>
      <c r="AK891">
        <v>0.58905730686336499</v>
      </c>
      <c r="AL891">
        <v>82.477212034615505</v>
      </c>
      <c r="AM891">
        <v>94.184765166850795</v>
      </c>
      <c r="AN891">
        <v>0.99999996701007199</v>
      </c>
    </row>
    <row r="892" spans="1:40" x14ac:dyDescent="0.3">
      <c r="A892" t="str">
        <f>"20200111150307619"</f>
        <v>20200111150307619</v>
      </c>
      <c r="B892" t="str">
        <f>"1578726187608086"</f>
        <v>1578726187608086</v>
      </c>
      <c r="C892" t="s">
        <v>40</v>
      </c>
      <c r="D892">
        <v>5.6497409999999997</v>
      </c>
      <c r="E892">
        <v>0.46909840000000003</v>
      </c>
      <c r="F892" t="s">
        <v>44</v>
      </c>
      <c r="G892">
        <v>0</v>
      </c>
      <c r="H892">
        <v>0</v>
      </c>
      <c r="I892">
        <v>0</v>
      </c>
      <c r="J892">
        <v>-464.44099999999997</v>
      </c>
      <c r="K892">
        <v>1.1615869999999999</v>
      </c>
      <c r="L892">
        <v>219.25280000000001</v>
      </c>
      <c r="M892">
        <v>0.97691399999999995</v>
      </c>
      <c r="N892">
        <v>0</v>
      </c>
      <c r="O892">
        <v>-0.2132019</v>
      </c>
      <c r="P892">
        <v>0.9823366</v>
      </c>
      <c r="Q892">
        <v>0.1197706</v>
      </c>
      <c r="R892">
        <v>-0.143769799999999</v>
      </c>
      <c r="S892">
        <v>2.9002690000000002</v>
      </c>
      <c r="T892">
        <v>1.2427440000000001</v>
      </c>
      <c r="U892">
        <v>-4.0588380000000004E-3</v>
      </c>
      <c r="V892">
        <v>-7.4361579999999997E-2</v>
      </c>
      <c r="W892">
        <v>0.13026760000000001</v>
      </c>
      <c r="X892">
        <v>0.98868639999999997</v>
      </c>
      <c r="Y892">
        <v>-0.177707</v>
      </c>
      <c r="Z892">
        <v>-0.1234522</v>
      </c>
      <c r="AA892">
        <v>0.97630919999999999</v>
      </c>
      <c r="AB892">
        <v>32</v>
      </c>
      <c r="AC892">
        <v>2.9002690000000002</v>
      </c>
      <c r="AD892">
        <v>1.2427440000000001</v>
      </c>
      <c r="AE892">
        <v>-4.0588380000000004E-3</v>
      </c>
      <c r="AF892">
        <v>-0.51912076851903399</v>
      </c>
      <c r="AG892">
        <v>1.2427440000000001</v>
      </c>
      <c r="AH892">
        <v>2.3947499806230002</v>
      </c>
      <c r="AI892">
        <v>63.1074338604218</v>
      </c>
      <c r="AJ892">
        <v>102.231024790562</v>
      </c>
      <c r="AK892">
        <v>2.7474945844419199</v>
      </c>
      <c r="AL892">
        <v>82.514944172960298</v>
      </c>
      <c r="AM892">
        <v>94.301260625197202</v>
      </c>
      <c r="AN892">
        <v>1.0000000448674</v>
      </c>
    </row>
    <row r="893" spans="1:40" x14ac:dyDescent="0.3">
      <c r="A893" t="str">
        <f>"20200111150307641"</f>
        <v>20200111150307641</v>
      </c>
      <c r="B893" t="str">
        <f>"1578726187638343"</f>
        <v>1578726187638343</v>
      </c>
      <c r="C893" t="s">
        <v>40</v>
      </c>
      <c r="D893">
        <v>5.5776000000000003</v>
      </c>
      <c r="E893">
        <v>0.47046290000000002</v>
      </c>
      <c r="F893" t="s">
        <v>65</v>
      </c>
      <c r="G893">
        <v>-168.41489999999999</v>
      </c>
      <c r="H893">
        <v>8.6678179999999898</v>
      </c>
      <c r="I893">
        <v>201.75630000000001</v>
      </c>
      <c r="J893">
        <v>-464.1454</v>
      </c>
      <c r="K893">
        <v>1.1607499999999999</v>
      </c>
      <c r="L893">
        <v>219.18600000000001</v>
      </c>
      <c r="M893">
        <v>0.97595549999999998</v>
      </c>
      <c r="N893">
        <v>0</v>
      </c>
      <c r="O893">
        <v>-0.2175436</v>
      </c>
      <c r="P893">
        <v>0.98206640000000001</v>
      </c>
      <c r="Q893">
        <v>0.118697</v>
      </c>
      <c r="R893">
        <v>-0.146481</v>
      </c>
      <c r="S893">
        <v>3.0184630000000001</v>
      </c>
      <c r="T893">
        <v>7.6538439999999999E-2</v>
      </c>
      <c r="U893">
        <v>-0.1784058</v>
      </c>
      <c r="V893">
        <v>-7.5894799999999998E-2</v>
      </c>
      <c r="W893">
        <v>0.12926099999999999</v>
      </c>
      <c r="X893">
        <v>0.98870190000000002</v>
      </c>
      <c r="Y893">
        <v>-0.1594767</v>
      </c>
      <c r="Z893">
        <v>-7.48861199999999E-3</v>
      </c>
      <c r="AA893">
        <v>0.98717330000000003</v>
      </c>
      <c r="AB893">
        <v>32</v>
      </c>
      <c r="AC893">
        <v>295.73050000000001</v>
      </c>
      <c r="AD893">
        <v>7.5070679999999896</v>
      </c>
      <c r="AE893">
        <v>-17.429699999999901</v>
      </c>
      <c r="AF893">
        <v>-47.297686684221297</v>
      </c>
      <c r="AG893">
        <v>7.5070679999999896</v>
      </c>
      <c r="AH893">
        <v>292.25100212405601</v>
      </c>
      <c r="AI893">
        <v>88.547454930489806</v>
      </c>
      <c r="AJ893">
        <v>99.192998882120094</v>
      </c>
      <c r="AK893">
        <v>296.14873877521501</v>
      </c>
      <c r="AL893">
        <v>82.573109097293994</v>
      </c>
      <c r="AM893">
        <v>94.389534233033004</v>
      </c>
      <c r="AN893">
        <v>0.99999993692582301</v>
      </c>
    </row>
    <row r="894" spans="1:40" x14ac:dyDescent="0.3">
      <c r="A894" t="str">
        <f>"20200111150307664"</f>
        <v>20200111150307664</v>
      </c>
      <c r="B894" t="str">
        <f>"1578726187657862"</f>
        <v>1578726187657862</v>
      </c>
      <c r="C894" t="s">
        <v>40</v>
      </c>
      <c r="D894">
        <v>5.5500669999999896</v>
      </c>
      <c r="E894">
        <v>0.46260600000000002</v>
      </c>
      <c r="F894" t="s">
        <v>65</v>
      </c>
      <c r="G894">
        <v>-168.41560000000001</v>
      </c>
      <c r="H894">
        <v>8.8408110000000004</v>
      </c>
      <c r="I894">
        <v>199.8246</v>
      </c>
      <c r="J894">
        <v>-463.83640000000003</v>
      </c>
      <c r="K894">
        <v>1.159597</v>
      </c>
      <c r="L894">
        <v>219.11500000000001</v>
      </c>
      <c r="M894">
        <v>0.975051</v>
      </c>
      <c r="N894">
        <v>0</v>
      </c>
      <c r="O894">
        <v>-0.22154660000000001</v>
      </c>
      <c r="P894">
        <v>0.98172870000000001</v>
      </c>
      <c r="Q894">
        <v>0.1176587</v>
      </c>
      <c r="R894">
        <v>-0.14955009999999999</v>
      </c>
      <c r="S894">
        <v>3.0158689999999999</v>
      </c>
      <c r="T894">
        <v>7.8322050000000004E-2</v>
      </c>
      <c r="U894">
        <v>-0.1974487</v>
      </c>
      <c r="V894">
        <v>-7.6666109999999996E-2</v>
      </c>
      <c r="W894">
        <v>0.12855359999999999</v>
      </c>
      <c r="X894">
        <v>0.98873469999999997</v>
      </c>
      <c r="Y894">
        <v>-0.1572625</v>
      </c>
      <c r="Z894">
        <v>-7.7399879999999997E-3</v>
      </c>
      <c r="AA894">
        <v>0.98752649999999997</v>
      </c>
      <c r="AB894">
        <v>32</v>
      </c>
      <c r="AC894">
        <v>295.42079999999999</v>
      </c>
      <c r="AD894">
        <v>7.6812139999999998</v>
      </c>
      <c r="AE894">
        <v>-19.290400000000002</v>
      </c>
      <c r="AF894">
        <v>-46.613464165218097</v>
      </c>
      <c r="AG894">
        <v>7.6812139999999998</v>
      </c>
      <c r="AH894">
        <v>292.15555875939299</v>
      </c>
      <c r="AI894">
        <v>88.512756020349698</v>
      </c>
      <c r="AJ894">
        <v>99.065144189741204</v>
      </c>
      <c r="AK894">
        <v>295.95047998611</v>
      </c>
      <c r="AL894">
        <v>82.6139817156091</v>
      </c>
      <c r="AM894">
        <v>94.433821047064299</v>
      </c>
      <c r="AN894">
        <v>1.00000001373979</v>
      </c>
    </row>
    <row r="895" spans="1:40" x14ac:dyDescent="0.3">
      <c r="A895" t="str">
        <f>"20200111150307686"</f>
        <v>20200111150307686</v>
      </c>
      <c r="B895" t="str">
        <f>"1578726187677892"</f>
        <v>1578726187677892</v>
      </c>
      <c r="C895" t="s">
        <v>40</v>
      </c>
      <c r="D895">
        <v>5.5939069999999997</v>
      </c>
      <c r="E895">
        <v>0.46142109999999897</v>
      </c>
      <c r="F895" t="s">
        <v>56</v>
      </c>
      <c r="G895">
        <v>-444.90170000000001</v>
      </c>
      <c r="H895" s="1">
        <v>9.1208199999999995E-7</v>
      </c>
      <c r="I895">
        <v>218.267</v>
      </c>
      <c r="J895">
        <v>-463.52170000000001</v>
      </c>
      <c r="K895">
        <v>1.158199</v>
      </c>
      <c r="L895">
        <v>219.04150000000001</v>
      </c>
      <c r="M895">
        <v>0.97421860000000005</v>
      </c>
      <c r="N895">
        <v>0</v>
      </c>
      <c r="O895">
        <v>-0.22515260000000001</v>
      </c>
      <c r="P895">
        <v>0.98148639999999998</v>
      </c>
      <c r="Q895">
        <v>0.1156375</v>
      </c>
      <c r="R895">
        <v>-0.15268380000000001</v>
      </c>
      <c r="S895">
        <v>3.057404</v>
      </c>
      <c r="T895">
        <v>-0.18724099999999999</v>
      </c>
      <c r="U895">
        <v>-0.13691710000000001</v>
      </c>
      <c r="V895">
        <v>-7.6931780000000005E-2</v>
      </c>
      <c r="W895">
        <v>0.12706769999999901</v>
      </c>
      <c r="X895">
        <v>0.98890610000000001</v>
      </c>
      <c r="Y895">
        <v>-0.18061050000000001</v>
      </c>
      <c r="Z895">
        <v>1.918597E-2</v>
      </c>
      <c r="AA895">
        <v>0.98336760000000001</v>
      </c>
      <c r="AB895">
        <v>32</v>
      </c>
      <c r="AC895">
        <v>18.62</v>
      </c>
      <c r="AD895">
        <v>-1.1581980879180001</v>
      </c>
      <c r="AE895">
        <v>-0.77450000000001695</v>
      </c>
      <c r="AF895">
        <v>-3.4249321418234699</v>
      </c>
      <c r="AG895">
        <v>-1.1581980879180001</v>
      </c>
      <c r="AH895">
        <v>18.245731228602001</v>
      </c>
      <c r="AI895">
        <v>93.569949654460402</v>
      </c>
      <c r="AJ895">
        <v>100.631356973282</v>
      </c>
      <c r="AK895">
        <v>18.600491688483299</v>
      </c>
      <c r="AL895">
        <v>82.699821332200301</v>
      </c>
      <c r="AM895">
        <v>94.448355882880406</v>
      </c>
      <c r="AN895">
        <v>0.99999998688723402</v>
      </c>
    </row>
    <row r="896" spans="1:40" x14ac:dyDescent="0.3">
      <c r="A896" t="str">
        <f>"20200111150307709"</f>
        <v>20200111150307709</v>
      </c>
      <c r="B896" t="str">
        <f>"1578726187697412"</f>
        <v>1578726187697412</v>
      </c>
      <c r="C896" t="s">
        <v>40</v>
      </c>
      <c r="D896">
        <v>5.5591879999999998</v>
      </c>
      <c r="E896">
        <v>0.46121810000000002</v>
      </c>
      <c r="F896" t="s">
        <v>56</v>
      </c>
      <c r="G896">
        <v>-445.64120000000003</v>
      </c>
      <c r="H896" s="1">
        <v>1.3068060000000001E-6</v>
      </c>
      <c r="I896">
        <v>218.23949999999999</v>
      </c>
      <c r="J896">
        <v>-463.21159999999998</v>
      </c>
      <c r="K896">
        <v>1.1566940000000001</v>
      </c>
      <c r="L896">
        <v>218.96799999999999</v>
      </c>
      <c r="M896">
        <v>0.97345979999999999</v>
      </c>
      <c r="N896">
        <v>0</v>
      </c>
      <c r="O896">
        <v>-0.22837399999999999</v>
      </c>
      <c r="P896">
        <v>0.98146960000000005</v>
      </c>
      <c r="Q896">
        <v>0.11291279999999999</v>
      </c>
      <c r="R896">
        <v>-0.15481719999999999</v>
      </c>
      <c r="S896">
        <v>3.058624</v>
      </c>
      <c r="T896">
        <v>-0.19812089999999999</v>
      </c>
      <c r="U896">
        <v>-0.13717650000000001</v>
      </c>
      <c r="V896">
        <v>-7.782406E-2</v>
      </c>
      <c r="W896">
        <v>0.12501760000000001</v>
      </c>
      <c r="X896">
        <v>0.98909760000000002</v>
      </c>
      <c r="Y896">
        <v>-0.1836969</v>
      </c>
      <c r="Z896">
        <v>2.0593940000000002E-2</v>
      </c>
      <c r="AA896">
        <v>0.98276719999999895</v>
      </c>
      <c r="AB896">
        <v>32</v>
      </c>
      <c r="AC896">
        <v>17.5703999999999</v>
      </c>
      <c r="AD896">
        <v>-1.156692693194</v>
      </c>
      <c r="AE896">
        <v>-0.72849999999999604</v>
      </c>
      <c r="AF896">
        <v>-3.28959062230917</v>
      </c>
      <c r="AG896">
        <v>-1.156692693194</v>
      </c>
      <c r="AH896">
        <v>17.1979548699384</v>
      </c>
      <c r="AI896">
        <v>93.779465036964595</v>
      </c>
      <c r="AJ896">
        <v>100.828623891783</v>
      </c>
      <c r="AK896">
        <v>17.5479057484735</v>
      </c>
      <c r="AL896">
        <v>82.818228009457698</v>
      </c>
      <c r="AM896">
        <v>94.498871074342802</v>
      </c>
      <c r="AN896">
        <v>1.0000000234752</v>
      </c>
    </row>
    <row r="897" spans="1:40" x14ac:dyDescent="0.3">
      <c r="A897" t="str">
        <f>"20200111150307742"</f>
        <v>20200111150307742</v>
      </c>
      <c r="B897" t="str">
        <f>"1578726187737428"</f>
        <v>1578726187737428</v>
      </c>
      <c r="C897" t="s">
        <v>40</v>
      </c>
      <c r="D897">
        <v>5.5698179999999997</v>
      </c>
      <c r="E897">
        <v>0.46161790000000003</v>
      </c>
      <c r="F897" t="s">
        <v>56</v>
      </c>
      <c r="G897">
        <v>-446.22190000000001</v>
      </c>
      <c r="H897" s="1">
        <v>1.618667E-6</v>
      </c>
      <c r="I897">
        <v>218.1747</v>
      </c>
      <c r="J897">
        <v>-462.75330000000002</v>
      </c>
      <c r="K897">
        <v>1.152876</v>
      </c>
      <c r="L897">
        <v>218.85820000000001</v>
      </c>
      <c r="M897">
        <v>0.97240689999999996</v>
      </c>
      <c r="N897">
        <v>0</v>
      </c>
      <c r="O897">
        <v>-0.23279169999999999</v>
      </c>
      <c r="P897">
        <v>0.98146509999999998</v>
      </c>
      <c r="Q897">
        <v>0.11138530000000001</v>
      </c>
      <c r="R897">
        <v>-0.1559487</v>
      </c>
      <c r="S897">
        <v>3.0580750000000001</v>
      </c>
      <c r="T897">
        <v>-0.20820040000000001</v>
      </c>
      <c r="U897">
        <v>-0.1427765</v>
      </c>
      <c r="V897">
        <v>-8.0656359999999996E-2</v>
      </c>
      <c r="W897">
        <v>0.12409779999999999</v>
      </c>
      <c r="X897">
        <v>0.98898649999999999</v>
      </c>
      <c r="Y897">
        <v>-0.18625169999999999</v>
      </c>
      <c r="Z897">
        <v>2.2021590000000001E-2</v>
      </c>
      <c r="AA897">
        <v>0.98225519999999999</v>
      </c>
      <c r="AB897">
        <v>32</v>
      </c>
      <c r="AC897">
        <v>16.531400000000001</v>
      </c>
      <c r="AD897">
        <v>-1.152874381333</v>
      </c>
      <c r="AE897">
        <v>-0.68350000000000899</v>
      </c>
      <c r="AF897">
        <v>-3.1687187018283098</v>
      </c>
      <c r="AG897">
        <v>-1.152874381333</v>
      </c>
      <c r="AH897">
        <v>16.157802325432801</v>
      </c>
      <c r="AI897">
        <v>94.005155390078201</v>
      </c>
      <c r="AJ897">
        <v>101.095506060395</v>
      </c>
      <c r="AK897">
        <v>16.505892085501198</v>
      </c>
      <c r="AL897">
        <v>82.8713421688675</v>
      </c>
      <c r="AM897">
        <v>94.662413626015294</v>
      </c>
      <c r="AN897">
        <v>1.00000000477776</v>
      </c>
    </row>
    <row r="898" spans="1:40" x14ac:dyDescent="0.3">
      <c r="A898" t="str">
        <f>"20200111150307763"</f>
        <v>20200111150307763</v>
      </c>
      <c r="B898" t="str">
        <f>"1578726187757923"</f>
        <v>1578726187757923</v>
      </c>
      <c r="C898" t="s">
        <v>40</v>
      </c>
      <c r="D898">
        <v>5.6100589999999997</v>
      </c>
      <c r="E898">
        <v>0.46192870000000003</v>
      </c>
      <c r="F898" t="s">
        <v>56</v>
      </c>
      <c r="G898">
        <v>-446.82830000000001</v>
      </c>
      <c r="H898" s="1">
        <v>1.9463989999999999E-6</v>
      </c>
      <c r="I898">
        <v>218.05879999999999</v>
      </c>
      <c r="J898">
        <v>-462.4556</v>
      </c>
      <c r="K898">
        <v>1.1494850000000001</v>
      </c>
      <c r="L898">
        <v>218.7859</v>
      </c>
      <c r="M898">
        <v>0.97169720000000004</v>
      </c>
      <c r="N898">
        <v>0</v>
      </c>
      <c r="O898">
        <v>-0.2357554</v>
      </c>
      <c r="P898">
        <v>0.98142419999999997</v>
      </c>
      <c r="Q898">
        <v>0.1116322</v>
      </c>
      <c r="R898">
        <v>-0.15602839999999901</v>
      </c>
      <c r="S898">
        <v>3.057404</v>
      </c>
      <c r="T898">
        <v>-0.22133720000000001</v>
      </c>
      <c r="U898">
        <v>-0.1534576</v>
      </c>
      <c r="V898">
        <v>-8.3170129999999995E-2</v>
      </c>
      <c r="W898">
        <v>0.1242327</v>
      </c>
      <c r="X898">
        <v>0.98876129999999995</v>
      </c>
      <c r="Y898">
        <v>-0.1856815</v>
      </c>
      <c r="Z898">
        <v>2.359725E-2</v>
      </c>
      <c r="AA898">
        <v>0.98232660000000005</v>
      </c>
      <c r="AB898">
        <v>32</v>
      </c>
      <c r="AC898">
        <v>15.6272999999999</v>
      </c>
      <c r="AD898">
        <v>-1.1494830536009999</v>
      </c>
      <c r="AE898">
        <v>-0.72710000000000696</v>
      </c>
      <c r="AF898">
        <v>-2.9620413014354599</v>
      </c>
      <c r="AG898">
        <v>-1.1494830536009999</v>
      </c>
      <c r="AH898">
        <v>15.2756707204317</v>
      </c>
      <c r="AI898">
        <v>94.224953081226303</v>
      </c>
      <c r="AJ898">
        <v>100.973800683805</v>
      </c>
      <c r="AK898">
        <v>15.602599652653399</v>
      </c>
      <c r="AL898">
        <v>82.863552449803905</v>
      </c>
      <c r="AM898">
        <v>94.808143366183501</v>
      </c>
      <c r="AN898">
        <v>0.99999997132559804</v>
      </c>
    </row>
    <row r="899" spans="1:40" x14ac:dyDescent="0.3">
      <c r="A899" t="str">
        <f>"20200111150307787"</f>
        <v>20200111150307787</v>
      </c>
      <c r="B899" t="str">
        <f>"1578726187777444"</f>
        <v>1578726187777444</v>
      </c>
      <c r="C899" t="s">
        <v>40</v>
      </c>
      <c r="D899">
        <v>5.467028</v>
      </c>
      <c r="E899">
        <v>0.46235029999999999</v>
      </c>
      <c r="F899" t="s">
        <v>56</v>
      </c>
      <c r="G899">
        <v>-447.25439999999998</v>
      </c>
      <c r="H899" s="1">
        <v>2.176032E-6</v>
      </c>
      <c r="I899">
        <v>217.9933</v>
      </c>
      <c r="J899">
        <v>-462.13310000000001</v>
      </c>
      <c r="K899">
        <v>1.146425</v>
      </c>
      <c r="L899">
        <v>218.70609999999999</v>
      </c>
      <c r="M899">
        <v>0.97109380000000001</v>
      </c>
      <c r="N899">
        <v>0</v>
      </c>
      <c r="O899">
        <v>-0.2382059</v>
      </c>
      <c r="P899">
        <v>0.98144900000000002</v>
      </c>
      <c r="Q899">
        <v>0.1116684</v>
      </c>
      <c r="R899">
        <v>-0.15584690000000001</v>
      </c>
      <c r="S899">
        <v>3.0577390000000002</v>
      </c>
      <c r="T899">
        <v>-0.23122039999999999</v>
      </c>
      <c r="U899">
        <v>-0.1594391</v>
      </c>
      <c r="V899">
        <v>-8.5512729999999995E-2</v>
      </c>
      <c r="W899">
        <v>0.124791899999999</v>
      </c>
      <c r="X899">
        <v>0.98849109999999996</v>
      </c>
      <c r="Y899">
        <v>-0.18614320000000001</v>
      </c>
      <c r="Z899">
        <v>2.4840830000000001E-2</v>
      </c>
      <c r="AA899">
        <v>0.98220850000000004</v>
      </c>
      <c r="AB899">
        <v>32</v>
      </c>
      <c r="AC899">
        <v>14.8787</v>
      </c>
      <c r="AD899">
        <v>-1.1464228239679899</v>
      </c>
      <c r="AE899">
        <v>-0.712799999999987</v>
      </c>
      <c r="AF899">
        <v>-2.8355375675357202</v>
      </c>
      <c r="AG899">
        <v>-1.1464228239679899</v>
      </c>
      <c r="AH899">
        <v>14.534033345659701</v>
      </c>
      <c r="AI899">
        <v>94.426944747090801</v>
      </c>
      <c r="AJ899">
        <v>101.03952983009501</v>
      </c>
      <c r="AK899">
        <v>14.8523629056446</v>
      </c>
      <c r="AL899">
        <v>82.831261928584098</v>
      </c>
      <c r="AM899">
        <v>94.944253869861001</v>
      </c>
      <c r="AN899">
        <v>1.0000000500384301</v>
      </c>
    </row>
    <row r="900" spans="1:40" x14ac:dyDescent="0.3">
      <c r="A900" t="str">
        <f>"20200111150307808"</f>
        <v>20200111150307808</v>
      </c>
      <c r="B900" t="str">
        <f>"1578726187797939"</f>
        <v>1578726187797939</v>
      </c>
      <c r="C900" t="s">
        <v>40</v>
      </c>
      <c r="D900">
        <v>5.4868249999999996</v>
      </c>
      <c r="E900">
        <v>0.4680627</v>
      </c>
      <c r="F900" t="s">
        <v>56</v>
      </c>
      <c r="G900">
        <v>-447.38720000000001</v>
      </c>
      <c r="H900" s="1">
        <v>2.2502009999999999E-6</v>
      </c>
      <c r="I900">
        <v>217.91309999999999</v>
      </c>
      <c r="J900">
        <v>-461.83760000000001</v>
      </c>
      <c r="K900">
        <v>1.1438839999999999</v>
      </c>
      <c r="L900">
        <v>218.63200000000001</v>
      </c>
      <c r="M900">
        <v>0.97078799999999998</v>
      </c>
      <c r="N900">
        <v>0</v>
      </c>
      <c r="O900">
        <v>-0.2393921</v>
      </c>
      <c r="P900">
        <v>0.98169110000000004</v>
      </c>
      <c r="Q900">
        <v>0.111079</v>
      </c>
      <c r="R900">
        <v>-0.1547395</v>
      </c>
      <c r="S900">
        <v>3.0576780000000001</v>
      </c>
      <c r="T900">
        <v>-0.23771890000000001</v>
      </c>
      <c r="U900">
        <v>-0.16444400000000001</v>
      </c>
      <c r="V900">
        <v>-8.7587680000000001E-2</v>
      </c>
      <c r="W900">
        <v>0.125194</v>
      </c>
      <c r="X900">
        <v>0.98825850000000004</v>
      </c>
      <c r="Y900">
        <v>-0.18567259999999999</v>
      </c>
      <c r="Z900">
        <v>2.5607089999999999E-2</v>
      </c>
      <c r="AA900">
        <v>0.98227790000000004</v>
      </c>
      <c r="AB900">
        <v>32</v>
      </c>
      <c r="AC900">
        <v>14.4504</v>
      </c>
      <c r="AD900">
        <v>-1.1438817497989999</v>
      </c>
      <c r="AE900">
        <v>-0.71890000000001897</v>
      </c>
      <c r="AF900">
        <v>-2.7446182397286401</v>
      </c>
      <c r="AG900">
        <v>-1.1438817497989999</v>
      </c>
      <c r="AH900">
        <v>14.114012567585</v>
      </c>
      <c r="AI900">
        <v>94.548619275014602</v>
      </c>
      <c r="AJ900">
        <v>101.004428419897</v>
      </c>
      <c r="AK900">
        <v>14.423825619346699</v>
      </c>
      <c r="AL900">
        <v>82.808040837009898</v>
      </c>
      <c r="AM900">
        <v>95.064794450414695</v>
      </c>
      <c r="AN900">
        <v>1.0000000010730099</v>
      </c>
    </row>
    <row r="901" spans="1:40" x14ac:dyDescent="0.3">
      <c r="A901" t="str">
        <f>"20200111150307831"</f>
        <v>20200111150307831</v>
      </c>
      <c r="B901" t="str">
        <f>"1578726187828195"</f>
        <v>1578726187828195</v>
      </c>
      <c r="C901" t="s">
        <v>40</v>
      </c>
      <c r="D901">
        <v>5.5872149999999996</v>
      </c>
      <c r="E901">
        <v>0.47219509999999998</v>
      </c>
      <c r="F901" t="s">
        <v>56</v>
      </c>
      <c r="G901">
        <v>-445.6814</v>
      </c>
      <c r="H901" s="1">
        <v>1.3591170000000001E-6</v>
      </c>
      <c r="I901">
        <v>217.5318</v>
      </c>
      <c r="J901">
        <v>-461.53960000000001</v>
      </c>
      <c r="K901">
        <v>1.141397</v>
      </c>
      <c r="L901">
        <v>218.55699999999999</v>
      </c>
      <c r="M901">
        <v>0.9705954</v>
      </c>
      <c r="N901">
        <v>0</v>
      </c>
      <c r="O901">
        <v>-0.24011489999999999</v>
      </c>
      <c r="P901">
        <v>0.98208249999999997</v>
      </c>
      <c r="Q901">
        <v>0.11074680000000001</v>
      </c>
      <c r="R901">
        <v>-0.152477799999999</v>
      </c>
      <c r="S901">
        <v>3.0476380000000001</v>
      </c>
      <c r="T901">
        <v>-0.2157772</v>
      </c>
      <c r="U901">
        <v>-0.20755000000000001</v>
      </c>
      <c r="V901">
        <v>-9.0396690000000002E-2</v>
      </c>
      <c r="W901">
        <v>0.12577869999999999</v>
      </c>
      <c r="X901">
        <v>0.98793129999999996</v>
      </c>
      <c r="Y901">
        <v>-0.172623</v>
      </c>
      <c r="Z901">
        <v>2.2897890000000001E-2</v>
      </c>
      <c r="AA901">
        <v>0.98472179999999998</v>
      </c>
      <c r="AB901">
        <v>32</v>
      </c>
      <c r="AC901">
        <v>15.8582</v>
      </c>
      <c r="AD901">
        <v>-1.1413956408829999</v>
      </c>
      <c r="AE901">
        <v>-1.0252000000000101</v>
      </c>
      <c r="AF901">
        <v>-2.7987046877847601</v>
      </c>
      <c r="AG901">
        <v>-1.1413956408829999</v>
      </c>
      <c r="AH901">
        <v>15.5600530576198</v>
      </c>
      <c r="AI901">
        <v>94.129344937866705</v>
      </c>
      <c r="AJ901">
        <v>100.196466183504</v>
      </c>
      <c r="AK901">
        <v>15.850892186069499</v>
      </c>
      <c r="AL901">
        <v>82.774273414311494</v>
      </c>
      <c r="AM901">
        <v>95.228062335550902</v>
      </c>
      <c r="AN901">
        <v>1.0000000482281599</v>
      </c>
    </row>
    <row r="902" spans="1:40" x14ac:dyDescent="0.3">
      <c r="A902" t="str">
        <f>"20200111150307854"</f>
        <v>20200111150307854</v>
      </c>
      <c r="B902" t="str">
        <f>"1578726187847715"</f>
        <v>1578726187847715</v>
      </c>
      <c r="C902" t="s">
        <v>40</v>
      </c>
      <c r="D902">
        <v>5.3931399999999998</v>
      </c>
      <c r="E902">
        <v>0.47572969999999998</v>
      </c>
      <c r="F902" t="s">
        <v>56</v>
      </c>
      <c r="G902">
        <v>-445.86619999999999</v>
      </c>
      <c r="H902" s="1">
        <v>1.4654870000000001E-6</v>
      </c>
      <c r="I902">
        <v>217.34899999999999</v>
      </c>
      <c r="J902">
        <v>-461.214</v>
      </c>
      <c r="K902">
        <v>1.1387229999999999</v>
      </c>
      <c r="L902">
        <v>218.4751</v>
      </c>
      <c r="M902">
        <v>0.97036800000000001</v>
      </c>
      <c r="N902">
        <v>0</v>
      </c>
      <c r="O902">
        <v>-0.24098520000000001</v>
      </c>
      <c r="P902">
        <v>0.98277780000000003</v>
      </c>
      <c r="Q902">
        <v>0.1094579</v>
      </c>
      <c r="R902">
        <v>-0.1488852</v>
      </c>
      <c r="S902">
        <v>3.043304</v>
      </c>
      <c r="T902">
        <v>-0.22162570000000001</v>
      </c>
      <c r="U902">
        <v>-0.23455809999999999</v>
      </c>
      <c r="V902">
        <v>-9.473036E-2</v>
      </c>
      <c r="W902">
        <v>0.12518219999999999</v>
      </c>
      <c r="X902">
        <v>0.9876009</v>
      </c>
      <c r="Y902">
        <v>-0.1646764</v>
      </c>
      <c r="Z902">
        <v>2.3311200000000001E-2</v>
      </c>
      <c r="AA902">
        <v>0.98607210000000001</v>
      </c>
      <c r="AB902">
        <v>32</v>
      </c>
      <c r="AC902">
        <v>15.347799999999999</v>
      </c>
      <c r="AD902">
        <v>-1.138721534513</v>
      </c>
      <c r="AE902">
        <v>-1.1260999999999699</v>
      </c>
      <c r="AF902">
        <v>-2.5920754652084699</v>
      </c>
      <c r="AG902">
        <v>-1.138721534513</v>
      </c>
      <c r="AH902">
        <v>15.0841632956342</v>
      </c>
      <c r="AI902">
        <v>94.255005887744105</v>
      </c>
      <c r="AJ902">
        <v>99.750524507548903</v>
      </c>
      <c r="AK902">
        <v>15.3475575998221</v>
      </c>
      <c r="AL902">
        <v>82.808722142993005</v>
      </c>
      <c r="AM902">
        <v>95.479030305356702</v>
      </c>
      <c r="AN902">
        <v>0.99999998099168896</v>
      </c>
    </row>
    <row r="903" spans="1:40" x14ac:dyDescent="0.3">
      <c r="A903" t="str">
        <f>"20200111150307875"</f>
        <v>20200111150307875</v>
      </c>
      <c r="B903" t="str">
        <f>"1578726187868211"</f>
        <v>1578726187868211</v>
      </c>
      <c r="C903" t="s">
        <v>40</v>
      </c>
      <c r="D903">
        <v>6.2329040000000004</v>
      </c>
      <c r="E903">
        <v>0.47386820000000002</v>
      </c>
      <c r="F903" t="s">
        <v>56</v>
      </c>
      <c r="G903">
        <v>-445.45150000000001</v>
      </c>
      <c r="H903" s="1">
        <v>1.2530159999999999E-6</v>
      </c>
      <c r="I903">
        <v>217.16059999999999</v>
      </c>
      <c r="J903">
        <v>-460.92259999999999</v>
      </c>
      <c r="K903">
        <v>1.1362719999999999</v>
      </c>
      <c r="L903">
        <v>218.40219999999999</v>
      </c>
      <c r="M903">
        <v>0.97012480000000001</v>
      </c>
      <c r="N903">
        <v>0</v>
      </c>
      <c r="O903">
        <v>-0.2419335</v>
      </c>
      <c r="P903">
        <v>0.98337649999999999</v>
      </c>
      <c r="Q903">
        <v>0.107465</v>
      </c>
      <c r="R903">
        <v>-0.14636289999999999</v>
      </c>
      <c r="S903">
        <v>3.0386959999999998</v>
      </c>
      <c r="T903">
        <v>-0.2195232</v>
      </c>
      <c r="U903">
        <v>-0.25340269999999998</v>
      </c>
      <c r="V903">
        <v>-9.8093929999999996E-2</v>
      </c>
      <c r="W903">
        <v>0.12363979999999999</v>
      </c>
      <c r="X903">
        <v>0.98746690000000004</v>
      </c>
      <c r="Y903">
        <v>-0.1594777</v>
      </c>
      <c r="Z903">
        <v>2.29958E-2</v>
      </c>
      <c r="AA903">
        <v>0.98693359999999997</v>
      </c>
      <c r="AB903">
        <v>31</v>
      </c>
      <c r="AC903">
        <v>15.4710999999999</v>
      </c>
      <c r="AD903">
        <v>-1.1362707469840001</v>
      </c>
      <c r="AE903">
        <v>-1.2416</v>
      </c>
      <c r="AF903">
        <v>-2.5253494734888999</v>
      </c>
      <c r="AG903">
        <v>-1.1362707469840001</v>
      </c>
      <c r="AH903">
        <v>15.2301512001173</v>
      </c>
      <c r="AI903">
        <v>94.209478098722201</v>
      </c>
      <c r="AJ903">
        <v>99.414698285165699</v>
      </c>
      <c r="AK903">
        <v>15.4798580985788</v>
      </c>
      <c r="AL903">
        <v>82.897787615551593</v>
      </c>
      <c r="AM903">
        <v>95.673090603892405</v>
      </c>
      <c r="AN903">
        <v>1.0000000489212399</v>
      </c>
    </row>
    <row r="904" spans="1:40" x14ac:dyDescent="0.3">
      <c r="A904" t="str">
        <f>"20200111150307897"</f>
        <v>20200111150307897</v>
      </c>
      <c r="B904" t="str">
        <f>"1578726187887732"</f>
        <v>1578726187887732</v>
      </c>
      <c r="C904" t="s">
        <v>40</v>
      </c>
      <c r="D904">
        <v>5.4533310000000004</v>
      </c>
      <c r="E904">
        <v>0.47605649999999999</v>
      </c>
      <c r="F904" t="s">
        <v>56</v>
      </c>
      <c r="G904">
        <v>-445.65440000000001</v>
      </c>
      <c r="H904" s="1">
        <v>1.357317E-6</v>
      </c>
      <c r="I904">
        <v>217.24449999999999</v>
      </c>
      <c r="J904">
        <v>-460.61419999999998</v>
      </c>
      <c r="K904">
        <v>1.133532</v>
      </c>
      <c r="L904">
        <v>218.32550000000001</v>
      </c>
      <c r="M904">
        <v>0.96989230000000004</v>
      </c>
      <c r="N904">
        <v>0</v>
      </c>
      <c r="O904">
        <v>-0.2428469</v>
      </c>
      <c r="P904">
        <v>0.98360570000000003</v>
      </c>
      <c r="Q904">
        <v>0.1059919</v>
      </c>
      <c r="R904">
        <v>-0.1458961</v>
      </c>
      <c r="S904">
        <v>3.0411380000000001</v>
      </c>
      <c r="T904">
        <v>-0.226324</v>
      </c>
      <c r="U904">
        <v>-0.23059080000000001</v>
      </c>
      <c r="V904">
        <v>-9.9312120000000004E-2</v>
      </c>
      <c r="W904">
        <v>0.12252780000000001</v>
      </c>
      <c r="X904">
        <v>0.98748369999999996</v>
      </c>
      <c r="Y904">
        <v>-0.16773579999999999</v>
      </c>
      <c r="Z904">
        <v>2.4070810000000002E-2</v>
      </c>
      <c r="AA904">
        <v>0.98553809999999997</v>
      </c>
      <c r="AB904">
        <v>31</v>
      </c>
      <c r="AC904">
        <v>14.9597999999999</v>
      </c>
      <c r="AD904">
        <v>-1.1335306426830001</v>
      </c>
      <c r="AE904">
        <v>-1.08100000000001</v>
      </c>
      <c r="AF904">
        <v>-2.5702395720126798</v>
      </c>
      <c r="AG904">
        <v>-1.1335306426830001</v>
      </c>
      <c r="AH904">
        <v>14.6904769086127</v>
      </c>
      <c r="AI904">
        <v>94.346487460868403</v>
      </c>
      <c r="AJ904">
        <v>99.923998042049007</v>
      </c>
      <c r="AK904">
        <v>14.956641834914899</v>
      </c>
      <c r="AL904">
        <v>82.961988402706695</v>
      </c>
      <c r="AM904">
        <v>95.742977345788702</v>
      </c>
      <c r="AN904">
        <v>1.0000000083587099</v>
      </c>
    </row>
    <row r="905" spans="1:40" x14ac:dyDescent="0.3">
      <c r="A905" t="str">
        <f>"20200111150307920"</f>
        <v>20200111150307920</v>
      </c>
      <c r="B905" t="str">
        <f>"1578726187917987"</f>
        <v>1578726187917987</v>
      </c>
      <c r="C905" t="s">
        <v>40</v>
      </c>
      <c r="D905">
        <v>5.4674940000000003</v>
      </c>
      <c r="E905">
        <v>0.47841939999999999</v>
      </c>
      <c r="F905" t="s">
        <v>56</v>
      </c>
      <c r="G905">
        <v>-444.36720000000003</v>
      </c>
      <c r="H905" s="1">
        <v>6.8264049999999999E-7</v>
      </c>
      <c r="I905">
        <v>217.0095</v>
      </c>
      <c r="J905">
        <v>-460.30459999999999</v>
      </c>
      <c r="K905">
        <v>1.130655</v>
      </c>
      <c r="L905">
        <v>218.24870000000001</v>
      </c>
      <c r="M905">
        <v>0.96976379999999995</v>
      </c>
      <c r="N905">
        <v>0</v>
      </c>
      <c r="O905">
        <v>-0.24335560000000001</v>
      </c>
      <c r="P905">
        <v>0.98378489999999996</v>
      </c>
      <c r="Q905">
        <v>0.1052811</v>
      </c>
      <c r="R905">
        <v>-0.14520139999999901</v>
      </c>
      <c r="S905">
        <v>3.0363159999999998</v>
      </c>
      <c r="T905">
        <v>-0.21184040000000001</v>
      </c>
      <c r="U905">
        <v>-0.2459412</v>
      </c>
      <c r="V905">
        <v>-0.10030600000000001</v>
      </c>
      <c r="W905">
        <v>0.12203840000000001</v>
      </c>
      <c r="X905">
        <v>0.98744390000000004</v>
      </c>
      <c r="Y905">
        <v>-0.1633261</v>
      </c>
      <c r="Z905">
        <v>2.2443810000000002E-2</v>
      </c>
      <c r="AA905">
        <v>0.98631679999999999</v>
      </c>
      <c r="AB905">
        <v>31</v>
      </c>
      <c r="AC905">
        <v>15.937399999999901</v>
      </c>
      <c r="AD905">
        <v>-1.1306543173594901</v>
      </c>
      <c r="AE905">
        <v>-1.2392000000000101</v>
      </c>
      <c r="AF905">
        <v>-2.6638478313038898</v>
      </c>
      <c r="AG905">
        <v>-1.1306543173594901</v>
      </c>
      <c r="AH905">
        <v>15.6812802645393</v>
      </c>
      <c r="AI905">
        <v>94.065963737968403</v>
      </c>
      <c r="AJ905">
        <v>99.641050084357602</v>
      </c>
      <c r="AK905">
        <v>15.946065821660699</v>
      </c>
      <c r="AL905">
        <v>82.990241350584796</v>
      </c>
      <c r="AM905">
        <v>95.800293264315698</v>
      </c>
      <c r="AN905">
        <v>1.0000000601788801</v>
      </c>
    </row>
    <row r="906" spans="1:40" x14ac:dyDescent="0.3">
      <c r="A906" t="str">
        <f>"20200111150307942"</f>
        <v>20200111150307942</v>
      </c>
      <c r="B906" t="str">
        <f>"1578726187937507"</f>
        <v>1578726187937507</v>
      </c>
      <c r="C906" t="s">
        <v>40</v>
      </c>
      <c r="D906">
        <v>5.4579319999999996</v>
      </c>
      <c r="E906">
        <v>0.48098990000000003</v>
      </c>
      <c r="F906" t="s">
        <v>56</v>
      </c>
      <c r="G906">
        <v>-445.14839999999998</v>
      </c>
      <c r="H906" s="1">
        <v>1.101723E-6</v>
      </c>
      <c r="I906">
        <v>216.93170000000001</v>
      </c>
      <c r="J906">
        <v>-460.0179</v>
      </c>
      <c r="K906">
        <v>1.12798</v>
      </c>
      <c r="L906">
        <v>218.17779999999999</v>
      </c>
      <c r="M906">
        <v>0.9697943</v>
      </c>
      <c r="N906">
        <v>0</v>
      </c>
      <c r="O906">
        <v>-0.24323719999999999</v>
      </c>
      <c r="P906">
        <v>0.98391949999999995</v>
      </c>
      <c r="Q906">
        <v>0.1040961</v>
      </c>
      <c r="R906">
        <v>-0.1451442</v>
      </c>
      <c r="S906">
        <v>3.0347900000000001</v>
      </c>
      <c r="T906">
        <v>-0.22639509999999999</v>
      </c>
      <c r="U906">
        <v>-0.2637024</v>
      </c>
      <c r="V906">
        <v>-0.1000397</v>
      </c>
      <c r="W906">
        <v>0.1209981</v>
      </c>
      <c r="X906">
        <v>0.98759889999999995</v>
      </c>
      <c r="Y906">
        <v>-0.1573097</v>
      </c>
      <c r="Z906">
        <v>2.375242E-2</v>
      </c>
      <c r="AA906">
        <v>0.98726360000000002</v>
      </c>
      <c r="AB906">
        <v>31</v>
      </c>
      <c r="AC906">
        <v>14.8695</v>
      </c>
      <c r="AD906">
        <v>-1.127978898277</v>
      </c>
      <c r="AE906">
        <v>-1.24609999999998</v>
      </c>
      <c r="AF906">
        <v>-2.3950716098478799</v>
      </c>
      <c r="AG906">
        <v>-1.127978898277</v>
      </c>
      <c r="AH906">
        <v>14.642247147350799</v>
      </c>
      <c r="AI906">
        <v>94.347580271776096</v>
      </c>
      <c r="AJ906">
        <v>99.289754925698503</v>
      </c>
      <c r="AK906">
        <v>14.879654093269799</v>
      </c>
      <c r="AL906">
        <v>83.0502909874224</v>
      </c>
      <c r="AM906">
        <v>95.784097007181998</v>
      </c>
      <c r="AN906">
        <v>1.0000000345304501</v>
      </c>
    </row>
    <row r="907" spans="1:40" x14ac:dyDescent="0.3">
      <c r="A907" t="str">
        <f>"20200111150307965"</f>
        <v>20200111150307965</v>
      </c>
      <c r="B907" t="str">
        <f>"1578726187958003"</f>
        <v>1578726187958003</v>
      </c>
      <c r="C907" t="s">
        <v>40</v>
      </c>
      <c r="D907">
        <v>5.3776029999999997</v>
      </c>
      <c r="E907">
        <v>0.4821531</v>
      </c>
      <c r="F907" t="s">
        <v>56</v>
      </c>
      <c r="G907">
        <v>-445.1773</v>
      </c>
      <c r="H907" s="1">
        <v>1.123634E-6</v>
      </c>
      <c r="I907">
        <v>216.78200000000001</v>
      </c>
      <c r="J907">
        <v>-459.6968</v>
      </c>
      <c r="K907">
        <v>1.125157</v>
      </c>
      <c r="L907">
        <v>218.09880000000001</v>
      </c>
      <c r="M907">
        <v>0.97000649999999999</v>
      </c>
      <c r="N907">
        <v>0</v>
      </c>
      <c r="O907">
        <v>-0.2423978</v>
      </c>
      <c r="P907">
        <v>0.98400030000000005</v>
      </c>
      <c r="Q907">
        <v>0.1037124</v>
      </c>
      <c r="R907">
        <v>-0.14486959999999999</v>
      </c>
      <c r="S907">
        <v>3.0312809999999999</v>
      </c>
      <c r="T907">
        <v>-0.23039660000000001</v>
      </c>
      <c r="U907">
        <v>-0.28509519999999999</v>
      </c>
      <c r="V907">
        <v>-9.9257509999999993E-2</v>
      </c>
      <c r="W907">
        <v>0.120682399999999</v>
      </c>
      <c r="X907">
        <v>0.98771640000000005</v>
      </c>
      <c r="Y907">
        <v>-0.149424799999999</v>
      </c>
      <c r="Z907">
        <v>2.382693E-2</v>
      </c>
      <c r="AA907">
        <v>0.98848599999999998</v>
      </c>
      <c r="AB907">
        <v>31</v>
      </c>
      <c r="AC907">
        <v>14.519499999999899</v>
      </c>
      <c r="AD907">
        <v>-1.1251558763659999</v>
      </c>
      <c r="AE907">
        <v>-1.3168</v>
      </c>
      <c r="AF907">
        <v>-2.2292832183394502</v>
      </c>
      <c r="AG907">
        <v>-1.1251558763659999</v>
      </c>
      <c r="AH907">
        <v>14.3202873568989</v>
      </c>
      <c r="AI907">
        <v>94.439291927394294</v>
      </c>
      <c r="AJ907">
        <v>98.848388927184104</v>
      </c>
      <c r="AK907">
        <v>14.536378826855399</v>
      </c>
      <c r="AL907">
        <v>83.068512490522096</v>
      </c>
      <c r="AM907">
        <v>95.738497229325702</v>
      </c>
      <c r="AN907">
        <v>0.99999999089505998</v>
      </c>
    </row>
    <row r="908" spans="1:40" x14ac:dyDescent="0.3">
      <c r="A908" t="str">
        <f>"20200111150307987"</f>
        <v>20200111150307987</v>
      </c>
      <c r="B908" t="str">
        <f>"1578726187977523"</f>
        <v>1578726187977523</v>
      </c>
      <c r="C908" t="s">
        <v>40</v>
      </c>
      <c r="D908">
        <v>5.1621579999999998</v>
      </c>
      <c r="E908">
        <v>0.48274719999999999</v>
      </c>
      <c r="F908" t="s">
        <v>56</v>
      </c>
      <c r="G908">
        <v>-445.07080000000002</v>
      </c>
      <c r="H908" s="1">
        <v>1.071506E-6</v>
      </c>
      <c r="I908">
        <v>216.67789999999999</v>
      </c>
      <c r="J908">
        <v>-459.3954</v>
      </c>
      <c r="K908">
        <v>1.1228229999999999</v>
      </c>
      <c r="L908">
        <v>218.02520000000001</v>
      </c>
      <c r="M908">
        <v>0.97033659999999999</v>
      </c>
      <c r="N908">
        <v>0</v>
      </c>
      <c r="O908">
        <v>-0.24108689999999999</v>
      </c>
      <c r="P908">
        <v>0.98396939999999999</v>
      </c>
      <c r="Q908">
        <v>0.1048704</v>
      </c>
      <c r="R908">
        <v>-0.14424400000000001</v>
      </c>
      <c r="S908">
        <v>3.0299990000000001</v>
      </c>
      <c r="T908">
        <v>-0.23309250000000001</v>
      </c>
      <c r="U908">
        <v>-0.29435729999999999</v>
      </c>
      <c r="V908">
        <v>-9.8406610000000005E-2</v>
      </c>
      <c r="W908">
        <v>0.1217554</v>
      </c>
      <c r="X908">
        <v>0.98766989999999999</v>
      </c>
      <c r="Y908">
        <v>-0.14504349999999999</v>
      </c>
      <c r="Z908">
        <v>2.3844339999999999E-2</v>
      </c>
      <c r="AA908">
        <v>0.98913790000000001</v>
      </c>
      <c r="AB908">
        <v>31</v>
      </c>
      <c r="AC908">
        <v>14.324599999999901</v>
      </c>
      <c r="AD908">
        <v>-1.122821928494</v>
      </c>
      <c r="AE908">
        <v>-1.3473000000000099</v>
      </c>
      <c r="AF908">
        <v>-2.13349324796964</v>
      </c>
      <c r="AG908">
        <v>-1.122821928494</v>
      </c>
      <c r="AH908">
        <v>14.140685255683399</v>
      </c>
      <c r="AI908">
        <v>94.489369786256603</v>
      </c>
      <c r="AJ908">
        <v>98.579858697751106</v>
      </c>
      <c r="AK908">
        <v>14.344737781588799</v>
      </c>
      <c r="AL908">
        <v>83.0065777024857</v>
      </c>
      <c r="AM908">
        <v>95.68989335453</v>
      </c>
      <c r="AN908">
        <v>1.0000000348434299</v>
      </c>
    </row>
    <row r="909" spans="1:40" x14ac:dyDescent="0.3">
      <c r="A909" t="str">
        <f>"20200111150308012"</f>
        <v>20200111150308012</v>
      </c>
      <c r="B909" t="str">
        <f>"1578726188007779"</f>
        <v>1578726188007779</v>
      </c>
      <c r="C909" t="s">
        <v>40</v>
      </c>
      <c r="D909">
        <v>5.4291739999999997</v>
      </c>
      <c r="E909">
        <v>0.48390620000000001</v>
      </c>
      <c r="F909" t="s">
        <v>56</v>
      </c>
      <c r="G909">
        <v>-444.59269999999998</v>
      </c>
      <c r="H909" s="1">
        <v>8.2189809999999895E-7</v>
      </c>
      <c r="I909">
        <v>216.5677</v>
      </c>
      <c r="J909">
        <v>-459.0684</v>
      </c>
      <c r="K909">
        <v>1.1206860000000001</v>
      </c>
      <c r="L909">
        <v>217.94649999999999</v>
      </c>
      <c r="M909">
        <v>0.97080390000000005</v>
      </c>
      <c r="N909">
        <v>0</v>
      </c>
      <c r="O909">
        <v>-0.23922080000000001</v>
      </c>
      <c r="P909">
        <v>0.98387690000000005</v>
      </c>
      <c r="Q909">
        <v>0.1072578</v>
      </c>
      <c r="R909">
        <v>-0.143115299999999</v>
      </c>
      <c r="S909">
        <v>3.0296020000000001</v>
      </c>
      <c r="T909">
        <v>-0.2298027</v>
      </c>
      <c r="U909">
        <v>-0.29829410000000001</v>
      </c>
      <c r="V909">
        <v>-9.7539940000000006E-2</v>
      </c>
      <c r="W909">
        <v>0.1238896</v>
      </c>
      <c r="X909">
        <v>0.98749039999999999</v>
      </c>
      <c r="Y909">
        <v>-0.14189869999999999</v>
      </c>
      <c r="Z909">
        <v>2.325373E-2</v>
      </c>
      <c r="AA909">
        <v>0.98960800000000004</v>
      </c>
      <c r="AB909">
        <v>31</v>
      </c>
      <c r="AC909">
        <v>14.4757</v>
      </c>
      <c r="AD909">
        <v>-1.1206851781018901</v>
      </c>
      <c r="AE909">
        <v>-1.37879999999998</v>
      </c>
      <c r="AF909">
        <v>-2.1121314008140599</v>
      </c>
      <c r="AG909">
        <v>-1.1206851781018901</v>
      </c>
      <c r="AH909">
        <v>14.300217274843099</v>
      </c>
      <c r="AI909">
        <v>94.433121390777501</v>
      </c>
      <c r="AJ909">
        <v>98.401799926277604</v>
      </c>
      <c r="AK909">
        <v>14.498732649112499</v>
      </c>
      <c r="AL909">
        <v>82.883363755329199</v>
      </c>
      <c r="AM909">
        <v>95.641125418773498</v>
      </c>
      <c r="AN909">
        <v>0.99999998148776104</v>
      </c>
    </row>
    <row r="910" spans="1:40" x14ac:dyDescent="0.3">
      <c r="A910" t="str">
        <f>"20200111150308033"</f>
        <v>20200111150308033</v>
      </c>
      <c r="B910" t="str">
        <f>"1578726188028276"</f>
        <v>1578726188028276</v>
      </c>
      <c r="C910" t="s">
        <v>40</v>
      </c>
      <c r="D910">
        <v>5.4933300000000003</v>
      </c>
      <c r="E910">
        <v>0.48416979999999998</v>
      </c>
      <c r="F910" t="s">
        <v>56</v>
      </c>
      <c r="G910">
        <v>-444.33530000000002</v>
      </c>
      <c r="H910" s="1">
        <v>6.8967759999999999E-7</v>
      </c>
      <c r="I910">
        <v>216.4588</v>
      </c>
      <c r="J910">
        <v>-458.78250000000003</v>
      </c>
      <c r="K910">
        <v>1.1190789999999999</v>
      </c>
      <c r="L910">
        <v>217.87889999999999</v>
      </c>
      <c r="M910">
        <v>0.97130170000000005</v>
      </c>
      <c r="N910">
        <v>0</v>
      </c>
      <c r="O910">
        <v>-0.23721529999999999</v>
      </c>
      <c r="P910">
        <v>0.98384550000000004</v>
      </c>
      <c r="Q910">
        <v>0.109572</v>
      </c>
      <c r="R910">
        <v>-0.14157069999999999</v>
      </c>
      <c r="S910">
        <v>3.029785</v>
      </c>
      <c r="T910">
        <v>-0.230463</v>
      </c>
      <c r="U910">
        <v>-0.30593870000000001</v>
      </c>
      <c r="V910">
        <v>-9.6995789999999998E-2</v>
      </c>
      <c r="W910">
        <v>0.12590170000000001</v>
      </c>
      <c r="X910">
        <v>0.98728950000000004</v>
      </c>
      <c r="Y910">
        <v>-0.13739779999999999</v>
      </c>
      <c r="Z910">
        <v>2.299646E-2</v>
      </c>
      <c r="AA910">
        <v>0.99024900000000005</v>
      </c>
      <c r="AB910">
        <v>31</v>
      </c>
      <c r="AC910">
        <v>14.4472</v>
      </c>
      <c r="AD910">
        <v>-1.1190783103224</v>
      </c>
      <c r="AE910">
        <v>-1.4200999999999899</v>
      </c>
      <c r="AF910">
        <v>-2.0359615908714499</v>
      </c>
      <c r="AG910">
        <v>-1.1190783103224</v>
      </c>
      <c r="AH910">
        <v>14.286728477044401</v>
      </c>
      <c r="AI910">
        <v>94.434210782059296</v>
      </c>
      <c r="AJ910">
        <v>98.110451827864495</v>
      </c>
      <c r="AK910">
        <v>14.4743941649013</v>
      </c>
      <c r="AL910">
        <v>82.767169131745405</v>
      </c>
      <c r="AM910">
        <v>95.610990588904798</v>
      </c>
      <c r="AN910">
        <v>0.99999998907543197</v>
      </c>
    </row>
    <row r="911" spans="1:40" x14ac:dyDescent="0.3">
      <c r="A911" t="str">
        <f>"20200111150308054"</f>
        <v>20200111150308054</v>
      </c>
      <c r="B911" t="str">
        <f>"1578726188047795"</f>
        <v>1578726188047795</v>
      </c>
      <c r="C911" t="s">
        <v>40</v>
      </c>
      <c r="D911">
        <v>6.9854469999999997</v>
      </c>
      <c r="E911">
        <v>0.48475279999999998</v>
      </c>
      <c r="F911" t="s">
        <v>56</v>
      </c>
      <c r="G911">
        <v>-443.65460000000002</v>
      </c>
      <c r="H911" s="1">
        <v>3.3205859999999902E-7</v>
      </c>
      <c r="I911">
        <v>216.35390000000001</v>
      </c>
      <c r="J911">
        <v>-458.49310000000003</v>
      </c>
      <c r="K911">
        <v>1.1175980000000001</v>
      </c>
      <c r="L911">
        <v>217.8115</v>
      </c>
      <c r="M911">
        <v>0.9718909</v>
      </c>
      <c r="N911">
        <v>0</v>
      </c>
      <c r="O911">
        <v>-0.23481550000000001</v>
      </c>
      <c r="P911">
        <v>0.98401749999999999</v>
      </c>
      <c r="Q911">
        <v>0.11141669999999999</v>
      </c>
      <c r="R911">
        <v>-0.13890999999999901</v>
      </c>
      <c r="S911">
        <v>3.0302730000000002</v>
      </c>
      <c r="T911">
        <v>-0.22416240000000001</v>
      </c>
      <c r="U911">
        <v>-0.305481</v>
      </c>
      <c r="V911">
        <v>-9.7184580000000007E-2</v>
      </c>
      <c r="W911">
        <v>0.1274063</v>
      </c>
      <c r="X911">
        <v>0.98707789999999995</v>
      </c>
      <c r="Y911">
        <v>-0.1351831</v>
      </c>
      <c r="Z911">
        <v>2.211252E-2</v>
      </c>
      <c r="AA911">
        <v>0.99057379999999995</v>
      </c>
      <c r="AB911">
        <v>31</v>
      </c>
      <c r="AC911">
        <v>14.8385</v>
      </c>
      <c r="AD911">
        <v>-1.1175976679413999</v>
      </c>
      <c r="AE911">
        <v>-1.45759999999998</v>
      </c>
      <c r="AF911">
        <v>-2.0564272140971398</v>
      </c>
      <c r="AG911">
        <v>-1.1175976679413999</v>
      </c>
      <c r="AH911">
        <v>14.6833114231324</v>
      </c>
      <c r="AI911">
        <v>94.310678025531502</v>
      </c>
      <c r="AJ911">
        <v>97.972532797048302</v>
      </c>
      <c r="AK911">
        <v>14.868676867258801</v>
      </c>
      <c r="AL911">
        <v>82.680262063771295</v>
      </c>
      <c r="AM911">
        <v>95.623039209677898</v>
      </c>
      <c r="AN911">
        <v>0.99999999426893804</v>
      </c>
    </row>
    <row r="912" spans="1:40" x14ac:dyDescent="0.3">
      <c r="A912" t="str">
        <f>"20200111150308078"</f>
        <v>20200111150308078</v>
      </c>
      <c r="B912" t="str">
        <f>"1578726188068293"</f>
        <v>1578726188068293</v>
      </c>
      <c r="C912" t="s">
        <v>40</v>
      </c>
      <c r="D912">
        <v>6.0463940000000003</v>
      </c>
      <c r="E912">
        <v>0.46998529999999999</v>
      </c>
      <c r="F912" t="s">
        <v>56</v>
      </c>
      <c r="G912">
        <v>-443.1653</v>
      </c>
      <c r="H912" s="1">
        <v>7.5278729999999995E-8</v>
      </c>
      <c r="I912">
        <v>216.27189999999999</v>
      </c>
      <c r="J912">
        <v>-458.17129999999997</v>
      </c>
      <c r="K912">
        <v>1.116109</v>
      </c>
      <c r="L912">
        <v>217.7379</v>
      </c>
      <c r="M912">
        <v>0.97265299999999999</v>
      </c>
      <c r="N912">
        <v>0</v>
      </c>
      <c r="O912">
        <v>-0.23166619999999999</v>
      </c>
      <c r="P912">
        <v>0.98447929999999995</v>
      </c>
      <c r="Q912">
        <v>0.112826</v>
      </c>
      <c r="R912">
        <v>-0.13442850000000001</v>
      </c>
      <c r="S912">
        <v>3.0307620000000002</v>
      </c>
      <c r="T912">
        <v>-0.2209824</v>
      </c>
      <c r="U912">
        <v>-0.30442809999999998</v>
      </c>
      <c r="V912">
        <v>-9.8446119999999998E-2</v>
      </c>
      <c r="W912">
        <v>0.12841929999999999</v>
      </c>
      <c r="X912">
        <v>0.98682159999999997</v>
      </c>
      <c r="Y912">
        <v>-0.13237189999999999</v>
      </c>
      <c r="Z912">
        <v>2.147197E-2</v>
      </c>
      <c r="AA912">
        <v>0.9909675</v>
      </c>
      <c r="AB912">
        <v>31</v>
      </c>
      <c r="AC912">
        <v>15.005999999999901</v>
      </c>
      <c r="AD912">
        <v>-1.1161089247212701</v>
      </c>
      <c r="AE912">
        <v>-1.466</v>
      </c>
      <c r="AF912">
        <v>-2.0395813359868402</v>
      </c>
      <c r="AG912">
        <v>-1.1161089247212701</v>
      </c>
      <c r="AH912">
        <v>14.8559157017117</v>
      </c>
      <c r="AI912">
        <v>94.256717742401804</v>
      </c>
      <c r="AJ912">
        <v>97.817315281541994</v>
      </c>
      <c r="AK912">
        <v>15.0367490666804</v>
      </c>
      <c r="AL912">
        <v>82.621740844345595</v>
      </c>
      <c r="AM912">
        <v>95.697023804677201</v>
      </c>
      <c r="AN912">
        <v>1.00000001269105</v>
      </c>
    </row>
    <row r="913" spans="1:40" x14ac:dyDescent="0.3">
      <c r="A913" t="str">
        <f>"20200111150308099"</f>
        <v>20200111150308099</v>
      </c>
      <c r="B913" t="str">
        <f>"1578726188087811"</f>
        <v>1578726188087811</v>
      </c>
      <c r="C913" t="s">
        <v>40</v>
      </c>
      <c r="D913">
        <v>5.6105210000000003</v>
      </c>
      <c r="E913">
        <v>0.4774853</v>
      </c>
      <c r="F913" t="s">
        <v>44</v>
      </c>
      <c r="G913">
        <v>0</v>
      </c>
      <c r="H913">
        <v>0</v>
      </c>
      <c r="I913">
        <v>0</v>
      </c>
      <c r="J913">
        <v>-457.87909999999999</v>
      </c>
      <c r="K913">
        <v>1.1149089999999999</v>
      </c>
      <c r="L913">
        <v>217.6721</v>
      </c>
      <c r="M913">
        <v>0.9734254</v>
      </c>
      <c r="N913">
        <v>0</v>
      </c>
      <c r="O913">
        <v>-0.22842399999999999</v>
      </c>
      <c r="P913">
        <v>0.98535919999999999</v>
      </c>
      <c r="Q913">
        <v>0.1120401</v>
      </c>
      <c r="R913">
        <v>-0.1285094</v>
      </c>
      <c r="S913">
        <v>2.9222410000000001</v>
      </c>
      <c r="T913">
        <v>0.90596010000000005</v>
      </c>
      <c r="U913">
        <v>-0.15534970000000001</v>
      </c>
      <c r="V913">
        <v>-0.1010969</v>
      </c>
      <c r="W913">
        <v>0.1272682</v>
      </c>
      <c r="X913">
        <v>0.98670270000000004</v>
      </c>
      <c r="Y913">
        <v>-0.15853159999999999</v>
      </c>
      <c r="Z913">
        <v>-9.2574450000000003E-2</v>
      </c>
      <c r="AA913">
        <v>0.98300449999999995</v>
      </c>
      <c r="AB913">
        <v>31</v>
      </c>
      <c r="AC913">
        <v>2.9222410000000001</v>
      </c>
      <c r="AD913">
        <v>0.90596010000000005</v>
      </c>
      <c r="AE913">
        <v>-0.15534970000000001</v>
      </c>
      <c r="AF913">
        <v>-0.47119630403072699</v>
      </c>
      <c r="AG913">
        <v>0.90596010000000005</v>
      </c>
      <c r="AH913">
        <v>2.62852574871056</v>
      </c>
      <c r="AI913">
        <v>71.26014496642</v>
      </c>
      <c r="AJ913">
        <v>100.16304331592001</v>
      </c>
      <c r="AK913">
        <v>2.8199179547211299</v>
      </c>
      <c r="AL913">
        <v>82.688239579717006</v>
      </c>
      <c r="AM913">
        <v>95.850073128099694</v>
      </c>
      <c r="AN913">
        <v>0.99999999805407003</v>
      </c>
    </row>
    <row r="914" spans="1:40" x14ac:dyDescent="0.3">
      <c r="A914" t="str">
        <f>"20200111150308121"</f>
        <v>20200111150308121</v>
      </c>
      <c r="B914" t="str">
        <f>"1578726188118067"</f>
        <v>1578726188118067</v>
      </c>
      <c r="C914" t="s">
        <v>40</v>
      </c>
      <c r="D914">
        <v>6.9846259999999996</v>
      </c>
      <c r="E914">
        <v>0.479437</v>
      </c>
      <c r="F914" t="s">
        <v>44</v>
      </c>
      <c r="G914">
        <v>0</v>
      </c>
      <c r="H914">
        <v>0</v>
      </c>
      <c r="I914">
        <v>0</v>
      </c>
      <c r="J914">
        <v>-457.5736</v>
      </c>
      <c r="K914">
        <v>1.113818</v>
      </c>
      <c r="L914">
        <v>217.60470000000001</v>
      </c>
      <c r="M914">
        <v>0.97428910000000002</v>
      </c>
      <c r="N914">
        <v>0</v>
      </c>
      <c r="O914">
        <v>-0.2247362</v>
      </c>
      <c r="P914">
        <v>0.98619199999999996</v>
      </c>
      <c r="Q914">
        <v>0.1115247</v>
      </c>
      <c r="R914">
        <v>-0.1224247</v>
      </c>
      <c r="S914">
        <v>2.9188230000000002</v>
      </c>
      <c r="T914">
        <v>0.88150079999999997</v>
      </c>
      <c r="U914">
        <v>-0.1955414</v>
      </c>
      <c r="V914">
        <v>-0.103459</v>
      </c>
      <c r="W914">
        <v>0.126387</v>
      </c>
      <c r="X914">
        <v>0.98657110000000003</v>
      </c>
      <c r="Y914">
        <v>-0.14299010000000001</v>
      </c>
      <c r="Z914">
        <v>-8.6867849999999996E-2</v>
      </c>
      <c r="AA914">
        <v>0.98590460000000002</v>
      </c>
      <c r="AB914">
        <v>31</v>
      </c>
      <c r="AC914">
        <v>2.9188230000000002</v>
      </c>
      <c r="AD914">
        <v>0.88150079999999997</v>
      </c>
      <c r="AE914">
        <v>-0.1955414</v>
      </c>
      <c r="AF914">
        <v>-0.42676074008321702</v>
      </c>
      <c r="AG914">
        <v>0.88150079999999997</v>
      </c>
      <c r="AH914">
        <v>2.6476810125921899</v>
      </c>
      <c r="AI914">
        <v>71.804778598363399</v>
      </c>
      <c r="AJ914">
        <v>99.156344685345402</v>
      </c>
      <c r="AK914">
        <v>2.8230095880315802</v>
      </c>
      <c r="AL914">
        <v>82.739139570580093</v>
      </c>
      <c r="AM914">
        <v>95.986569876755397</v>
      </c>
      <c r="AN914">
        <v>0.99999998690260405</v>
      </c>
    </row>
    <row r="915" spans="1:40" x14ac:dyDescent="0.3">
      <c r="A915" t="str">
        <f>"20200111150308143"</f>
        <v>20200111150308143</v>
      </c>
      <c r="B915" t="str">
        <f>"1578726188137587"</f>
        <v>1578726188137587</v>
      </c>
      <c r="C915" t="s">
        <v>40</v>
      </c>
      <c r="D915">
        <v>6.1143179999999999</v>
      </c>
      <c r="E915">
        <v>0.49216409999999999</v>
      </c>
      <c r="F915" t="s">
        <v>44</v>
      </c>
      <c r="G915">
        <v>0</v>
      </c>
      <c r="H915">
        <v>0</v>
      </c>
      <c r="I915">
        <v>0</v>
      </c>
      <c r="J915">
        <v>-457.28879999999998</v>
      </c>
      <c r="K915">
        <v>1.112949</v>
      </c>
      <c r="L915">
        <v>217.54300000000001</v>
      </c>
      <c r="M915">
        <v>0.97512480000000001</v>
      </c>
      <c r="N915">
        <v>0</v>
      </c>
      <c r="O915">
        <v>-0.2211043</v>
      </c>
      <c r="P915">
        <v>0.98676629999999999</v>
      </c>
      <c r="Q915">
        <v>0.1119802</v>
      </c>
      <c r="R915">
        <v>-0.1172735</v>
      </c>
      <c r="S915">
        <v>2.91391</v>
      </c>
      <c r="T915">
        <v>0.92174970000000001</v>
      </c>
      <c r="U915">
        <v>-0.19181819999999999</v>
      </c>
      <c r="V915">
        <v>-0.10493230000000001</v>
      </c>
      <c r="W915">
        <v>0.12652140000000001</v>
      </c>
      <c r="X915">
        <v>0.98639829999999995</v>
      </c>
      <c r="Y915">
        <v>-0.139268899999999</v>
      </c>
      <c r="Z915">
        <v>-8.9136350000000003E-2</v>
      </c>
      <c r="AA915">
        <v>0.98623470000000002</v>
      </c>
      <c r="AB915">
        <v>31</v>
      </c>
      <c r="AC915">
        <v>2.91391</v>
      </c>
      <c r="AD915">
        <v>0.92174970000000001</v>
      </c>
      <c r="AE915">
        <v>-0.19181819999999999</v>
      </c>
      <c r="AF915">
        <v>-0.41585507098269098</v>
      </c>
      <c r="AG915">
        <v>0.92174970000000001</v>
      </c>
      <c r="AH915">
        <v>2.6228703566302198</v>
      </c>
      <c r="AI915">
        <v>70.858504289344793</v>
      </c>
      <c r="AJ915">
        <v>99.009231676359093</v>
      </c>
      <c r="AK915">
        <v>2.81105084571618</v>
      </c>
      <c r="AL915">
        <v>82.731377010266797</v>
      </c>
      <c r="AM915">
        <v>96.072244505590803</v>
      </c>
      <c r="AN915">
        <v>1.0000000292420601</v>
      </c>
    </row>
    <row r="916" spans="1:40" x14ac:dyDescent="0.3">
      <c r="A916" t="str">
        <f>"20200111150308166"</f>
        <v>20200111150308166</v>
      </c>
      <c r="B916" t="str">
        <f>"1578726188158084"</f>
        <v>1578726188158084</v>
      </c>
      <c r="C916" t="s">
        <v>40</v>
      </c>
      <c r="D916">
        <v>5.4396009999999997</v>
      </c>
      <c r="E916">
        <v>0.49501250000000002</v>
      </c>
      <c r="F916" t="s">
        <v>56</v>
      </c>
      <c r="G916">
        <v>-386.12439999999998</v>
      </c>
      <c r="H916" s="1">
        <v>1.9017580000000001E-6</v>
      </c>
      <c r="I916">
        <v>210.51070000000001</v>
      </c>
      <c r="J916">
        <v>-456.97469999999998</v>
      </c>
      <c r="K916">
        <v>1.112139</v>
      </c>
      <c r="L916">
        <v>217.47640000000001</v>
      </c>
      <c r="M916">
        <v>0.97606309999999996</v>
      </c>
      <c r="N916">
        <v>0</v>
      </c>
      <c r="O916">
        <v>-0.216947</v>
      </c>
      <c r="P916">
        <v>0.98713870000000004</v>
      </c>
      <c r="Q916">
        <v>0.1132779</v>
      </c>
      <c r="R916">
        <v>-0.1128083</v>
      </c>
      <c r="S916">
        <v>3.0102540000000002</v>
      </c>
      <c r="T916">
        <v>-4.707766E-2</v>
      </c>
      <c r="U916">
        <v>-0.29747010000000002</v>
      </c>
      <c r="V916">
        <v>-0.1051797</v>
      </c>
      <c r="W916">
        <v>0.1274962</v>
      </c>
      <c r="X916">
        <v>0.98624639999999997</v>
      </c>
      <c r="Y916">
        <v>-0.119883199999999</v>
      </c>
      <c r="Z916">
        <v>4.2905010000000004E-3</v>
      </c>
      <c r="AA916">
        <v>0.99277870000000001</v>
      </c>
      <c r="AB916">
        <v>31</v>
      </c>
      <c r="AC916">
        <v>70.850300000000004</v>
      </c>
      <c r="AD916">
        <v>-1.112137098242</v>
      </c>
      <c r="AE916">
        <v>-6.9656999999999902</v>
      </c>
      <c r="AF916">
        <v>-8.5707123373394705</v>
      </c>
      <c r="AG916">
        <v>-1.112137098242</v>
      </c>
      <c r="AH916">
        <v>70.656606796363207</v>
      </c>
      <c r="AI916">
        <v>90.8952019789254</v>
      </c>
      <c r="AJ916">
        <v>96.916241934451506</v>
      </c>
      <c r="AK916">
        <v>71.183214614616702</v>
      </c>
      <c r="AL916">
        <v>82.675068907154298</v>
      </c>
      <c r="AM916">
        <v>96.087384152054895</v>
      </c>
      <c r="AN916">
        <v>1.00000000590974</v>
      </c>
    </row>
    <row r="917" spans="1:40" x14ac:dyDescent="0.3">
      <c r="A917" t="str">
        <f>"20200111150308212"</f>
        <v>20200111150308212</v>
      </c>
      <c r="B917" t="str">
        <f>"1578726188207860"</f>
        <v>1578726188207860</v>
      </c>
      <c r="C917" t="s">
        <v>40</v>
      </c>
      <c r="D917">
        <v>5.9088209999999997</v>
      </c>
      <c r="E917">
        <v>0.46398790000000001</v>
      </c>
      <c r="F917" t="s">
        <v>59</v>
      </c>
      <c r="G917">
        <v>-427.00740000000002</v>
      </c>
      <c r="H917" s="1">
        <v>2.7386669999999999E-6</v>
      </c>
      <c r="I917">
        <v>214.4211</v>
      </c>
      <c r="J917">
        <v>-456.35250000000002</v>
      </c>
      <c r="K917">
        <v>1.110919</v>
      </c>
      <c r="L917">
        <v>217.34899999999999</v>
      </c>
      <c r="M917">
        <v>0.97794559999999997</v>
      </c>
      <c r="N917">
        <v>0</v>
      </c>
      <c r="O917">
        <v>-0.2083361</v>
      </c>
      <c r="P917">
        <v>0.98809590000000003</v>
      </c>
      <c r="Q917">
        <v>0.1139203</v>
      </c>
      <c r="R917">
        <v>-0.10338700000000001</v>
      </c>
      <c r="S917">
        <v>3.0167540000000002</v>
      </c>
      <c r="T917">
        <v>-0.1119568</v>
      </c>
      <c r="U917">
        <v>-0.30757139999999999</v>
      </c>
      <c r="V917">
        <v>-0.1059108</v>
      </c>
      <c r="W917">
        <v>0.1275743</v>
      </c>
      <c r="X917">
        <v>0.98615810000000004</v>
      </c>
      <c r="Y917">
        <v>-0.10786900000000001</v>
      </c>
      <c r="Z917">
        <v>9.6425810000000008E-3</v>
      </c>
      <c r="AA917">
        <v>0.99411830000000001</v>
      </c>
      <c r="AB917">
        <v>31</v>
      </c>
      <c r="AC917">
        <v>29.345099999999999</v>
      </c>
      <c r="AD917">
        <v>-1.1109162613329999</v>
      </c>
      <c r="AE917">
        <v>-2.9279000000000202</v>
      </c>
      <c r="AF917">
        <v>-3.2460656352724402</v>
      </c>
      <c r="AG917">
        <v>-1.1109162613329999</v>
      </c>
      <c r="AH917">
        <v>29.2695665206539</v>
      </c>
      <c r="AI917">
        <v>92.160365864636802</v>
      </c>
      <c r="AJ917">
        <v>96.328379933971405</v>
      </c>
      <c r="AK917">
        <v>29.469961000231599</v>
      </c>
      <c r="AL917">
        <v>82.670557581627506</v>
      </c>
      <c r="AM917">
        <v>96.129920972810496</v>
      </c>
      <c r="AN917">
        <v>1.0000000488863601</v>
      </c>
    </row>
    <row r="918" spans="1:40" x14ac:dyDescent="0.3">
      <c r="A918" t="str">
        <f>"20200111150308234"</f>
        <v>20200111150308234</v>
      </c>
      <c r="B918" t="str">
        <f>"1578726188228356"</f>
        <v>1578726188228356</v>
      </c>
      <c r="C918" t="s">
        <v>40</v>
      </c>
      <c r="D918">
        <v>5.6240360000000003</v>
      </c>
      <c r="E918">
        <v>0.46327200000000002</v>
      </c>
      <c r="F918" t="s">
        <v>44</v>
      </c>
      <c r="G918">
        <v>0</v>
      </c>
      <c r="H918">
        <v>0</v>
      </c>
      <c r="I918">
        <v>0</v>
      </c>
      <c r="J918">
        <v>-456.0609</v>
      </c>
      <c r="K918">
        <v>1.110482</v>
      </c>
      <c r="L918">
        <v>217.29140000000001</v>
      </c>
      <c r="M918">
        <v>0.97882829999999998</v>
      </c>
      <c r="N918">
        <v>0</v>
      </c>
      <c r="O918">
        <v>-0.20416390000000001</v>
      </c>
      <c r="P918">
        <v>0.98862609999999995</v>
      </c>
      <c r="Q918">
        <v>0.1133492</v>
      </c>
      <c r="R918">
        <v>-9.8847099999999993E-2</v>
      </c>
      <c r="S918">
        <v>2.915375</v>
      </c>
      <c r="T918">
        <v>1.0345500000000001</v>
      </c>
      <c r="U918">
        <v>-1.422119E-2</v>
      </c>
      <c r="V918">
        <v>-0.10625560000000001</v>
      </c>
      <c r="W918">
        <v>0.1267759</v>
      </c>
      <c r="X918">
        <v>0.98622390000000004</v>
      </c>
      <c r="Y918">
        <v>-0.17630460000000001</v>
      </c>
      <c r="Z918">
        <v>-0.1002697</v>
      </c>
      <c r="AA918">
        <v>0.97921530000000001</v>
      </c>
      <c r="AB918">
        <v>31</v>
      </c>
      <c r="AC918">
        <v>2.915375</v>
      </c>
      <c r="AD918">
        <v>1.0345500000000001</v>
      </c>
      <c r="AE918">
        <v>-1.422119E-2</v>
      </c>
      <c r="AF918">
        <v>-0.51633737002444402</v>
      </c>
      <c r="AG918">
        <v>1.0345500000000001</v>
      </c>
      <c r="AH918">
        <v>2.5373486140238102</v>
      </c>
      <c r="AI918">
        <v>68.221306871484799</v>
      </c>
      <c r="AJ918">
        <v>101.50234092456699</v>
      </c>
      <c r="AK918">
        <v>2.78837514894827</v>
      </c>
      <c r="AL918">
        <v>82.716676511663806</v>
      </c>
      <c r="AM918">
        <v>96.149317525684296</v>
      </c>
      <c r="AN918">
        <v>0.99999998114168898</v>
      </c>
    </row>
    <row r="919" spans="1:40" x14ac:dyDescent="0.3">
      <c r="A919" t="str">
        <f>"20200111150308255"</f>
        <v>20200111150308255</v>
      </c>
      <c r="B919" t="str">
        <f>"1578726188247875"</f>
        <v>1578726188247875</v>
      </c>
      <c r="C919" t="s">
        <v>40</v>
      </c>
      <c r="D919">
        <v>5.5677709999999996</v>
      </c>
      <c r="E919">
        <v>0.4551191</v>
      </c>
      <c r="F919" t="s">
        <v>44</v>
      </c>
      <c r="G919">
        <v>0</v>
      </c>
      <c r="H919">
        <v>0</v>
      </c>
      <c r="I919">
        <v>0</v>
      </c>
      <c r="J919">
        <v>-455.76900000000001</v>
      </c>
      <c r="K919">
        <v>1.110109</v>
      </c>
      <c r="L919">
        <v>217.23500000000001</v>
      </c>
      <c r="M919">
        <v>0.97970429999999997</v>
      </c>
      <c r="N919">
        <v>0</v>
      </c>
      <c r="O919">
        <v>-0.19993179999999999</v>
      </c>
      <c r="P919">
        <v>0.98920359999999996</v>
      </c>
      <c r="Q919">
        <v>0.11319460000000001</v>
      </c>
      <c r="R919">
        <v>-9.3075560000000002E-2</v>
      </c>
      <c r="S919">
        <v>2.9250790000000002</v>
      </c>
      <c r="T919">
        <v>0.95683130000000005</v>
      </c>
      <c r="U919">
        <v>2.792358E-3</v>
      </c>
      <c r="V919">
        <v>-0.1077627</v>
      </c>
      <c r="W919">
        <v>0.12640309999999999</v>
      </c>
      <c r="X919">
        <v>0.98610819999999999</v>
      </c>
      <c r="Y919">
        <v>-0.1811256</v>
      </c>
      <c r="Z919">
        <v>-9.2284900000000003E-2</v>
      </c>
      <c r="AA919">
        <v>0.97912060000000001</v>
      </c>
      <c r="AB919">
        <v>31</v>
      </c>
      <c r="AC919">
        <v>2.9250790000000002</v>
      </c>
      <c r="AD919">
        <v>0.95683130000000005</v>
      </c>
      <c r="AE919">
        <v>2.792358E-3</v>
      </c>
      <c r="AF919">
        <v>-0.53081414433414098</v>
      </c>
      <c r="AG919">
        <v>0.95683130000000005</v>
      </c>
      <c r="AH919">
        <v>2.5884762283436098</v>
      </c>
      <c r="AI919">
        <v>70.093927864131899</v>
      </c>
      <c r="AJ919">
        <v>101.58887580216199</v>
      </c>
      <c r="AK919">
        <v>2.81024891729983</v>
      </c>
      <c r="AL919">
        <v>82.738209473508604</v>
      </c>
      <c r="AM919">
        <v>96.236581237204902</v>
      </c>
      <c r="AN919">
        <v>0.99999996265406899</v>
      </c>
    </row>
    <row r="920" spans="1:40" x14ac:dyDescent="0.3">
      <c r="A920" t="str">
        <f>"20200111150308278"</f>
        <v>20200111150308278</v>
      </c>
      <c r="B920" t="str">
        <f>"1578726188268372"</f>
        <v>1578726188268372</v>
      </c>
      <c r="C920" t="s">
        <v>40</v>
      </c>
      <c r="D920">
        <v>5.5863990000000001</v>
      </c>
      <c r="E920">
        <v>0.45395360000000001</v>
      </c>
      <c r="F920" t="s">
        <v>66</v>
      </c>
      <c r="G920">
        <v>-157.25</v>
      </c>
      <c r="H920">
        <v>17.774660000000001</v>
      </c>
      <c r="I920">
        <v>224.68170000000001</v>
      </c>
      <c r="J920">
        <v>-455.4597</v>
      </c>
      <c r="K920">
        <v>1.109769</v>
      </c>
      <c r="L920">
        <v>217.17689999999999</v>
      </c>
      <c r="M920">
        <v>0.98062039999999995</v>
      </c>
      <c r="N920">
        <v>0</v>
      </c>
      <c r="O920">
        <v>-0.1954033</v>
      </c>
      <c r="P920">
        <v>0.98974390000000001</v>
      </c>
      <c r="Q920">
        <v>0.1130775</v>
      </c>
      <c r="R920">
        <v>-8.7296700000000005E-2</v>
      </c>
      <c r="S920">
        <v>3.0205380000000002</v>
      </c>
      <c r="T920">
        <v>0.1686194</v>
      </c>
      <c r="U920">
        <v>7.5347899999999995E-2</v>
      </c>
      <c r="V920">
        <v>-0.10897560000000001</v>
      </c>
      <c r="W920">
        <v>0.12608150000000001</v>
      </c>
      <c r="X920">
        <v>0.98601609999999995</v>
      </c>
      <c r="Y920">
        <v>-0.21917590000000001</v>
      </c>
      <c r="Z920">
        <v>-1.6964679999999999E-2</v>
      </c>
      <c r="AA920">
        <v>0.97553789999999996</v>
      </c>
      <c r="AB920">
        <v>31</v>
      </c>
      <c r="AC920">
        <v>298.2097</v>
      </c>
      <c r="AD920">
        <v>16.664891000000001</v>
      </c>
      <c r="AE920">
        <v>7.5048000000000101</v>
      </c>
      <c r="AF920">
        <v>-65.432909595781098</v>
      </c>
      <c r="AG920">
        <v>16.664891000000001</v>
      </c>
      <c r="AH920">
        <v>290.08797598669599</v>
      </c>
      <c r="AI920">
        <v>86.7925111944528</v>
      </c>
      <c r="AJ920">
        <v>102.711044521451</v>
      </c>
      <c r="AK920">
        <v>297.84260619036598</v>
      </c>
      <c r="AL920">
        <v>82.756784589659503</v>
      </c>
      <c r="AM920">
        <v>96.306797617574603</v>
      </c>
      <c r="AN920">
        <v>0.99999998774840904</v>
      </c>
    </row>
    <row r="921" spans="1:40" x14ac:dyDescent="0.3">
      <c r="A921" t="str">
        <f>"20200111150308300"</f>
        <v>20200111150308300</v>
      </c>
      <c r="B921" t="str">
        <f>"1578726188297651"</f>
        <v>1578726188297651</v>
      </c>
      <c r="C921" t="s">
        <v>40</v>
      </c>
      <c r="D921">
        <v>5.6016370000000002</v>
      </c>
      <c r="E921">
        <v>0.45412219999999998</v>
      </c>
      <c r="F921" t="s">
        <v>66</v>
      </c>
      <c r="G921">
        <v>-157.25</v>
      </c>
      <c r="H921">
        <v>5.1196080000000004</v>
      </c>
      <c r="I921">
        <v>227.12049999999999</v>
      </c>
      <c r="J921">
        <v>-455.15780000000001</v>
      </c>
      <c r="K921">
        <v>1.109478</v>
      </c>
      <c r="L921">
        <v>217.1215</v>
      </c>
      <c r="M921">
        <v>0.98149839999999999</v>
      </c>
      <c r="N921">
        <v>0</v>
      </c>
      <c r="O921">
        <v>-0.1909555</v>
      </c>
      <c r="P921">
        <v>0.99024619999999997</v>
      </c>
      <c r="Q921">
        <v>0.1122503</v>
      </c>
      <c r="R921">
        <v>-8.253742E-2</v>
      </c>
      <c r="S921">
        <v>3.035339</v>
      </c>
      <c r="T921">
        <v>4.0814879999999998E-2</v>
      </c>
      <c r="U921">
        <v>0.1012115</v>
      </c>
      <c r="V921">
        <v>-0.1092593</v>
      </c>
      <c r="W921">
        <v>0.12508710000000001</v>
      </c>
      <c r="X921">
        <v>0.98611130000000002</v>
      </c>
      <c r="Y921">
        <v>-0.2235434</v>
      </c>
      <c r="Z921">
        <v>-4.0597020000000001E-3</v>
      </c>
      <c r="AA921">
        <v>0.97468549999999998</v>
      </c>
      <c r="AB921">
        <v>31</v>
      </c>
      <c r="AC921">
        <v>297.90780000000001</v>
      </c>
      <c r="AD921">
        <v>4.0101300000000002</v>
      </c>
      <c r="AE921">
        <v>9.9989999999999899</v>
      </c>
      <c r="AF921">
        <v>-66.695631185717005</v>
      </c>
      <c r="AG921">
        <v>4.0101300000000002</v>
      </c>
      <c r="AH921">
        <v>290.46269386447699</v>
      </c>
      <c r="AI921">
        <v>89.229083910940105</v>
      </c>
      <c r="AJ921">
        <v>102.93200698616199</v>
      </c>
      <c r="AK921">
        <v>298.04859484467801</v>
      </c>
      <c r="AL921">
        <v>82.814213819469202</v>
      </c>
      <c r="AM921">
        <v>96.322478018302803</v>
      </c>
      <c r="AN921">
        <v>0.99999993660529296</v>
      </c>
    </row>
    <row r="922" spans="1:40" x14ac:dyDescent="0.3">
      <c r="A922" t="str">
        <f>"20200111150308322"</f>
        <v>20200111150308322</v>
      </c>
      <c r="B922" t="str">
        <f>"1578726188318148"</f>
        <v>1578726188318148</v>
      </c>
      <c r="C922" t="s">
        <v>40</v>
      </c>
      <c r="D922">
        <v>5.5751080000000002</v>
      </c>
      <c r="E922">
        <v>0.45526070000000002</v>
      </c>
      <c r="F922" t="s">
        <v>56</v>
      </c>
      <c r="G922">
        <v>-387.9366</v>
      </c>
      <c r="H922">
        <v>7.1915930000000003E-2</v>
      </c>
      <c r="I922">
        <v>219.63820000000001</v>
      </c>
      <c r="J922">
        <v>-454.86709999999999</v>
      </c>
      <c r="K922">
        <v>1.1092379999999999</v>
      </c>
      <c r="L922">
        <v>217.06950000000001</v>
      </c>
      <c r="M922">
        <v>0.9823267</v>
      </c>
      <c r="N922">
        <v>0</v>
      </c>
      <c r="O922">
        <v>-0.18665860000000001</v>
      </c>
      <c r="P922">
        <v>0.99063860000000004</v>
      </c>
      <c r="Q922">
        <v>0.1115067</v>
      </c>
      <c r="R922">
        <v>-7.8749680000000002E-2</v>
      </c>
      <c r="S922">
        <v>3.044403</v>
      </c>
      <c r="T922">
        <v>-4.6990509999999999E-2</v>
      </c>
      <c r="U922">
        <v>0.11398320000000001</v>
      </c>
      <c r="V922">
        <v>-0.1087245</v>
      </c>
      <c r="W922">
        <v>0.1242095</v>
      </c>
      <c r="X922">
        <v>0.98628139999999997</v>
      </c>
      <c r="Y922">
        <v>-0.2232536</v>
      </c>
      <c r="Z922">
        <v>4.5921909999999998E-3</v>
      </c>
      <c r="AA922">
        <v>0.97474959999999999</v>
      </c>
      <c r="AB922">
        <v>31</v>
      </c>
      <c r="AC922">
        <v>66.930499999999995</v>
      </c>
      <c r="AD922">
        <v>-1.0373220700000001</v>
      </c>
      <c r="AE922">
        <v>2.5687000000000002</v>
      </c>
      <c r="AF922">
        <v>-15.014302796984699</v>
      </c>
      <c r="AG922">
        <v>-1.0373220700000001</v>
      </c>
      <c r="AH922">
        <v>65.258788383802198</v>
      </c>
      <c r="AI922">
        <v>90.887486988201402</v>
      </c>
      <c r="AJ922">
        <v>102.956751555892</v>
      </c>
      <c r="AK922">
        <v>66.971746183583406</v>
      </c>
      <c r="AL922">
        <v>82.864892353831706</v>
      </c>
      <c r="AM922">
        <v>96.290703267205899</v>
      </c>
      <c r="AN922">
        <v>1.0000000083882199</v>
      </c>
    </row>
    <row r="923" spans="1:40" x14ac:dyDescent="0.3">
      <c r="A923" t="str">
        <f>"20200111150308343"</f>
        <v>20200111150308343</v>
      </c>
      <c r="B923" t="str">
        <f>"1578726188337668"</f>
        <v>1578726188337668</v>
      </c>
      <c r="C923" t="s">
        <v>40</v>
      </c>
      <c r="D923">
        <v>5.5175269999999896</v>
      </c>
      <c r="E923">
        <v>0.45614349999999998</v>
      </c>
      <c r="F923" t="s">
        <v>59</v>
      </c>
      <c r="G923">
        <v>-409.22399999999999</v>
      </c>
      <c r="H923" s="1">
        <v>3.444216E-6</v>
      </c>
      <c r="I923">
        <v>218.815</v>
      </c>
      <c r="J923">
        <v>-454.56790000000001</v>
      </c>
      <c r="K923">
        <v>1.109022</v>
      </c>
      <c r="L923">
        <v>217.01730000000001</v>
      </c>
      <c r="M923">
        <v>0.98315940000000002</v>
      </c>
      <c r="N923">
        <v>0</v>
      </c>
      <c r="O923">
        <v>-0.1822317</v>
      </c>
      <c r="P923">
        <v>0.99084000000000005</v>
      </c>
      <c r="Q923">
        <v>0.11131580000000001</v>
      </c>
      <c r="R923">
        <v>-7.6453309999999997E-2</v>
      </c>
      <c r="S923">
        <v>3.0459290000000001</v>
      </c>
      <c r="T923">
        <v>-7.4023249999999999E-2</v>
      </c>
      <c r="U923">
        <v>0.11648559999999999</v>
      </c>
      <c r="V923">
        <v>-0.1065658</v>
      </c>
      <c r="W923">
        <v>0.1239133</v>
      </c>
      <c r="X923">
        <v>0.98655420000000005</v>
      </c>
      <c r="Y923">
        <v>-0.21957270000000001</v>
      </c>
      <c r="Z923">
        <v>7.0786729999999997E-3</v>
      </c>
      <c r="AA923">
        <v>0.97557039999999995</v>
      </c>
      <c r="AB923">
        <v>31</v>
      </c>
      <c r="AC923">
        <v>45.343899999999998</v>
      </c>
      <c r="AD923">
        <v>-1.109018555784</v>
      </c>
      <c r="AE923">
        <v>1.7976999999999901</v>
      </c>
      <c r="AF923">
        <v>-10.025482923325299</v>
      </c>
      <c r="AG923">
        <v>-1.109018555784</v>
      </c>
      <c r="AH923">
        <v>44.230453788173001</v>
      </c>
      <c r="AI923">
        <v>91.400794070182499</v>
      </c>
      <c r="AJ923">
        <v>102.771135863403</v>
      </c>
      <c r="AK923">
        <v>45.365992464738</v>
      </c>
      <c r="AL923">
        <v>82.881995308642203</v>
      </c>
      <c r="AM923">
        <v>96.165082691081295</v>
      </c>
      <c r="AN923">
        <v>0.999999982592084</v>
      </c>
    </row>
    <row r="924" spans="1:40" x14ac:dyDescent="0.3">
      <c r="A924" t="str">
        <f>"20200111150308366"</f>
        <v>20200111150308366</v>
      </c>
      <c r="B924" t="str">
        <f>"1578726188358164"</f>
        <v>1578726188358164</v>
      </c>
      <c r="C924" t="s">
        <v>40</v>
      </c>
      <c r="D924">
        <v>5.5157910000000001</v>
      </c>
      <c r="E924">
        <v>0.4572251</v>
      </c>
      <c r="F924" t="s">
        <v>59</v>
      </c>
      <c r="G924">
        <v>-420.35700000000003</v>
      </c>
      <c r="H924" s="1">
        <v>3.5773029999999999E-6</v>
      </c>
      <c r="I924">
        <v>218.32210000000001</v>
      </c>
      <c r="J924">
        <v>-454.24419999999998</v>
      </c>
      <c r="K924">
        <v>1.108835</v>
      </c>
      <c r="L924">
        <v>216.9624</v>
      </c>
      <c r="M924">
        <v>0.98403680000000004</v>
      </c>
      <c r="N924">
        <v>0</v>
      </c>
      <c r="O924">
        <v>-0.17744190000000001</v>
      </c>
      <c r="P924">
        <v>0.99099400000000004</v>
      </c>
      <c r="Q924">
        <v>0.11110879999999999</v>
      </c>
      <c r="R924">
        <v>-7.4736369999999996E-2</v>
      </c>
      <c r="S924">
        <v>3.0478209999999999</v>
      </c>
      <c r="T924">
        <v>-9.8801730000000004E-2</v>
      </c>
      <c r="U924">
        <v>0.1162415</v>
      </c>
      <c r="V924">
        <v>-0.10346619999999999</v>
      </c>
      <c r="W924">
        <v>0.12361659999999999</v>
      </c>
      <c r="X924">
        <v>0.9869213</v>
      </c>
      <c r="Y924">
        <v>-0.21463080000000001</v>
      </c>
      <c r="Z924">
        <v>9.2076539999999991E-3</v>
      </c>
      <c r="AA924">
        <v>0.97665179999999996</v>
      </c>
      <c r="AB924">
        <v>31</v>
      </c>
      <c r="AC924">
        <v>33.8872</v>
      </c>
      <c r="AD924">
        <v>-1.108831422697</v>
      </c>
      <c r="AE924">
        <v>1.3596999999999999</v>
      </c>
      <c r="AF924">
        <v>-7.3438372787023196</v>
      </c>
      <c r="AG924">
        <v>-1.108831422697</v>
      </c>
      <c r="AH924">
        <v>33.072709066115102</v>
      </c>
      <c r="AI924">
        <v>91.874615236461494</v>
      </c>
      <c r="AJ924">
        <v>102.519473840985</v>
      </c>
      <c r="AK924">
        <v>33.896394175072899</v>
      </c>
      <c r="AL924">
        <v>82.899126700067498</v>
      </c>
      <c r="AM924">
        <v>95.984874468659598</v>
      </c>
      <c r="AN924">
        <v>0.999999985365845</v>
      </c>
    </row>
    <row r="925" spans="1:40" x14ac:dyDescent="0.3">
      <c r="A925" t="str">
        <f>"20200111150308389"</f>
        <v>20200111150308389</v>
      </c>
      <c r="B925" t="str">
        <f>"1578726188377683"</f>
        <v>1578726188377683</v>
      </c>
      <c r="C925" t="s">
        <v>40</v>
      </c>
      <c r="D925">
        <v>5.1729750000000001</v>
      </c>
      <c r="E925">
        <v>0.45763870000000001</v>
      </c>
      <c r="F925" t="s">
        <v>59</v>
      </c>
      <c r="G925">
        <v>-427.14359999999999</v>
      </c>
      <c r="H925" s="1">
        <v>2.4046600000000002E-6</v>
      </c>
      <c r="I925">
        <v>217.96539999999999</v>
      </c>
      <c r="J925">
        <v>-453.9495</v>
      </c>
      <c r="K925">
        <v>1.108689</v>
      </c>
      <c r="L925">
        <v>216.91380000000001</v>
      </c>
      <c r="M925">
        <v>0.98481430000000003</v>
      </c>
      <c r="N925">
        <v>0</v>
      </c>
      <c r="O925">
        <v>-0.1730825</v>
      </c>
      <c r="P925">
        <v>0.99114040000000003</v>
      </c>
      <c r="Q925">
        <v>0.1109161</v>
      </c>
      <c r="R925">
        <v>-7.3064870000000004E-2</v>
      </c>
      <c r="S925">
        <v>3.0497740000000002</v>
      </c>
      <c r="T925">
        <v>-0.1247827</v>
      </c>
      <c r="U925">
        <v>0.11286930000000001</v>
      </c>
      <c r="V925">
        <v>-0.1007566</v>
      </c>
      <c r="W925">
        <v>0.1233544</v>
      </c>
      <c r="X925">
        <v>0.98723439999999996</v>
      </c>
      <c r="Y925">
        <v>-0.20908669999999999</v>
      </c>
      <c r="Z925">
        <v>1.132994E-2</v>
      </c>
      <c r="AA925">
        <v>0.97783149999999996</v>
      </c>
      <c r="AB925">
        <v>31</v>
      </c>
      <c r="AC925">
        <v>26.805900000000001</v>
      </c>
      <c r="AD925">
        <v>-1.10868659534</v>
      </c>
      <c r="AE925">
        <v>1.0515999999999699</v>
      </c>
      <c r="AF925">
        <v>-5.6661052197582498</v>
      </c>
      <c r="AG925">
        <v>-1.10868659534</v>
      </c>
      <c r="AH925">
        <v>26.174516253920601</v>
      </c>
      <c r="AI925">
        <v>92.370611166429498</v>
      </c>
      <c r="AJ925">
        <v>102.21458449935101</v>
      </c>
      <c r="AK925">
        <v>26.803716821642698</v>
      </c>
      <c r="AL925">
        <v>82.914265485850606</v>
      </c>
      <c r="AM925">
        <v>95.827398663048001</v>
      </c>
      <c r="AN925">
        <v>0.99999998049313898</v>
      </c>
    </row>
    <row r="926" spans="1:40" x14ac:dyDescent="0.3">
      <c r="A926" t="str">
        <f>"20200111150308411"</f>
        <v>20200111150308411</v>
      </c>
      <c r="B926" t="str">
        <f>"1578726188407940"</f>
        <v>1578726188407940</v>
      </c>
      <c r="C926" t="s">
        <v>40</v>
      </c>
      <c r="D926">
        <v>7.2973270000000001</v>
      </c>
      <c r="E926">
        <v>0.4566616</v>
      </c>
      <c r="F926" t="s">
        <v>59</v>
      </c>
      <c r="G926">
        <v>-426.35180000000003</v>
      </c>
      <c r="H926" s="1">
        <v>2.5462529999999998E-6</v>
      </c>
      <c r="I926">
        <v>217.95230000000001</v>
      </c>
      <c r="J926">
        <v>-453.64210000000003</v>
      </c>
      <c r="K926">
        <v>1.1085719999999999</v>
      </c>
      <c r="L926">
        <v>216.8647</v>
      </c>
      <c r="M926">
        <v>0.98560340000000002</v>
      </c>
      <c r="N926">
        <v>0</v>
      </c>
      <c r="O926">
        <v>-0.16853879999999999</v>
      </c>
      <c r="P926">
        <v>0.99131480000000005</v>
      </c>
      <c r="Q926">
        <v>0.1105643</v>
      </c>
      <c r="R926">
        <v>-7.1208339999999995E-2</v>
      </c>
      <c r="S926">
        <v>3.04895</v>
      </c>
      <c r="T926">
        <v>-0.122485999999999</v>
      </c>
      <c r="U926">
        <v>0.11473079999999999</v>
      </c>
      <c r="V926">
        <v>-9.8049300000000006E-2</v>
      </c>
      <c r="W926">
        <v>0.12294090000000001</v>
      </c>
      <c r="X926">
        <v>0.98755850000000001</v>
      </c>
      <c r="Y926">
        <v>-0.2051993</v>
      </c>
      <c r="Z926">
        <v>1.086585E-2</v>
      </c>
      <c r="AA926">
        <v>0.97865990000000003</v>
      </c>
      <c r="AB926">
        <v>31</v>
      </c>
      <c r="AC926">
        <v>27.290299999999998</v>
      </c>
      <c r="AD926">
        <v>-1.1085694537470001</v>
      </c>
      <c r="AE926">
        <v>1.0875999999999999</v>
      </c>
      <c r="AF926">
        <v>-5.6625998842626597</v>
      </c>
      <c r="AG926">
        <v>-1.1085694537470001</v>
      </c>
      <c r="AH926">
        <v>26.672579899779102</v>
      </c>
      <c r="AI926">
        <v>92.328136327185206</v>
      </c>
      <c r="AJ926">
        <v>101.985957764925</v>
      </c>
      <c r="AK926">
        <v>27.289567277498801</v>
      </c>
      <c r="AL926">
        <v>82.938138866246703</v>
      </c>
      <c r="AM926">
        <v>95.670003794612995</v>
      </c>
      <c r="AN926">
        <v>0.99999996052277396</v>
      </c>
    </row>
    <row r="927" spans="1:40" x14ac:dyDescent="0.3">
      <c r="A927" t="str">
        <f>"20200111150308434"</f>
        <v>20200111150308434</v>
      </c>
      <c r="B927" t="str">
        <f>"1578726188428435"</f>
        <v>1578726188428435</v>
      </c>
      <c r="C927" t="s">
        <v>40</v>
      </c>
      <c r="D927">
        <v>5.8204710000000004</v>
      </c>
      <c r="E927">
        <v>0.48226370000000002</v>
      </c>
      <c r="F927" t="s">
        <v>59</v>
      </c>
      <c r="G927">
        <v>-425.01499999999999</v>
      </c>
      <c r="H927" s="1">
        <v>2.7727710000000002E-6</v>
      </c>
      <c r="I927">
        <v>218.0736</v>
      </c>
      <c r="J927">
        <v>-453.33940000000001</v>
      </c>
      <c r="K927">
        <v>1.1084700000000001</v>
      </c>
      <c r="L927">
        <v>216.8177</v>
      </c>
      <c r="M927">
        <v>0.98635859999999997</v>
      </c>
      <c r="N927">
        <v>0</v>
      </c>
      <c r="O927">
        <v>-0.16406860000000001</v>
      </c>
      <c r="P927">
        <v>0.99140269999999997</v>
      </c>
      <c r="Q927">
        <v>0.1108415</v>
      </c>
      <c r="R927">
        <v>-6.9533780000000003E-2</v>
      </c>
      <c r="S927">
        <v>3.048737</v>
      </c>
      <c r="T927">
        <v>-0.1180609</v>
      </c>
      <c r="U927">
        <v>0.1287384</v>
      </c>
      <c r="V927">
        <v>-9.5231120000000002E-2</v>
      </c>
      <c r="W927">
        <v>0.123169</v>
      </c>
      <c r="X927">
        <v>0.98780579999999996</v>
      </c>
      <c r="Y927">
        <v>-0.2052785</v>
      </c>
      <c r="Z927">
        <v>1.030408E-2</v>
      </c>
      <c r="AA927">
        <v>0.9786494</v>
      </c>
      <c r="AB927">
        <v>31</v>
      </c>
      <c r="AC927">
        <v>28.324400000000001</v>
      </c>
      <c r="AD927">
        <v>-1.1084672272289999</v>
      </c>
      <c r="AE927">
        <v>1.25589999999999</v>
      </c>
      <c r="AF927">
        <v>-5.8774531362985796</v>
      </c>
      <c r="AG927">
        <v>-1.1084672272289999</v>
      </c>
      <c r="AH927">
        <v>27.692105164283898</v>
      </c>
      <c r="AI927">
        <v>92.242331350757397</v>
      </c>
      <c r="AJ927">
        <v>101.982805121802</v>
      </c>
      <c r="AK927">
        <v>28.3306520114342</v>
      </c>
      <c r="AL927">
        <v>82.9249694190474</v>
      </c>
      <c r="AM927">
        <v>95.506680249314499</v>
      </c>
      <c r="AN927">
        <v>0.99999993364554396</v>
      </c>
    </row>
    <row r="928" spans="1:40" x14ac:dyDescent="0.3">
      <c r="A928" t="str">
        <f>"20200111150308456"</f>
        <v>20200111150308456</v>
      </c>
      <c r="B928" t="str">
        <f>"1578726188447956"</f>
        <v>1578726188447956</v>
      </c>
      <c r="C928" t="s">
        <v>40</v>
      </c>
      <c r="D928">
        <v>5.1619190000000001</v>
      </c>
      <c r="E928">
        <v>0.48298980000000002</v>
      </c>
      <c r="F928" t="s">
        <v>65</v>
      </c>
      <c r="G928">
        <v>-151.67140000000001</v>
      </c>
      <c r="H928">
        <v>9.5869660000000003</v>
      </c>
      <c r="I928">
        <v>209.96600000000001</v>
      </c>
      <c r="J928">
        <v>-453.0301</v>
      </c>
      <c r="K928">
        <v>1.10839</v>
      </c>
      <c r="L928">
        <v>216.77119999999999</v>
      </c>
      <c r="M928">
        <v>0.98710850000000006</v>
      </c>
      <c r="N928">
        <v>0</v>
      </c>
      <c r="O928">
        <v>-0.1595009</v>
      </c>
      <c r="P928">
        <v>0.99156889999999998</v>
      </c>
      <c r="Q928">
        <v>0.1107211</v>
      </c>
      <c r="R928">
        <v>-6.7321569999999997E-2</v>
      </c>
      <c r="S928">
        <v>3.011749</v>
      </c>
      <c r="T928">
        <v>8.4646700000000005E-2</v>
      </c>
      <c r="U928">
        <v>-6.8405149999999998E-2</v>
      </c>
      <c r="V928">
        <v>-9.2857889999999998E-2</v>
      </c>
      <c r="W928">
        <v>0.123002399999999</v>
      </c>
      <c r="X928">
        <v>0.9880525</v>
      </c>
      <c r="Y928">
        <v>-0.13694120000000001</v>
      </c>
      <c r="Z928">
        <v>-6.3890880000000002E-3</v>
      </c>
      <c r="AA928">
        <v>0.99055859999999996</v>
      </c>
      <c r="AB928">
        <v>31</v>
      </c>
      <c r="AC928">
        <v>301.3587</v>
      </c>
      <c r="AD928">
        <v>8.4785760000000003</v>
      </c>
      <c r="AE928">
        <v>-6.8052000000000099</v>
      </c>
      <c r="AF928">
        <v>-41.320467426791801</v>
      </c>
      <c r="AG928">
        <v>8.4785760000000003</v>
      </c>
      <c r="AH928">
        <v>298.349449002798</v>
      </c>
      <c r="AI928">
        <v>88.387573615081905</v>
      </c>
      <c r="AJ928">
        <v>97.885126060253299</v>
      </c>
      <c r="AK928">
        <v>301.31654617632501</v>
      </c>
      <c r="AL928">
        <v>82.934588226439402</v>
      </c>
      <c r="AM928">
        <v>95.368929138485598</v>
      </c>
      <c r="AN928">
        <v>0.99999996044863004</v>
      </c>
    </row>
    <row r="929" spans="1:40" x14ac:dyDescent="0.3">
      <c r="A929" t="str">
        <f>"20200111150308479"</f>
        <v>20200111150308479</v>
      </c>
      <c r="B929" t="str">
        <f>"1578726188468451"</f>
        <v>1578726188468451</v>
      </c>
      <c r="C929" t="s">
        <v>40</v>
      </c>
      <c r="D929">
        <v>5.5877309999999998</v>
      </c>
      <c r="E929">
        <v>0.48584670000000002</v>
      </c>
      <c r="F929" t="s">
        <v>65</v>
      </c>
      <c r="G929">
        <v>-151.67230000000001</v>
      </c>
      <c r="H929">
        <v>12.36017</v>
      </c>
      <c r="I929">
        <v>210.02590000000001</v>
      </c>
      <c r="J929">
        <v>-452.72719999999998</v>
      </c>
      <c r="K929">
        <v>1.1083179999999999</v>
      </c>
      <c r="L929">
        <v>216.727</v>
      </c>
      <c r="M929">
        <v>0.98782159999999997</v>
      </c>
      <c r="N929">
        <v>0</v>
      </c>
      <c r="O929">
        <v>-0.1550281</v>
      </c>
      <c r="P929">
        <v>0.99165029999999998</v>
      </c>
      <c r="Q929">
        <v>0.11133</v>
      </c>
      <c r="R929">
        <v>-6.5079449999999997E-2</v>
      </c>
      <c r="S929">
        <v>3.0083920000000002</v>
      </c>
      <c r="T929">
        <v>0.11232449999999999</v>
      </c>
      <c r="U929">
        <v>-6.7337040000000001E-2</v>
      </c>
      <c r="V929">
        <v>-9.0606210000000006E-2</v>
      </c>
      <c r="W929">
        <v>0.1235721</v>
      </c>
      <c r="X929">
        <v>0.98819049999999997</v>
      </c>
      <c r="Y929">
        <v>-0.13269639999999999</v>
      </c>
      <c r="Z929">
        <v>-8.2420219999999999E-3</v>
      </c>
      <c r="AA929">
        <v>0.99112250000000002</v>
      </c>
      <c r="AB929">
        <v>31</v>
      </c>
      <c r="AC929">
        <v>301.05489999999998</v>
      </c>
      <c r="AD929">
        <v>11.251852</v>
      </c>
      <c r="AE929">
        <v>-6.7010999999999896</v>
      </c>
      <c r="AF929">
        <v>-40.000130964840501</v>
      </c>
      <c r="AG929">
        <v>11.251852</v>
      </c>
      <c r="AH929">
        <v>298.03736012866398</v>
      </c>
      <c r="AI929">
        <v>87.857125410942601</v>
      </c>
      <c r="AJ929">
        <v>97.644091003599399</v>
      </c>
      <c r="AK929">
        <v>300.920060286943</v>
      </c>
      <c r="AL929">
        <v>82.901696214538902</v>
      </c>
      <c r="AM929">
        <v>95.2387456539157</v>
      </c>
      <c r="AN929">
        <v>1.00000000673961</v>
      </c>
    </row>
    <row r="930" spans="1:40" x14ac:dyDescent="0.3">
      <c r="A930" t="str">
        <f>"20200111150308501"</f>
        <v>20200111150308501</v>
      </c>
      <c r="B930" t="str">
        <f>"1578726188497731"</f>
        <v>1578726188497731</v>
      </c>
      <c r="C930" t="s">
        <v>40</v>
      </c>
      <c r="D930">
        <v>5.5829700000000004</v>
      </c>
      <c r="E930">
        <v>0.48715770000000003</v>
      </c>
      <c r="F930" t="s">
        <v>65</v>
      </c>
      <c r="G930">
        <v>-169.71289999999999</v>
      </c>
      <c r="H930">
        <v>14.267099999999999</v>
      </c>
      <c r="I930">
        <v>208.88829999999999</v>
      </c>
      <c r="J930">
        <v>-452.41559999999998</v>
      </c>
      <c r="K930">
        <v>1.108249</v>
      </c>
      <c r="L930">
        <v>216.68299999999999</v>
      </c>
      <c r="M930">
        <v>0.98853329999999995</v>
      </c>
      <c r="N930">
        <v>0</v>
      </c>
      <c r="O930">
        <v>-0.15042839999999999</v>
      </c>
      <c r="P930">
        <v>0.99181770000000002</v>
      </c>
      <c r="Q930">
        <v>0.11155</v>
      </c>
      <c r="R930">
        <v>-6.2083329999999999E-2</v>
      </c>
      <c r="S930">
        <v>3.0041199999999999</v>
      </c>
      <c r="T930">
        <v>0.1396773</v>
      </c>
      <c r="U930">
        <v>-8.3206180000000005E-2</v>
      </c>
      <c r="V930">
        <v>-8.8985949999999994E-2</v>
      </c>
      <c r="W930">
        <v>0.1237529</v>
      </c>
      <c r="X930">
        <v>0.9883151</v>
      </c>
      <c r="Y930">
        <v>-0.12271849999999999</v>
      </c>
      <c r="Z930">
        <v>-9.8168790000000006E-3</v>
      </c>
      <c r="AA930">
        <v>0.99239299999999997</v>
      </c>
      <c r="AB930">
        <v>31</v>
      </c>
      <c r="AC930">
        <v>282.70269999999999</v>
      </c>
      <c r="AD930">
        <v>13.158851</v>
      </c>
      <c r="AE930">
        <v>-7.7946999999999997</v>
      </c>
      <c r="AF930">
        <v>-34.748980945593303</v>
      </c>
      <c r="AG930">
        <v>13.158851</v>
      </c>
      <c r="AH930">
        <v>280.05158973845101</v>
      </c>
      <c r="AI930">
        <v>87.330251417717903</v>
      </c>
      <c r="AJ930">
        <v>97.073145529673198</v>
      </c>
      <c r="AK930">
        <v>282.50582286287698</v>
      </c>
      <c r="AL930">
        <v>82.891257020413605</v>
      </c>
      <c r="AM930">
        <v>95.144926310488998</v>
      </c>
      <c r="AN930">
        <v>1.00000000822191</v>
      </c>
    </row>
    <row r="931" spans="1:40" x14ac:dyDescent="0.3">
      <c r="A931" t="str">
        <f>"20200111150308523"</f>
        <v>20200111150308523</v>
      </c>
      <c r="B931" t="str">
        <f>"1578726188518227"</f>
        <v>1578726188518227</v>
      </c>
      <c r="C931" t="s">
        <v>40</v>
      </c>
      <c r="D931">
        <v>5.1454589999999998</v>
      </c>
      <c r="E931">
        <v>0.48924289999999998</v>
      </c>
      <c r="F931" t="s">
        <v>65</v>
      </c>
      <c r="G931">
        <v>-169.3972</v>
      </c>
      <c r="H931">
        <v>14.58437</v>
      </c>
      <c r="I931">
        <v>208.66659999999999</v>
      </c>
      <c r="J931">
        <v>-452.12950000000001</v>
      </c>
      <c r="K931">
        <v>1.108203</v>
      </c>
      <c r="L931">
        <v>216.6439</v>
      </c>
      <c r="M931">
        <v>0.98916720000000002</v>
      </c>
      <c r="N931">
        <v>0</v>
      </c>
      <c r="O931">
        <v>-0.1462069</v>
      </c>
      <c r="P931">
        <v>0.99196139999999999</v>
      </c>
      <c r="Q931">
        <v>0.11198760000000001</v>
      </c>
      <c r="R931">
        <v>-5.8920220000000002E-2</v>
      </c>
      <c r="S931">
        <v>3.0032960000000002</v>
      </c>
      <c r="T931">
        <v>0.143004399999999</v>
      </c>
      <c r="U931">
        <v>-8.5067749999999998E-2</v>
      </c>
      <c r="V931">
        <v>-8.7911660000000003E-2</v>
      </c>
      <c r="W931">
        <v>0.124156</v>
      </c>
      <c r="X931">
        <v>0.98836069999999998</v>
      </c>
      <c r="Y931">
        <v>-0.1178539</v>
      </c>
      <c r="Z931">
        <v>-9.7383309999999994E-3</v>
      </c>
      <c r="AA931">
        <v>0.99298319999999995</v>
      </c>
      <c r="AB931">
        <v>31</v>
      </c>
      <c r="AC931">
        <v>282.73230000000001</v>
      </c>
      <c r="AD931">
        <v>13.476167</v>
      </c>
      <c r="AE931">
        <v>-7.9773000000000103</v>
      </c>
      <c r="AF931">
        <v>-33.373642921536998</v>
      </c>
      <c r="AG931">
        <v>13.476167</v>
      </c>
      <c r="AH931">
        <v>280.223856271881</v>
      </c>
      <c r="AI931">
        <v>87.266017351779297</v>
      </c>
      <c r="AJ931">
        <v>96.791728517770906</v>
      </c>
      <c r="AK931">
        <v>282.52578066921598</v>
      </c>
      <c r="AL931">
        <v>82.8679816940043</v>
      </c>
      <c r="AM931">
        <v>95.082907859459098</v>
      </c>
      <c r="AN931">
        <v>1.0000000228022199</v>
      </c>
    </row>
    <row r="932" spans="1:40" x14ac:dyDescent="0.3">
      <c r="A932" t="str">
        <f>"20200111150308547"</f>
        <v>20200111150308547</v>
      </c>
      <c r="B932" t="str">
        <f>"1578726188537747"</f>
        <v>1578726188537747</v>
      </c>
      <c r="C932" t="s">
        <v>40</v>
      </c>
      <c r="D932">
        <v>5.3949639999999999</v>
      </c>
      <c r="E932">
        <v>0.4903479</v>
      </c>
      <c r="F932" t="s">
        <v>65</v>
      </c>
      <c r="G932">
        <v>-168.41560000000001</v>
      </c>
      <c r="H932">
        <v>16.913969999999999</v>
      </c>
      <c r="I932">
        <v>207.94229999999999</v>
      </c>
      <c r="J932">
        <v>-451.79520000000002</v>
      </c>
      <c r="K932">
        <v>1.108155</v>
      </c>
      <c r="L932">
        <v>216.59970000000001</v>
      </c>
      <c r="M932">
        <v>0.98988350000000003</v>
      </c>
      <c r="N932">
        <v>0</v>
      </c>
      <c r="O932">
        <v>-0.1412805</v>
      </c>
      <c r="P932">
        <v>0.99216689999999996</v>
      </c>
      <c r="Q932">
        <v>0.1121166</v>
      </c>
      <c r="R932">
        <v>-5.509095E-2</v>
      </c>
      <c r="S932">
        <v>2.9999690000000001</v>
      </c>
      <c r="T932">
        <v>0.16712929999999901</v>
      </c>
      <c r="U932">
        <v>-9.2010499999999995E-2</v>
      </c>
      <c r="V932">
        <v>-8.680069E-2</v>
      </c>
      <c r="W932">
        <v>0.1242506</v>
      </c>
      <c r="X932">
        <v>0.98844699999999996</v>
      </c>
      <c r="Y932">
        <v>-0.11048910000000001</v>
      </c>
      <c r="Z932">
        <v>-1.091401E-2</v>
      </c>
      <c r="AA932">
        <v>0.99381739999999996</v>
      </c>
      <c r="AB932">
        <v>31</v>
      </c>
      <c r="AC932">
        <v>283.37959999999998</v>
      </c>
      <c r="AD932">
        <v>15.805815000000001</v>
      </c>
      <c r="AE932">
        <v>-8.6574000000000204</v>
      </c>
      <c r="AF932">
        <v>-31.371372062492799</v>
      </c>
      <c r="AG932">
        <v>15.805815000000001</v>
      </c>
      <c r="AH932">
        <v>280.88691231054202</v>
      </c>
      <c r="AI932">
        <v>86.799160006213299</v>
      </c>
      <c r="AJ932">
        <v>96.372774326977705</v>
      </c>
      <c r="AK932">
        <v>283.07497996157701</v>
      </c>
      <c r="AL932">
        <v>82.862519207634193</v>
      </c>
      <c r="AM932">
        <v>95.018567610922105</v>
      </c>
      <c r="AN932">
        <v>1.00000002159691</v>
      </c>
    </row>
    <row r="933" spans="1:40" x14ac:dyDescent="0.3">
      <c r="A933" t="str">
        <f>"20200111150308568"</f>
        <v>20200111150308568</v>
      </c>
      <c r="B933" t="str">
        <f>"1578726188558243"</f>
        <v>1578726188558243</v>
      </c>
      <c r="C933" t="s">
        <v>40</v>
      </c>
      <c r="D933">
        <v>5.1849239999999996</v>
      </c>
      <c r="E933">
        <v>0.4913112</v>
      </c>
      <c r="F933" t="s">
        <v>65</v>
      </c>
      <c r="G933">
        <v>-169.39660000000001</v>
      </c>
      <c r="H933">
        <v>12.305479999999999</v>
      </c>
      <c r="I933">
        <v>208.2405</v>
      </c>
      <c r="J933">
        <v>-451.51420000000002</v>
      </c>
      <c r="K933">
        <v>1.108114</v>
      </c>
      <c r="L933">
        <v>216.56389999999999</v>
      </c>
      <c r="M933">
        <v>0.99046339999999999</v>
      </c>
      <c r="N933">
        <v>0</v>
      </c>
      <c r="O933">
        <v>-0.13715859999999999</v>
      </c>
      <c r="P933">
        <v>0.99224730000000005</v>
      </c>
      <c r="Q933">
        <v>0.112855</v>
      </c>
      <c r="R933">
        <v>-5.2050220000000001E-2</v>
      </c>
      <c r="S933">
        <v>3.00528</v>
      </c>
      <c r="T933">
        <v>0.11916210000000001</v>
      </c>
      <c r="U933">
        <v>-8.8958739999999994E-2</v>
      </c>
      <c r="V933">
        <v>-8.5704089999999997E-2</v>
      </c>
      <c r="W933">
        <v>0.12496690000000001</v>
      </c>
      <c r="X933">
        <v>0.98845240000000001</v>
      </c>
      <c r="Y933">
        <v>-0.1076106</v>
      </c>
      <c r="Z933">
        <v>-7.5520600000000002E-3</v>
      </c>
      <c r="AA933">
        <v>0.99416450000000001</v>
      </c>
      <c r="AB933">
        <v>31</v>
      </c>
      <c r="AC933">
        <v>282.11759999999998</v>
      </c>
      <c r="AD933">
        <v>11.197366000000001</v>
      </c>
      <c r="AE933">
        <v>-8.3233999999999906</v>
      </c>
      <c r="AF933">
        <v>-30.405560045212599</v>
      </c>
      <c r="AG933">
        <v>11.197366000000001</v>
      </c>
      <c r="AH933">
        <v>280.15165521338901</v>
      </c>
      <c r="AI933">
        <v>87.724514867863903</v>
      </c>
      <c r="AJ933">
        <v>96.194209068929595</v>
      </c>
      <c r="AK933">
        <v>282.01919971130098</v>
      </c>
      <c r="AL933">
        <v>82.821155928747501</v>
      </c>
      <c r="AM933">
        <v>94.955456113338798</v>
      </c>
      <c r="AN933">
        <v>1.0000000321020399</v>
      </c>
    </row>
    <row r="934" spans="1:40" x14ac:dyDescent="0.3">
      <c r="A934" t="str">
        <f>"20200111150308590"</f>
        <v>20200111150308590</v>
      </c>
      <c r="B934" t="str">
        <f>"1578726188577763"</f>
        <v>1578726188577763</v>
      </c>
      <c r="C934" t="s">
        <v>40</v>
      </c>
      <c r="D934">
        <v>4.7278159999999998</v>
      </c>
      <c r="E934">
        <v>0.49169629999999998</v>
      </c>
      <c r="F934" t="s">
        <v>65</v>
      </c>
      <c r="G934">
        <v>-169.39789999999999</v>
      </c>
      <c r="H934">
        <v>16.364239999999999</v>
      </c>
      <c r="I934">
        <v>208.35149999999999</v>
      </c>
      <c r="J934">
        <v>-451.21420000000001</v>
      </c>
      <c r="K934">
        <v>1.1080589999999999</v>
      </c>
      <c r="L934">
        <v>216.52699999999999</v>
      </c>
      <c r="M934">
        <v>0.99105840000000001</v>
      </c>
      <c r="N934">
        <v>0</v>
      </c>
      <c r="O934">
        <v>-0.13279440000000001</v>
      </c>
      <c r="P934">
        <v>0.99250000000000005</v>
      </c>
      <c r="Q934">
        <v>0.1120308</v>
      </c>
      <c r="R934">
        <v>-4.8919610000000002E-2</v>
      </c>
      <c r="S934">
        <v>3.000397</v>
      </c>
      <c r="T934">
        <v>0.16225419999999999</v>
      </c>
      <c r="U934">
        <v>-8.7341310000000005E-2</v>
      </c>
      <c r="V934">
        <v>-8.4462549999999997E-2</v>
      </c>
      <c r="W934">
        <v>0.12412810000000001</v>
      </c>
      <c r="X934">
        <v>0.98866489999999996</v>
      </c>
      <c r="Y934">
        <v>-0.10356559999999999</v>
      </c>
      <c r="Z934">
        <v>-9.9532690000000007E-3</v>
      </c>
      <c r="AA934">
        <v>0.99457280000000003</v>
      </c>
      <c r="AB934">
        <v>31</v>
      </c>
      <c r="AC934">
        <v>281.81630000000001</v>
      </c>
      <c r="AD934">
        <v>15.2561809999999</v>
      </c>
      <c r="AE934">
        <v>-8.1755000000000209</v>
      </c>
      <c r="AF934">
        <v>-29.238091267401799</v>
      </c>
      <c r="AG934">
        <v>15.2561809999999</v>
      </c>
      <c r="AH934">
        <v>279.58707818479002</v>
      </c>
      <c r="AI934">
        <v>86.893554972529699</v>
      </c>
      <c r="AJ934">
        <v>95.970061972827594</v>
      </c>
      <c r="AK934">
        <v>281.52540085678498</v>
      </c>
      <c r="AL934">
        <v>82.869592516377395</v>
      </c>
      <c r="AM934">
        <v>94.882974704694504</v>
      </c>
      <c r="AN934">
        <v>0.99999999602706102</v>
      </c>
    </row>
    <row r="935" spans="1:40" x14ac:dyDescent="0.3">
      <c r="A935" t="str">
        <f>"20200111150308612"</f>
        <v>20200111150308612</v>
      </c>
      <c r="B935" t="str">
        <f>"1578726188608019"</f>
        <v>1578726188608019</v>
      </c>
      <c r="C935" t="s">
        <v>40</v>
      </c>
      <c r="D935">
        <v>5.614007</v>
      </c>
      <c r="E935">
        <v>0.49146709999999899</v>
      </c>
      <c r="F935" t="s">
        <v>65</v>
      </c>
      <c r="G935">
        <v>-169.39789999999999</v>
      </c>
      <c r="H935">
        <v>16.80791</v>
      </c>
      <c r="I935">
        <v>208.89949999999999</v>
      </c>
      <c r="J935">
        <v>-450.90120000000002</v>
      </c>
      <c r="K935">
        <v>1.10799</v>
      </c>
      <c r="L935">
        <v>216.48990000000001</v>
      </c>
      <c r="M935">
        <v>0.9916507</v>
      </c>
      <c r="N935">
        <v>0</v>
      </c>
      <c r="O935">
        <v>-0.1283002</v>
      </c>
      <c r="P935">
        <v>0.99281050000000004</v>
      </c>
      <c r="Q935">
        <v>0.110685199999999</v>
      </c>
      <c r="R935">
        <v>-4.5564199999999999E-2</v>
      </c>
      <c r="S935">
        <v>2.9998170000000002</v>
      </c>
      <c r="T935">
        <v>0.16711870000000001</v>
      </c>
      <c r="U935">
        <v>-8.1192020000000004E-2</v>
      </c>
      <c r="V935">
        <v>-8.3315040000000007E-2</v>
      </c>
      <c r="W935">
        <v>0.1227729</v>
      </c>
      <c r="X935">
        <v>0.98893149999999996</v>
      </c>
      <c r="Y935">
        <v>-0.1010776</v>
      </c>
      <c r="Z935">
        <v>-9.9361929999999994E-3</v>
      </c>
      <c r="AA935">
        <v>0.99482890000000002</v>
      </c>
      <c r="AB935">
        <v>31</v>
      </c>
      <c r="AC935">
        <v>281.50330000000002</v>
      </c>
      <c r="AD935">
        <v>15.699920000000001</v>
      </c>
      <c r="AE935">
        <v>-7.5904000000000096</v>
      </c>
      <c r="AF935">
        <v>-28.503709422860801</v>
      </c>
      <c r="AG935">
        <v>15.699920000000001</v>
      </c>
      <c r="AH935">
        <v>279.282248956942</v>
      </c>
      <c r="AI935">
        <v>86.799083073857602</v>
      </c>
      <c r="AJ935">
        <v>95.827462958735396</v>
      </c>
      <c r="AK935">
        <v>281.17169758230801</v>
      </c>
      <c r="AL935">
        <v>82.947838642495398</v>
      </c>
      <c r="AM935">
        <v>94.815656330890107</v>
      </c>
      <c r="AN935">
        <v>1.00000004627842</v>
      </c>
    </row>
    <row r="936" spans="1:40" x14ac:dyDescent="0.3">
      <c r="A936" t="str">
        <f>"20200111150308635"</f>
        <v>20200111150308635</v>
      </c>
      <c r="B936" t="str">
        <f>"1578726188617779"</f>
        <v>1578726188617779</v>
      </c>
      <c r="C936" t="s">
        <v>40</v>
      </c>
      <c r="D936">
        <v>4.7362489999999999</v>
      </c>
      <c r="E936">
        <v>0.49106830000000001</v>
      </c>
      <c r="F936" t="s">
        <v>65</v>
      </c>
      <c r="G936">
        <v>-169.39859999999999</v>
      </c>
      <c r="H936">
        <v>20.04204</v>
      </c>
      <c r="I936">
        <v>210.0112</v>
      </c>
      <c r="J936">
        <v>-450.58800000000002</v>
      </c>
      <c r="K936">
        <v>1.10792</v>
      </c>
      <c r="L936">
        <v>216.45419999999999</v>
      </c>
      <c r="M936">
        <v>0.99221530000000002</v>
      </c>
      <c r="N936">
        <v>0</v>
      </c>
      <c r="O936">
        <v>-0.12386030000000001</v>
      </c>
      <c r="P936">
        <v>0.9930966</v>
      </c>
      <c r="Q936">
        <v>0.110179</v>
      </c>
      <c r="R936">
        <v>-4.0245719999999999E-2</v>
      </c>
      <c r="S936">
        <v>2.9960939999999998</v>
      </c>
      <c r="T936">
        <v>0.2015197</v>
      </c>
      <c r="U936">
        <v>-6.8954470000000004E-2</v>
      </c>
      <c r="V936">
        <v>-8.4173639999999994E-2</v>
      </c>
      <c r="W936">
        <v>0.1222395</v>
      </c>
      <c r="X936">
        <v>0.98892480000000005</v>
      </c>
      <c r="Y936">
        <v>-0.1005012</v>
      </c>
      <c r="Z936">
        <v>-1.1677720000000001E-2</v>
      </c>
      <c r="AA936">
        <v>0.99486839999999999</v>
      </c>
      <c r="AB936">
        <v>31</v>
      </c>
      <c r="AC936">
        <v>281.18939999999998</v>
      </c>
      <c r="AD936">
        <v>18.93412</v>
      </c>
      <c r="AE936">
        <v>-6.4429999999999801</v>
      </c>
      <c r="AF936">
        <v>-28.309450054262498</v>
      </c>
      <c r="AG936">
        <v>18.93412</v>
      </c>
      <c r="AH936">
        <v>278.55952463896199</v>
      </c>
      <c r="AI936">
        <v>86.131364531142196</v>
      </c>
      <c r="AJ936">
        <v>95.802932709213295</v>
      </c>
      <c r="AK936">
        <v>280.63380877868798</v>
      </c>
      <c r="AL936">
        <v>82.978631676738303</v>
      </c>
      <c r="AM936">
        <v>94.865079707841403</v>
      </c>
      <c r="AN936">
        <v>0.99999997854306899</v>
      </c>
    </row>
    <row r="937" spans="1:40" x14ac:dyDescent="0.3">
      <c r="A937" t="str">
        <f>"20200111150309182"</f>
        <v>20200111150309182</v>
      </c>
      <c r="B937" t="str">
        <f>"1578726189178005"</f>
        <v>1578726189178005</v>
      </c>
      <c r="C937" t="s">
        <v>40</v>
      </c>
      <c r="D937">
        <v>5.5284870000000002</v>
      </c>
      <c r="E937">
        <v>0.49106830000000001</v>
      </c>
      <c r="F937" t="s">
        <v>67</v>
      </c>
      <c r="G937">
        <v>-107.39749999999999</v>
      </c>
      <c r="H937">
        <v>23.89406</v>
      </c>
      <c r="I937">
        <v>210.75399999999999</v>
      </c>
      <c r="J937">
        <v>-443.07889999999998</v>
      </c>
      <c r="K937">
        <v>1.1051489999999999</v>
      </c>
      <c r="L937">
        <v>215.9033</v>
      </c>
      <c r="M937">
        <v>0.99849659999999996</v>
      </c>
      <c r="N937">
        <v>0</v>
      </c>
      <c r="O937">
        <v>-5.3545910000000002E-2</v>
      </c>
      <c r="P937">
        <v>0.99384159999999999</v>
      </c>
      <c r="Q937">
        <v>0.1098316</v>
      </c>
      <c r="R937">
        <v>1.4702669999999999E-2</v>
      </c>
      <c r="S937">
        <v>2.9967350000000001</v>
      </c>
      <c r="T937">
        <v>0.1989686</v>
      </c>
      <c r="U937">
        <v>-4.977417E-2</v>
      </c>
      <c r="V937">
        <v>-6.8229159999999997E-2</v>
      </c>
      <c r="W937">
        <v>0.1212736</v>
      </c>
      <c r="X937">
        <v>0.99027140000000002</v>
      </c>
      <c r="Y937">
        <v>-3.67602E-2</v>
      </c>
      <c r="Z937">
        <v>-4.7685330000000001E-3</v>
      </c>
      <c r="AA937">
        <v>0.9993128</v>
      </c>
      <c r="AB937">
        <v>31</v>
      </c>
      <c r="AC937">
        <v>335.6814</v>
      </c>
      <c r="AD937">
        <v>22.788910999999999</v>
      </c>
      <c r="AE937">
        <v>-5.1492999999999798</v>
      </c>
      <c r="AF937">
        <v>-12.7748256309974</v>
      </c>
      <c r="AG937">
        <v>22.788910999999999</v>
      </c>
      <c r="AH937">
        <v>333.93680174541203</v>
      </c>
      <c r="AI937">
        <v>86.098851198690497</v>
      </c>
      <c r="AJ937">
        <v>92.190794320596297</v>
      </c>
      <c r="AK937">
        <v>334.957188599414</v>
      </c>
      <c r="AL937">
        <v>83.034388479929405</v>
      </c>
      <c r="AM937">
        <v>93.941419055619406</v>
      </c>
      <c r="AN937">
        <v>0.99999997499461202</v>
      </c>
    </row>
    <row r="938" spans="1:40" x14ac:dyDescent="0.3">
      <c r="A938" t="str">
        <f>"20200111150309204"</f>
        <v>20200111150309204</v>
      </c>
      <c r="B938" t="str">
        <f>"1578726189198500"</f>
        <v>1578726189198500</v>
      </c>
      <c r="C938" t="s">
        <v>40</v>
      </c>
      <c r="D938">
        <v>6.8399039999999998</v>
      </c>
      <c r="E938">
        <v>0.49106830000000001</v>
      </c>
      <c r="F938" t="s">
        <v>66</v>
      </c>
      <c r="G938">
        <v>-157.25</v>
      </c>
      <c r="H938">
        <v>20.005549999999999</v>
      </c>
      <c r="I938">
        <v>226.9778</v>
      </c>
      <c r="J938">
        <v>-442.77699999999999</v>
      </c>
      <c r="K938">
        <v>1.104994</v>
      </c>
      <c r="L938">
        <v>215.88820000000001</v>
      </c>
      <c r="M938">
        <v>0.99854869999999996</v>
      </c>
      <c r="N938">
        <v>0</v>
      </c>
      <c r="O938">
        <v>-5.2576060000000001E-2</v>
      </c>
      <c r="P938">
        <v>0.99388160000000003</v>
      </c>
      <c r="Q938">
        <v>0.1091048</v>
      </c>
      <c r="R938">
        <v>1.71988E-2</v>
      </c>
      <c r="S938">
        <v>2.9950260000000002</v>
      </c>
      <c r="T938">
        <v>0.19804620000000001</v>
      </c>
      <c r="U938">
        <v>0.1160431</v>
      </c>
      <c r="V938">
        <v>-6.9714910000000005E-2</v>
      </c>
      <c r="W938">
        <v>0.1205228</v>
      </c>
      <c r="X938">
        <v>0.99025960000000002</v>
      </c>
      <c r="Y938">
        <v>-9.0889979999999995E-2</v>
      </c>
      <c r="Z938">
        <v>-6.4720740000000004E-3</v>
      </c>
      <c r="AA938">
        <v>0.9958399</v>
      </c>
      <c r="AB938">
        <v>31</v>
      </c>
      <c r="AC938">
        <v>285.52699999999999</v>
      </c>
      <c r="AD938">
        <v>18.900556000000002</v>
      </c>
      <c r="AE938">
        <v>11.0895999999999</v>
      </c>
      <c r="AF938">
        <v>-25.973527648522001</v>
      </c>
      <c r="AG938">
        <v>18.900556000000002</v>
      </c>
      <c r="AH938">
        <v>283.30941120226498</v>
      </c>
      <c r="AI938">
        <v>86.199147706350004</v>
      </c>
      <c r="AJ938">
        <v>95.238177655712605</v>
      </c>
      <c r="AK938">
        <v>285.12467033105401</v>
      </c>
      <c r="AL938">
        <v>83.077724160458303</v>
      </c>
      <c r="AM938">
        <v>94.027015374846101</v>
      </c>
      <c r="AN938">
        <v>0.99999999469415402</v>
      </c>
    </row>
    <row r="939" spans="1:40" x14ac:dyDescent="0.3">
      <c r="A939" t="str">
        <f>"20200111150309906"</f>
        <v>20200111150309906</v>
      </c>
      <c r="B939" t="str">
        <f>"1578726189897634"</f>
        <v>1578726189897634</v>
      </c>
      <c r="C939" t="s">
        <v>40</v>
      </c>
      <c r="D939">
        <v>5.0671229999999996</v>
      </c>
      <c r="E939">
        <v>0.5064535</v>
      </c>
      <c r="F939" t="s">
        <v>66</v>
      </c>
      <c r="G939">
        <v>-157.25</v>
      </c>
      <c r="H939">
        <v>19.785409999999999</v>
      </c>
      <c r="I939">
        <v>227.68639999999999</v>
      </c>
      <c r="J939">
        <v>-432.9332</v>
      </c>
      <c r="K939">
        <v>1.104374</v>
      </c>
      <c r="L939">
        <v>215.33170000000001</v>
      </c>
      <c r="M939">
        <v>0.9982316</v>
      </c>
      <c r="N939">
        <v>0</v>
      </c>
      <c r="O939">
        <v>-5.8400309999999997E-2</v>
      </c>
      <c r="P939">
        <v>0.9938591</v>
      </c>
      <c r="Q939">
        <v>0.1098194</v>
      </c>
      <c r="R939">
        <v>1.356124E-2</v>
      </c>
      <c r="S939">
        <v>2.9948429999999999</v>
      </c>
      <c r="T939">
        <v>0.1959362</v>
      </c>
      <c r="U939">
        <v>0.12374880000000001</v>
      </c>
      <c r="V939">
        <v>-7.170116E-2</v>
      </c>
      <c r="W939">
        <v>0.1207505</v>
      </c>
      <c r="X939">
        <v>0.99009000000000003</v>
      </c>
      <c r="Y939">
        <v>-9.9232509999999996E-2</v>
      </c>
      <c r="Z939">
        <v>-7.0561410000000001E-3</v>
      </c>
      <c r="AA939">
        <v>0.99503929999999996</v>
      </c>
      <c r="AB939">
        <v>32</v>
      </c>
      <c r="AC939">
        <v>275.6832</v>
      </c>
      <c r="AD939">
        <v>18.681035999999999</v>
      </c>
      <c r="AE939">
        <v>12.3546999999999</v>
      </c>
      <c r="AF939">
        <v>-28.3048768247818</v>
      </c>
      <c r="AG939">
        <v>18.681035999999999</v>
      </c>
      <c r="AH939">
        <v>273.23891681682397</v>
      </c>
      <c r="AI939">
        <v>86.109592409069606</v>
      </c>
      <c r="AJ939">
        <v>95.914187128664594</v>
      </c>
      <c r="AK939">
        <v>275.33552771360701</v>
      </c>
      <c r="AL939">
        <v>83.064581784824099</v>
      </c>
      <c r="AM939">
        <v>94.1420624527304</v>
      </c>
      <c r="AN939">
        <v>0.99999997384779704</v>
      </c>
    </row>
    <row r="940" spans="1:40" x14ac:dyDescent="0.3">
      <c r="A940" t="str">
        <f>"20200111150309929"</f>
        <v>20200111150309929</v>
      </c>
      <c r="B940" t="str">
        <f>"1578726189927890"</f>
        <v>1578726189927890</v>
      </c>
      <c r="C940" t="s">
        <v>40</v>
      </c>
      <c r="D940">
        <v>5.1673010000000001</v>
      </c>
      <c r="E940">
        <v>0.50715650000000001</v>
      </c>
      <c r="F940" t="s">
        <v>67</v>
      </c>
      <c r="G940">
        <v>-107.39749999999999</v>
      </c>
      <c r="H940">
        <v>12.773630000000001</v>
      </c>
      <c r="I940">
        <v>214.25129999999999</v>
      </c>
      <c r="J940">
        <v>-432.61200000000002</v>
      </c>
      <c r="K940">
        <v>1.10439</v>
      </c>
      <c r="L940">
        <v>215.3135</v>
      </c>
      <c r="M940">
        <v>0.99826760000000003</v>
      </c>
      <c r="N940">
        <v>0</v>
      </c>
      <c r="O940">
        <v>-5.778233E-2</v>
      </c>
      <c r="P940">
        <v>0.99392009999999997</v>
      </c>
      <c r="Q940">
        <v>0.1093457</v>
      </c>
      <c r="R940">
        <v>1.2908970000000001E-2</v>
      </c>
      <c r="S940">
        <v>3.0067750000000002</v>
      </c>
      <c r="T940">
        <v>0.10778219999999999</v>
      </c>
      <c r="U940">
        <v>-9.9792479999999996E-3</v>
      </c>
      <c r="V940">
        <v>-7.0445129999999995E-2</v>
      </c>
      <c r="W940">
        <v>0.1202762</v>
      </c>
      <c r="X940">
        <v>0.9902379</v>
      </c>
      <c r="Y940">
        <v>-5.4400190000000001E-2</v>
      </c>
      <c r="Z940">
        <v>-3.0445450000000001E-3</v>
      </c>
      <c r="AA940">
        <v>0.99851460000000003</v>
      </c>
      <c r="AB940">
        <v>32</v>
      </c>
      <c r="AC940">
        <v>325.21449999999999</v>
      </c>
      <c r="AD940">
        <v>11.66924</v>
      </c>
      <c r="AE940">
        <v>-1.06220000000001</v>
      </c>
      <c r="AF940">
        <v>-17.7095815566136</v>
      </c>
      <c r="AG940">
        <v>11.66924</v>
      </c>
      <c r="AH940">
        <v>324.31489748022699</v>
      </c>
      <c r="AI940">
        <v>87.942380743923493</v>
      </c>
      <c r="AJ940">
        <v>93.125596603968006</v>
      </c>
      <c r="AK940">
        <v>325.00762017020202</v>
      </c>
      <c r="AL940">
        <v>83.091956799810006</v>
      </c>
      <c r="AM940">
        <v>94.069143752525903</v>
      </c>
      <c r="AN940">
        <v>0.99999998961178305</v>
      </c>
    </row>
    <row r="941" spans="1:40" x14ac:dyDescent="0.3">
      <c r="A941" t="str">
        <f>"20200111150309951"</f>
        <v>20200111150309951</v>
      </c>
      <c r="B941" t="str">
        <f>"1578726189948386"</f>
        <v>1578726189948386</v>
      </c>
      <c r="C941" t="s">
        <v>40</v>
      </c>
      <c r="D941">
        <v>5.2067040000000002</v>
      </c>
      <c r="E941">
        <v>0.50753090000000001</v>
      </c>
      <c r="F941" t="s">
        <v>67</v>
      </c>
      <c r="G941">
        <v>-107.39749999999999</v>
      </c>
      <c r="H941">
        <v>2.590122</v>
      </c>
      <c r="I941">
        <v>213.4828</v>
      </c>
      <c r="J941">
        <v>-432.30520000000001</v>
      </c>
      <c r="K941">
        <v>1.104403</v>
      </c>
      <c r="L941">
        <v>215.2963</v>
      </c>
      <c r="M941">
        <v>0.99830059999999998</v>
      </c>
      <c r="N941">
        <v>0</v>
      </c>
      <c r="O941">
        <v>-5.7207090000000002E-2</v>
      </c>
      <c r="P941">
        <v>0.9939789</v>
      </c>
      <c r="Q941">
        <v>0.1088127</v>
      </c>
      <c r="R941">
        <v>1.288453E-2</v>
      </c>
      <c r="S941">
        <v>3.0170590000000002</v>
      </c>
      <c r="T941">
        <v>1.3783810000000001E-2</v>
      </c>
      <c r="U941">
        <v>-1.698303E-2</v>
      </c>
      <c r="V941">
        <v>-6.9857069999999993E-2</v>
      </c>
      <c r="W941">
        <v>0.11974269999999999</v>
      </c>
      <c r="X941">
        <v>0.99034420000000001</v>
      </c>
      <c r="Y941">
        <v>-5.1588889999999998E-2</v>
      </c>
      <c r="Z941">
        <v>-3.7909640000000002E-4</v>
      </c>
      <c r="AA941">
        <v>0.99866829999999995</v>
      </c>
      <c r="AB941">
        <v>32</v>
      </c>
      <c r="AC941">
        <v>324.90769999999998</v>
      </c>
      <c r="AD941">
        <v>1.485719</v>
      </c>
      <c r="AE941">
        <v>-1.8134999999999999</v>
      </c>
      <c r="AF941">
        <v>-16.777289141169199</v>
      </c>
      <c r="AG941">
        <v>1.485719</v>
      </c>
      <c r="AH941">
        <v>324.47251083439801</v>
      </c>
      <c r="AI941">
        <v>89.738001626825096</v>
      </c>
      <c r="AJ941">
        <v>92.959919667039401</v>
      </c>
      <c r="AK941">
        <v>324.90936440652501</v>
      </c>
      <c r="AL941">
        <v>83.122746554464896</v>
      </c>
      <c r="AM941">
        <v>94.034856444772004</v>
      </c>
      <c r="AN941">
        <v>0.99999997945295704</v>
      </c>
    </row>
    <row r="942" spans="1:40" x14ac:dyDescent="0.3">
      <c r="A942" t="str">
        <f>"20200111150309973"</f>
        <v>20200111150309973</v>
      </c>
      <c r="B942" t="str">
        <f>"1578726189967907"</f>
        <v>1578726189967907</v>
      </c>
      <c r="C942" t="s">
        <v>40</v>
      </c>
      <c r="D942">
        <v>5.2584540000000004</v>
      </c>
      <c r="E942">
        <v>0.50676080000000001</v>
      </c>
      <c r="F942" t="s">
        <v>53</v>
      </c>
      <c r="G942">
        <v>-179.95769999999999</v>
      </c>
      <c r="H942">
        <v>1.5210970000000001E-2</v>
      </c>
      <c r="I942">
        <v>213.65790000000001</v>
      </c>
      <c r="J942">
        <v>-431.98750000000001</v>
      </c>
      <c r="K942">
        <v>1.1044119999999999</v>
      </c>
      <c r="L942">
        <v>215.27869999999999</v>
      </c>
      <c r="M942">
        <v>0.99833380000000005</v>
      </c>
      <c r="N942">
        <v>0</v>
      </c>
      <c r="O942">
        <v>-5.6625580000000002E-2</v>
      </c>
      <c r="P942">
        <v>0.99397489999999999</v>
      </c>
      <c r="Q942">
        <v>0.108695</v>
      </c>
      <c r="R942">
        <v>1.4124319999999999E-2</v>
      </c>
      <c r="S942">
        <v>3.0198670000000001</v>
      </c>
      <c r="T942">
        <v>-1.3034459999999999E-2</v>
      </c>
      <c r="U942">
        <v>-1.960754E-2</v>
      </c>
      <c r="V942">
        <v>-7.0520620000000006E-2</v>
      </c>
      <c r="W942">
        <v>0.1196229</v>
      </c>
      <c r="X942">
        <v>0.99031170000000002</v>
      </c>
      <c r="Y942">
        <v>-5.0144590000000003E-2</v>
      </c>
      <c r="Z942">
        <v>3.5252770000000002E-4</v>
      </c>
      <c r="AA942">
        <v>0.99874189999999996</v>
      </c>
      <c r="AB942">
        <v>32</v>
      </c>
      <c r="AC942">
        <v>252.02979999999999</v>
      </c>
      <c r="AD942">
        <v>-1.0892010299999999</v>
      </c>
      <c r="AE942">
        <v>-1.62079999999997</v>
      </c>
      <c r="AF942">
        <v>-12.653777156996499</v>
      </c>
      <c r="AG942">
        <v>-1.0892010299999999</v>
      </c>
      <c r="AH942">
        <v>251.71244775148199</v>
      </c>
      <c r="AI942">
        <v>90.247614006741799</v>
      </c>
      <c r="AJ942">
        <v>92.877879986588994</v>
      </c>
      <c r="AK942">
        <v>252.032658177993</v>
      </c>
      <c r="AL942">
        <v>83.129660629840004</v>
      </c>
      <c r="AM942">
        <v>94.073187090610602</v>
      </c>
      <c r="AN942">
        <v>1.0000000296032401</v>
      </c>
    </row>
    <row r="943" spans="1:40" x14ac:dyDescent="0.3">
      <c r="A943" t="str">
        <f>"20200111150309996"</f>
        <v>20200111150309996</v>
      </c>
      <c r="B943" t="str">
        <f>"1578726189988402"</f>
        <v>1578726189988402</v>
      </c>
      <c r="C943" t="s">
        <v>40</v>
      </c>
      <c r="D943">
        <v>5.4720630000000003</v>
      </c>
      <c r="E943">
        <v>0.50549520000000003</v>
      </c>
      <c r="F943" t="s">
        <v>56</v>
      </c>
      <c r="G943">
        <v>-226.3955</v>
      </c>
      <c r="H943" s="1">
        <v>1.8663419999999999E-6</v>
      </c>
      <c r="I943">
        <v>214.62219999999999</v>
      </c>
      <c r="J943">
        <v>-431.66489999999999</v>
      </c>
      <c r="K943">
        <v>1.1044179999999999</v>
      </c>
      <c r="L943">
        <v>215.261</v>
      </c>
      <c r="M943">
        <v>0.99836670000000005</v>
      </c>
      <c r="N943">
        <v>0</v>
      </c>
      <c r="O943">
        <v>-5.6043040000000002E-2</v>
      </c>
      <c r="P943">
        <v>0.99395060000000002</v>
      </c>
      <c r="Q943">
        <v>0.1086834</v>
      </c>
      <c r="R943">
        <v>1.582428E-2</v>
      </c>
      <c r="S943">
        <v>3.0200809999999998</v>
      </c>
      <c r="T943">
        <v>-1.622343E-2</v>
      </c>
      <c r="U943">
        <v>-9.6435549999999998E-3</v>
      </c>
      <c r="V943">
        <v>-7.1639839999999996E-2</v>
      </c>
      <c r="W943">
        <v>0.1196087</v>
      </c>
      <c r="X943">
        <v>0.99023309999999998</v>
      </c>
      <c r="Y943">
        <v>-5.285654E-2</v>
      </c>
      <c r="Z943">
        <v>4.4291289999999999E-4</v>
      </c>
      <c r="AA943">
        <v>0.99860199999999999</v>
      </c>
      <c r="AB943">
        <v>32</v>
      </c>
      <c r="AC943">
        <v>205.26939999999999</v>
      </c>
      <c r="AD943">
        <v>-1.1044161336579901</v>
      </c>
      <c r="AE943">
        <v>-0.63880000000000303</v>
      </c>
      <c r="AF943">
        <v>-10.8665189156788</v>
      </c>
      <c r="AG943">
        <v>-1.1044161336579901</v>
      </c>
      <c r="AH943">
        <v>204.97661828702201</v>
      </c>
      <c r="AI943">
        <v>90.3082743847758</v>
      </c>
      <c r="AJ943">
        <v>93.034606562108493</v>
      </c>
      <c r="AK943">
        <v>205.26742316481901</v>
      </c>
      <c r="AL943">
        <v>83.130480254795998</v>
      </c>
      <c r="AM943">
        <v>94.137936419267604</v>
      </c>
      <c r="AN943">
        <v>1.00000005006326</v>
      </c>
    </row>
    <row r="944" spans="1:40" x14ac:dyDescent="0.3">
      <c r="A944" t="str">
        <f>"20200111150310019"</f>
        <v>20200111150310019</v>
      </c>
      <c r="B944" t="str">
        <f>"1578726190007922"</f>
        <v>1578726190007922</v>
      </c>
      <c r="C944" t="s">
        <v>40</v>
      </c>
      <c r="D944">
        <v>5.487679</v>
      </c>
      <c r="E944">
        <v>0.50439630000000002</v>
      </c>
      <c r="F944" t="s">
        <v>67</v>
      </c>
      <c r="G944">
        <v>-107.39749999999999</v>
      </c>
      <c r="H944">
        <v>2.1133329999999999</v>
      </c>
      <c r="I944">
        <v>215.8235</v>
      </c>
      <c r="J944">
        <v>-431.34500000000003</v>
      </c>
      <c r="K944">
        <v>1.1044160000000001</v>
      </c>
      <c r="L944">
        <v>215.24359999999999</v>
      </c>
      <c r="M944">
        <v>0.99839849999999997</v>
      </c>
      <c r="N944">
        <v>0</v>
      </c>
      <c r="O944">
        <v>-5.5469730000000002E-2</v>
      </c>
      <c r="P944">
        <v>0.99391169999999995</v>
      </c>
      <c r="Q944">
        <v>0.1087105</v>
      </c>
      <c r="R944">
        <v>1.7927889999999998E-2</v>
      </c>
      <c r="S944">
        <v>3.0171199999999998</v>
      </c>
      <c r="T944">
        <v>9.3878509999999991E-3</v>
      </c>
      <c r="U944">
        <v>5.2337649999999996E-3</v>
      </c>
      <c r="V944">
        <v>-7.3170360000000004E-2</v>
      </c>
      <c r="W944">
        <v>0.1196329</v>
      </c>
      <c r="X944">
        <v>0.99011819999999895</v>
      </c>
      <c r="Y944">
        <v>-5.7204539999999998E-2</v>
      </c>
      <c r="Z944">
        <v>-2.6153770000000002E-4</v>
      </c>
      <c r="AA944">
        <v>0.99836239999999998</v>
      </c>
      <c r="AB944">
        <v>32</v>
      </c>
      <c r="AC944">
        <v>323.94749999999999</v>
      </c>
      <c r="AD944">
        <v>1.0089170000000001</v>
      </c>
      <c r="AE944">
        <v>0.57990000000000896</v>
      </c>
      <c r="AF944">
        <v>-18.549217597792001</v>
      </c>
      <c r="AG944">
        <v>1.0089170000000001</v>
      </c>
      <c r="AH944">
        <v>323.41337289815903</v>
      </c>
      <c r="AI944">
        <v>89.8215545199117</v>
      </c>
      <c r="AJ944">
        <v>93.282575488965804</v>
      </c>
      <c r="AK944">
        <v>323.94644797615399</v>
      </c>
      <c r="AL944">
        <v>83.129083262348502</v>
      </c>
      <c r="AM944">
        <v>94.226511360941998</v>
      </c>
      <c r="AN944">
        <v>0.99999999115808902</v>
      </c>
    </row>
    <row r="945" spans="1:40" x14ac:dyDescent="0.3">
      <c r="A945" t="str">
        <f>"20200111150310041"</f>
        <v>20200111150310041</v>
      </c>
      <c r="B945" t="str">
        <f>"1578726190038178"</f>
        <v>1578726190038178</v>
      </c>
      <c r="C945" t="s">
        <v>40</v>
      </c>
      <c r="D945">
        <v>5.2296250000000004</v>
      </c>
      <c r="E945">
        <v>0.50460989999999994</v>
      </c>
      <c r="F945" t="s">
        <v>67</v>
      </c>
      <c r="G945">
        <v>-107.39749999999999</v>
      </c>
      <c r="H945">
        <v>4.5885759999999998</v>
      </c>
      <c r="I945">
        <v>217.4426</v>
      </c>
      <c r="J945">
        <v>-431.03769999999997</v>
      </c>
      <c r="K945">
        <v>1.1044160000000001</v>
      </c>
      <c r="L945">
        <v>215.22720000000001</v>
      </c>
      <c r="M945">
        <v>0.99842909999999996</v>
      </c>
      <c r="N945">
        <v>0</v>
      </c>
      <c r="O945">
        <v>-5.4920400000000001E-2</v>
      </c>
      <c r="P945">
        <v>0.99389559999999999</v>
      </c>
      <c r="Q945">
        <v>0.108645699999999</v>
      </c>
      <c r="R945">
        <v>1.9173530000000001E-2</v>
      </c>
      <c r="S945">
        <v>3.0144350000000002</v>
      </c>
      <c r="T945">
        <v>3.2421709999999999E-2</v>
      </c>
      <c r="U945">
        <v>2.0462040000000001E-2</v>
      </c>
      <c r="V945">
        <v>-7.3868719999999999E-2</v>
      </c>
      <c r="W945">
        <v>0.11956799999999999</v>
      </c>
      <c r="X945">
        <v>0.99007420000000002</v>
      </c>
      <c r="Y945">
        <v>-6.1693400000000002E-2</v>
      </c>
      <c r="Z945">
        <v>-9.2227050000000005E-4</v>
      </c>
      <c r="AA945">
        <v>0.9980947</v>
      </c>
      <c r="AB945">
        <v>32</v>
      </c>
      <c r="AC945">
        <v>323.64019999999999</v>
      </c>
      <c r="AD945">
        <v>3.4841600000000001</v>
      </c>
      <c r="AE945">
        <v>2.2153999999999798</v>
      </c>
      <c r="AF945">
        <v>-19.985283041448699</v>
      </c>
      <c r="AG945">
        <v>3.4841600000000001</v>
      </c>
      <c r="AH945">
        <v>322.99257111121398</v>
      </c>
      <c r="AI945">
        <v>89.383147065210494</v>
      </c>
      <c r="AJ945">
        <v>93.540683267299201</v>
      </c>
      <c r="AK945">
        <v>323.62903439306098</v>
      </c>
      <c r="AL945">
        <v>83.132828758368802</v>
      </c>
      <c r="AM945">
        <v>94.266891109897301</v>
      </c>
      <c r="AN945">
        <v>1.0000000079620299</v>
      </c>
    </row>
    <row r="946" spans="1:40" x14ac:dyDescent="0.3">
      <c r="A946" t="str">
        <f>"20200111150310063"</f>
        <v>20200111150310063</v>
      </c>
      <c r="B946" t="str">
        <f>"1578726190057699"</f>
        <v>1578726190057699</v>
      </c>
      <c r="C946" t="s">
        <v>40</v>
      </c>
      <c r="D946">
        <v>6.2241090000000003</v>
      </c>
      <c r="E946">
        <v>0.50489680000000003</v>
      </c>
      <c r="F946" t="s">
        <v>67</v>
      </c>
      <c r="G946">
        <v>-107.39749999999999</v>
      </c>
      <c r="H946">
        <v>1.614868</v>
      </c>
      <c r="I946">
        <v>217.63460000000001</v>
      </c>
      <c r="J946">
        <v>-430.71949999999998</v>
      </c>
      <c r="K946">
        <v>1.1044210000000001</v>
      </c>
      <c r="L946">
        <v>215.21019999999999</v>
      </c>
      <c r="M946">
        <v>0.99846009999999996</v>
      </c>
      <c r="N946">
        <v>0</v>
      </c>
      <c r="O946">
        <v>-5.435214E-2</v>
      </c>
      <c r="P946">
        <v>0.99384260000000002</v>
      </c>
      <c r="Q946">
        <v>0.10897129999999999</v>
      </c>
      <c r="R946">
        <v>2.005554E-2</v>
      </c>
      <c r="S946">
        <v>3.0174560000000001</v>
      </c>
      <c r="T946">
        <v>4.7596690000000002E-3</v>
      </c>
      <c r="U946">
        <v>2.2445679999999999E-2</v>
      </c>
      <c r="V946">
        <v>-7.418305E-2</v>
      </c>
      <c r="W946">
        <v>0.11989320000000001</v>
      </c>
      <c r="X946">
        <v>0.99001130000000004</v>
      </c>
      <c r="Y946">
        <v>-6.1781240000000001E-2</v>
      </c>
      <c r="Z946">
        <v>-1.3443600000000001E-4</v>
      </c>
      <c r="AA946">
        <v>0.99808969999999997</v>
      </c>
      <c r="AB946">
        <v>32</v>
      </c>
      <c r="AC946">
        <v>323.322</v>
      </c>
      <c r="AD946">
        <v>0.51044699999999998</v>
      </c>
      <c r="AE946">
        <v>2.4244000000000199</v>
      </c>
      <c r="AF946">
        <v>-19.995091915447901</v>
      </c>
      <c r="AG946">
        <v>0.51044699999999998</v>
      </c>
      <c r="AH946">
        <v>322.71143237933302</v>
      </c>
      <c r="AI946">
        <v>89.909546256717405</v>
      </c>
      <c r="AJ946">
        <v>93.545494830493496</v>
      </c>
      <c r="AK946">
        <v>323.33068651949498</v>
      </c>
      <c r="AL946">
        <v>83.1140606890675</v>
      </c>
      <c r="AM946">
        <v>94.285251552967495</v>
      </c>
      <c r="AN946">
        <v>0.99999993922061403</v>
      </c>
    </row>
    <row r="947" spans="1:40" x14ac:dyDescent="0.3">
      <c r="A947" t="str">
        <f>"20200111150310086"</f>
        <v>20200111150310086</v>
      </c>
      <c r="B947" t="str">
        <f>"1578726190078194"</f>
        <v>1578726190078194</v>
      </c>
      <c r="C947" t="s">
        <v>40</v>
      </c>
      <c r="D947">
        <v>5.3009680000000001</v>
      </c>
      <c r="E947">
        <v>0.50439140000000005</v>
      </c>
      <c r="F947" t="s">
        <v>67</v>
      </c>
      <c r="G947">
        <v>-107.39749999999999</v>
      </c>
      <c r="H947">
        <v>0.65179639999999905</v>
      </c>
      <c r="I947">
        <v>217.6798</v>
      </c>
      <c r="J947">
        <v>-430.40010000000001</v>
      </c>
      <c r="K947">
        <v>1.1044240000000001</v>
      </c>
      <c r="L947">
        <v>215.1934</v>
      </c>
      <c r="M947">
        <v>0.99849100000000002</v>
      </c>
      <c r="N947">
        <v>0</v>
      </c>
      <c r="O947">
        <v>-5.3782089999999998E-2</v>
      </c>
      <c r="P947">
        <v>0.9938709</v>
      </c>
      <c r="Q947">
        <v>0.10865</v>
      </c>
      <c r="R947">
        <v>2.0389910000000001E-2</v>
      </c>
      <c r="S947">
        <v>3.0185550000000001</v>
      </c>
      <c r="T947">
        <v>-4.2252540000000003E-3</v>
      </c>
      <c r="U947">
        <v>2.3056030000000002E-2</v>
      </c>
      <c r="V947">
        <v>-7.3952219999999999E-2</v>
      </c>
      <c r="W947">
        <v>0.11957420000000001</v>
      </c>
      <c r="X947">
        <v>0.99006719999999904</v>
      </c>
      <c r="Y947">
        <v>-6.1410550000000001E-2</v>
      </c>
      <c r="Z947">
        <v>1.182416E-4</v>
      </c>
      <c r="AA947">
        <v>0.99811260000000002</v>
      </c>
      <c r="AB947">
        <v>32</v>
      </c>
      <c r="AC947">
        <v>323.00259999999997</v>
      </c>
      <c r="AD947">
        <v>-0.45262760000000002</v>
      </c>
      <c r="AE947">
        <v>2.4864000000000002</v>
      </c>
      <c r="AF947">
        <v>-19.8555871788794</v>
      </c>
      <c r="AG947">
        <v>-0.45262760000000002</v>
      </c>
      <c r="AH947">
        <v>322.40069433427101</v>
      </c>
      <c r="AI947">
        <v>90.080287021820794</v>
      </c>
      <c r="AJ947">
        <v>93.524205445161002</v>
      </c>
      <c r="AK947">
        <v>323.01185260170001</v>
      </c>
      <c r="AL947">
        <v>83.132470835890402</v>
      </c>
      <c r="AM947">
        <v>94.271726581002795</v>
      </c>
      <c r="AN947">
        <v>0.99999999033220299</v>
      </c>
    </row>
    <row r="948" spans="1:40" x14ac:dyDescent="0.3">
      <c r="A948" t="str">
        <f>"20200111150310108"</f>
        <v>20200111150310108</v>
      </c>
      <c r="B948" t="str">
        <f>"1578726190097714"</f>
        <v>1578726190097714</v>
      </c>
      <c r="C948" t="s">
        <v>40</v>
      </c>
      <c r="D948">
        <v>5.3302509999999996</v>
      </c>
      <c r="E948">
        <v>0.5044807</v>
      </c>
      <c r="F948" t="s">
        <v>67</v>
      </c>
      <c r="G948">
        <v>-107.39749999999999</v>
      </c>
      <c r="H948">
        <v>7.5612250000000006E-2</v>
      </c>
      <c r="I948">
        <v>218.19239999999999</v>
      </c>
      <c r="J948">
        <v>-430.08420000000001</v>
      </c>
      <c r="K948">
        <v>1.1044229999999999</v>
      </c>
      <c r="L948">
        <v>215.17699999999999</v>
      </c>
      <c r="M948">
        <v>0.99852099999999999</v>
      </c>
      <c r="N948">
        <v>0</v>
      </c>
      <c r="O948">
        <v>-5.3218479999999999E-2</v>
      </c>
      <c r="P948">
        <v>0.99395409999999995</v>
      </c>
      <c r="Q948">
        <v>0.1079184</v>
      </c>
      <c r="R948">
        <v>2.022506E-2</v>
      </c>
      <c r="S948">
        <v>3.0189819999999998</v>
      </c>
      <c r="T948">
        <v>-9.6154210000000007E-3</v>
      </c>
      <c r="U948">
        <v>2.80304E-2</v>
      </c>
      <c r="V948">
        <v>-7.3232110000000003E-2</v>
      </c>
      <c r="W948">
        <v>0.11884599999999999</v>
      </c>
      <c r="X948">
        <v>0.99020839999999999</v>
      </c>
      <c r="Y948">
        <v>-6.249006E-2</v>
      </c>
      <c r="Z948">
        <v>2.689697E-4</v>
      </c>
      <c r="AA948">
        <v>0.99804559999999998</v>
      </c>
      <c r="AB948">
        <v>32</v>
      </c>
      <c r="AC948">
        <v>322.68669999999997</v>
      </c>
      <c r="AD948">
        <v>-1.0288107500000001</v>
      </c>
      <c r="AE948">
        <v>3.0153999999999699</v>
      </c>
      <c r="AF948">
        <v>-20.184878288261999</v>
      </c>
      <c r="AG948">
        <v>-1.0288107500000001</v>
      </c>
      <c r="AH948">
        <v>322.06560327314298</v>
      </c>
      <c r="AI948">
        <v>90.182667397752994</v>
      </c>
      <c r="AJ948">
        <v>93.586218632079905</v>
      </c>
      <c r="AK948">
        <v>322.69914870474099</v>
      </c>
      <c r="AL948">
        <v>83.174493312720301</v>
      </c>
      <c r="AM948">
        <v>94.229681334536096</v>
      </c>
      <c r="AN948">
        <v>0.99999999454080601</v>
      </c>
    </row>
    <row r="949" spans="1:40" x14ac:dyDescent="0.3">
      <c r="A949" t="str">
        <f>"20200111150310132"</f>
        <v>20200111150310132</v>
      </c>
      <c r="B949" t="str">
        <f>"1578726190127970"</f>
        <v>1578726190127970</v>
      </c>
      <c r="C949" t="s">
        <v>40</v>
      </c>
      <c r="D949">
        <v>6.5715510000000004</v>
      </c>
      <c r="E949">
        <v>0.50437920000000003</v>
      </c>
      <c r="F949" t="s">
        <v>56</v>
      </c>
      <c r="G949">
        <v>-340.91579999999999</v>
      </c>
      <c r="H949" s="1">
        <v>-1.0494470000000001E-6</v>
      </c>
      <c r="I949">
        <v>215.9776</v>
      </c>
      <c r="J949">
        <v>-429.7439</v>
      </c>
      <c r="K949">
        <v>1.1044229999999999</v>
      </c>
      <c r="L949">
        <v>215.15950000000001</v>
      </c>
      <c r="M949">
        <v>0.99855320000000003</v>
      </c>
      <c r="N949">
        <v>0</v>
      </c>
      <c r="O949">
        <v>-5.2611489999999997E-2</v>
      </c>
      <c r="P949">
        <v>0.9940483</v>
      </c>
      <c r="Q949">
        <v>0.1072166</v>
      </c>
      <c r="R949">
        <v>1.930229E-2</v>
      </c>
      <c r="S949">
        <v>3.0217589999999999</v>
      </c>
      <c r="T949">
        <v>-3.742695E-2</v>
      </c>
      <c r="U949">
        <v>2.7130129999999999E-2</v>
      </c>
      <c r="V949">
        <v>-7.1711960000000005E-2</v>
      </c>
      <c r="W949">
        <v>0.1181495</v>
      </c>
      <c r="X949">
        <v>0.99040300000000003</v>
      </c>
      <c r="Y949">
        <v>-6.1569329999999999E-2</v>
      </c>
      <c r="Z949">
        <v>1.032722E-3</v>
      </c>
      <c r="AA949">
        <v>0.99810220000000005</v>
      </c>
      <c r="AB949">
        <v>32</v>
      </c>
      <c r="AC949">
        <v>88.828100000000006</v>
      </c>
      <c r="AD949">
        <v>-1.1044240494469999</v>
      </c>
      <c r="AE949">
        <v>0.81809999999998695</v>
      </c>
      <c r="AF949">
        <v>-5.4897856553474202</v>
      </c>
      <c r="AG949">
        <v>-1.1044240494469999</v>
      </c>
      <c r="AH949">
        <v>88.648316121756295</v>
      </c>
      <c r="AI949">
        <v>90.712417270855795</v>
      </c>
      <c r="AJ949">
        <v>93.543669997130806</v>
      </c>
      <c r="AK949">
        <v>88.825004645344606</v>
      </c>
      <c r="AL949">
        <v>83.214683065786801</v>
      </c>
      <c r="AM949">
        <v>94.141379510856595</v>
      </c>
      <c r="AN949">
        <v>1.00000000598314</v>
      </c>
    </row>
    <row r="950" spans="1:40" x14ac:dyDescent="0.3">
      <c r="A950" t="str">
        <f>"20200111150310221"</f>
        <v>20200111150310221</v>
      </c>
      <c r="B950" t="str">
        <f>"1578726190217762"</f>
        <v>1578726190217762</v>
      </c>
      <c r="C950" t="s">
        <v>40</v>
      </c>
      <c r="D950">
        <v>6.7838839999999996</v>
      </c>
      <c r="E950">
        <v>0.48344730000000002</v>
      </c>
      <c r="F950" t="s">
        <v>56</v>
      </c>
      <c r="G950">
        <v>-343.82100000000003</v>
      </c>
      <c r="H950" s="1">
        <v>4.9653009999999995E-7</v>
      </c>
      <c r="I950">
        <v>215.88589999999999</v>
      </c>
      <c r="J950">
        <v>-428.47390000000001</v>
      </c>
      <c r="K950">
        <v>1.104425</v>
      </c>
      <c r="L950">
        <v>215.096</v>
      </c>
      <c r="M950">
        <v>0.9986699</v>
      </c>
      <c r="N950">
        <v>0</v>
      </c>
      <c r="O950">
        <v>-5.0345420000000002E-2</v>
      </c>
      <c r="P950">
        <v>0.99415580000000003</v>
      </c>
      <c r="Q950">
        <v>0.1063122</v>
      </c>
      <c r="R950">
        <v>1.87662E-2</v>
      </c>
      <c r="S950">
        <v>3.0216980000000002</v>
      </c>
      <c r="T950">
        <v>-3.8839819999999997E-2</v>
      </c>
      <c r="U950">
        <v>2.554321E-2</v>
      </c>
      <c r="V950">
        <v>-6.893167E-2</v>
      </c>
      <c r="W950">
        <v>0.11726640000000001</v>
      </c>
      <c r="X950">
        <v>0.99070530000000001</v>
      </c>
      <c r="Y950">
        <v>-5.8779980000000003E-2</v>
      </c>
      <c r="Z950">
        <v>1.024699E-3</v>
      </c>
      <c r="AA950">
        <v>0.99827049999999995</v>
      </c>
      <c r="AB950">
        <v>32</v>
      </c>
      <c r="AC950">
        <v>84.652900000000002</v>
      </c>
      <c r="AD950">
        <v>-1.1044245034698901</v>
      </c>
      <c r="AE950">
        <v>0.78990000000001703</v>
      </c>
      <c r="AF950">
        <v>-5.0501882270151501</v>
      </c>
      <c r="AG950">
        <v>-1.1044245034698901</v>
      </c>
      <c r="AH950">
        <v>84.491384974895098</v>
      </c>
      <c r="AI950">
        <v>90.747561942227605</v>
      </c>
      <c r="AJ950">
        <v>93.420592771152698</v>
      </c>
      <c r="AK950">
        <v>84.649384460774897</v>
      </c>
      <c r="AL950">
        <v>83.265635051584198</v>
      </c>
      <c r="AM950">
        <v>93.980132991568894</v>
      </c>
      <c r="AN950">
        <v>0.999999987573019</v>
      </c>
    </row>
    <row r="951" spans="1:40" x14ac:dyDescent="0.3">
      <c r="A951" t="str">
        <f>"20200111150310242"</f>
        <v>20200111150310242</v>
      </c>
      <c r="B951" t="str">
        <f>"1578726190238258"</f>
        <v>1578726190238258</v>
      </c>
      <c r="C951" t="s">
        <v>40</v>
      </c>
      <c r="D951">
        <v>5.5321959999999999</v>
      </c>
      <c r="E951">
        <v>0.51575209999999905</v>
      </c>
      <c r="F951" t="s">
        <v>44</v>
      </c>
      <c r="G951">
        <v>0</v>
      </c>
      <c r="H951">
        <v>0</v>
      </c>
      <c r="I951">
        <v>0</v>
      </c>
      <c r="J951">
        <v>-428.18</v>
      </c>
      <c r="K951">
        <v>1.1044259999999999</v>
      </c>
      <c r="L951">
        <v>215.08179999999999</v>
      </c>
      <c r="M951">
        <v>0.99869609999999998</v>
      </c>
      <c r="N951">
        <v>0</v>
      </c>
      <c r="O951">
        <v>-4.9820839999999998E-2</v>
      </c>
      <c r="P951">
        <v>0.99413300000000004</v>
      </c>
      <c r="Q951">
        <v>0.10639369999999999</v>
      </c>
      <c r="R951">
        <v>1.949176E-2</v>
      </c>
      <c r="S951">
        <v>2.869659</v>
      </c>
      <c r="T951">
        <v>1.3523559999999999</v>
      </c>
      <c r="U951">
        <v>0.1801758</v>
      </c>
      <c r="V951">
        <v>-6.9134050000000002E-2</v>
      </c>
      <c r="W951">
        <v>0.1173569</v>
      </c>
      <c r="X951">
        <v>0.99068049999999996</v>
      </c>
      <c r="Y951">
        <v>-9.6885020000000002E-2</v>
      </c>
      <c r="Z951">
        <v>-4.3952869999999998E-2</v>
      </c>
      <c r="AA951">
        <v>0.9943246</v>
      </c>
      <c r="AB951">
        <v>32</v>
      </c>
      <c r="AC951">
        <v>2.869659</v>
      </c>
      <c r="AD951">
        <v>1.3523559999999999</v>
      </c>
      <c r="AE951">
        <v>0.1801758</v>
      </c>
      <c r="AF951">
        <v>-0.26443333060082103</v>
      </c>
      <c r="AG951">
        <v>1.3523559999999999</v>
      </c>
      <c r="AH951">
        <v>2.3395716435577998</v>
      </c>
      <c r="AI951">
        <v>60.127865014850002</v>
      </c>
      <c r="AJ951">
        <v>96.448567815301004</v>
      </c>
      <c r="AK951">
        <v>2.7152140269983098</v>
      </c>
      <c r="AL951">
        <v>83.260413855555399</v>
      </c>
      <c r="AM951">
        <v>93.991880349589493</v>
      </c>
      <c r="AN951">
        <v>1.00000000596363</v>
      </c>
    </row>
    <row r="952" spans="1:40" x14ac:dyDescent="0.3">
      <c r="A952" t="str">
        <f>"20200111150310264"</f>
        <v>20200111150310264</v>
      </c>
      <c r="B952" t="str">
        <f>"1578726190257778"</f>
        <v>1578726190257778</v>
      </c>
      <c r="C952" t="s">
        <v>40</v>
      </c>
      <c r="D952">
        <v>6.8282179999999997</v>
      </c>
      <c r="E952">
        <v>0.53128439999999999</v>
      </c>
      <c r="F952" t="s">
        <v>42</v>
      </c>
      <c r="G952">
        <v>-427.42450000000002</v>
      </c>
      <c r="H952">
        <v>0.89422760000000001</v>
      </c>
      <c r="I952">
        <v>215.06790000000001</v>
      </c>
      <c r="J952">
        <v>-427.86169999999998</v>
      </c>
      <c r="K952">
        <v>1.1044290000000001</v>
      </c>
      <c r="L952">
        <v>215.06649999999999</v>
      </c>
      <c r="M952">
        <v>0.99872419999999995</v>
      </c>
      <c r="N952">
        <v>0</v>
      </c>
      <c r="O952">
        <v>-4.9252860000000002E-2</v>
      </c>
      <c r="P952">
        <v>0.99407659999999998</v>
      </c>
      <c r="Q952">
        <v>0.10683429999999999</v>
      </c>
      <c r="R952">
        <v>1.995949E-2</v>
      </c>
      <c r="S952">
        <v>3.1115110000000001</v>
      </c>
      <c r="T952">
        <v>-0.86566219999999905</v>
      </c>
      <c r="U952">
        <v>-5.6961060000000001E-2</v>
      </c>
      <c r="V952">
        <v>-6.9035399999999997E-2</v>
      </c>
      <c r="W952">
        <v>0.1178081</v>
      </c>
      <c r="X952">
        <v>0.99063380000000001</v>
      </c>
      <c r="Y952">
        <v>-2.803373E-2</v>
      </c>
      <c r="Z952">
        <v>1.7268229999999999E-2</v>
      </c>
      <c r="AA952">
        <v>0.99945779999999995</v>
      </c>
      <c r="AB952">
        <v>32</v>
      </c>
      <c r="AC952">
        <v>0.43719999999996101</v>
      </c>
      <c r="AD952">
        <v>-0.21020140000000001</v>
      </c>
      <c r="AE952">
        <v>1.40000000001805E-3</v>
      </c>
      <c r="AF952">
        <v>-1.8627188561213998E-2</v>
      </c>
      <c r="AG952">
        <v>-0.21020140000000001</v>
      </c>
      <c r="AH952">
        <v>0.354626158708507</v>
      </c>
      <c r="AI952">
        <v>120.62234294004401</v>
      </c>
      <c r="AJ952">
        <v>93.006770251633</v>
      </c>
      <c r="AK952">
        <v>0.41266368044208401</v>
      </c>
      <c r="AL952">
        <v>83.234381241286798</v>
      </c>
      <c r="AM952">
        <v>93.986389869965706</v>
      </c>
      <c r="AN952">
        <v>0.999999980290604</v>
      </c>
    </row>
    <row r="953" spans="1:40" x14ac:dyDescent="0.3">
      <c r="A953" t="str">
        <f>"20200111150310332"</f>
        <v>20200111150310332</v>
      </c>
      <c r="B953" t="str">
        <f>"1578726190328050"</f>
        <v>1578726190328050</v>
      </c>
      <c r="C953" t="s">
        <v>40</v>
      </c>
      <c r="D953">
        <v>6.7734009999999998</v>
      </c>
      <c r="E953">
        <v>0.5319178</v>
      </c>
      <c r="F953" t="s">
        <v>56</v>
      </c>
      <c r="G953">
        <v>-386.9948</v>
      </c>
      <c r="H953" s="1">
        <v>2.275307E-6</v>
      </c>
      <c r="I953">
        <v>212.56120000000001</v>
      </c>
      <c r="J953">
        <v>-426.8897</v>
      </c>
      <c r="K953">
        <v>1.1044350000000001</v>
      </c>
      <c r="L953">
        <v>215.02090000000001</v>
      </c>
      <c r="M953">
        <v>0.99880860000000005</v>
      </c>
      <c r="N953">
        <v>0</v>
      </c>
      <c r="O953">
        <v>-4.7501910000000001E-2</v>
      </c>
      <c r="P953">
        <v>0.99413750000000001</v>
      </c>
      <c r="Q953">
        <v>0.1064003</v>
      </c>
      <c r="R953">
        <v>1.9231680000000001E-2</v>
      </c>
      <c r="S953">
        <v>3.0303960000000001</v>
      </c>
      <c r="T953">
        <v>-8.189631E-2</v>
      </c>
      <c r="U953">
        <v>-0.18577579999999999</v>
      </c>
      <c r="V953">
        <v>-6.657399E-2</v>
      </c>
      <c r="W953">
        <v>0.117409</v>
      </c>
      <c r="X953">
        <v>0.99084970000000006</v>
      </c>
      <c r="Y953">
        <v>1.3716590000000001E-2</v>
      </c>
      <c r="Z953">
        <v>1.096414E-3</v>
      </c>
      <c r="AA953">
        <v>0.9999053</v>
      </c>
      <c r="AB953">
        <v>32</v>
      </c>
      <c r="AC953">
        <v>39.8949</v>
      </c>
      <c r="AD953">
        <v>-1.1044327246929999</v>
      </c>
      <c r="AE953">
        <v>-2.45969999999999</v>
      </c>
      <c r="AF953">
        <v>0.56129212481039004</v>
      </c>
      <c r="AG953">
        <v>-1.1044327246929999</v>
      </c>
      <c r="AH953">
        <v>39.936216256999202</v>
      </c>
      <c r="AI953">
        <v>91.583949884938804</v>
      </c>
      <c r="AJ953">
        <v>89.194777183795907</v>
      </c>
      <c r="AK953">
        <v>39.955427533922801</v>
      </c>
      <c r="AL953">
        <v>83.257408254455598</v>
      </c>
      <c r="AM953">
        <v>93.843856754601106</v>
      </c>
      <c r="AN953">
        <v>1.0000000487078</v>
      </c>
    </row>
    <row r="954" spans="1:40" x14ac:dyDescent="0.3">
      <c r="A954" t="str">
        <f>"20200111150310353"</f>
        <v>20200111150310353</v>
      </c>
      <c r="B954" t="str">
        <f>"1578726190348546"</f>
        <v>1578726190348546</v>
      </c>
      <c r="C954" t="s">
        <v>40</v>
      </c>
      <c r="D954">
        <v>4.8889719999999999</v>
      </c>
      <c r="E954">
        <v>0.54550459999999901</v>
      </c>
      <c r="F954" t="s">
        <v>65</v>
      </c>
      <c r="G954">
        <v>-168.41669999999999</v>
      </c>
      <c r="H954">
        <v>10.647040000000001</v>
      </c>
      <c r="I954">
        <v>198.3107</v>
      </c>
      <c r="J954">
        <v>-426.58949999999999</v>
      </c>
      <c r="K954">
        <v>1.104455</v>
      </c>
      <c r="L954">
        <v>215.00720000000001</v>
      </c>
      <c r="M954">
        <v>0.99883460000000002</v>
      </c>
      <c r="N954">
        <v>0</v>
      </c>
      <c r="O954">
        <v>-4.695212E-2</v>
      </c>
      <c r="P954">
        <v>0.9940348</v>
      </c>
      <c r="Q954">
        <v>0.10738159999999999</v>
      </c>
      <c r="R954">
        <v>1.909189E-2</v>
      </c>
      <c r="S954">
        <v>3.0095209999999999</v>
      </c>
      <c r="T954">
        <v>0.1111094</v>
      </c>
      <c r="U954">
        <v>-0.19456480000000001</v>
      </c>
      <c r="V954">
        <v>-6.5885819999999998E-2</v>
      </c>
      <c r="W954">
        <v>0.118397699999999</v>
      </c>
      <c r="X954">
        <v>0.99077800000000005</v>
      </c>
      <c r="Y954">
        <v>1.760656E-2</v>
      </c>
      <c r="Z954">
        <v>-1.405456E-3</v>
      </c>
      <c r="AA954">
        <v>0.99984399999999996</v>
      </c>
      <c r="AB954">
        <v>32</v>
      </c>
      <c r="AC954">
        <v>258.1728</v>
      </c>
      <c r="AD954">
        <v>9.5425850000000008</v>
      </c>
      <c r="AE954">
        <v>-16.6965</v>
      </c>
      <c r="AF954">
        <v>4.5493767821076903</v>
      </c>
      <c r="AG954">
        <v>9.5425850000000008</v>
      </c>
      <c r="AH954">
        <v>258.32057618023299</v>
      </c>
      <c r="AI954">
        <v>87.884734156119293</v>
      </c>
      <c r="AJ954">
        <v>88.991047677586295</v>
      </c>
      <c r="AK954">
        <v>258.53680170466203</v>
      </c>
      <c r="AL954">
        <v>83.200361698269404</v>
      </c>
      <c r="AM954">
        <v>93.804514890356501</v>
      </c>
      <c r="AN954">
        <v>1.00000000096318</v>
      </c>
    </row>
    <row r="955" spans="1:40" x14ac:dyDescent="0.3">
      <c r="A955" t="str">
        <f>"20200111150314462"</f>
        <v>20200111150314462</v>
      </c>
      <c r="B955" t="str">
        <f>"1578726194458044"</f>
        <v>1578726194458044</v>
      </c>
      <c r="C955" t="s">
        <v>40</v>
      </c>
      <c r="D955">
        <v>5.5214379999999998</v>
      </c>
      <c r="E955">
        <v>0.59500369999999903</v>
      </c>
      <c r="F955" t="s">
        <v>65</v>
      </c>
      <c r="G955">
        <v>-168.43340000000001</v>
      </c>
      <c r="H955">
        <v>50.931919999999998</v>
      </c>
      <c r="I955">
        <v>188.16470000000001</v>
      </c>
      <c r="J955">
        <v>-365.47649999999999</v>
      </c>
      <c r="K955">
        <v>1.1037349999999999</v>
      </c>
      <c r="L955">
        <v>216.42019999999999</v>
      </c>
      <c r="M955">
        <v>0.99992720000000002</v>
      </c>
      <c r="N955">
        <v>0</v>
      </c>
      <c r="O955">
        <v>3.9214740000000003E-3</v>
      </c>
      <c r="P955">
        <v>0.99449860000000001</v>
      </c>
      <c r="Q955">
        <v>9.3749819999999998E-2</v>
      </c>
      <c r="R955">
        <v>4.6728749999999999E-2</v>
      </c>
      <c r="S955">
        <v>2.9621580000000001</v>
      </c>
      <c r="T955">
        <v>0.57173509999999905</v>
      </c>
      <c r="U955">
        <v>-0.30799870000000001</v>
      </c>
      <c r="V955">
        <v>-4.2799400000000001E-2</v>
      </c>
      <c r="W955">
        <v>0.1051039</v>
      </c>
      <c r="X955">
        <v>0.99353979999999997</v>
      </c>
      <c r="Y955">
        <v>0.105325</v>
      </c>
      <c r="Z955">
        <v>1.079335E-2</v>
      </c>
      <c r="AA955">
        <v>0.99437929999999997</v>
      </c>
      <c r="AB955">
        <v>35</v>
      </c>
      <c r="AC955">
        <v>197.04310000000001</v>
      </c>
      <c r="AD955">
        <v>49.828184999999998</v>
      </c>
      <c r="AE955">
        <v>-28.255499999999898</v>
      </c>
      <c r="AF955">
        <v>27.316396763238998</v>
      </c>
      <c r="AG955">
        <v>49.828184999999998</v>
      </c>
      <c r="AH955">
        <v>185.31876662249701</v>
      </c>
      <c r="AI955">
        <v>75.104036729461797</v>
      </c>
      <c r="AJ955">
        <v>81.614856409544501</v>
      </c>
      <c r="AK955">
        <v>193.83518466729501</v>
      </c>
      <c r="AL955">
        <v>83.966847141940804</v>
      </c>
      <c r="AM955">
        <v>92.466644836965997</v>
      </c>
      <c r="AN955">
        <v>0.99999997630980397</v>
      </c>
    </row>
    <row r="956" spans="1:40" x14ac:dyDescent="0.3">
      <c r="A956" t="str">
        <f>"20200111150315345"</f>
        <v>20200111150315345</v>
      </c>
      <c r="B956" t="str">
        <f>"1578726195338396"</f>
        <v>1578726195338396</v>
      </c>
      <c r="C956" t="s">
        <v>40</v>
      </c>
      <c r="D956">
        <v>5.7095609999999999</v>
      </c>
      <c r="E956">
        <v>0.4517716</v>
      </c>
      <c r="F956" t="s">
        <v>59</v>
      </c>
      <c r="G956">
        <v>-300.71600000000001</v>
      </c>
      <c r="H956" s="1">
        <v>1.5196579999999999E-6</v>
      </c>
      <c r="I956">
        <v>223.39940000000001</v>
      </c>
      <c r="J956">
        <v>-351.68779999999998</v>
      </c>
      <c r="K956">
        <v>1.1025769999999999</v>
      </c>
      <c r="L956">
        <v>216.18960000000001</v>
      </c>
      <c r="M956">
        <v>0.99917319999999998</v>
      </c>
      <c r="N956">
        <v>0</v>
      </c>
      <c r="O956">
        <v>-3.9000199999999902E-2</v>
      </c>
      <c r="P956">
        <v>0.99537969999999998</v>
      </c>
      <c r="Q956">
        <v>9.5232570000000002E-2</v>
      </c>
      <c r="R956">
        <v>1.2251450000000001E-2</v>
      </c>
      <c r="S956">
        <v>3.01416</v>
      </c>
      <c r="T956">
        <v>-6.4740660000000005E-2</v>
      </c>
      <c r="U956">
        <v>0.42247010000000002</v>
      </c>
      <c r="V956">
        <v>-5.0738829999999999E-2</v>
      </c>
      <c r="W956">
        <v>0.1067994</v>
      </c>
      <c r="X956">
        <v>0.99298509999999995</v>
      </c>
      <c r="Y956">
        <v>-0.17727560000000001</v>
      </c>
      <c r="Z956">
        <v>2.728336E-3</v>
      </c>
      <c r="AA956">
        <v>0.98415739999999996</v>
      </c>
      <c r="AB956">
        <v>35</v>
      </c>
      <c r="AC956">
        <v>50.971799999999902</v>
      </c>
      <c r="AD956">
        <v>-1.102575480342</v>
      </c>
      <c r="AE956">
        <v>7.2098000000000004</v>
      </c>
      <c r="AF956">
        <v>-9.1881407510041893</v>
      </c>
      <c r="AG956">
        <v>-1.102575480342</v>
      </c>
      <c r="AH956">
        <v>50.628588834766497</v>
      </c>
      <c r="AI956">
        <v>91.227529938913605</v>
      </c>
      <c r="AJ956">
        <v>100.286159617507</v>
      </c>
      <c r="AK956">
        <v>51.467383948962798</v>
      </c>
      <c r="AL956">
        <v>83.869152226773707</v>
      </c>
      <c r="AM956">
        <v>92.925114057693094</v>
      </c>
      <c r="AN956">
        <v>0.99999997476606906</v>
      </c>
    </row>
    <row r="957" spans="1:40" x14ac:dyDescent="0.3">
      <c r="A957" t="str">
        <f>"20200111150315367"</f>
        <v>20200111150315367</v>
      </c>
      <c r="B957" t="str">
        <f>"1578726195357918"</f>
        <v>1578726195357918</v>
      </c>
      <c r="C957" t="s">
        <v>40</v>
      </c>
      <c r="D957">
        <v>5.7100679999999997</v>
      </c>
      <c r="E957">
        <v>0.45096700000000001</v>
      </c>
      <c r="F957" t="s">
        <v>59</v>
      </c>
      <c r="G957">
        <v>-317.91059999999999</v>
      </c>
      <c r="H957">
        <v>7.9999689999999998E-2</v>
      </c>
      <c r="I957">
        <v>220.96299999999999</v>
      </c>
      <c r="J957">
        <v>-351.33409999999998</v>
      </c>
      <c r="K957">
        <v>1.1025739999999999</v>
      </c>
      <c r="L957">
        <v>216.17449999999999</v>
      </c>
      <c r="M957">
        <v>0.99912100000000004</v>
      </c>
      <c r="N957">
        <v>0</v>
      </c>
      <c r="O957">
        <v>-4.0316730000000002E-2</v>
      </c>
      <c r="P957">
        <v>0.9954132</v>
      </c>
      <c r="Q957">
        <v>9.5035240000000007E-2</v>
      </c>
      <c r="R957">
        <v>1.099609E-2</v>
      </c>
      <c r="S957">
        <v>3.0174259999999999</v>
      </c>
      <c r="T957">
        <v>-9.1349959999999994E-2</v>
      </c>
      <c r="U957">
        <v>0.42642210000000003</v>
      </c>
      <c r="V957">
        <v>-5.0795769999999997E-2</v>
      </c>
      <c r="W957">
        <v>0.10660459999999999</v>
      </c>
      <c r="X957">
        <v>0.99300310000000003</v>
      </c>
      <c r="Y957">
        <v>-0.17963950000000001</v>
      </c>
      <c r="Z957">
        <v>3.920102E-3</v>
      </c>
      <c r="AA957">
        <v>0.98372470000000001</v>
      </c>
      <c r="AB957">
        <v>35</v>
      </c>
      <c r="AC957">
        <v>33.423499999999898</v>
      </c>
      <c r="AD957">
        <v>-1.02257431</v>
      </c>
      <c r="AE957">
        <v>4.7884999999999902</v>
      </c>
      <c r="AF957">
        <v>-6.12660193250644</v>
      </c>
      <c r="AG957">
        <v>-1.02257431</v>
      </c>
      <c r="AH957">
        <v>33.172826085921002</v>
      </c>
      <c r="AI957">
        <v>91.736276239201402</v>
      </c>
      <c r="AJ957">
        <v>100.463897438803</v>
      </c>
      <c r="AK957">
        <v>33.749330363514296</v>
      </c>
      <c r="AL957">
        <v>83.880377400876995</v>
      </c>
      <c r="AM957">
        <v>92.928337971181605</v>
      </c>
      <c r="AN957">
        <v>0.99999995380033002</v>
      </c>
    </row>
    <row r="958" spans="1:40" x14ac:dyDescent="0.3">
      <c r="A958" t="str">
        <f>"20200111150315390"</f>
        <v>20200111150315390</v>
      </c>
      <c r="B958" t="str">
        <f>"1578726195378414"</f>
        <v>1578726195378414</v>
      </c>
      <c r="C958" t="s">
        <v>40</v>
      </c>
      <c r="D958">
        <v>5.7035539999999996</v>
      </c>
      <c r="E958">
        <v>0.45019779999999998</v>
      </c>
      <c r="F958" t="s">
        <v>56</v>
      </c>
      <c r="G958">
        <v>-323.06099999999998</v>
      </c>
      <c r="H958">
        <v>8.0000909999999995E-2</v>
      </c>
      <c r="I958">
        <v>220.1968</v>
      </c>
      <c r="J958">
        <v>-350.99020000000002</v>
      </c>
      <c r="K958">
        <v>1.1025700000000001</v>
      </c>
      <c r="L958">
        <v>216.15940000000001</v>
      </c>
      <c r="M958">
        <v>0.99906859999999997</v>
      </c>
      <c r="N958">
        <v>0</v>
      </c>
      <c r="O958">
        <v>-4.1595710000000001E-2</v>
      </c>
      <c r="P958">
        <v>0.99540620000000002</v>
      </c>
      <c r="Q958">
        <v>9.5234650000000004E-2</v>
      </c>
      <c r="R958">
        <v>9.862127E-3</v>
      </c>
      <c r="S958">
        <v>3.0195310000000002</v>
      </c>
      <c r="T958">
        <v>-0.10920970000000001</v>
      </c>
      <c r="U958">
        <v>0.42958069999999998</v>
      </c>
      <c r="V958">
        <v>-5.0934350000000003E-2</v>
      </c>
      <c r="W958">
        <v>0.1068061</v>
      </c>
      <c r="X958">
        <v>0.99297440000000003</v>
      </c>
      <c r="Y958">
        <v>-0.1817676</v>
      </c>
      <c r="Z958">
        <v>4.7668279999999999E-3</v>
      </c>
      <c r="AA958">
        <v>0.98333000000000004</v>
      </c>
      <c r="AB958">
        <v>35</v>
      </c>
      <c r="AC958">
        <v>27.929200000000002</v>
      </c>
      <c r="AD958">
        <v>-1.02256909</v>
      </c>
      <c r="AE958">
        <v>4.0373999999999901</v>
      </c>
      <c r="AF958">
        <v>-5.1889033256974502</v>
      </c>
      <c r="AG958">
        <v>-1.02256909</v>
      </c>
      <c r="AH958">
        <v>27.700702344888398</v>
      </c>
      <c r="AI958">
        <v>92.077998419987495</v>
      </c>
      <c r="AJ958">
        <v>100.609707483572</v>
      </c>
      <c r="AK958">
        <v>28.201050967426099</v>
      </c>
      <c r="AL958">
        <v>83.868766322968597</v>
      </c>
      <c r="AM958">
        <v>92.936397762051996</v>
      </c>
      <c r="AN958">
        <v>1.0000000050312401</v>
      </c>
    </row>
    <row r="959" spans="1:40" x14ac:dyDescent="0.3">
      <c r="A959" t="str">
        <f>"20200111150315412"</f>
        <v>20200111150315412</v>
      </c>
      <c r="B959" t="str">
        <f>"1578726195408669"</f>
        <v>1578726195408669</v>
      </c>
      <c r="C959" t="s">
        <v>40</v>
      </c>
      <c r="D959">
        <v>5.6045249999999998</v>
      </c>
      <c r="E959">
        <v>0.44992789999999999</v>
      </c>
      <c r="F959" t="s">
        <v>56</v>
      </c>
      <c r="G959">
        <v>-326.0908</v>
      </c>
      <c r="H959">
        <v>8.0000340000000003E-2</v>
      </c>
      <c r="I959">
        <v>219.72559999999999</v>
      </c>
      <c r="J959">
        <v>-350.63589999999999</v>
      </c>
      <c r="K959">
        <v>1.1025700000000001</v>
      </c>
      <c r="L959">
        <v>216.14330000000001</v>
      </c>
      <c r="M959">
        <v>0.99901269999999998</v>
      </c>
      <c r="N959">
        <v>0</v>
      </c>
      <c r="O959">
        <v>-4.2914029999999999E-2</v>
      </c>
      <c r="P959">
        <v>0.99540110000000004</v>
      </c>
      <c r="Q959">
        <v>9.5447820000000003E-2</v>
      </c>
      <c r="R959">
        <v>8.13351E-3</v>
      </c>
      <c r="S959">
        <v>3.0213930000000002</v>
      </c>
      <c r="T959">
        <v>-0.1240826</v>
      </c>
      <c r="U959">
        <v>0.43273929999999999</v>
      </c>
      <c r="V959">
        <v>-5.0517930000000003E-2</v>
      </c>
      <c r="W959">
        <v>0.1070199</v>
      </c>
      <c r="X959">
        <v>0.99297270000000004</v>
      </c>
      <c r="Y959">
        <v>-0.18394340000000001</v>
      </c>
      <c r="Z959">
        <v>5.5101319999999896E-3</v>
      </c>
      <c r="AA959">
        <v>0.98292139999999995</v>
      </c>
      <c r="AB959">
        <v>35</v>
      </c>
      <c r="AC959">
        <v>24.545099999999898</v>
      </c>
      <c r="AD959">
        <v>-1.02256966</v>
      </c>
      <c r="AE959">
        <v>3.5822999999999698</v>
      </c>
      <c r="AF959">
        <v>-4.6245390601288001</v>
      </c>
      <c r="AG959">
        <v>-1.02256966</v>
      </c>
      <c r="AH959">
        <v>24.327401573529201</v>
      </c>
      <c r="AI959">
        <v>92.364637996482699</v>
      </c>
      <c r="AJ959">
        <v>100.76326967623601</v>
      </c>
      <c r="AK959">
        <v>24.7841577937997</v>
      </c>
      <c r="AL959">
        <v>83.856446156357805</v>
      </c>
      <c r="AM959">
        <v>92.912437362939698</v>
      </c>
      <c r="AN959">
        <v>1.00000005159639</v>
      </c>
    </row>
    <row r="960" spans="1:40" x14ac:dyDescent="0.3">
      <c r="A960" t="str">
        <f>"20200111150315435"</f>
        <v>20200111150315435</v>
      </c>
      <c r="B960" t="str">
        <f>"1578726195428188"</f>
        <v>1578726195428188</v>
      </c>
      <c r="C960" t="s">
        <v>40</v>
      </c>
      <c r="D960">
        <v>5.6643059999999998</v>
      </c>
      <c r="E960">
        <v>0.4493859</v>
      </c>
      <c r="F960" t="s">
        <v>56</v>
      </c>
      <c r="G960">
        <v>-326.22489999999999</v>
      </c>
      <c r="H960">
        <v>4.6943989999999998E-2</v>
      </c>
      <c r="I960">
        <v>219.6163</v>
      </c>
      <c r="J960">
        <v>-350.28500000000003</v>
      </c>
      <c r="K960">
        <v>1.1025670000000001</v>
      </c>
      <c r="L960">
        <v>216.12690000000001</v>
      </c>
      <c r="M960">
        <v>0.99895590000000001</v>
      </c>
      <c r="N960">
        <v>0</v>
      </c>
      <c r="O960">
        <v>-4.422007E-2</v>
      </c>
      <c r="P960">
        <v>0.99538510000000002</v>
      </c>
      <c r="Q960">
        <v>9.5764260000000004E-2</v>
      </c>
      <c r="R960">
        <v>6.1809919999999997E-3</v>
      </c>
      <c r="S960">
        <v>3.0229189999999999</v>
      </c>
      <c r="T960">
        <v>-0.13072300000000001</v>
      </c>
      <c r="U960">
        <v>0.43008420000000003</v>
      </c>
      <c r="V960">
        <v>-4.986517E-2</v>
      </c>
      <c r="W960">
        <v>0.1073356</v>
      </c>
      <c r="X960">
        <v>0.99297150000000001</v>
      </c>
      <c r="Y960">
        <v>-0.1842907</v>
      </c>
      <c r="Z960">
        <v>5.865889E-3</v>
      </c>
      <c r="AA960">
        <v>0.98285429999999996</v>
      </c>
      <c r="AB960">
        <v>35</v>
      </c>
      <c r="AC960">
        <v>24.060099999999998</v>
      </c>
      <c r="AD960">
        <v>-1.0556230099999999</v>
      </c>
      <c r="AE960">
        <v>3.4893999999999799</v>
      </c>
      <c r="AF960">
        <v>-4.5414336262233599</v>
      </c>
      <c r="AG960">
        <v>-1.0556230099999999</v>
      </c>
      <c r="AH960">
        <v>23.837309242769699</v>
      </c>
      <c r="AI960">
        <v>92.490911995182401</v>
      </c>
      <c r="AJ960">
        <v>100.786602865521</v>
      </c>
      <c r="AK960">
        <v>24.289015444354</v>
      </c>
      <c r="AL960">
        <v>83.838252351742</v>
      </c>
      <c r="AM960">
        <v>92.874871743948603</v>
      </c>
      <c r="AN960">
        <v>0.99999993300936696</v>
      </c>
    </row>
    <row r="961" spans="1:40" x14ac:dyDescent="0.3">
      <c r="A961" t="str">
        <f>"20200111150315457"</f>
        <v>20200111150315457</v>
      </c>
      <c r="B961" t="str">
        <f>"1578726195448683"</f>
        <v>1578726195448683</v>
      </c>
      <c r="C961" t="s">
        <v>40</v>
      </c>
      <c r="D961">
        <v>5.5751989999999996</v>
      </c>
      <c r="E961">
        <v>0.4492158</v>
      </c>
      <c r="F961" t="s">
        <v>56</v>
      </c>
      <c r="G961">
        <v>-325.74889999999999</v>
      </c>
      <c r="H961" s="1">
        <v>1.5225029999999999E-6</v>
      </c>
      <c r="I961">
        <v>219.60480000000001</v>
      </c>
      <c r="J961">
        <v>-349.92169999999999</v>
      </c>
      <c r="K961">
        <v>1.1025640000000001</v>
      </c>
      <c r="L961">
        <v>216.1095</v>
      </c>
      <c r="M961">
        <v>0.99889499999999998</v>
      </c>
      <c r="N961">
        <v>0</v>
      </c>
      <c r="O961">
        <v>-4.557141E-2</v>
      </c>
      <c r="P961">
        <v>0.99543760000000003</v>
      </c>
      <c r="Q961">
        <v>9.5311019999999996E-2</v>
      </c>
      <c r="R961">
        <v>4.4948490000000004E-3</v>
      </c>
      <c r="S961">
        <v>3.0243530000000001</v>
      </c>
      <c r="T961">
        <v>-0.135904</v>
      </c>
      <c r="U961">
        <v>0.42869570000000001</v>
      </c>
      <c r="V961">
        <v>-4.9529049999999998E-2</v>
      </c>
      <c r="W961">
        <v>0.1068838</v>
      </c>
      <c r="X961">
        <v>0.99303710000000001</v>
      </c>
      <c r="Y961">
        <v>-0.18509400000000001</v>
      </c>
      <c r="Z961">
        <v>6.173871E-3</v>
      </c>
      <c r="AA961">
        <v>0.98270139999999995</v>
      </c>
      <c r="AB961">
        <v>35</v>
      </c>
      <c r="AC961">
        <v>24.172799999999899</v>
      </c>
      <c r="AD961">
        <v>-1.102562477497</v>
      </c>
      <c r="AE961">
        <v>3.4953000000000101</v>
      </c>
      <c r="AF961">
        <v>-4.5839881584259503</v>
      </c>
      <c r="AG961">
        <v>-1.102562477497</v>
      </c>
      <c r="AH961">
        <v>23.939602296398</v>
      </c>
      <c r="AI961">
        <v>92.589963957875497</v>
      </c>
      <c r="AJ961">
        <v>100.83986448268899</v>
      </c>
      <c r="AK961">
        <v>24.3994497799249</v>
      </c>
      <c r="AL961">
        <v>83.864288642154705</v>
      </c>
      <c r="AM961">
        <v>92.855337308101198</v>
      </c>
      <c r="AN961">
        <v>0.99999997773637594</v>
      </c>
    </row>
    <row r="962" spans="1:40" x14ac:dyDescent="0.3">
      <c r="A962" t="str">
        <f>"20200111150315479"</f>
        <v>20200111150315479</v>
      </c>
      <c r="B962" t="str">
        <f>"1578726195468206"</f>
        <v>1578726195468206</v>
      </c>
      <c r="C962" t="s">
        <v>40</v>
      </c>
      <c r="D962">
        <v>5.563815</v>
      </c>
      <c r="E962">
        <v>0.44916469999999997</v>
      </c>
      <c r="F962" t="s">
        <v>56</v>
      </c>
      <c r="G962">
        <v>-325.35559999999998</v>
      </c>
      <c r="H962" s="1">
        <v>1.3132139999999999E-6</v>
      </c>
      <c r="I962">
        <v>219.5633</v>
      </c>
      <c r="J962">
        <v>-349.57510000000002</v>
      </c>
      <c r="K962">
        <v>1.1025609999999999</v>
      </c>
      <c r="L962">
        <v>216.0924</v>
      </c>
      <c r="M962">
        <v>0.99883540000000004</v>
      </c>
      <c r="N962">
        <v>0</v>
      </c>
      <c r="O962">
        <v>-4.68586E-2</v>
      </c>
      <c r="P962">
        <v>0.99558570000000002</v>
      </c>
      <c r="Q962">
        <v>9.3802330000000003E-2</v>
      </c>
      <c r="R962">
        <v>3.276218E-3</v>
      </c>
      <c r="S962">
        <v>3.0248719999999998</v>
      </c>
      <c r="T962">
        <v>-0.13576099999999999</v>
      </c>
      <c r="U962">
        <v>0.42527769999999998</v>
      </c>
      <c r="V962">
        <v>-4.9604780000000001E-2</v>
      </c>
      <c r="W962">
        <v>0.105378</v>
      </c>
      <c r="X962">
        <v>0.99319429999999997</v>
      </c>
      <c r="Y962">
        <v>-0.1852473</v>
      </c>
      <c r="Z962">
        <v>6.2277369999999997E-3</v>
      </c>
      <c r="AA962">
        <v>0.9826722</v>
      </c>
      <c r="AB962">
        <v>35</v>
      </c>
      <c r="AC962">
        <v>24.2195</v>
      </c>
      <c r="AD962">
        <v>-1.1025596867859999</v>
      </c>
      <c r="AE962">
        <v>3.4708999999999999</v>
      </c>
      <c r="AF962">
        <v>-4.5927272335621696</v>
      </c>
      <c r="AG962">
        <v>-1.1025596867859999</v>
      </c>
      <c r="AH962">
        <v>23.981540685738601</v>
      </c>
      <c r="AI962">
        <v>92.585420208615503</v>
      </c>
      <c r="AJ962">
        <v>100.84149768184299</v>
      </c>
      <c r="AK962">
        <v>24.442239565280499</v>
      </c>
      <c r="AL962">
        <v>83.951055039238398</v>
      </c>
      <c r="AM962">
        <v>92.859244008744895</v>
      </c>
      <c r="AN962">
        <v>1.0000000373176601</v>
      </c>
    </row>
    <row r="963" spans="1:40" x14ac:dyDescent="0.3">
      <c r="A963" t="str">
        <f>"20200111150316149"</f>
        <v>20200111150316149</v>
      </c>
      <c r="B963" t="str">
        <f>"1578726196138836"</f>
        <v>1578726196138836</v>
      </c>
      <c r="C963" t="s">
        <v>40</v>
      </c>
      <c r="D963">
        <v>5.3261659999999997</v>
      </c>
      <c r="E963">
        <v>0.4490074</v>
      </c>
      <c r="F963" t="s">
        <v>56</v>
      </c>
      <c r="G963">
        <v>-324.70150000000001</v>
      </c>
      <c r="H963" s="1">
        <v>9.6513380000000009E-7</v>
      </c>
      <c r="I963">
        <v>219.5616</v>
      </c>
      <c r="J963">
        <v>-338.96769999999998</v>
      </c>
      <c r="K963">
        <v>1.106158</v>
      </c>
      <c r="L963">
        <v>215.5086</v>
      </c>
      <c r="M963">
        <v>0.99911799999999995</v>
      </c>
      <c r="N963">
        <v>0</v>
      </c>
      <c r="O963">
        <v>-4.0351310000000001E-2</v>
      </c>
      <c r="P963">
        <v>0.99532379999999998</v>
      </c>
      <c r="Q963">
        <v>9.6301380000000006E-2</v>
      </c>
      <c r="R963">
        <v>7.5048889999999998E-3</v>
      </c>
      <c r="S963">
        <v>3.0245359999999999</v>
      </c>
      <c r="T963">
        <v>-0.13406750000000001</v>
      </c>
      <c r="U963">
        <v>0.42184450000000001</v>
      </c>
      <c r="V963">
        <v>-4.8272450000000001E-2</v>
      </c>
      <c r="W963">
        <v>0.10757650000000001</v>
      </c>
      <c r="X963">
        <v>0.99302420000000002</v>
      </c>
      <c r="Y963">
        <v>-0.177781299999999</v>
      </c>
      <c r="Z963">
        <v>5.6995129999999998E-3</v>
      </c>
      <c r="AA963">
        <v>0.98405359999999997</v>
      </c>
      <c r="AB963">
        <v>36</v>
      </c>
      <c r="AC963">
        <v>14.2661999999999</v>
      </c>
      <c r="AD963">
        <v>-1.1061570348662</v>
      </c>
      <c r="AE963">
        <v>4.0529999999999902</v>
      </c>
      <c r="AF963">
        <v>-4.5998087033547099</v>
      </c>
      <c r="AG963">
        <v>-1.1061570348662</v>
      </c>
      <c r="AH963">
        <v>14.0130701287947</v>
      </c>
      <c r="AI963">
        <v>94.289168658422398</v>
      </c>
      <c r="AJ963">
        <v>108.172490151801</v>
      </c>
      <c r="AK963">
        <v>14.7901304229462</v>
      </c>
      <c r="AL963">
        <v>83.824369811467193</v>
      </c>
      <c r="AM963">
        <v>92.7830460972352</v>
      </c>
      <c r="AN963">
        <v>0.99999999728344602</v>
      </c>
    </row>
    <row r="964" spans="1:40" x14ac:dyDescent="0.3">
      <c r="A964" t="str">
        <f>"20200111150316260"</f>
        <v>20200111150316260</v>
      </c>
      <c r="B964" t="str">
        <f>"1578726196258664"</f>
        <v>1578726196258664</v>
      </c>
      <c r="C964" t="s">
        <v>40</v>
      </c>
      <c r="D964">
        <v>5.7040949999999997</v>
      </c>
      <c r="E964">
        <v>0.58681549999999905</v>
      </c>
      <c r="F964" t="s">
        <v>59</v>
      </c>
      <c r="G964">
        <v>-310.58789999999999</v>
      </c>
      <c r="H964" s="1">
        <v>1.1651179999999999E-6</v>
      </c>
      <c r="I964">
        <v>219.64349999999999</v>
      </c>
      <c r="J964">
        <v>-337.20330000000001</v>
      </c>
      <c r="K964">
        <v>1.1064259999999999</v>
      </c>
      <c r="L964">
        <v>215.46019999999999</v>
      </c>
      <c r="M964">
        <v>0.99958270000000005</v>
      </c>
      <c r="N964">
        <v>0</v>
      </c>
      <c r="O964">
        <v>-2.6428710000000001E-2</v>
      </c>
      <c r="P964">
        <v>0.99506459999999997</v>
      </c>
      <c r="Q964">
        <v>9.7332950000000001E-2</v>
      </c>
      <c r="R964">
        <v>1.9303839999999999E-2</v>
      </c>
      <c r="S964">
        <v>3.022125</v>
      </c>
      <c r="T964">
        <v>-0.11779290000000001</v>
      </c>
      <c r="U964">
        <v>0.44032290000000002</v>
      </c>
      <c r="V964">
        <v>-4.6282539999999997E-2</v>
      </c>
      <c r="W964">
        <v>0.1086303</v>
      </c>
      <c r="X964">
        <v>0.9930042</v>
      </c>
      <c r="Y964">
        <v>-0.17013519999999999</v>
      </c>
      <c r="Z964">
        <v>4.3218079999999999E-3</v>
      </c>
      <c r="AA964">
        <v>0.98541129999999999</v>
      </c>
      <c r="AB964">
        <v>36</v>
      </c>
      <c r="AC964">
        <v>26.615400000000001</v>
      </c>
      <c r="AD964">
        <v>-1.1064248348819901</v>
      </c>
      <c r="AE964">
        <v>4.1833</v>
      </c>
      <c r="AF964">
        <v>-4.8770720359599897</v>
      </c>
      <c r="AG964">
        <v>-1.1064248348819901</v>
      </c>
      <c r="AH964">
        <v>26.450926492188</v>
      </c>
      <c r="AI964">
        <v>92.355587817004803</v>
      </c>
      <c r="AJ964">
        <v>100.446971693039</v>
      </c>
      <c r="AK964">
        <v>26.9195378833723</v>
      </c>
      <c r="AL964">
        <v>83.763635474268497</v>
      </c>
      <c r="AM964">
        <v>92.668545094890604</v>
      </c>
      <c r="AN964">
        <v>0.99999997840229005</v>
      </c>
    </row>
    <row r="965" spans="1:40" x14ac:dyDescent="0.3">
      <c r="A965" t="str">
        <f>"20200111150316284"</f>
        <v>20200111150316284</v>
      </c>
      <c r="B965" t="str">
        <f>"1578726196278184"</f>
        <v>1578726196278184</v>
      </c>
      <c r="C965" t="s">
        <v>40</v>
      </c>
      <c r="D965">
        <v>5.4752999999999998</v>
      </c>
      <c r="E965">
        <v>0.57871989999999995</v>
      </c>
      <c r="F965" t="s">
        <v>42</v>
      </c>
      <c r="G965">
        <v>-336.42320000000001</v>
      </c>
      <c r="H965">
        <v>0.89731629999999996</v>
      </c>
      <c r="I965">
        <v>215.30860000000001</v>
      </c>
      <c r="J965">
        <v>-336.84589999999997</v>
      </c>
      <c r="K965">
        <v>1.106452</v>
      </c>
      <c r="L965">
        <v>215.45330000000001</v>
      </c>
      <c r="M965">
        <v>0.99965360000000003</v>
      </c>
      <c r="N965">
        <v>0</v>
      </c>
      <c r="O965">
        <v>-2.359466E-2</v>
      </c>
      <c r="P965">
        <v>0.99494079999999996</v>
      </c>
      <c r="Q965">
        <v>9.8018649999999999E-2</v>
      </c>
      <c r="R965">
        <v>2.2026850000000001E-2</v>
      </c>
      <c r="S965">
        <v>3.1080930000000002</v>
      </c>
      <c r="T965">
        <v>-0.83327390000000001</v>
      </c>
      <c r="U965">
        <v>-0.60302730000000004</v>
      </c>
      <c r="V965">
        <v>-4.6193789999999998E-2</v>
      </c>
      <c r="W965">
        <v>0.1093195</v>
      </c>
      <c r="X965">
        <v>0.9929327</v>
      </c>
      <c r="Y965">
        <v>0.16252359999999999</v>
      </c>
      <c r="Z965">
        <v>-1.5062290000000001E-2</v>
      </c>
      <c r="AA965">
        <v>0.98658970000000001</v>
      </c>
      <c r="AB965">
        <v>36</v>
      </c>
      <c r="AC965">
        <v>0.42269999999996299</v>
      </c>
      <c r="AD965">
        <v>-0.20913569999999901</v>
      </c>
      <c r="AE965">
        <v>-0.1447</v>
      </c>
      <c r="AF965">
        <v>0.11047839759120399</v>
      </c>
      <c r="AG965">
        <v>-0.20913569999999901</v>
      </c>
      <c r="AH965">
        <v>0.349431875107165</v>
      </c>
      <c r="AI965">
        <v>119.71165247272501</v>
      </c>
      <c r="AJ965">
        <v>72.454828674210901</v>
      </c>
      <c r="AK965">
        <v>0.42195479934433699</v>
      </c>
      <c r="AL965">
        <v>83.723910669270296</v>
      </c>
      <c r="AM965">
        <v>92.6636268640042</v>
      </c>
      <c r="AN965">
        <v>0.99999998302205195</v>
      </c>
    </row>
    <row r="966" spans="1:40" x14ac:dyDescent="0.3">
      <c r="A966" t="str">
        <f>"20200111150316306"</f>
        <v>20200111150316306</v>
      </c>
      <c r="B966" t="str">
        <f>"1578726196298680"</f>
        <v>1578726196298680</v>
      </c>
      <c r="C966" t="s">
        <v>40</v>
      </c>
      <c r="D966">
        <v>5.3526360000000004</v>
      </c>
      <c r="E966">
        <v>0.57198959999999999</v>
      </c>
      <c r="F966" t="s">
        <v>42</v>
      </c>
      <c r="G966">
        <v>-336.08109999999999</v>
      </c>
      <c r="H966">
        <v>0.9504262</v>
      </c>
      <c r="I966">
        <v>215.3202</v>
      </c>
      <c r="J966">
        <v>-336.4803</v>
      </c>
      <c r="K966">
        <v>1.106479</v>
      </c>
      <c r="L966">
        <v>215.44739999999999</v>
      </c>
      <c r="M966">
        <v>0.99971770000000004</v>
      </c>
      <c r="N966">
        <v>0</v>
      </c>
      <c r="O966">
        <v>-2.0698060000000001E-2</v>
      </c>
      <c r="P966">
        <v>0.99486649999999999</v>
      </c>
      <c r="Q966">
        <v>9.8217579999999999E-2</v>
      </c>
      <c r="R966">
        <v>2.437017E-2</v>
      </c>
      <c r="S966">
        <v>3.089264</v>
      </c>
      <c r="T966">
        <v>-0.63037769999999904</v>
      </c>
      <c r="U966">
        <v>-0.53726200000000002</v>
      </c>
      <c r="V966">
        <v>-4.5661529999999999E-2</v>
      </c>
      <c r="W966">
        <v>0.1095256</v>
      </c>
      <c r="X966">
        <v>0.9929346</v>
      </c>
      <c r="Y966">
        <v>0.14835880000000001</v>
      </c>
      <c r="Z966">
        <v>-1.0725510000000001E-2</v>
      </c>
      <c r="AA966">
        <v>0.98887539999999996</v>
      </c>
      <c r="AB966">
        <v>36</v>
      </c>
      <c r="AC966">
        <v>0.39920000000000699</v>
      </c>
      <c r="AD966">
        <v>-0.15605279999999999</v>
      </c>
      <c r="AE966">
        <v>-0.12719999999998699</v>
      </c>
      <c r="AF966">
        <v>0.104423058954174</v>
      </c>
      <c r="AG966">
        <v>-0.15605279999999999</v>
      </c>
      <c r="AH966">
        <v>0.35280352001826498</v>
      </c>
      <c r="AI966">
        <v>112.983454074341</v>
      </c>
      <c r="AJ966">
        <v>73.512259123702506</v>
      </c>
      <c r="AK966">
        <v>0.39965857349300699</v>
      </c>
      <c r="AL966">
        <v>83.712030629840598</v>
      </c>
      <c r="AM966">
        <v>92.632974092118303</v>
      </c>
      <c r="AN966">
        <v>0.99999997612723002</v>
      </c>
    </row>
    <row r="967" spans="1:40" x14ac:dyDescent="0.3">
      <c r="A967" t="str">
        <f>"20200111150316328"</f>
        <v>20200111150316328</v>
      </c>
      <c r="B967" t="str">
        <f>"1578726196318843"</f>
        <v>1578726196318843</v>
      </c>
      <c r="C967" t="s">
        <v>40</v>
      </c>
      <c r="D967">
        <v>5.3418070000000002</v>
      </c>
      <c r="E967">
        <v>0.56793930000000004</v>
      </c>
      <c r="F967" t="s">
        <v>42</v>
      </c>
      <c r="G967">
        <v>-335.74689999999998</v>
      </c>
      <c r="H967">
        <v>0.98323150000000004</v>
      </c>
      <c r="I967">
        <v>215.333</v>
      </c>
      <c r="J967">
        <v>-336.12369999999999</v>
      </c>
      <c r="K967">
        <v>1.1065020000000001</v>
      </c>
      <c r="L967">
        <v>215.4427</v>
      </c>
      <c r="M967">
        <v>0.99977210000000005</v>
      </c>
      <c r="N967">
        <v>0</v>
      </c>
      <c r="O967">
        <v>-1.7878870000000002E-2</v>
      </c>
      <c r="P967">
        <v>0.99476560000000003</v>
      </c>
      <c r="Q967">
        <v>9.8845569999999994E-2</v>
      </c>
      <c r="R967">
        <v>2.591071E-2</v>
      </c>
      <c r="S967">
        <v>3.0783079999999998</v>
      </c>
      <c r="T967">
        <v>-0.51761689999999905</v>
      </c>
      <c r="U967">
        <v>-0.4797516</v>
      </c>
      <c r="V967">
        <v>-4.4404579999999999E-2</v>
      </c>
      <c r="W967">
        <v>0.110165</v>
      </c>
      <c r="X967">
        <v>0.9929209</v>
      </c>
      <c r="Y967">
        <v>0.1346985</v>
      </c>
      <c r="Z967">
        <v>-8.2128449999999999E-3</v>
      </c>
      <c r="AA967">
        <v>0.99085259999999997</v>
      </c>
      <c r="AB967">
        <v>36</v>
      </c>
      <c r="AC967">
        <v>0.37680000000000202</v>
      </c>
      <c r="AD967">
        <v>-0.12327050000000001</v>
      </c>
      <c r="AE967">
        <v>-0.109700000000003</v>
      </c>
      <c r="AF967">
        <v>9.3700311577845502E-2</v>
      </c>
      <c r="AG967">
        <v>-0.12327050000000001</v>
      </c>
      <c r="AH967">
        <v>0.344692179051167</v>
      </c>
      <c r="AI967">
        <v>109.039624141762</v>
      </c>
      <c r="AJ967">
        <v>74.792334879028203</v>
      </c>
      <c r="AK967">
        <v>0.377873077711389</v>
      </c>
      <c r="AL967">
        <v>83.675172843906395</v>
      </c>
      <c r="AM967">
        <v>92.56062788301</v>
      </c>
      <c r="AN967">
        <v>1.00000000380339</v>
      </c>
    </row>
    <row r="968" spans="1:40" x14ac:dyDescent="0.3">
      <c r="A968" t="str">
        <f>"20200111150316361"</f>
        <v>20200111150316361</v>
      </c>
      <c r="B968" t="str">
        <f>"1578726196358860"</f>
        <v>1578726196358860</v>
      </c>
      <c r="C968" t="s">
        <v>40</v>
      </c>
      <c r="D968">
        <v>4.6506150000000002</v>
      </c>
      <c r="E968">
        <v>0.56532859999999996</v>
      </c>
      <c r="F968" t="s">
        <v>42</v>
      </c>
      <c r="G968">
        <v>-335.41910000000001</v>
      </c>
      <c r="H968">
        <v>1.001992</v>
      </c>
      <c r="I968">
        <v>215.34100000000001</v>
      </c>
      <c r="J968">
        <v>-335.6062</v>
      </c>
      <c r="K968">
        <v>1.106503</v>
      </c>
      <c r="L968">
        <v>215.43770000000001</v>
      </c>
      <c r="M968">
        <v>0.99983599999999995</v>
      </c>
      <c r="N968">
        <v>0</v>
      </c>
      <c r="O968">
        <v>-1.383853E-2</v>
      </c>
      <c r="P968">
        <v>0.99458489999999999</v>
      </c>
      <c r="Q968">
        <v>9.9170880000000003E-2</v>
      </c>
      <c r="R968">
        <v>3.1080259999999998E-2</v>
      </c>
      <c r="S968">
        <v>3.0725709999999999</v>
      </c>
      <c r="T968">
        <v>-0.4558295</v>
      </c>
      <c r="U968">
        <v>-0.44288640000000001</v>
      </c>
      <c r="V968">
        <v>-4.555389E-2</v>
      </c>
      <c r="W968">
        <v>0.1104887</v>
      </c>
      <c r="X968">
        <v>0.99283279999999996</v>
      </c>
      <c r="Y968">
        <v>0.12773519999999999</v>
      </c>
      <c r="Z968">
        <v>-7.3447109999999899E-3</v>
      </c>
      <c r="AA968">
        <v>0.99178109999999997</v>
      </c>
      <c r="AB968">
        <v>36</v>
      </c>
      <c r="AC968">
        <v>0.187099999999986</v>
      </c>
      <c r="AD968">
        <v>-0.10451100000000001</v>
      </c>
      <c r="AE968">
        <v>-9.6700000000026806E-2</v>
      </c>
      <c r="AF968">
        <v>7.5508217112050594E-2</v>
      </c>
      <c r="AG968">
        <v>-0.10451100000000001</v>
      </c>
      <c r="AH968">
        <v>0.15119104890200399</v>
      </c>
      <c r="AI968">
        <v>121.733338091975</v>
      </c>
      <c r="AJ968">
        <v>63.461423921589301</v>
      </c>
      <c r="AK968">
        <v>0.19870272580045001</v>
      </c>
      <c r="AL968">
        <v>83.656511872813795</v>
      </c>
      <c r="AM968">
        <v>92.627044925290505</v>
      </c>
      <c r="AN968">
        <v>0.99999993923882902</v>
      </c>
    </row>
    <row r="969" spans="1:40" x14ac:dyDescent="0.3">
      <c r="A969" t="str">
        <f>"20200111150324211"</f>
        <v>20200111150324211</v>
      </c>
      <c r="B969" t="str">
        <f>"1578726204208802"</f>
        <v>1578726204208802</v>
      </c>
      <c r="C969" t="s">
        <v>40</v>
      </c>
      <c r="D969">
        <v>5.4875049999999996</v>
      </c>
      <c r="E969">
        <v>0.64212480000000005</v>
      </c>
      <c r="F969" t="s">
        <v>53</v>
      </c>
      <c r="G969">
        <v>-202.62370000000001</v>
      </c>
      <c r="H969">
        <v>8.0001149999999993E-2</v>
      </c>
      <c r="I969">
        <v>209.35300000000001</v>
      </c>
      <c r="J969">
        <v>-208.51130000000001</v>
      </c>
      <c r="K969">
        <v>1.0977760000000001</v>
      </c>
      <c r="L969">
        <v>214.4648</v>
      </c>
      <c r="M969">
        <v>0.94970069999999995</v>
      </c>
      <c r="N969">
        <v>0</v>
      </c>
      <c r="O969">
        <v>-0.31280520000000001</v>
      </c>
      <c r="P969">
        <v>0.9387375</v>
      </c>
      <c r="Q969">
        <v>8.2669480000000004E-2</v>
      </c>
      <c r="R969">
        <v>-0.33457160000000002</v>
      </c>
      <c r="S969">
        <v>2.513687</v>
      </c>
      <c r="T969">
        <v>-0.39353880000000002</v>
      </c>
      <c r="U969">
        <v>-2.0578159999999999</v>
      </c>
      <c r="V969">
        <v>2.5631589999999999E-2</v>
      </c>
      <c r="W969">
        <v>9.7110349999999998E-2</v>
      </c>
      <c r="X969">
        <v>0.99494349999999998</v>
      </c>
      <c r="Y969">
        <v>0.35920780000000002</v>
      </c>
      <c r="Z969">
        <v>1.6455310000000001E-2</v>
      </c>
      <c r="AA969">
        <v>0.93311250000000001</v>
      </c>
      <c r="AB969">
        <v>32</v>
      </c>
      <c r="AC969">
        <v>5.8875999999999902</v>
      </c>
      <c r="AD969">
        <v>-1.0177748499999999</v>
      </c>
      <c r="AE969">
        <v>-5.1118000000000103</v>
      </c>
      <c r="AF969">
        <v>2.96285816769982</v>
      </c>
      <c r="AG969">
        <v>-1.0177748499999999</v>
      </c>
      <c r="AH969">
        <v>7.0707740197838396</v>
      </c>
      <c r="AI969">
        <v>97.562201066306798</v>
      </c>
      <c r="AJ969">
        <v>67.264910832998893</v>
      </c>
      <c r="AK969">
        <v>7.7337079984990504</v>
      </c>
      <c r="AL969">
        <v>84.427204219754501</v>
      </c>
      <c r="AM969">
        <v>88.524280853755997</v>
      </c>
      <c r="AN969">
        <v>0.99999998333764994</v>
      </c>
    </row>
    <row r="970" spans="1:40" x14ac:dyDescent="0.3">
      <c r="A970" t="str">
        <f>"20200111150324235"</f>
        <v>20200111150324235</v>
      </c>
      <c r="B970" t="str">
        <f>"1578726204228321"</f>
        <v>1578726204228321</v>
      </c>
      <c r="C970" t="s">
        <v>40</v>
      </c>
      <c r="D970">
        <v>5.3829159999999998</v>
      </c>
      <c r="E970">
        <v>0.64186350000000003</v>
      </c>
      <c r="F970" t="s">
        <v>53</v>
      </c>
      <c r="G970">
        <v>-202.0515</v>
      </c>
      <c r="H970">
        <v>8.0001030000000001E-2</v>
      </c>
      <c r="I970">
        <v>208.99529999999999</v>
      </c>
      <c r="J970">
        <v>-208.1919</v>
      </c>
      <c r="K970">
        <v>1.0977889999999999</v>
      </c>
      <c r="L970">
        <v>214.35130000000001</v>
      </c>
      <c r="M970">
        <v>0.94728120000000005</v>
      </c>
      <c r="N970">
        <v>0</v>
      </c>
      <c r="O970">
        <v>-0.32005729999999999</v>
      </c>
      <c r="P970">
        <v>0.93612390000000001</v>
      </c>
      <c r="Q970">
        <v>8.3291619999999997E-2</v>
      </c>
      <c r="R970">
        <v>-0.34166429999999998</v>
      </c>
      <c r="S970">
        <v>2.4813999999999998</v>
      </c>
      <c r="T970">
        <v>-0.39096049999999999</v>
      </c>
      <c r="U970">
        <v>-2.101013</v>
      </c>
      <c r="V970">
        <v>2.5576700000000001E-2</v>
      </c>
      <c r="W970">
        <v>9.7731579999999998E-2</v>
      </c>
      <c r="X970">
        <v>0.99488410000000005</v>
      </c>
      <c r="Y970">
        <v>0.36751709999999999</v>
      </c>
      <c r="Z970">
        <v>1.6732690000000001E-2</v>
      </c>
      <c r="AA970">
        <v>0.92986630000000003</v>
      </c>
      <c r="AB970">
        <v>32</v>
      </c>
      <c r="AC970">
        <v>6.1403999999999996</v>
      </c>
      <c r="AD970">
        <v>-1.0177879700000001</v>
      </c>
      <c r="AE970">
        <v>-5.3560000000000203</v>
      </c>
      <c r="AF970">
        <v>3.0609433827430399</v>
      </c>
      <c r="AG970">
        <v>-1.0177879700000001</v>
      </c>
      <c r="AH970">
        <v>7.4160358839930201</v>
      </c>
      <c r="AI970">
        <v>97.229940915468703</v>
      </c>
      <c r="AJ970">
        <v>67.5717804072587</v>
      </c>
      <c r="AK970">
        <v>8.0872031615947009</v>
      </c>
      <c r="AL970">
        <v>84.391440340331599</v>
      </c>
      <c r="AM970">
        <v>88.527351829312806</v>
      </c>
      <c r="AN970">
        <v>1.0000000008724901</v>
      </c>
    </row>
    <row r="971" spans="1:40" x14ac:dyDescent="0.3">
      <c r="A971" t="str">
        <f>"20200111150325418"</f>
        <v>20200111150325418</v>
      </c>
      <c r="B971" t="str">
        <f>"1578726205408686"</f>
        <v>1578726205408686</v>
      </c>
      <c r="C971" t="s">
        <v>40</v>
      </c>
      <c r="D971">
        <v>5.5377769999999904</v>
      </c>
      <c r="E971">
        <v>0.50121519999999997</v>
      </c>
      <c r="F971" t="s">
        <v>53</v>
      </c>
      <c r="G971">
        <v>-201.97710000000001</v>
      </c>
      <c r="H971">
        <v>8.0001030000000001E-2</v>
      </c>
      <c r="I971">
        <v>209.01669999999999</v>
      </c>
      <c r="J971">
        <v>-194.48769999999999</v>
      </c>
      <c r="K971">
        <v>1.0954360000000001</v>
      </c>
      <c r="L971">
        <v>205.21619999999999</v>
      </c>
      <c r="M971">
        <v>0.67105689999999996</v>
      </c>
      <c r="N971">
        <v>0</v>
      </c>
      <c r="O971">
        <v>-0.74128070000000001</v>
      </c>
      <c r="P971">
        <v>0.64518229999999999</v>
      </c>
      <c r="Q971">
        <v>8.6439710000000003E-2</v>
      </c>
      <c r="R971">
        <v>-0.7591234</v>
      </c>
      <c r="S971">
        <v>2.467606</v>
      </c>
      <c r="T971">
        <v>-0.40411789999999997</v>
      </c>
      <c r="U971">
        <v>-2.118134</v>
      </c>
      <c r="V971">
        <v>3.3251290000000003E-2</v>
      </c>
      <c r="W971">
        <v>9.9317390000000005E-2</v>
      </c>
      <c r="X971">
        <v>0.9945001</v>
      </c>
      <c r="Y971">
        <v>-0.12064130000000001</v>
      </c>
      <c r="Z971">
        <v>9.6612329999999996E-2</v>
      </c>
      <c r="AA971">
        <v>0.98798359999999996</v>
      </c>
      <c r="AB971">
        <v>30</v>
      </c>
      <c r="AC971">
        <v>-7.4894000000000096</v>
      </c>
      <c r="AD971">
        <v>-1.01543497</v>
      </c>
      <c r="AE971">
        <v>3.8005</v>
      </c>
      <c r="AF971">
        <v>2.9584269414981401</v>
      </c>
      <c r="AG971">
        <v>-1.01543497</v>
      </c>
      <c r="AH971">
        <v>-7.7307671167008998</v>
      </c>
      <c r="AI971">
        <v>96.993763482997494</v>
      </c>
      <c r="AJ971">
        <v>-69.059041288218197</v>
      </c>
      <c r="AK971">
        <v>8.3395538465283003</v>
      </c>
      <c r="AL971">
        <v>84.300135992803803</v>
      </c>
      <c r="AM971">
        <v>88.0850186707669</v>
      </c>
      <c r="AN971">
        <v>1.00000002057154</v>
      </c>
    </row>
    <row r="972" spans="1:40" x14ac:dyDescent="0.3">
      <c r="A972" t="str">
        <f>"20200111150325435"</f>
        <v>20200111150325435</v>
      </c>
      <c r="B972" t="str">
        <f>"1578726205429183"</f>
        <v>1578726205429183</v>
      </c>
      <c r="C972" t="s">
        <v>40</v>
      </c>
      <c r="D972">
        <v>5.2494560000000003</v>
      </c>
      <c r="E972">
        <v>0.50152559999999902</v>
      </c>
      <c r="F972" t="s">
        <v>42</v>
      </c>
      <c r="G972">
        <v>-193.94730000000001</v>
      </c>
      <c r="H972">
        <v>0.96894179999999996</v>
      </c>
      <c r="I972">
        <v>204.56720000000001</v>
      </c>
      <c r="J972">
        <v>-194.339</v>
      </c>
      <c r="K972">
        <v>1.0954360000000001</v>
      </c>
      <c r="L972">
        <v>205.04069999999999</v>
      </c>
      <c r="M972">
        <v>0.66522919999999996</v>
      </c>
      <c r="N972">
        <v>0</v>
      </c>
      <c r="O972">
        <v>-0.74651590000000001</v>
      </c>
      <c r="P972">
        <v>0.63903580000000004</v>
      </c>
      <c r="Q972">
        <v>8.6648610000000001E-2</v>
      </c>
      <c r="R972">
        <v>-0.76428130000000005</v>
      </c>
      <c r="S972">
        <v>1.952515</v>
      </c>
      <c r="T972">
        <v>-0.456756</v>
      </c>
      <c r="U972">
        <v>-2.3445279999999999</v>
      </c>
      <c r="V972">
        <v>3.347253E-2</v>
      </c>
      <c r="W972">
        <v>9.9494860000000004E-2</v>
      </c>
      <c r="X972">
        <v>0.99447490000000005</v>
      </c>
      <c r="Y972">
        <v>3.8561959999999999E-2</v>
      </c>
      <c r="Z972">
        <v>0.10889509999999999</v>
      </c>
      <c r="AA972">
        <v>0.99330499999999999</v>
      </c>
      <c r="AB972">
        <v>30</v>
      </c>
      <c r="AC972">
        <v>0.39170000000001398</v>
      </c>
      <c r="AD972">
        <v>-0.1264942</v>
      </c>
      <c r="AE972">
        <v>-0.473499999999973</v>
      </c>
      <c r="AF972">
        <v>2.1660058512218899E-2</v>
      </c>
      <c r="AG972">
        <v>-0.1264942</v>
      </c>
      <c r="AH972">
        <v>0.58913939765240098</v>
      </c>
      <c r="AI972">
        <v>102.11006487455499</v>
      </c>
      <c r="AJ972">
        <v>87.894435129562197</v>
      </c>
      <c r="AK972">
        <v>0.60295536371660796</v>
      </c>
      <c r="AL972">
        <v>84.289916875734505</v>
      </c>
      <c r="AM972">
        <v>88.072237966195203</v>
      </c>
      <c r="AN972">
        <v>0.99999998208051499</v>
      </c>
    </row>
    <row r="973" spans="1:40" x14ac:dyDescent="0.3">
      <c r="A973" t="str">
        <f>"20200111150325451"</f>
        <v>20200111150325451</v>
      </c>
      <c r="B973" t="str">
        <f>"1578726205448704"</f>
        <v>1578726205448704</v>
      </c>
      <c r="C973" t="s">
        <v>40</v>
      </c>
      <c r="D973">
        <v>6.4495529999999999</v>
      </c>
      <c r="E973">
        <v>0.50247609999999998</v>
      </c>
      <c r="F973" t="s">
        <v>42</v>
      </c>
      <c r="G973">
        <v>-193.78139999999999</v>
      </c>
      <c r="H973">
        <v>0.95019450000000005</v>
      </c>
      <c r="I973">
        <v>204.35839999999999</v>
      </c>
      <c r="J973">
        <v>-194.19030000000001</v>
      </c>
      <c r="K973">
        <v>1.095437</v>
      </c>
      <c r="L973">
        <v>204.86259999999999</v>
      </c>
      <c r="M973">
        <v>0.65930979999999995</v>
      </c>
      <c r="N973">
        <v>0</v>
      </c>
      <c r="O973">
        <v>-0.75174890000000005</v>
      </c>
      <c r="P973">
        <v>0.63280019999999904</v>
      </c>
      <c r="Q973">
        <v>8.6419979999999993E-2</v>
      </c>
      <c r="R973">
        <v>-0.76947759999999998</v>
      </c>
      <c r="S973">
        <v>1.933411</v>
      </c>
      <c r="T973">
        <v>-0.50335229999999997</v>
      </c>
      <c r="U973">
        <v>-2.3657530000000002</v>
      </c>
      <c r="V973">
        <v>3.3712010000000001E-2</v>
      </c>
      <c r="W973">
        <v>9.9237699999999998E-2</v>
      </c>
      <c r="X973">
        <v>0.9944925</v>
      </c>
      <c r="Y973">
        <v>4.0935989999999998E-2</v>
      </c>
      <c r="Z973">
        <v>0.1203592</v>
      </c>
      <c r="AA973">
        <v>0.99188600000000005</v>
      </c>
      <c r="AB973">
        <v>30</v>
      </c>
      <c r="AC973">
        <v>0.40890000000001597</v>
      </c>
      <c r="AD973">
        <v>-0.1452425</v>
      </c>
      <c r="AE973">
        <v>-0.50419999999999698</v>
      </c>
      <c r="AF973">
        <v>2.3842660135730699E-2</v>
      </c>
      <c r="AG973">
        <v>-0.1452425</v>
      </c>
      <c r="AH973">
        <v>0.61775936848223201</v>
      </c>
      <c r="AI973">
        <v>103.221122603148</v>
      </c>
      <c r="AJ973">
        <v>87.789744412485305</v>
      </c>
      <c r="AK973">
        <v>0.63505156766688098</v>
      </c>
      <c r="AL973">
        <v>84.304724310871293</v>
      </c>
      <c r="AM973">
        <v>88.058490600056899</v>
      </c>
      <c r="AN973">
        <v>0.99999997663788898</v>
      </c>
    </row>
    <row r="974" spans="1:40" x14ac:dyDescent="0.3">
      <c r="A974" t="str">
        <f>"20200111150325467"</f>
        <v>20200111150325467</v>
      </c>
      <c r="B974" t="str">
        <f>"1578726205458462"</f>
        <v>1578726205458462</v>
      </c>
      <c r="C974" t="s">
        <v>40</v>
      </c>
      <c r="D974">
        <v>5.4335310000000003</v>
      </c>
      <c r="E974">
        <v>0.50289969999999995</v>
      </c>
      <c r="F974" t="s">
        <v>42</v>
      </c>
      <c r="G974">
        <v>-193.61689999999999</v>
      </c>
      <c r="H974">
        <v>0.93742809999999999</v>
      </c>
      <c r="I974">
        <v>204.14500000000001</v>
      </c>
      <c r="J974">
        <v>-194.05179999999999</v>
      </c>
      <c r="K974">
        <v>1.0954390000000001</v>
      </c>
      <c r="L974">
        <v>204.69380000000001</v>
      </c>
      <c r="M974">
        <v>0.65370229999999996</v>
      </c>
      <c r="N974">
        <v>0</v>
      </c>
      <c r="O974">
        <v>-0.75663069999999999</v>
      </c>
      <c r="P974">
        <v>0.62683580000000005</v>
      </c>
      <c r="Q974">
        <v>8.6352449999999997E-2</v>
      </c>
      <c r="R974">
        <v>-0.77435180000000003</v>
      </c>
      <c r="S974">
        <v>1.90889</v>
      </c>
      <c r="T974">
        <v>-0.52544930000000001</v>
      </c>
      <c r="U974">
        <v>-2.3879549999999998</v>
      </c>
      <c r="V974">
        <v>3.4004390000000002E-2</v>
      </c>
      <c r="W974">
        <v>9.9143739999999994E-2</v>
      </c>
      <c r="X974">
        <v>0.99449189999999998</v>
      </c>
      <c r="Y974">
        <v>4.4771970000000001E-2</v>
      </c>
      <c r="Z974">
        <v>0.12607960000000001</v>
      </c>
      <c r="AA974">
        <v>0.99100929999999998</v>
      </c>
      <c r="AB974">
        <v>30</v>
      </c>
      <c r="AC974">
        <v>0.43489999999999801</v>
      </c>
      <c r="AD974">
        <v>-0.15801090000000001</v>
      </c>
      <c r="AE974">
        <v>-0.54879999999999995</v>
      </c>
      <c r="AF974">
        <v>2.8256984901074499E-2</v>
      </c>
      <c r="AG974">
        <v>-0.15801090000000001</v>
      </c>
      <c r="AH974">
        <v>0.66570020700499399</v>
      </c>
      <c r="AI974">
        <v>103.34106631521</v>
      </c>
      <c r="AJ974">
        <v>87.5694244015762</v>
      </c>
      <c r="AK974">
        <v>0.68477928365350005</v>
      </c>
      <c r="AL974">
        <v>84.310134404969702</v>
      </c>
      <c r="AM974">
        <v>88.041664008718698</v>
      </c>
      <c r="AN974">
        <v>0.99999995944303399</v>
      </c>
    </row>
    <row r="975" spans="1:40" x14ac:dyDescent="0.3">
      <c r="A975" t="str">
        <f>"20200111150325479"</f>
        <v>20200111150325479</v>
      </c>
      <c r="B975" t="str">
        <f>"1578726205469199"</f>
        <v>1578726205469199</v>
      </c>
      <c r="C975" t="s">
        <v>40</v>
      </c>
      <c r="D975">
        <v>5.4395480000000003</v>
      </c>
      <c r="E975">
        <v>0.503967099999999</v>
      </c>
      <c r="F975" t="s">
        <v>42</v>
      </c>
      <c r="G975">
        <v>-193.6062</v>
      </c>
      <c r="H975">
        <v>0.98230360000000005</v>
      </c>
      <c r="I975">
        <v>204.12629999999999</v>
      </c>
      <c r="J975">
        <v>-193.93969999999999</v>
      </c>
      <c r="K975">
        <v>1.0954410000000001</v>
      </c>
      <c r="L975">
        <v>204.5548</v>
      </c>
      <c r="M975">
        <v>0.64908920000000003</v>
      </c>
      <c r="N975">
        <v>0</v>
      </c>
      <c r="O975">
        <v>-0.76059180000000004</v>
      </c>
      <c r="P975">
        <v>0.62204649999999995</v>
      </c>
      <c r="Q975">
        <v>8.6433259999999998E-2</v>
      </c>
      <c r="R975">
        <v>-0.77819519999999998</v>
      </c>
      <c r="S975">
        <v>1.8858950000000001</v>
      </c>
      <c r="T975">
        <v>-0.4782228</v>
      </c>
      <c r="U975">
        <v>-2.4008940000000001</v>
      </c>
      <c r="V975">
        <v>3.408746E-2</v>
      </c>
      <c r="W975">
        <v>9.9207820000000002E-2</v>
      </c>
      <c r="X975">
        <v>0.99448270000000005</v>
      </c>
      <c r="Y975">
        <v>4.6080400000000001E-2</v>
      </c>
      <c r="Z975">
        <v>0.1156857</v>
      </c>
      <c r="AA975">
        <v>0.9922164</v>
      </c>
      <c r="AB975">
        <v>30</v>
      </c>
      <c r="AC975">
        <v>0.33349999999998597</v>
      </c>
      <c r="AD975">
        <v>-0.113137399999999</v>
      </c>
      <c r="AE975">
        <v>-0.42850000000001298</v>
      </c>
      <c r="AF975">
        <v>2.3461052664496398E-2</v>
      </c>
      <c r="AG975">
        <v>-0.113137399999999</v>
      </c>
      <c r="AH975">
        <v>0.51986491918246103</v>
      </c>
      <c r="AI975">
        <v>102.265642246235</v>
      </c>
      <c r="AJ975">
        <v>87.416044434620304</v>
      </c>
      <c r="AK975">
        <v>0.53255049194181903</v>
      </c>
      <c r="AL975">
        <v>84.306444895533602</v>
      </c>
      <c r="AM975">
        <v>88.036865542859005</v>
      </c>
      <c r="AN975">
        <v>0.99999999353884705</v>
      </c>
    </row>
    <row r="976" spans="1:40" x14ac:dyDescent="0.3">
      <c r="A976" t="str">
        <f>"20200111150325494"</f>
        <v>20200111150325494</v>
      </c>
      <c r="B976" t="str">
        <f>"1578726205488718"</f>
        <v>1578726205488718</v>
      </c>
      <c r="C976" t="s">
        <v>40</v>
      </c>
      <c r="D976">
        <v>5.4590809999999896</v>
      </c>
      <c r="E976">
        <v>0.50599240000000001</v>
      </c>
      <c r="F976" t="s">
        <v>42</v>
      </c>
      <c r="G976">
        <v>-193.44649999999999</v>
      </c>
      <c r="H976">
        <v>0.9607675</v>
      </c>
      <c r="I976">
        <v>203.91460000000001</v>
      </c>
      <c r="J976">
        <v>-193.81309999999999</v>
      </c>
      <c r="K976">
        <v>1.0954459999999999</v>
      </c>
      <c r="L976">
        <v>204.3963</v>
      </c>
      <c r="M976">
        <v>0.64381929999999998</v>
      </c>
      <c r="N976">
        <v>0</v>
      </c>
      <c r="O976">
        <v>-0.76505840000000003</v>
      </c>
      <c r="P976">
        <v>0.61649809999999905</v>
      </c>
      <c r="Q976">
        <v>8.6292670000000002E-2</v>
      </c>
      <c r="R976">
        <v>-0.78261380000000003</v>
      </c>
      <c r="S976">
        <v>1.8652500000000001</v>
      </c>
      <c r="T976">
        <v>-0.50895259999999998</v>
      </c>
      <c r="U976">
        <v>-2.420563</v>
      </c>
      <c r="V976">
        <v>3.4293669999999998E-2</v>
      </c>
      <c r="W976">
        <v>9.9046949999999995E-2</v>
      </c>
      <c r="X976">
        <v>0.99449160000000003</v>
      </c>
      <c r="Y976">
        <v>4.9109430000000003E-2</v>
      </c>
      <c r="Z976">
        <v>0.1234408</v>
      </c>
      <c r="AA976">
        <v>0.99113600000000002</v>
      </c>
      <c r="AB976">
        <v>30</v>
      </c>
      <c r="AC976">
        <v>0.36660000000000498</v>
      </c>
      <c r="AD976">
        <v>-0.13467850000000001</v>
      </c>
      <c r="AE976">
        <v>-0.48169999999998903</v>
      </c>
      <c r="AF976">
        <v>2.82611267159232E-2</v>
      </c>
      <c r="AG976">
        <v>-0.13467850000000001</v>
      </c>
      <c r="AH976">
        <v>0.57609140484194798</v>
      </c>
      <c r="AI976">
        <v>103.143020971692</v>
      </c>
      <c r="AJ976">
        <v>87.191511260003594</v>
      </c>
      <c r="AK976">
        <v>0.59229916121692505</v>
      </c>
      <c r="AL976">
        <v>84.315707431149207</v>
      </c>
      <c r="AM976">
        <v>88.025016718940506</v>
      </c>
      <c r="AN976">
        <v>0.99999994828846395</v>
      </c>
    </row>
    <row r="977" spans="1:40" x14ac:dyDescent="0.3">
      <c r="A977" t="str">
        <f>"20200111150325507"</f>
        <v>20200111150325507</v>
      </c>
      <c r="B977" t="str">
        <f>"1578726205498479"</f>
        <v>1578726205498479</v>
      </c>
      <c r="C977" t="s">
        <v>40</v>
      </c>
      <c r="D977">
        <v>5.3577589999999997</v>
      </c>
      <c r="E977">
        <v>0.50613330000000001</v>
      </c>
      <c r="F977" t="s">
        <v>42</v>
      </c>
      <c r="G977">
        <v>-193.29</v>
      </c>
      <c r="H977">
        <v>0.94127450000000001</v>
      </c>
      <c r="I977">
        <v>203.69929999999999</v>
      </c>
      <c r="J977">
        <v>-193.70419999999999</v>
      </c>
      <c r="K977">
        <v>1.095451</v>
      </c>
      <c r="L977">
        <v>204.2585</v>
      </c>
      <c r="M977">
        <v>0.63922869999999998</v>
      </c>
      <c r="N977">
        <v>0</v>
      </c>
      <c r="O977">
        <v>-0.76889819999999998</v>
      </c>
      <c r="P977">
        <v>0.61143369999999997</v>
      </c>
      <c r="Q977">
        <v>8.6856379999999997E-2</v>
      </c>
      <c r="R977">
        <v>-0.78651450000000001</v>
      </c>
      <c r="S977">
        <v>1.836395</v>
      </c>
      <c r="T977">
        <v>-0.54089569999999998</v>
      </c>
      <c r="U977">
        <v>-2.4463200000000001</v>
      </c>
      <c r="V977">
        <v>3.4732029999999997E-2</v>
      </c>
      <c r="W977">
        <v>9.9588319999999994E-2</v>
      </c>
      <c r="X977">
        <v>0.99442240000000004</v>
      </c>
      <c r="Y977">
        <v>5.6372579999999999E-2</v>
      </c>
      <c r="Z977">
        <v>0.13115539999999901</v>
      </c>
      <c r="AA977">
        <v>0.98975780000000002</v>
      </c>
      <c r="AB977">
        <v>30</v>
      </c>
      <c r="AC977">
        <v>0.41419999999999302</v>
      </c>
      <c r="AD977">
        <v>-0.15417649999999899</v>
      </c>
      <c r="AE977">
        <v>-0.55920000000000403</v>
      </c>
      <c r="AF977">
        <v>3.7158659765114899E-2</v>
      </c>
      <c r="AG977">
        <v>-0.15417649999999899</v>
      </c>
      <c r="AH977">
        <v>0.66229091021749298</v>
      </c>
      <c r="AI977">
        <v>103.08477407750399</v>
      </c>
      <c r="AJ977">
        <v>86.788715426610494</v>
      </c>
      <c r="AK977">
        <v>0.68101425014789796</v>
      </c>
      <c r="AL977">
        <v>84.284535550102404</v>
      </c>
      <c r="AM977">
        <v>87.999652727587005</v>
      </c>
      <c r="AN977">
        <v>1.0000000285050501</v>
      </c>
    </row>
    <row r="978" spans="1:40" x14ac:dyDescent="0.3">
      <c r="A978" t="str">
        <f>"20200111150326146"</f>
        <v>20200111150326146</v>
      </c>
      <c r="B978" t="str">
        <f>"1578726206138734"</f>
        <v>1578726206138734</v>
      </c>
      <c r="C978" t="s">
        <v>40</v>
      </c>
      <c r="D978">
        <v>5.9811610000000002</v>
      </c>
      <c r="E978">
        <v>0.65445520000000001</v>
      </c>
      <c r="F978" t="s">
        <v>42</v>
      </c>
      <c r="G978">
        <v>-189.2321</v>
      </c>
      <c r="H978">
        <v>0.95415450000000002</v>
      </c>
      <c r="I978">
        <v>196.27350000000001</v>
      </c>
      <c r="J978">
        <v>-189.40270000000001</v>
      </c>
      <c r="K978">
        <v>1.096875</v>
      </c>
      <c r="L978">
        <v>196.68989999999999</v>
      </c>
      <c r="M978">
        <v>0.3929551</v>
      </c>
      <c r="N978">
        <v>0</v>
      </c>
      <c r="O978">
        <v>-0.91946139999999998</v>
      </c>
      <c r="P978">
        <v>0.38601259999999998</v>
      </c>
      <c r="Q978">
        <v>8.0180189999999998E-2</v>
      </c>
      <c r="R978">
        <v>-0.91900280000000001</v>
      </c>
      <c r="S978">
        <v>1.1528020000000001</v>
      </c>
      <c r="T978">
        <v>-0.56386289999999994</v>
      </c>
      <c r="U978">
        <v>-2.830597</v>
      </c>
      <c r="V978">
        <v>7.8267440000000001E-3</v>
      </c>
      <c r="W978">
        <v>9.3338169999999998E-2</v>
      </c>
      <c r="X978">
        <v>0.99560369999999998</v>
      </c>
      <c r="Y978">
        <v>2.2840280000000001E-2</v>
      </c>
      <c r="Z978">
        <v>0.16622500000000001</v>
      </c>
      <c r="AA978">
        <v>0.98582329999999996</v>
      </c>
      <c r="AB978">
        <v>30</v>
      </c>
      <c r="AC978">
        <v>0.170600000000007</v>
      </c>
      <c r="AD978">
        <v>-0.1427205</v>
      </c>
      <c r="AE978">
        <v>-0.41639999999998101</v>
      </c>
      <c r="AF978">
        <v>6.1484999126322701E-3</v>
      </c>
      <c r="AG978">
        <v>-0.1427205</v>
      </c>
      <c r="AH978">
        <v>0.40881800792635598</v>
      </c>
      <c r="AI978">
        <v>109.242345031051</v>
      </c>
      <c r="AJ978">
        <v>89.138353666341303</v>
      </c>
      <c r="AK978">
        <v>0.43305785846270001</v>
      </c>
      <c r="AL978">
        <v>84.644321049605097</v>
      </c>
      <c r="AM978">
        <v>89.549589700195298</v>
      </c>
      <c r="AN978">
        <v>0.99999999967714004</v>
      </c>
    </row>
    <row r="979" spans="1:40" x14ac:dyDescent="0.3">
      <c r="A979" t="str">
        <f>"20200111150326235"</f>
        <v>20200111150326235</v>
      </c>
      <c r="B979" t="str">
        <f>"1578726206228526"</f>
        <v>1578726206228526</v>
      </c>
      <c r="C979" t="s">
        <v>40</v>
      </c>
      <c r="D979">
        <v>5.5741120000000004</v>
      </c>
      <c r="E979">
        <v>0.6485746</v>
      </c>
      <c r="F979" t="s">
        <v>41</v>
      </c>
      <c r="G979">
        <v>-189.32300000000001</v>
      </c>
      <c r="H979" s="1">
        <v>-3.9702200000000002E-6</v>
      </c>
      <c r="I979">
        <v>188.60749999999999</v>
      </c>
      <c r="J979">
        <v>-188.9736</v>
      </c>
      <c r="K979">
        <v>1.098112</v>
      </c>
      <c r="L979">
        <v>195.571</v>
      </c>
      <c r="M979">
        <v>0.36539179999999999</v>
      </c>
      <c r="N979">
        <v>0</v>
      </c>
      <c r="O979">
        <v>-0.93076060000000005</v>
      </c>
      <c r="P979">
        <v>0.36085499999999998</v>
      </c>
      <c r="Q979">
        <v>8.3640400000000004E-2</v>
      </c>
      <c r="R979">
        <v>-0.92886420000000003</v>
      </c>
      <c r="S979">
        <v>3.2440190000000001E-2</v>
      </c>
      <c r="T979">
        <v>-0.44645590000000002</v>
      </c>
      <c r="U979">
        <v>-3.2897189999999998</v>
      </c>
      <c r="V979">
        <v>4.924917E-3</v>
      </c>
      <c r="W979">
        <v>9.6718830000000006E-2</v>
      </c>
      <c r="X979">
        <v>0.99529959999999995</v>
      </c>
      <c r="Y979">
        <v>0.35618529999999998</v>
      </c>
      <c r="Z979">
        <v>0.1161667</v>
      </c>
      <c r="AA979">
        <v>0.9271663</v>
      </c>
      <c r="AB979">
        <v>30</v>
      </c>
      <c r="AC979">
        <v>-0.34939999999997401</v>
      </c>
      <c r="AD979">
        <v>-1.0981159702200001</v>
      </c>
      <c r="AE979">
        <v>-6.9635000000000096</v>
      </c>
      <c r="AF979">
        <v>2.8003971272356001</v>
      </c>
      <c r="AG979">
        <v>-1.0981159702200001</v>
      </c>
      <c r="AH979">
        <v>6.2004297141182301</v>
      </c>
      <c r="AI979">
        <v>99.168732473119206</v>
      </c>
      <c r="AJ979">
        <v>65.693892201441798</v>
      </c>
      <c r="AK979">
        <v>6.8915463717515397</v>
      </c>
      <c r="AL979">
        <v>84.449743076774496</v>
      </c>
      <c r="AM979">
        <v>89.716492746903</v>
      </c>
      <c r="AN979">
        <v>1.0000000403220899</v>
      </c>
    </row>
    <row r="980" spans="1:40" x14ac:dyDescent="0.3">
      <c r="A980" t="str">
        <f>"20200111150326256"</f>
        <v>20200111150326256</v>
      </c>
      <c r="B980" t="str">
        <f>"1578726206249025"</f>
        <v>1578726206249025</v>
      </c>
      <c r="C980" t="s">
        <v>40</v>
      </c>
      <c r="D980">
        <v>5.5888900000000001</v>
      </c>
      <c r="E980">
        <v>0.64661729999999995</v>
      </c>
      <c r="F980" t="s">
        <v>41</v>
      </c>
      <c r="G980">
        <v>-189.09299999999999</v>
      </c>
      <c r="H980" s="1">
        <v>-1.0393280000000001E-6</v>
      </c>
      <c r="I980">
        <v>171.68039999999999</v>
      </c>
      <c r="J980">
        <v>-188.8698</v>
      </c>
      <c r="K980">
        <v>1.0984069999999999</v>
      </c>
      <c r="L980">
        <v>195.2877</v>
      </c>
      <c r="M980">
        <v>0.35928120000000002</v>
      </c>
      <c r="N980">
        <v>0</v>
      </c>
      <c r="O980">
        <v>-0.93313670000000004</v>
      </c>
      <c r="P980">
        <v>0.35570269999999998</v>
      </c>
      <c r="Q980">
        <v>8.4478730000000002E-2</v>
      </c>
      <c r="R980">
        <v>-0.93077359999999998</v>
      </c>
      <c r="S980">
        <v>-1.6235349999999999E-2</v>
      </c>
      <c r="T980">
        <v>-0.1493601</v>
      </c>
      <c r="U980">
        <v>-3.2494809999999998</v>
      </c>
      <c r="V980">
        <v>3.8294430000000001E-3</v>
      </c>
      <c r="W980">
        <v>9.7540329999999995E-2</v>
      </c>
      <c r="X980">
        <v>0.9952242</v>
      </c>
      <c r="Y980">
        <v>0.36395270000000002</v>
      </c>
      <c r="Z980">
        <v>3.974159E-2</v>
      </c>
      <c r="AA980">
        <v>0.93056919999999999</v>
      </c>
      <c r="AB980">
        <v>30</v>
      </c>
      <c r="AC980">
        <v>-0.22319999999999099</v>
      </c>
      <c r="AD980">
        <v>-1.098408039328</v>
      </c>
      <c r="AE980">
        <v>-23.607299999999999</v>
      </c>
      <c r="AF980">
        <v>8.6719145896617498</v>
      </c>
      <c r="AG980">
        <v>-1.098408039328</v>
      </c>
      <c r="AH980">
        <v>21.903130848944301</v>
      </c>
      <c r="AI980">
        <v>92.669594323415595</v>
      </c>
      <c r="AJ980">
        <v>68.400335575546094</v>
      </c>
      <c r="AK980">
        <v>23.5829545192544</v>
      </c>
      <c r="AL980">
        <v>84.402450727678698</v>
      </c>
      <c r="AM980">
        <v>89.779537275168295</v>
      </c>
      <c r="AN980">
        <v>0.99999999443791898</v>
      </c>
    </row>
    <row r="981" spans="1:40" x14ac:dyDescent="0.3">
      <c r="A981" t="str">
        <f>"20200111150329263"</f>
        <v>20200111150329263</v>
      </c>
      <c r="B981" t="str">
        <f>"1578726209259083"</f>
        <v>1578726209259083</v>
      </c>
      <c r="C981" t="s">
        <v>40</v>
      </c>
      <c r="D981">
        <v>5.7285110000000001</v>
      </c>
      <c r="E981">
        <v>0.83120229999999995</v>
      </c>
      <c r="F981" t="s">
        <v>41</v>
      </c>
      <c r="G981">
        <v>-188.9949</v>
      </c>
      <c r="H981" s="1">
        <v>-1.6971809999999999E-6</v>
      </c>
      <c r="I981">
        <v>173.17339999999999</v>
      </c>
      <c r="J981">
        <v>-185.61539999999999</v>
      </c>
      <c r="K981">
        <v>1.09402</v>
      </c>
      <c r="L981">
        <v>156.41470000000001</v>
      </c>
      <c r="M981">
        <v>-5.3274490000000001E-2</v>
      </c>
      <c r="N981">
        <v>0</v>
      </c>
      <c r="O981">
        <v>-0.99846570000000001</v>
      </c>
      <c r="P981">
        <v>-0.3578711</v>
      </c>
      <c r="Q981">
        <v>0.13892599999999999</v>
      </c>
      <c r="R981">
        <v>-0.92337880000000006</v>
      </c>
      <c r="S981">
        <v>-1.8356319999999999E-2</v>
      </c>
      <c r="T981">
        <v>-0.1611658</v>
      </c>
      <c r="U981">
        <v>-3.2447659999999998</v>
      </c>
      <c r="V981">
        <v>0.31212630000000002</v>
      </c>
      <c r="W981">
        <v>0.14488670000000001</v>
      </c>
      <c r="X981">
        <v>0.93892759999999997</v>
      </c>
      <c r="Y981">
        <v>-4.7637529999999997E-2</v>
      </c>
      <c r="Z981">
        <v>4.9474120000000003E-2</v>
      </c>
      <c r="AA981">
        <v>0.99763869999999999</v>
      </c>
      <c r="AB981">
        <v>28</v>
      </c>
      <c r="AC981">
        <v>-3.3795000000000002</v>
      </c>
      <c r="AD981">
        <v>-1.094021697181</v>
      </c>
      <c r="AE981">
        <v>16.758699999999902</v>
      </c>
      <c r="AF981">
        <v>4.2502078727925499</v>
      </c>
      <c r="AG981">
        <v>-1.094021697181</v>
      </c>
      <c r="AH981">
        <v>-16.487317431253601</v>
      </c>
      <c r="AI981">
        <v>93.676469011509795</v>
      </c>
      <c r="AJ981">
        <v>-75.544641396443595</v>
      </c>
      <c r="AK981">
        <v>17.061441513388299</v>
      </c>
      <c r="AL981">
        <v>81.669281794484107</v>
      </c>
      <c r="AM981">
        <v>71.611722306305495</v>
      </c>
      <c r="AN981">
        <v>1.0000000105151601</v>
      </c>
    </row>
    <row r="982" spans="1:40" x14ac:dyDescent="0.3">
      <c r="A982" t="str">
        <f>"20200111150329318"</f>
        <v>20200111150329318</v>
      </c>
      <c r="B982" t="str">
        <f>"1578726209309587"</f>
        <v>1578726209309587</v>
      </c>
      <c r="C982" t="s">
        <v>40</v>
      </c>
      <c r="D982">
        <v>5.5642300000000002</v>
      </c>
      <c r="E982">
        <v>0.6630414</v>
      </c>
      <c r="F982" t="s">
        <v>62</v>
      </c>
      <c r="G982">
        <v>-441.50319999999999</v>
      </c>
      <c r="H982">
        <v>134.36199999999999</v>
      </c>
      <c r="I982">
        <v>35.080559999999998</v>
      </c>
      <c r="J982">
        <v>-185.70009999999999</v>
      </c>
      <c r="K982">
        <v>1.0929530000000001</v>
      </c>
      <c r="L982">
        <v>155.7345</v>
      </c>
      <c r="M982">
        <v>-9.2337779999999994E-2</v>
      </c>
      <c r="N982">
        <v>0</v>
      </c>
      <c r="O982">
        <v>-0.99560550000000003</v>
      </c>
      <c r="P982">
        <v>-0.41528759999999998</v>
      </c>
      <c r="Q982">
        <v>0.13980039999999999</v>
      </c>
      <c r="R982">
        <v>-0.89888419999999902</v>
      </c>
      <c r="S982">
        <v>-3.4560089999999901</v>
      </c>
      <c r="T982">
        <v>1.799911</v>
      </c>
      <c r="U982">
        <v>-1.638733</v>
      </c>
      <c r="V982">
        <v>0.33486460000000001</v>
      </c>
      <c r="W982">
        <v>0.14465639999999999</v>
      </c>
      <c r="X982">
        <v>0.93109629999999999</v>
      </c>
      <c r="Y982">
        <v>0.76686560000000004</v>
      </c>
      <c r="Z982">
        <v>-0.44491350000000002</v>
      </c>
      <c r="AA982">
        <v>0.46256789999999998</v>
      </c>
      <c r="AB982">
        <v>28</v>
      </c>
      <c r="AC982">
        <v>-255.8031</v>
      </c>
      <c r="AD982">
        <v>133.269047</v>
      </c>
      <c r="AE982">
        <v>-120.653939999999</v>
      </c>
      <c r="AF982">
        <v>199.314253230025</v>
      </c>
      <c r="AG982">
        <v>133.269047</v>
      </c>
      <c r="AH982">
        <v>117.641701528876</v>
      </c>
      <c r="AI982">
        <v>60.065859872190003</v>
      </c>
      <c r="AJ982">
        <v>30.550475030744199</v>
      </c>
      <c r="AK982">
        <v>267.06999151447201</v>
      </c>
      <c r="AL982">
        <v>81.682617809381895</v>
      </c>
      <c r="AM982">
        <v>70.219106383725602</v>
      </c>
      <c r="AN982">
        <v>1.0000000471338999</v>
      </c>
    </row>
    <row r="983" spans="1:40" x14ac:dyDescent="0.3">
      <c r="A983" t="str">
        <f>"20200111150329333"</f>
        <v>20200111150329333</v>
      </c>
      <c r="B983" t="str">
        <f>"1578726209329107"</f>
        <v>1578726209329107</v>
      </c>
      <c r="C983" t="s">
        <v>40</v>
      </c>
      <c r="D983">
        <v>5.5690540000000004</v>
      </c>
      <c r="E983">
        <v>0.65704759999999995</v>
      </c>
      <c r="F983" t="s">
        <v>41</v>
      </c>
      <c r="G983">
        <v>-210.75899999999999</v>
      </c>
      <c r="H983" s="1">
        <v>-5.497258E-6</v>
      </c>
      <c r="I983">
        <v>133.14169999999999</v>
      </c>
      <c r="J983">
        <v>-185.72749999999999</v>
      </c>
      <c r="K983">
        <v>1.0927150000000001</v>
      </c>
      <c r="L983">
        <v>155.55439999999999</v>
      </c>
      <c r="M983">
        <v>-0.10322629999999999</v>
      </c>
      <c r="N983">
        <v>0</v>
      </c>
      <c r="O983">
        <v>-0.99453340000000001</v>
      </c>
      <c r="P983">
        <v>-0.43056879999999997</v>
      </c>
      <c r="Q983">
        <v>0.13995360000000001</v>
      </c>
      <c r="R983">
        <v>-0.89164109999999996</v>
      </c>
      <c r="S983">
        <v>-2.4597929999999999</v>
      </c>
      <c r="T983">
        <v>-0.10728550000000001</v>
      </c>
      <c r="U983">
        <v>-2.2177280000000001</v>
      </c>
      <c r="V983">
        <v>0.34066770000000002</v>
      </c>
      <c r="W983">
        <v>0.14452860000000001</v>
      </c>
      <c r="X983">
        <v>0.92900859999999996</v>
      </c>
      <c r="Y983">
        <v>0.66919419999999996</v>
      </c>
      <c r="Z983">
        <v>3.348756E-2</v>
      </c>
      <c r="AA983">
        <v>0.74233260000000001</v>
      </c>
      <c r="AB983">
        <v>27</v>
      </c>
      <c r="AC983">
        <v>-25.031500000000001</v>
      </c>
      <c r="AD983">
        <v>-1.09272049725799</v>
      </c>
      <c r="AE983">
        <v>-22.412700000000001</v>
      </c>
      <c r="AF983">
        <v>22.560017665607599</v>
      </c>
      <c r="AG983">
        <v>-1.09272049725799</v>
      </c>
      <c r="AH983">
        <v>24.8508837619095</v>
      </c>
      <c r="AI983">
        <v>91.864699008117199</v>
      </c>
      <c r="AJ983">
        <v>47.766345847057302</v>
      </c>
      <c r="AK983">
        <v>33.581466002924799</v>
      </c>
      <c r="AL983">
        <v>81.690017484828402</v>
      </c>
      <c r="AM983">
        <v>69.861999676246199</v>
      </c>
      <c r="AN983">
        <v>0.99999998845760396</v>
      </c>
    </row>
    <row r="984" spans="1:40" x14ac:dyDescent="0.3">
      <c r="A984" t="str">
        <f>"20200111150329347"</f>
        <v>20200111150329347</v>
      </c>
      <c r="B984" t="str">
        <f>"1578726209338866"</f>
        <v>1578726209338866</v>
      </c>
      <c r="C984" t="s">
        <v>40</v>
      </c>
      <c r="D984">
        <v>5.558675</v>
      </c>
      <c r="E984">
        <v>0.65575000000000006</v>
      </c>
      <c r="F984" t="s">
        <v>41</v>
      </c>
      <c r="G984">
        <v>-211.32419999999999</v>
      </c>
      <c r="H984" s="1">
        <v>-5.3179490000000002E-6</v>
      </c>
      <c r="I984">
        <v>132.64619999999999</v>
      </c>
      <c r="J984">
        <v>-185.75749999999999</v>
      </c>
      <c r="K984">
        <v>1.092492</v>
      </c>
      <c r="L984">
        <v>155.37190000000001</v>
      </c>
      <c r="M984">
        <v>-0.1144704</v>
      </c>
      <c r="N984">
        <v>0</v>
      </c>
      <c r="O984">
        <v>-0.99330010000000002</v>
      </c>
      <c r="P984">
        <v>-0.44593189999999999</v>
      </c>
      <c r="Q984">
        <v>0.14005490000000001</v>
      </c>
      <c r="R984">
        <v>-0.88404210000000005</v>
      </c>
      <c r="S984">
        <v>-2.453827</v>
      </c>
      <c r="T984">
        <v>-0.1047536</v>
      </c>
      <c r="U984">
        <v>-2.196091</v>
      </c>
      <c r="V984">
        <v>0.34632380000000001</v>
      </c>
      <c r="W984">
        <v>0.14435729999999999</v>
      </c>
      <c r="X984">
        <v>0.92694160000000003</v>
      </c>
      <c r="Y984">
        <v>0.66350690000000001</v>
      </c>
      <c r="Z984">
        <v>3.2967780000000002E-2</v>
      </c>
      <c r="AA984">
        <v>0.74744339999999998</v>
      </c>
      <c r="AB984">
        <v>27</v>
      </c>
      <c r="AC984">
        <v>-25.566700000000001</v>
      </c>
      <c r="AD984">
        <v>-1.0924973179490001</v>
      </c>
      <c r="AE984">
        <v>-22.7257</v>
      </c>
      <c r="AF984">
        <v>22.773622118256299</v>
      </c>
      <c r="AG984">
        <v>-1.0924973179490001</v>
      </c>
      <c r="AH984">
        <v>25.477289330386501</v>
      </c>
      <c r="AI984">
        <v>91.831149772709793</v>
      </c>
      <c r="AJ984">
        <v>48.207129057981099</v>
      </c>
      <c r="AK984">
        <v>34.189525975056803</v>
      </c>
      <c r="AL984">
        <v>81.699936090971704</v>
      </c>
      <c r="AM984">
        <v>69.513312796635006</v>
      </c>
      <c r="AN984">
        <v>0.99999996716014405</v>
      </c>
    </row>
    <row r="985" spans="1:40" x14ac:dyDescent="0.3">
      <c r="A985" t="str">
        <f>"20200111150329362"</f>
        <v>20200111150329362</v>
      </c>
      <c r="B985" t="str">
        <f>"1578726209359362"</f>
        <v>1578726209359362</v>
      </c>
      <c r="C985" t="s">
        <v>40</v>
      </c>
      <c r="D985">
        <v>5.5731299999999999</v>
      </c>
      <c r="E985">
        <v>0.65331850000000002</v>
      </c>
      <c r="F985" t="s">
        <v>68</v>
      </c>
      <c r="G985">
        <v>-209.94159999999999</v>
      </c>
      <c r="H985" s="1">
        <v>-3.3729630000000002E-6</v>
      </c>
      <c r="I985">
        <v>134.3364</v>
      </c>
      <c r="J985">
        <v>-185.78970000000001</v>
      </c>
      <c r="K985">
        <v>1.0923020000000001</v>
      </c>
      <c r="L985">
        <v>155.19329999999999</v>
      </c>
      <c r="M985">
        <v>-0.12572529999999901</v>
      </c>
      <c r="N985">
        <v>0</v>
      </c>
      <c r="O985">
        <v>-0.99193629999999999</v>
      </c>
      <c r="P985">
        <v>-0.4651324</v>
      </c>
      <c r="Q985">
        <v>0.139458</v>
      </c>
      <c r="R985">
        <v>-0.87418759999999995</v>
      </c>
      <c r="S985">
        <v>-2.4823149999999998</v>
      </c>
      <c r="T985">
        <v>-0.1121364</v>
      </c>
      <c r="U985">
        <v>-2.1591339999999999</v>
      </c>
      <c r="V985">
        <v>0.35609970000000002</v>
      </c>
      <c r="W985">
        <v>0.14334749999999999</v>
      </c>
      <c r="X985">
        <v>0.92338750000000003</v>
      </c>
      <c r="Y985">
        <v>0.6655356</v>
      </c>
      <c r="Z985">
        <v>3.5427779999999999E-2</v>
      </c>
      <c r="AA985">
        <v>0.74552479999999999</v>
      </c>
      <c r="AB985">
        <v>27</v>
      </c>
      <c r="AC985">
        <v>-24.151899999999898</v>
      </c>
      <c r="AD985">
        <v>-1.0923053729629999</v>
      </c>
      <c r="AE985">
        <v>-20.8569</v>
      </c>
      <c r="AF985">
        <v>21.3126614337429</v>
      </c>
      <c r="AG985">
        <v>-1.0923053729629999</v>
      </c>
      <c r="AH985">
        <v>23.7004839416362</v>
      </c>
      <c r="AI985">
        <v>91.962737483650599</v>
      </c>
      <c r="AJ985">
        <v>48.036536035292897</v>
      </c>
      <c r="AK985">
        <v>31.8925635138493</v>
      </c>
      <c r="AL985">
        <v>81.758401641168405</v>
      </c>
      <c r="AM985">
        <v>68.911120148600602</v>
      </c>
      <c r="AN985">
        <v>0.99999998862629402</v>
      </c>
    </row>
    <row r="986" spans="1:40" x14ac:dyDescent="0.3">
      <c r="A986" t="str">
        <f>"20200111150329385"</f>
        <v>20200111150329385</v>
      </c>
      <c r="B986" t="str">
        <f>"1578726209378882"</f>
        <v>1578726209378882</v>
      </c>
      <c r="C986" t="s">
        <v>40</v>
      </c>
      <c r="D986">
        <v>4.9283380000000001</v>
      </c>
      <c r="E986">
        <v>0.65184219999999904</v>
      </c>
      <c r="F986" t="s">
        <v>68</v>
      </c>
      <c r="G986">
        <v>-207.45779999999999</v>
      </c>
      <c r="H986" s="1">
        <v>-5.6405719999999999E-6</v>
      </c>
      <c r="I986">
        <v>136.9434</v>
      </c>
      <c r="J986">
        <v>-185.8442</v>
      </c>
      <c r="K986">
        <v>1.0920129999999999</v>
      </c>
      <c r="L986">
        <v>154.9118</v>
      </c>
      <c r="M986">
        <v>-0.14376169999999999</v>
      </c>
      <c r="N986">
        <v>0</v>
      </c>
      <c r="O986">
        <v>-0.98948060000000004</v>
      </c>
      <c r="P986">
        <v>-0.48882680000000001</v>
      </c>
      <c r="Q986">
        <v>0.13827390000000001</v>
      </c>
      <c r="R986">
        <v>-0.86135339999999905</v>
      </c>
      <c r="S986">
        <v>-2.511765</v>
      </c>
      <c r="T986">
        <v>-0.12662010000000001</v>
      </c>
      <c r="U986">
        <v>-2.1155240000000002</v>
      </c>
      <c r="V986">
        <v>0.36454239999999999</v>
      </c>
      <c r="W986">
        <v>0.14176729999999901</v>
      </c>
      <c r="X986">
        <v>0.92033200000000004</v>
      </c>
      <c r="Y986">
        <v>0.66367359999999997</v>
      </c>
      <c r="Z986">
        <v>4.0233110000000002E-2</v>
      </c>
      <c r="AA986">
        <v>0.74693959999999904</v>
      </c>
      <c r="AB986">
        <v>27</v>
      </c>
      <c r="AC986">
        <v>-21.613599999999899</v>
      </c>
      <c r="AD986">
        <v>-1.0920186405719901</v>
      </c>
      <c r="AE986">
        <v>-17.968399999999999</v>
      </c>
      <c r="AF986">
        <v>18.777178029355301</v>
      </c>
      <c r="AG986">
        <v>-1.0920186405719901</v>
      </c>
      <c r="AH986">
        <v>20.857829913090701</v>
      </c>
      <c r="AI986">
        <v>92.228292068765299</v>
      </c>
      <c r="AJ986">
        <v>48.00500117192</v>
      </c>
      <c r="AK986">
        <v>28.086010541564701</v>
      </c>
      <c r="AL986">
        <v>81.849875281411698</v>
      </c>
      <c r="AM986">
        <v>68.391541026962201</v>
      </c>
      <c r="AN986">
        <v>1.0000000594855201</v>
      </c>
    </row>
    <row r="987" spans="1:40" x14ac:dyDescent="0.3">
      <c r="A987" t="str">
        <f>"20200111150329408"</f>
        <v>20200111150329408</v>
      </c>
      <c r="B987" t="str">
        <f>"1578726209399378"</f>
        <v>1578726209399378</v>
      </c>
      <c r="C987" t="s">
        <v>40</v>
      </c>
      <c r="D987">
        <v>5.6168779999999998</v>
      </c>
      <c r="E987">
        <v>0.64649959999999995</v>
      </c>
      <c r="F987" t="s">
        <v>68</v>
      </c>
      <c r="G987">
        <v>-206.36709999999999</v>
      </c>
      <c r="H987" s="1">
        <v>-6.603799E-6</v>
      </c>
      <c r="I987">
        <v>138.4425</v>
      </c>
      <c r="J987">
        <v>-185.90389999999999</v>
      </c>
      <c r="K987">
        <v>1.091755</v>
      </c>
      <c r="L987">
        <v>154.6328</v>
      </c>
      <c r="M987">
        <v>-0.1620451</v>
      </c>
      <c r="N987">
        <v>0</v>
      </c>
      <c r="O987">
        <v>-0.98664859999999999</v>
      </c>
      <c r="P987">
        <v>-0.51272450000000003</v>
      </c>
      <c r="Q987">
        <v>0.13807429999999901</v>
      </c>
      <c r="R987">
        <v>-0.84737809999999902</v>
      </c>
      <c r="S987">
        <v>-2.5582120000000002</v>
      </c>
      <c r="T987">
        <v>-0.1361224</v>
      </c>
      <c r="U987">
        <v>-2.0529329999999999</v>
      </c>
      <c r="V987">
        <v>0.37333070000000002</v>
      </c>
      <c r="W987">
        <v>0.1411636</v>
      </c>
      <c r="X987">
        <v>0.91689529999999997</v>
      </c>
      <c r="Y987">
        <v>0.66744479999999995</v>
      </c>
      <c r="Z987">
        <v>4.3489079999999999E-2</v>
      </c>
      <c r="AA987">
        <v>0.7433883</v>
      </c>
      <c r="AB987">
        <v>27</v>
      </c>
      <c r="AC987">
        <v>-20.463200000000001</v>
      </c>
      <c r="AD987">
        <v>-1.0917616037989999</v>
      </c>
      <c r="AE987">
        <v>-16.190300000000001</v>
      </c>
      <c r="AF987">
        <v>17.538062472669498</v>
      </c>
      <c r="AG987">
        <v>-1.0917616037989999</v>
      </c>
      <c r="AH987">
        <v>19.2589483509418</v>
      </c>
      <c r="AI987">
        <v>92.400072536767595</v>
      </c>
      <c r="AJ987">
        <v>47.677600864413101</v>
      </c>
      <c r="AK987">
        <v>26.0707243911448</v>
      </c>
      <c r="AL987">
        <v>81.884815505147102</v>
      </c>
      <c r="AM987">
        <v>67.845404822539194</v>
      </c>
      <c r="AN987">
        <v>0.99999998234476895</v>
      </c>
    </row>
    <row r="988" spans="1:40" x14ac:dyDescent="0.3">
      <c r="A988" t="str">
        <f>"20200111150329429"</f>
        <v>20200111150329429</v>
      </c>
      <c r="B988" t="str">
        <f>"1578726209418901"</f>
        <v>1578726209418901</v>
      </c>
      <c r="C988" t="s">
        <v>40</v>
      </c>
      <c r="D988">
        <v>5.6727239999999997</v>
      </c>
      <c r="E988">
        <v>0.64116090000000003</v>
      </c>
      <c r="F988" t="s">
        <v>68</v>
      </c>
      <c r="G988">
        <v>-204.1765</v>
      </c>
      <c r="H988" s="1">
        <v>-8.1123130000000008E-6</v>
      </c>
      <c r="I988">
        <v>140.42689999999999</v>
      </c>
      <c r="J988">
        <v>-185.96469999999999</v>
      </c>
      <c r="K988">
        <v>1.0915459999999999</v>
      </c>
      <c r="L988">
        <v>154.374</v>
      </c>
      <c r="M988">
        <v>-0.1793565</v>
      </c>
      <c r="N988">
        <v>0</v>
      </c>
      <c r="O988">
        <v>-0.98364660000000004</v>
      </c>
      <c r="P988">
        <v>-0.53601549999999998</v>
      </c>
      <c r="Q988">
        <v>0.13775960000000001</v>
      </c>
      <c r="R988">
        <v>-0.83289249999999904</v>
      </c>
      <c r="S988">
        <v>-2.578964</v>
      </c>
      <c r="T988">
        <v>-0.1540897</v>
      </c>
      <c r="U988">
        <v>-2.0050050000000001</v>
      </c>
      <c r="V988">
        <v>0.3826869</v>
      </c>
      <c r="W988">
        <v>0.14043139999999901</v>
      </c>
      <c r="X988">
        <v>0.91314280000000003</v>
      </c>
      <c r="Y988">
        <v>0.66560889999999995</v>
      </c>
      <c r="Z988">
        <v>4.9579440000000002E-2</v>
      </c>
      <c r="AA988">
        <v>0.74465209999999904</v>
      </c>
      <c r="AB988">
        <v>27</v>
      </c>
      <c r="AC988">
        <v>-18.2118</v>
      </c>
      <c r="AD988">
        <v>-1.0915541123129999</v>
      </c>
      <c r="AE988">
        <v>-13.947100000000001</v>
      </c>
      <c r="AF988">
        <v>15.379732567183201</v>
      </c>
      <c r="AG988">
        <v>-1.0915541123129999</v>
      </c>
      <c r="AH988">
        <v>16.9493413618391</v>
      </c>
      <c r="AI988">
        <v>92.730545490094798</v>
      </c>
      <c r="AJ988">
        <v>47.779584620006702</v>
      </c>
      <c r="AK988">
        <v>22.9130494875373</v>
      </c>
      <c r="AL988">
        <v>81.927189793032397</v>
      </c>
      <c r="AM988">
        <v>67.262042546818606</v>
      </c>
      <c r="AN988">
        <v>1.0000000073647</v>
      </c>
    </row>
    <row r="989" spans="1:40" x14ac:dyDescent="0.3">
      <c r="A989" t="str">
        <f>"20200111150329443"</f>
        <v>20200111150329443</v>
      </c>
      <c r="B989" t="str">
        <f>"1578726209439395"</f>
        <v>1578726209439395</v>
      </c>
      <c r="C989" t="s">
        <v>40</v>
      </c>
      <c r="D989">
        <v>5.5467170000000001</v>
      </c>
      <c r="E989">
        <v>0.63524569999999903</v>
      </c>
      <c r="F989" t="s">
        <v>68</v>
      </c>
      <c r="G989">
        <v>-202.89060000000001</v>
      </c>
      <c r="H989" s="1">
        <v>-8.9108589999999992E-6</v>
      </c>
      <c r="I989">
        <v>141.6182</v>
      </c>
      <c r="J989">
        <v>-186.0095</v>
      </c>
      <c r="K989">
        <v>1.0914269999999999</v>
      </c>
      <c r="L989">
        <v>154.19739999999999</v>
      </c>
      <c r="M989">
        <v>-0.19137080000000001</v>
      </c>
      <c r="N989">
        <v>0</v>
      </c>
      <c r="O989">
        <v>-0.98137830000000004</v>
      </c>
      <c r="P989">
        <v>-0.54997719999999894</v>
      </c>
      <c r="Q989">
        <v>0.1383354</v>
      </c>
      <c r="R989">
        <v>-0.82364319999999902</v>
      </c>
      <c r="S989">
        <v>-2.5978240000000001</v>
      </c>
      <c r="T989">
        <v>-0.16753379999999901</v>
      </c>
      <c r="U989">
        <v>-1.9577789999999999</v>
      </c>
      <c r="V989">
        <v>0.38699719999999999</v>
      </c>
      <c r="W989">
        <v>0.14080429999999999</v>
      </c>
      <c r="X989">
        <v>0.91126689999999999</v>
      </c>
      <c r="Y989">
        <v>0.66748260000000004</v>
      </c>
      <c r="Z989">
        <v>5.4255680000000001E-2</v>
      </c>
      <c r="AA989">
        <v>0.74264619999999903</v>
      </c>
      <c r="AB989">
        <v>27</v>
      </c>
      <c r="AC989">
        <v>-16.8811</v>
      </c>
      <c r="AD989">
        <v>-1.0914359108589999</v>
      </c>
      <c r="AE989">
        <v>-12.579199999999901</v>
      </c>
      <c r="AF989">
        <v>14.123432554976899</v>
      </c>
      <c r="AG989">
        <v>-1.0914359108589999</v>
      </c>
      <c r="AH989">
        <v>15.5358800498104</v>
      </c>
      <c r="AI989">
        <v>92.975720589116193</v>
      </c>
      <c r="AJ989">
        <v>47.726502340236898</v>
      </c>
      <c r="AK989">
        <v>21.024417908817199</v>
      </c>
      <c r="AL989">
        <v>81.905609907134505</v>
      </c>
      <c r="AM989">
        <v>66.990019529284197</v>
      </c>
      <c r="AN989">
        <v>1.0000000233709601</v>
      </c>
    </row>
    <row r="990" spans="1:40" x14ac:dyDescent="0.3">
      <c r="A990" t="str">
        <f>"20200111150329463"</f>
        <v>20200111150329463</v>
      </c>
      <c r="B990" t="str">
        <f>"1578726209458914"</f>
        <v>1578726209458914</v>
      </c>
      <c r="C990" t="s">
        <v>40</v>
      </c>
      <c r="D990">
        <v>5.5395620000000001</v>
      </c>
      <c r="E990">
        <v>0.62990749999999995</v>
      </c>
      <c r="F990" t="s">
        <v>68</v>
      </c>
      <c r="G990">
        <v>-202.38499999999999</v>
      </c>
      <c r="H990" s="1">
        <v>-9.1843559999999993E-6</v>
      </c>
      <c r="I990">
        <v>141.9332</v>
      </c>
      <c r="J990">
        <v>-186.0735</v>
      </c>
      <c r="K990">
        <v>1.0912900000000001</v>
      </c>
      <c r="L990">
        <v>153.95820000000001</v>
      </c>
      <c r="M990">
        <v>-0.20781040000000001</v>
      </c>
      <c r="N990">
        <v>0</v>
      </c>
      <c r="O990">
        <v>-0.97802750000000005</v>
      </c>
      <c r="P990">
        <v>-0.57076959999999999</v>
      </c>
      <c r="Q990">
        <v>0.14114779999999999</v>
      </c>
      <c r="R990">
        <v>-0.808888099999999</v>
      </c>
      <c r="S990">
        <v>-2.5915530000000002</v>
      </c>
      <c r="T990">
        <v>-0.172728399999999</v>
      </c>
      <c r="U990">
        <v>-1.940903</v>
      </c>
      <c r="V990">
        <v>0.39515860000000003</v>
      </c>
      <c r="W990">
        <v>0.1432465</v>
      </c>
      <c r="X990">
        <v>0.90737540000000005</v>
      </c>
      <c r="Y990">
        <v>0.6570764</v>
      </c>
      <c r="Z990">
        <v>5.6264040000000001E-2</v>
      </c>
      <c r="AA990">
        <v>0.75172130000000004</v>
      </c>
      <c r="AB990">
        <v>27</v>
      </c>
      <c r="AC990">
        <v>-16.311499999999899</v>
      </c>
      <c r="AD990">
        <v>-1.09129918435599</v>
      </c>
      <c r="AE990">
        <v>-12.025</v>
      </c>
      <c r="AF990">
        <v>13.417129821415401</v>
      </c>
      <c r="AG990">
        <v>-1.09129918435599</v>
      </c>
      <c r="AH990">
        <v>15.1087636166135</v>
      </c>
      <c r="AI990">
        <v>93.091421195781805</v>
      </c>
      <c r="AJ990">
        <v>48.393762220047201</v>
      </c>
      <c r="AK990">
        <v>20.235736818243002</v>
      </c>
      <c r="AL990">
        <v>81.764248935258394</v>
      </c>
      <c r="AM990">
        <v>66.4670543954376</v>
      </c>
      <c r="AN990">
        <v>0.99999999772068504</v>
      </c>
    </row>
    <row r="991" spans="1:40" x14ac:dyDescent="0.3">
      <c r="A991" t="str">
        <f>"20200111150329478"</f>
        <v>20200111150329478</v>
      </c>
      <c r="B991" t="str">
        <f>"1578726209468675"</f>
        <v>1578726209468675</v>
      </c>
      <c r="C991" t="s">
        <v>40</v>
      </c>
      <c r="D991">
        <v>7.9948819999999996</v>
      </c>
      <c r="E991">
        <v>0.62990749999999995</v>
      </c>
      <c r="F991" t="s">
        <v>68</v>
      </c>
      <c r="G991">
        <v>-202.68260000000001</v>
      </c>
      <c r="H991" s="1">
        <v>-9.0505960000000001E-6</v>
      </c>
      <c r="I991">
        <v>141.8509</v>
      </c>
      <c r="J991">
        <v>-186.12559999999999</v>
      </c>
      <c r="K991">
        <v>1.0911879999999901</v>
      </c>
      <c r="L991">
        <v>153.77539999999999</v>
      </c>
      <c r="M991">
        <v>-0.22052949999999999</v>
      </c>
      <c r="N991">
        <v>0</v>
      </c>
      <c r="O991">
        <v>-0.97523680000000001</v>
      </c>
      <c r="P991">
        <v>-0.58509829999999996</v>
      </c>
      <c r="Q991">
        <v>0.14294679999999901</v>
      </c>
      <c r="R991">
        <v>-0.798265</v>
      </c>
      <c r="S991">
        <v>-2.606125</v>
      </c>
      <c r="T991">
        <v>-0.1712351</v>
      </c>
      <c r="U991">
        <v>-1.89975</v>
      </c>
      <c r="V991">
        <v>0.3996902</v>
      </c>
      <c r="W991">
        <v>0.144832399999999</v>
      </c>
      <c r="X991">
        <v>0.90513600000000005</v>
      </c>
      <c r="Y991">
        <v>0.65699339999999995</v>
      </c>
      <c r="Z991">
        <v>5.6103260000000002E-2</v>
      </c>
      <c r="AA991">
        <v>0.75180590000000003</v>
      </c>
      <c r="AB991">
        <v>27</v>
      </c>
      <c r="AC991">
        <v>-16.556999999999999</v>
      </c>
      <c r="AD991">
        <v>-1.09119705059599</v>
      </c>
      <c r="AE991">
        <v>-11.924499999999901</v>
      </c>
      <c r="AF991">
        <v>13.4806289543461</v>
      </c>
      <c r="AG991">
        <v>-1.09119705059599</v>
      </c>
      <c r="AH991">
        <v>15.2390730633825</v>
      </c>
      <c r="AI991">
        <v>93.069958252973393</v>
      </c>
      <c r="AJ991">
        <v>48.5037204736376</v>
      </c>
      <c r="AK991">
        <v>20.3751666456767</v>
      </c>
      <c r="AL991">
        <v>81.672425439629606</v>
      </c>
      <c r="AM991">
        <v>66.174692771694197</v>
      </c>
      <c r="AN991">
        <v>0.99999992928089698</v>
      </c>
    </row>
    <row r="992" spans="1:40" x14ac:dyDescent="0.3">
      <c r="A992" t="str">
        <f>"20200111150329633"</f>
        <v>20200111150329633</v>
      </c>
      <c r="B992" t="str">
        <f>"1578726209628739"</f>
        <v>1578726209628739</v>
      </c>
      <c r="C992" t="s">
        <v>40</v>
      </c>
      <c r="D992">
        <v>5.5750129999999896</v>
      </c>
      <c r="E992">
        <v>0.63265000000000005</v>
      </c>
      <c r="F992" t="s">
        <v>68</v>
      </c>
      <c r="G992">
        <v>-203.33539999999999</v>
      </c>
      <c r="H992" s="1">
        <v>-8.7627539999999993E-6</v>
      </c>
      <c r="I992">
        <v>141.69139999999999</v>
      </c>
      <c r="J992">
        <v>-186.78479999999999</v>
      </c>
      <c r="K992">
        <v>1.0904640000000001</v>
      </c>
      <c r="L992">
        <v>151.9879</v>
      </c>
      <c r="M992">
        <v>-0.35112169999999998</v>
      </c>
      <c r="N992">
        <v>0</v>
      </c>
      <c r="O992">
        <v>-0.93616889999999997</v>
      </c>
      <c r="P992">
        <v>-0.72113879999999997</v>
      </c>
      <c r="Q992">
        <v>0.15526139999999999</v>
      </c>
      <c r="R992">
        <v>-0.67516889999999996</v>
      </c>
      <c r="S992">
        <v>-2.6395719999999998</v>
      </c>
      <c r="T992">
        <v>-0.16736319999999999</v>
      </c>
      <c r="U992">
        <v>-1.853394</v>
      </c>
      <c r="V992">
        <v>0.44385780000000002</v>
      </c>
      <c r="W992">
        <v>0.155029799999999</v>
      </c>
      <c r="X992">
        <v>0.88258490000000001</v>
      </c>
      <c r="Y992">
        <v>0.56323420000000002</v>
      </c>
      <c r="Z992">
        <v>5.414414E-2</v>
      </c>
      <c r="AA992">
        <v>0.82452150000000002</v>
      </c>
      <c r="AB992">
        <v>27</v>
      </c>
      <c r="AC992">
        <v>-16.550599999999999</v>
      </c>
      <c r="AD992">
        <v>-1.0904727627539901</v>
      </c>
      <c r="AE992">
        <v>-10.2965</v>
      </c>
      <c r="AF992">
        <v>11.8435548510838</v>
      </c>
      <c r="AG992">
        <v>-1.0904727627539901</v>
      </c>
      <c r="AH992">
        <v>15.4046531334654</v>
      </c>
      <c r="AI992">
        <v>93.212044939920105</v>
      </c>
      <c r="AJ992">
        <v>52.445847742167402</v>
      </c>
      <c r="AK992">
        <v>19.461815447674098</v>
      </c>
      <c r="AL992">
        <v>81.081475851325095</v>
      </c>
      <c r="AM992">
        <v>63.301873560599603</v>
      </c>
      <c r="AN992">
        <v>1.0000000456084399</v>
      </c>
    </row>
    <row r="993" spans="1:40" x14ac:dyDescent="0.3">
      <c r="A993" t="str">
        <f>"20200111150329654"</f>
        <v>20200111150329654</v>
      </c>
      <c r="B993" t="str">
        <f>"1578726209649235"</f>
        <v>1578726209649235</v>
      </c>
      <c r="C993" t="s">
        <v>40</v>
      </c>
      <c r="D993">
        <v>5.596603</v>
      </c>
      <c r="E993">
        <v>0.63619409999999998</v>
      </c>
      <c r="F993" t="s">
        <v>68</v>
      </c>
      <c r="G993">
        <v>-207.6584</v>
      </c>
      <c r="H993" s="1">
        <v>-7.1810000000000004E-6</v>
      </c>
      <c r="I993">
        <v>142.5497</v>
      </c>
      <c r="J993">
        <v>-186.89089999999999</v>
      </c>
      <c r="K993">
        <v>1.0903989999999999</v>
      </c>
      <c r="L993">
        <v>151.75919999999999</v>
      </c>
      <c r="M993">
        <v>-0.36856220000000001</v>
      </c>
      <c r="N993">
        <v>0</v>
      </c>
      <c r="O993">
        <v>-0.92944000000000004</v>
      </c>
      <c r="P993">
        <v>-0.73608119999999999</v>
      </c>
      <c r="Q993">
        <v>0.15568299999999999</v>
      </c>
      <c r="R993">
        <v>-0.65874679999999997</v>
      </c>
      <c r="S993">
        <v>-2.9460449999999998</v>
      </c>
      <c r="T993">
        <v>-0.1539066</v>
      </c>
      <c r="U993">
        <v>-1.332077</v>
      </c>
      <c r="V993">
        <v>0.44720979999999999</v>
      </c>
      <c r="W993">
        <v>0.15528649999999999</v>
      </c>
      <c r="X993">
        <v>0.88084589999999996</v>
      </c>
      <c r="Y993">
        <v>0.69391219999999998</v>
      </c>
      <c r="Z993">
        <v>5.128344E-2</v>
      </c>
      <c r="AA993">
        <v>0.71823110000000001</v>
      </c>
      <c r="AB993">
        <v>27</v>
      </c>
      <c r="AC993">
        <v>-20.767499999999998</v>
      </c>
      <c r="AD993">
        <v>-1.0904061810000001</v>
      </c>
      <c r="AE993">
        <v>-9.2094999999999896</v>
      </c>
      <c r="AF993">
        <v>15.8737143174083</v>
      </c>
      <c r="AG993">
        <v>-1.0904061810000001</v>
      </c>
      <c r="AH993">
        <v>16.178978993600602</v>
      </c>
      <c r="AI993">
        <v>92.754273119948195</v>
      </c>
      <c r="AJ993">
        <v>45.545659256353197</v>
      </c>
      <c r="AK993">
        <v>22.691918234156098</v>
      </c>
      <c r="AL993">
        <v>81.066587322389296</v>
      </c>
      <c r="AM993">
        <v>63.082870697991197</v>
      </c>
      <c r="AN993">
        <v>1.00000000092255</v>
      </c>
    </row>
    <row r="994" spans="1:40" x14ac:dyDescent="0.3">
      <c r="A994" t="str">
        <f>"20200111150329681"</f>
        <v>20200111150329681</v>
      </c>
      <c r="B994" t="str">
        <f>"1578726209679490"</f>
        <v>1578726209679490</v>
      </c>
      <c r="C994" t="s">
        <v>40</v>
      </c>
      <c r="D994">
        <v>5.5731769999999896</v>
      </c>
      <c r="E994">
        <v>0.63929729999999996</v>
      </c>
      <c r="F994" t="s">
        <v>41</v>
      </c>
      <c r="G994">
        <v>-210.49019999999999</v>
      </c>
      <c r="H994" s="1">
        <v>-4.9358990000000002E-6</v>
      </c>
      <c r="I994">
        <v>141.94380000000001</v>
      </c>
      <c r="J994">
        <v>-187.03909999999999</v>
      </c>
      <c r="K994">
        <v>1.0903210000000001</v>
      </c>
      <c r="L994">
        <v>151.45760000000001</v>
      </c>
      <c r="M994">
        <v>-0.39178109999999999</v>
      </c>
      <c r="N994">
        <v>0</v>
      </c>
      <c r="O994">
        <v>-0.91989219999999905</v>
      </c>
      <c r="P994">
        <v>-0.75486790000000004</v>
      </c>
      <c r="Q994">
        <v>0.15544520000000001</v>
      </c>
      <c r="R994">
        <v>-0.63719019999999904</v>
      </c>
      <c r="S994">
        <v>-2.9913940000000001</v>
      </c>
      <c r="T994">
        <v>-0.1382167</v>
      </c>
      <c r="U994">
        <v>-1.2441709999999999</v>
      </c>
      <c r="V994">
        <v>0.45063189999999997</v>
      </c>
      <c r="W994">
        <v>0.15488660000000001</v>
      </c>
      <c r="X994">
        <v>0.87917069999999997</v>
      </c>
      <c r="Y994">
        <v>0.69799309999999903</v>
      </c>
      <c r="Z994">
        <v>4.6017950000000002E-2</v>
      </c>
      <c r="AA994">
        <v>0.71462440000000005</v>
      </c>
      <c r="AB994">
        <v>27</v>
      </c>
      <c r="AC994">
        <v>-23.4511</v>
      </c>
      <c r="AD994">
        <v>-1.0903259358989901</v>
      </c>
      <c r="AE994">
        <v>-9.5137999999999998</v>
      </c>
      <c r="AF994">
        <v>17.814819852898101</v>
      </c>
      <c r="AG994">
        <v>-1.0903259358989901</v>
      </c>
      <c r="AH994">
        <v>17.908870916443899</v>
      </c>
      <c r="AI994">
        <v>92.471534393798805</v>
      </c>
      <c r="AJ994">
        <v>45.150844339808998</v>
      </c>
      <c r="AK994">
        <v>25.284071557792199</v>
      </c>
      <c r="AL994">
        <v>81.089780908396307</v>
      </c>
      <c r="AM994">
        <v>62.861922801594901</v>
      </c>
      <c r="AN994">
        <v>1.00000004394782</v>
      </c>
    </row>
    <row r="995" spans="1:40" x14ac:dyDescent="0.3">
      <c r="A995" t="str">
        <f>"20200111150329700"</f>
        <v>20200111150329700</v>
      </c>
      <c r="B995" t="str">
        <f>"1578726209689250"</f>
        <v>1578726209689250</v>
      </c>
      <c r="C995" t="s">
        <v>40</v>
      </c>
      <c r="D995">
        <v>5.6143400000000003</v>
      </c>
      <c r="E995">
        <v>0.63953859999999996</v>
      </c>
      <c r="F995" t="s">
        <v>41</v>
      </c>
      <c r="G995">
        <v>-211.9427</v>
      </c>
      <c r="H995" s="1">
        <v>-4.413538E-6</v>
      </c>
      <c r="I995">
        <v>142.14359999999999</v>
      </c>
      <c r="J995">
        <v>-187.14400000000001</v>
      </c>
      <c r="K995">
        <v>1.090268</v>
      </c>
      <c r="L995">
        <v>151.2552</v>
      </c>
      <c r="M995">
        <v>-0.4074914</v>
      </c>
      <c r="N995">
        <v>0</v>
      </c>
      <c r="O995">
        <v>-0.91304070000000004</v>
      </c>
      <c r="P995">
        <v>-0.7679298</v>
      </c>
      <c r="Q995">
        <v>0.15367809999999901</v>
      </c>
      <c r="R995">
        <v>-0.62182559999999998</v>
      </c>
      <c r="S995">
        <v>-3.0414430000000001</v>
      </c>
      <c r="T995">
        <v>-0.13315969999999999</v>
      </c>
      <c r="U995">
        <v>-1.1375120000000001</v>
      </c>
      <c r="V995">
        <v>0.45358700000000002</v>
      </c>
      <c r="W995">
        <v>0.15299019999999999</v>
      </c>
      <c r="X995">
        <v>0.87798229999999999</v>
      </c>
      <c r="Y995">
        <v>0.71158369999999904</v>
      </c>
      <c r="Z995">
        <v>4.4404970000000002E-2</v>
      </c>
      <c r="AA995">
        <v>0.70119670000000001</v>
      </c>
      <c r="AB995">
        <v>27</v>
      </c>
      <c r="AC995">
        <v>-24.7987</v>
      </c>
      <c r="AD995">
        <v>-1.090272413538</v>
      </c>
      <c r="AE995">
        <v>-9.1116000000000099</v>
      </c>
      <c r="AF995">
        <v>18.9000473173082</v>
      </c>
      <c r="AG995">
        <v>-1.090272413538</v>
      </c>
      <c r="AH995">
        <v>18.396022914924501</v>
      </c>
      <c r="AI995">
        <v>92.367133394506993</v>
      </c>
      <c r="AJ995">
        <v>44.225743811713102</v>
      </c>
      <c r="AK995">
        <v>26.3972373861099</v>
      </c>
      <c r="AL995">
        <v>81.199747384931598</v>
      </c>
      <c r="AM995">
        <v>62.678024248760998</v>
      </c>
      <c r="AN995">
        <v>1.0000000434891601</v>
      </c>
    </row>
    <row r="996" spans="1:40" x14ac:dyDescent="0.3">
      <c r="A996" t="str">
        <f>"20200111150329721"</f>
        <v>20200111150329721</v>
      </c>
      <c r="B996" t="str">
        <f>"1578726209708776"</f>
        <v>1578726209708776</v>
      </c>
      <c r="C996" t="s">
        <v>40</v>
      </c>
      <c r="D996">
        <v>5.6517650000000001</v>
      </c>
      <c r="E996">
        <v>0.64044619999999997</v>
      </c>
      <c r="F996" t="s">
        <v>41</v>
      </c>
      <c r="G996">
        <v>-212.02199999999999</v>
      </c>
      <c r="H996" s="1">
        <v>-4.4556180000000002E-6</v>
      </c>
      <c r="I996">
        <v>142.55250000000001</v>
      </c>
      <c r="J996">
        <v>-187.26669999999999</v>
      </c>
      <c r="K996">
        <v>1.090222</v>
      </c>
      <c r="L996">
        <v>151.02889999999999</v>
      </c>
      <c r="M996">
        <v>-0.42516540000000003</v>
      </c>
      <c r="N996">
        <v>0</v>
      </c>
      <c r="O996">
        <v>-0.904945</v>
      </c>
      <c r="P996">
        <v>-0.78215919999999906</v>
      </c>
      <c r="Q996">
        <v>0.15194179999999999</v>
      </c>
      <c r="R996">
        <v>-0.60426880000000005</v>
      </c>
      <c r="S996">
        <v>-3.0652309999999998</v>
      </c>
      <c r="T996">
        <v>-0.13433299999999901</v>
      </c>
      <c r="U996">
        <v>-1.0722659999999999</v>
      </c>
      <c r="V996">
        <v>0.45667029999999997</v>
      </c>
      <c r="W996">
        <v>0.151124799999999</v>
      </c>
      <c r="X996">
        <v>0.87670609999999904</v>
      </c>
      <c r="Y996">
        <v>0.71291470000000001</v>
      </c>
      <c r="Z996">
        <v>4.478443E-2</v>
      </c>
      <c r="AA996">
        <v>0.69981919999999898</v>
      </c>
      <c r="AB996">
        <v>26</v>
      </c>
      <c r="AC996">
        <v>-24.755299999999998</v>
      </c>
      <c r="AD996">
        <v>-1.0902264556179999</v>
      </c>
      <c r="AE996">
        <v>-8.4763999999999804</v>
      </c>
      <c r="AF996">
        <v>18.768634982868001</v>
      </c>
      <c r="AG996">
        <v>-1.0902264556179999</v>
      </c>
      <c r="AH996">
        <v>18.1670461103568</v>
      </c>
      <c r="AI996">
        <v>92.390004081583797</v>
      </c>
      <c r="AJ996">
        <v>44.0668791015366</v>
      </c>
      <c r="AK996">
        <v>26.143676428928298</v>
      </c>
      <c r="AL996">
        <v>81.307884254345694</v>
      </c>
      <c r="AM996">
        <v>62.485296481351398</v>
      </c>
      <c r="AN996">
        <v>1.0000000269271601</v>
      </c>
    </row>
    <row r="997" spans="1:40" x14ac:dyDescent="0.3">
      <c r="A997" t="str">
        <f>"20200111150329743"</f>
        <v>20200111150329743</v>
      </c>
      <c r="B997" t="str">
        <f>"1578726209739027"</f>
        <v>1578726209739027</v>
      </c>
      <c r="C997" t="s">
        <v>40</v>
      </c>
      <c r="D997">
        <v>5.7091440000000002</v>
      </c>
      <c r="E997">
        <v>0.6414839</v>
      </c>
      <c r="F997" t="s">
        <v>41</v>
      </c>
      <c r="G997">
        <v>-211.88149999999999</v>
      </c>
      <c r="H997" s="1">
        <v>-4.6078390000000002E-6</v>
      </c>
      <c r="I997">
        <v>143.10640000000001</v>
      </c>
      <c r="J997">
        <v>-187.4015</v>
      </c>
      <c r="K997">
        <v>1.090176</v>
      </c>
      <c r="L997">
        <v>150.7919</v>
      </c>
      <c r="M997">
        <v>-0.4437931</v>
      </c>
      <c r="N997">
        <v>0</v>
      </c>
      <c r="O997">
        <v>-0.89595609999999903</v>
      </c>
      <c r="P997">
        <v>-0.79857080000000003</v>
      </c>
      <c r="Q997">
        <v>0.1486354</v>
      </c>
      <c r="R997">
        <v>-0.58326040000000001</v>
      </c>
      <c r="S997">
        <v>-3.093048</v>
      </c>
      <c r="T997">
        <v>-0.1369956</v>
      </c>
      <c r="U997">
        <v>-0.9955292</v>
      </c>
      <c r="V997">
        <v>0.46229769999999998</v>
      </c>
      <c r="W997">
        <v>0.14758489999999999</v>
      </c>
      <c r="X997">
        <v>0.87435659999999904</v>
      </c>
      <c r="Y997">
        <v>0.71595719999999996</v>
      </c>
      <c r="Z997">
        <v>4.5642580000000002E-2</v>
      </c>
      <c r="AA997">
        <v>0.69665059999999901</v>
      </c>
      <c r="AB997">
        <v>26</v>
      </c>
      <c r="AC997">
        <v>-24.479999999999901</v>
      </c>
      <c r="AD997">
        <v>-1.0901806078389999</v>
      </c>
      <c r="AE997">
        <v>-7.6854999999999896</v>
      </c>
      <c r="AF997">
        <v>18.4917252874707</v>
      </c>
      <c r="AG997">
        <v>-1.0901806078389999</v>
      </c>
      <c r="AH997">
        <v>17.7206896005166</v>
      </c>
      <c r="AI997">
        <v>92.437351088503206</v>
      </c>
      <c r="AJ997">
        <v>43.780241064615502</v>
      </c>
      <c r="AK997">
        <v>25.635039258461202</v>
      </c>
      <c r="AL997">
        <v>81.513005884970994</v>
      </c>
      <c r="AM997">
        <v>62.133292651782803</v>
      </c>
      <c r="AN997">
        <v>0.99999996504842903</v>
      </c>
    </row>
    <row r="998" spans="1:40" x14ac:dyDescent="0.3">
      <c r="A998" t="str">
        <f>"20200111150329766"</f>
        <v>20200111150329766</v>
      </c>
      <c r="B998" t="str">
        <f>"1578726209759522"</f>
        <v>1578726209759522</v>
      </c>
      <c r="C998" t="s">
        <v>40</v>
      </c>
      <c r="D998">
        <v>5.695379</v>
      </c>
      <c r="E998">
        <v>0.64154650000000002</v>
      </c>
      <c r="F998" t="s">
        <v>41</v>
      </c>
      <c r="G998">
        <v>-210.61199999999999</v>
      </c>
      <c r="H998" s="1">
        <v>-5.267231E-6</v>
      </c>
      <c r="I998">
        <v>144.0754</v>
      </c>
      <c r="J998">
        <v>-187.5427</v>
      </c>
      <c r="K998">
        <v>1.0901559999999999</v>
      </c>
      <c r="L998">
        <v>150.55500000000001</v>
      </c>
      <c r="M998">
        <v>-0.4625107</v>
      </c>
      <c r="N998">
        <v>0</v>
      </c>
      <c r="O998">
        <v>-0.88643799999999995</v>
      </c>
      <c r="P998">
        <v>-0.81147069999999999</v>
      </c>
      <c r="Q998">
        <v>0.14698599999999901</v>
      </c>
      <c r="R998">
        <v>-0.56560679999999997</v>
      </c>
      <c r="S998">
        <v>-3.1238100000000002</v>
      </c>
      <c r="T998">
        <v>-0.14672289999999999</v>
      </c>
      <c r="U998">
        <v>-0.90394589999999997</v>
      </c>
      <c r="V998">
        <v>0.46332509999999999</v>
      </c>
      <c r="W998">
        <v>0.14591179999999901</v>
      </c>
      <c r="X998">
        <v>0.87409349999999997</v>
      </c>
      <c r="Y998">
        <v>0.72182489999999999</v>
      </c>
      <c r="Z998">
        <v>4.8870869999999997E-2</v>
      </c>
      <c r="AA998">
        <v>0.69034799999999996</v>
      </c>
      <c r="AB998">
        <v>26</v>
      </c>
      <c r="AC998">
        <v>-23.069299999999998</v>
      </c>
      <c r="AD998">
        <v>-1.0901612672309999</v>
      </c>
      <c r="AE998">
        <v>-6.4795999999999996</v>
      </c>
      <c r="AF998">
        <v>17.419283926437501</v>
      </c>
      <c r="AG998">
        <v>-1.0901612672309999</v>
      </c>
      <c r="AH998">
        <v>16.382210544809599</v>
      </c>
      <c r="AI998">
        <v>92.610282743608906</v>
      </c>
      <c r="AJ998">
        <v>43.242642982143401</v>
      </c>
      <c r="AK998">
        <v>23.9373500294599</v>
      </c>
      <c r="AL998">
        <v>81.609916293698205</v>
      </c>
      <c r="AM998">
        <v>62.073567898780098</v>
      </c>
      <c r="AN998">
        <v>0.99999992420574702</v>
      </c>
    </row>
    <row r="999" spans="1:40" x14ac:dyDescent="0.3">
      <c r="A999" t="str">
        <f>"20200111150329789"</f>
        <v>20200111150329789</v>
      </c>
      <c r="B999" t="str">
        <f>"1578726209779045"</f>
        <v>1578726209779045</v>
      </c>
      <c r="C999" t="s">
        <v>40</v>
      </c>
      <c r="D999">
        <v>5.6685869999999996</v>
      </c>
      <c r="E999">
        <v>0.6410825</v>
      </c>
      <c r="F999" t="s">
        <v>41</v>
      </c>
      <c r="G999">
        <v>-209.98349999999999</v>
      </c>
      <c r="H999" s="1">
        <v>-5.6045299999999999E-6</v>
      </c>
      <c r="I999">
        <v>144.6163</v>
      </c>
      <c r="J999">
        <v>-187.69229999999999</v>
      </c>
      <c r="K999">
        <v>1.090158</v>
      </c>
      <c r="L999">
        <v>150.316</v>
      </c>
      <c r="M999">
        <v>-0.48149619999999999</v>
      </c>
      <c r="N999">
        <v>0</v>
      </c>
      <c r="O999">
        <v>-0.87626979999999999</v>
      </c>
      <c r="P999">
        <v>-0.82435789999999998</v>
      </c>
      <c r="Q999">
        <v>0.14787549999999999</v>
      </c>
      <c r="R999">
        <v>-0.54641329999999999</v>
      </c>
      <c r="S999">
        <v>-3.144638</v>
      </c>
      <c r="T999">
        <v>-0.1527647</v>
      </c>
      <c r="U999">
        <v>-0.83219909999999997</v>
      </c>
      <c r="V999">
        <v>0.46490179999999998</v>
      </c>
      <c r="W999">
        <v>0.14675379999999999</v>
      </c>
      <c r="X999">
        <v>0.87311489999999903</v>
      </c>
      <c r="Y999">
        <v>0.72269159999999999</v>
      </c>
      <c r="Z999">
        <v>5.0786770000000002E-2</v>
      </c>
      <c r="AA999">
        <v>0.68930230000000003</v>
      </c>
      <c r="AB999">
        <v>26</v>
      </c>
      <c r="AC999">
        <v>-22.2912</v>
      </c>
      <c r="AD999">
        <v>-1.0901636045300001</v>
      </c>
      <c r="AE999">
        <v>-5.6997</v>
      </c>
      <c r="AF999">
        <v>16.753734768872501</v>
      </c>
      <c r="AG999">
        <v>-1.0901636045300001</v>
      </c>
      <c r="AH999">
        <v>15.6948276749426</v>
      </c>
      <c r="AI999">
        <v>92.718795772843194</v>
      </c>
      <c r="AJ999">
        <v>43.130906899404003</v>
      </c>
      <c r="AK999">
        <v>22.982682635769802</v>
      </c>
      <c r="AL999">
        <v>81.561148876739594</v>
      </c>
      <c r="AM999">
        <v>61.9663289115528</v>
      </c>
      <c r="AN999">
        <v>0.99999999502984405</v>
      </c>
    </row>
    <row r="1000" spans="1:40" x14ac:dyDescent="0.3">
      <c r="A1000" t="str">
        <f>"20200111150329816"</f>
        <v>20200111150329816</v>
      </c>
      <c r="B1000" t="str">
        <f>"1578726209809298"</f>
        <v>1578726209809298</v>
      </c>
      <c r="C1000" t="s">
        <v>40</v>
      </c>
      <c r="D1000">
        <v>5.74634</v>
      </c>
      <c r="E1000">
        <v>0.64005239999999997</v>
      </c>
      <c r="F1000" t="s">
        <v>41</v>
      </c>
      <c r="G1000">
        <v>-211.03970000000001</v>
      </c>
      <c r="H1000" s="1">
        <v>-5.214791E-6</v>
      </c>
      <c r="I1000">
        <v>144.7056</v>
      </c>
      <c r="J1000">
        <v>-187.8689</v>
      </c>
      <c r="K1000">
        <v>1.0901700000000001</v>
      </c>
      <c r="L1000">
        <v>150.04929999999999</v>
      </c>
      <c r="M1000">
        <v>-0.50284549999999995</v>
      </c>
      <c r="N1000">
        <v>0</v>
      </c>
      <c r="O1000">
        <v>-0.86419489999999999</v>
      </c>
      <c r="P1000">
        <v>-0.83837709999999999</v>
      </c>
      <c r="Q1000">
        <v>0.1490185</v>
      </c>
      <c r="R1000">
        <v>-0.52432609999999902</v>
      </c>
      <c r="S1000">
        <v>-3.1620029999999999</v>
      </c>
      <c r="T1000">
        <v>-0.14764369999999999</v>
      </c>
      <c r="U1000">
        <v>-0.75984189999999996</v>
      </c>
      <c r="V1000">
        <v>0.46654060000000003</v>
      </c>
      <c r="W1000">
        <v>0.14785599999999999</v>
      </c>
      <c r="X1000">
        <v>0.8720542</v>
      </c>
      <c r="Y1000">
        <v>0.72162360000000003</v>
      </c>
      <c r="Z1000">
        <v>4.8946129999999997E-2</v>
      </c>
      <c r="AA1000">
        <v>0.69055319999999998</v>
      </c>
      <c r="AB1000">
        <v>26</v>
      </c>
      <c r="AC1000">
        <v>-23.1708</v>
      </c>
      <c r="AD1000">
        <v>-1.090175214791</v>
      </c>
      <c r="AE1000">
        <v>-5.3436999999999797</v>
      </c>
      <c r="AF1000">
        <v>17.303381179341802</v>
      </c>
      <c r="AG1000">
        <v>-1.090175214791</v>
      </c>
      <c r="AH1000">
        <v>16.237752653638601</v>
      </c>
      <c r="AI1000">
        <v>92.630460852059599</v>
      </c>
      <c r="AJ1000">
        <v>43.180279569275498</v>
      </c>
      <c r="AK1000">
        <v>23.7541594984393</v>
      </c>
      <c r="AL1000">
        <v>81.497301238263404</v>
      </c>
      <c r="AM1000">
        <v>61.853647717534997</v>
      </c>
      <c r="AN1000">
        <v>1.00000002796099</v>
      </c>
    </row>
    <row r="1001" spans="1:40" x14ac:dyDescent="0.3">
      <c r="A1001" t="str">
        <f>"20200111150329834"</f>
        <v>20200111150329834</v>
      </c>
      <c r="B1001" t="str">
        <f>"1578726209828819"</f>
        <v>1578726209828819</v>
      </c>
      <c r="C1001" t="s">
        <v>40</v>
      </c>
      <c r="D1001">
        <v>5.9738930000000003</v>
      </c>
      <c r="E1001">
        <v>0.63948319999999903</v>
      </c>
      <c r="F1001" t="s">
        <v>41</v>
      </c>
      <c r="G1001">
        <v>-210.7407</v>
      </c>
      <c r="H1001" s="1">
        <v>-5.4036750000000004E-6</v>
      </c>
      <c r="I1001">
        <v>145.12309999999999</v>
      </c>
      <c r="J1001">
        <v>-187.9923</v>
      </c>
      <c r="K1001">
        <v>1.0901909999999999</v>
      </c>
      <c r="L1001">
        <v>149.87029999999999</v>
      </c>
      <c r="M1001">
        <v>-0.51720719999999998</v>
      </c>
      <c r="N1001">
        <v>0</v>
      </c>
      <c r="O1001">
        <v>-0.85567669999999996</v>
      </c>
      <c r="P1001">
        <v>-0.84763040000000001</v>
      </c>
      <c r="Q1001">
        <v>0.15010470000000001</v>
      </c>
      <c r="R1001">
        <v>-0.50891260000000005</v>
      </c>
      <c r="S1001">
        <v>-3.1772610000000001</v>
      </c>
      <c r="T1001">
        <v>-0.1514432</v>
      </c>
      <c r="U1001">
        <v>-0.6843262</v>
      </c>
      <c r="V1001">
        <v>0.46779280000000001</v>
      </c>
      <c r="W1001">
        <v>0.14890999999999999</v>
      </c>
      <c r="X1001">
        <v>0.87120359999999997</v>
      </c>
      <c r="Y1001">
        <v>0.72635070000000002</v>
      </c>
      <c r="Z1001">
        <v>5.0220620000000001E-2</v>
      </c>
      <c r="AA1001">
        <v>0.68548699999999996</v>
      </c>
      <c r="AB1001">
        <v>26</v>
      </c>
      <c r="AC1001">
        <v>-22.7484</v>
      </c>
      <c r="AD1001">
        <v>-1.09019640367499</v>
      </c>
      <c r="AE1001">
        <v>-4.7471999999999897</v>
      </c>
      <c r="AF1001">
        <v>16.975301352829199</v>
      </c>
      <c r="AG1001">
        <v>-1.09019640367499</v>
      </c>
      <c r="AH1001">
        <v>15.795427262978899</v>
      </c>
      <c r="AI1001">
        <v>92.691877356579496</v>
      </c>
      <c r="AJ1001">
        <v>42.938019050943197</v>
      </c>
      <c r="AK1001">
        <v>23.2130331201678</v>
      </c>
      <c r="AL1001">
        <v>81.436235263707303</v>
      </c>
      <c r="AM1001">
        <v>61.766423778294502</v>
      </c>
      <c r="AN1001">
        <v>1.0000000022423901</v>
      </c>
    </row>
    <row r="1002" spans="1:40" x14ac:dyDescent="0.3">
      <c r="A1002" t="str">
        <f>"20200111150329856"</f>
        <v>20200111150329856</v>
      </c>
      <c r="B1002" t="str">
        <f>"1578726209849315"</f>
        <v>1578726209849315</v>
      </c>
      <c r="C1002" t="s">
        <v>40</v>
      </c>
      <c r="D1002">
        <v>5.737571</v>
      </c>
      <c r="E1002">
        <v>0.63815859999999902</v>
      </c>
      <c r="F1002" t="s">
        <v>41</v>
      </c>
      <c r="G1002">
        <v>-210.4699</v>
      </c>
      <c r="H1002" s="1">
        <v>-5.5588769999999998E-6</v>
      </c>
      <c r="I1002">
        <v>145.4118</v>
      </c>
      <c r="J1002">
        <v>-188.14959999999999</v>
      </c>
      <c r="K1002">
        <v>1.090217</v>
      </c>
      <c r="L1002">
        <v>149.65170000000001</v>
      </c>
      <c r="M1002">
        <v>-0.53482629999999998</v>
      </c>
      <c r="N1002">
        <v>0</v>
      </c>
      <c r="O1002">
        <v>-0.84477569999999902</v>
      </c>
      <c r="P1002">
        <v>-0.85753489999999999</v>
      </c>
      <c r="Q1002">
        <v>0.151784</v>
      </c>
      <c r="R1002">
        <v>-0.4915236</v>
      </c>
      <c r="S1002">
        <v>-3.187103</v>
      </c>
      <c r="T1002">
        <v>-0.15457939999999901</v>
      </c>
      <c r="U1002">
        <v>-0.63217159999999994</v>
      </c>
      <c r="V1002">
        <v>0.46730690000000003</v>
      </c>
      <c r="W1002">
        <v>0.1506431</v>
      </c>
      <c r="X1002">
        <v>0.87116640000000001</v>
      </c>
      <c r="Y1002">
        <v>0.72326579999999996</v>
      </c>
      <c r="Z1002">
        <v>5.1049629999999999E-2</v>
      </c>
      <c r="AA1002">
        <v>0.68868030000000002</v>
      </c>
      <c r="AB1002">
        <v>26</v>
      </c>
      <c r="AC1002">
        <v>-22.3203</v>
      </c>
      <c r="AD1002">
        <v>-1.090222558877</v>
      </c>
      <c r="AE1002">
        <v>-4.2398999999999996</v>
      </c>
      <c r="AF1002">
        <v>16.5525336291131</v>
      </c>
      <c r="AG1002">
        <v>-1.090222558877</v>
      </c>
      <c r="AH1002">
        <v>15.4860320868007</v>
      </c>
      <c r="AI1002">
        <v>92.753624341932607</v>
      </c>
      <c r="AJ1002">
        <v>43.093438940714499</v>
      </c>
      <c r="AK1002">
        <v>22.693438359231202</v>
      </c>
      <c r="AL1002">
        <v>81.335802934709207</v>
      </c>
      <c r="AM1002">
        <v>61.790214771585298</v>
      </c>
      <c r="AN1002">
        <v>0.99999998942709001</v>
      </c>
    </row>
    <row r="1003" spans="1:40" x14ac:dyDescent="0.3">
      <c r="A1003" t="str">
        <f>"20200111150329877"</f>
        <v>20200111150329877</v>
      </c>
      <c r="B1003" t="str">
        <f>"1578726209868837"</f>
        <v>1578726209868837</v>
      </c>
      <c r="C1003" t="s">
        <v>40</v>
      </c>
      <c r="D1003">
        <v>5.7061729999999997</v>
      </c>
      <c r="E1003">
        <v>0.63815859999999902</v>
      </c>
      <c r="F1003" t="s">
        <v>41</v>
      </c>
      <c r="G1003">
        <v>-210.6465</v>
      </c>
      <c r="H1003" s="1">
        <v>-5.5216529999999998E-6</v>
      </c>
      <c r="I1003">
        <v>145.58430000000001</v>
      </c>
      <c r="J1003">
        <v>-188.3066</v>
      </c>
      <c r="K1003">
        <v>1.0902339999999999</v>
      </c>
      <c r="L1003">
        <v>149.4425</v>
      </c>
      <c r="M1003">
        <v>-0.55175850000000004</v>
      </c>
      <c r="N1003">
        <v>0</v>
      </c>
      <c r="O1003">
        <v>-0.83381499999999997</v>
      </c>
      <c r="P1003">
        <v>-0.86705849999999995</v>
      </c>
      <c r="Q1003">
        <v>0.15113869999999999</v>
      </c>
      <c r="R1003">
        <v>-0.47472839999999999</v>
      </c>
      <c r="S1003">
        <v>-3.1947329999999998</v>
      </c>
      <c r="T1003">
        <v>-0.1548197</v>
      </c>
      <c r="U1003">
        <v>-0.57760619999999996</v>
      </c>
      <c r="V1003">
        <v>0.46676210000000001</v>
      </c>
      <c r="W1003">
        <v>0.15005940000000001</v>
      </c>
      <c r="X1003">
        <v>0.87155910000000003</v>
      </c>
      <c r="Y1003">
        <v>0.72102219999999995</v>
      </c>
      <c r="Z1003">
        <v>5.0944169999999997E-2</v>
      </c>
      <c r="AA1003">
        <v>0.69103680000000001</v>
      </c>
      <c r="AB1003">
        <v>26</v>
      </c>
      <c r="AC1003">
        <v>-22.3399</v>
      </c>
      <c r="AD1003">
        <v>-1.0902395216530001</v>
      </c>
      <c r="AE1003">
        <v>-3.8581999999999801</v>
      </c>
      <c r="AF1003">
        <v>16.463075094131</v>
      </c>
      <c r="AG1003">
        <v>-1.0902395216530001</v>
      </c>
      <c r="AH1003">
        <v>15.509834771828199</v>
      </c>
      <c r="AI1003">
        <v>92.759614696225995</v>
      </c>
      <c r="AJ1003">
        <v>43.292289512156401</v>
      </c>
      <c r="AK1003">
        <v>22.644567525545298</v>
      </c>
      <c r="AL1003">
        <v>81.369630876538906</v>
      </c>
      <c r="AM1003">
        <v>61.828794557710097</v>
      </c>
      <c r="AN1003">
        <v>0.99999997315878897</v>
      </c>
    </row>
    <row r="1004" spans="1:40" x14ac:dyDescent="0.3">
      <c r="A1004" t="str">
        <f>"20200111150329900"</f>
        <v>20200111150329900</v>
      </c>
      <c r="B1004" t="str">
        <f>"1578726209889330"</f>
        <v>1578726209889330</v>
      </c>
      <c r="C1004" t="s">
        <v>40</v>
      </c>
      <c r="D1004">
        <v>5.732901</v>
      </c>
      <c r="E1004">
        <v>0.63694419999999996</v>
      </c>
      <c r="F1004" t="s">
        <v>41</v>
      </c>
      <c r="G1004">
        <v>-210.76910000000001</v>
      </c>
      <c r="H1004" s="1">
        <v>-5.5197020000000003E-6</v>
      </c>
      <c r="I1004">
        <v>145.83869999999999</v>
      </c>
      <c r="J1004">
        <v>-188.47190000000001</v>
      </c>
      <c r="K1004">
        <v>1.090257</v>
      </c>
      <c r="L1004">
        <v>149.23159999999999</v>
      </c>
      <c r="M1004">
        <v>-0.56889369999999995</v>
      </c>
      <c r="N1004">
        <v>0</v>
      </c>
      <c r="O1004">
        <v>-0.82221939999999905</v>
      </c>
      <c r="P1004">
        <v>-0.87612679999999998</v>
      </c>
      <c r="Q1004">
        <v>0.14949509999999999</v>
      </c>
      <c r="R1004">
        <v>-0.4583158</v>
      </c>
      <c r="S1004">
        <v>-3.2055210000000001</v>
      </c>
      <c r="T1004">
        <v>-0.15558350000000001</v>
      </c>
      <c r="U1004">
        <v>-0.51428220000000002</v>
      </c>
      <c r="V1004">
        <v>0.46529999999999999</v>
      </c>
      <c r="W1004">
        <v>0.1485224</v>
      </c>
      <c r="X1004">
        <v>0.87260360000000003</v>
      </c>
      <c r="Y1004">
        <v>0.72037109999999904</v>
      </c>
      <c r="Z1004">
        <v>5.097554E-2</v>
      </c>
      <c r="AA1004">
        <v>0.69171309999999997</v>
      </c>
      <c r="AB1004">
        <v>26</v>
      </c>
      <c r="AC1004">
        <v>-22.2972</v>
      </c>
      <c r="AD1004">
        <v>-1.0902625197019999</v>
      </c>
      <c r="AE1004">
        <v>-3.3928999999999898</v>
      </c>
      <c r="AF1004">
        <v>16.367329774382601</v>
      </c>
      <c r="AG1004">
        <v>-1.0902625197019999</v>
      </c>
      <c r="AH1004">
        <v>15.440802334627399</v>
      </c>
      <c r="AI1004">
        <v>92.774002555907401</v>
      </c>
      <c r="AJ1004">
        <v>43.331523987723003</v>
      </c>
      <c r="AK1004">
        <v>22.527683703441301</v>
      </c>
      <c r="AL1004">
        <v>81.458692973765295</v>
      </c>
      <c r="AM1004">
        <v>61.932041799832703</v>
      </c>
      <c r="AN1004">
        <v>1.0000000180173501</v>
      </c>
    </row>
    <row r="1005" spans="1:40" x14ac:dyDescent="0.3">
      <c r="A1005" t="str">
        <f>"20200111150329921"</f>
        <v>20200111150329921</v>
      </c>
      <c r="B1005" t="str">
        <f>"1578726209919587"</f>
        <v>1578726209919587</v>
      </c>
      <c r="C1005" t="s">
        <v>40</v>
      </c>
      <c r="D1005">
        <v>5.7152609999999999</v>
      </c>
      <c r="E1005">
        <v>0.63433969999999995</v>
      </c>
      <c r="F1005" t="s">
        <v>41</v>
      </c>
      <c r="G1005">
        <v>-210.30289999999999</v>
      </c>
      <c r="H1005" s="1">
        <v>-5.7445949999999997E-6</v>
      </c>
      <c r="I1005">
        <v>146.09739999999999</v>
      </c>
      <c r="J1005">
        <v>-188.636</v>
      </c>
      <c r="K1005">
        <v>1.0902860000000001</v>
      </c>
      <c r="L1005">
        <v>149.0308</v>
      </c>
      <c r="M1005">
        <v>-0.58526990000000001</v>
      </c>
      <c r="N1005">
        <v>0</v>
      </c>
      <c r="O1005">
        <v>-0.81064409999999998</v>
      </c>
      <c r="P1005">
        <v>-0.88440759999999996</v>
      </c>
      <c r="Q1005">
        <v>0.14890439999999999</v>
      </c>
      <c r="R1005">
        <v>-0.44232440000000001</v>
      </c>
      <c r="S1005">
        <v>-3.2104029999999999</v>
      </c>
      <c r="T1005">
        <v>-0.16033069999999999</v>
      </c>
      <c r="U1005">
        <v>-0.46090700000000001</v>
      </c>
      <c r="V1005">
        <v>0.46369559999999999</v>
      </c>
      <c r="W1005">
        <v>0.148040899999999</v>
      </c>
      <c r="X1005">
        <v>0.87353890000000001</v>
      </c>
      <c r="Y1005">
        <v>0.71779729999999997</v>
      </c>
      <c r="Z1005">
        <v>5.2290499999999997E-2</v>
      </c>
      <c r="AA1005">
        <v>0.69428579999999995</v>
      </c>
      <c r="AB1005">
        <v>26</v>
      </c>
      <c r="AC1005">
        <v>-21.666899999999998</v>
      </c>
      <c r="AD1005">
        <v>-1.090291744595</v>
      </c>
      <c r="AE1005">
        <v>-2.9333999999999998</v>
      </c>
      <c r="AF1005">
        <v>15.810498570564301</v>
      </c>
      <c r="AG1005">
        <v>-1.090291744595</v>
      </c>
      <c r="AH1005">
        <v>15.0239439668832</v>
      </c>
      <c r="AI1005">
        <v>92.861815476534701</v>
      </c>
      <c r="AJ1005">
        <v>43.538761064709199</v>
      </c>
      <c r="AK1005">
        <v>21.8375706858202</v>
      </c>
      <c r="AL1005">
        <v>81.486588814173302</v>
      </c>
      <c r="AM1005">
        <v>62.039555043939899</v>
      </c>
      <c r="AN1005">
        <v>0.99999996367268895</v>
      </c>
    </row>
    <row r="1006" spans="1:40" x14ac:dyDescent="0.3">
      <c r="A1006" t="str">
        <f>"20200111150329945"</f>
        <v>20200111150329945</v>
      </c>
      <c r="B1006" t="str">
        <f>"1578726209939106"</f>
        <v>1578726209939106</v>
      </c>
      <c r="C1006" t="s">
        <v>40</v>
      </c>
      <c r="D1006">
        <v>5.8317839999999999</v>
      </c>
      <c r="E1006">
        <v>0.63275590000000004</v>
      </c>
      <c r="F1006" t="s">
        <v>68</v>
      </c>
      <c r="G1006">
        <v>-209.22130000000001</v>
      </c>
      <c r="H1006" s="1">
        <v>-7.4876399999999902E-6</v>
      </c>
      <c r="I1006">
        <v>146.33670000000001</v>
      </c>
      <c r="J1006">
        <v>-188.81299999999999</v>
      </c>
      <c r="K1006">
        <v>1.090319</v>
      </c>
      <c r="L1006">
        <v>148.82299999999901</v>
      </c>
      <c r="M1006">
        <v>-0.60227659999999905</v>
      </c>
      <c r="N1006">
        <v>0</v>
      </c>
      <c r="O1006">
        <v>-0.79808999999999997</v>
      </c>
      <c r="P1006">
        <v>-0.89197439999999995</v>
      </c>
      <c r="Q1006">
        <v>0.1496885</v>
      </c>
      <c r="R1006">
        <v>-0.42658590000000002</v>
      </c>
      <c r="S1006">
        <v>-3.2105709999999998</v>
      </c>
      <c r="T1006">
        <v>-0.17004710000000001</v>
      </c>
      <c r="U1006">
        <v>-0.42018129999999998</v>
      </c>
      <c r="V1006">
        <v>0.46060709999999999</v>
      </c>
      <c r="W1006">
        <v>0.14899999999999999</v>
      </c>
      <c r="X1006">
        <v>0.87500859999999903</v>
      </c>
      <c r="Y1006">
        <v>0.71153840000000002</v>
      </c>
      <c r="Z1006">
        <v>5.5099929999999998E-2</v>
      </c>
      <c r="AA1006">
        <v>0.70048339999999998</v>
      </c>
      <c r="AB1006">
        <v>26</v>
      </c>
      <c r="AC1006">
        <v>-20.408300000000001</v>
      </c>
      <c r="AD1006">
        <v>-1.0903264876400001</v>
      </c>
      <c r="AE1006">
        <v>-2.4862999999999702</v>
      </c>
      <c r="AF1006">
        <v>14.751063511744499</v>
      </c>
      <c r="AG1006">
        <v>-1.0903264876400001</v>
      </c>
      <c r="AH1006">
        <v>14.237938455576501</v>
      </c>
      <c r="AI1006">
        <v>93.044275502843803</v>
      </c>
      <c r="AJ1006">
        <v>43.985931622500097</v>
      </c>
      <c r="AK1006">
        <v>20.530503599326401</v>
      </c>
      <c r="AL1006">
        <v>81.431020234749099</v>
      </c>
      <c r="AM1006">
        <v>62.2375493175361</v>
      </c>
      <c r="AN1006">
        <v>0.99999997532218399</v>
      </c>
    </row>
    <row r="1007" spans="1:40" x14ac:dyDescent="0.3">
      <c r="A1007" t="str">
        <f>"20200111150329967"</f>
        <v>20200111150329967</v>
      </c>
      <c r="B1007" t="str">
        <f>"1578726209958880"</f>
        <v>1578726209958880</v>
      </c>
      <c r="C1007" t="s">
        <v>40</v>
      </c>
      <c r="D1007">
        <v>8.2552179999999993</v>
      </c>
      <c r="E1007">
        <v>0.63275590000000004</v>
      </c>
      <c r="F1007" t="s">
        <v>68</v>
      </c>
      <c r="G1007">
        <v>-208.80699999999999</v>
      </c>
      <c r="H1007" s="1">
        <v>-7.7116489999999999E-6</v>
      </c>
      <c r="I1007">
        <v>146.48939999999999</v>
      </c>
      <c r="J1007">
        <v>-188.99459999999999</v>
      </c>
      <c r="K1007">
        <v>1.090354</v>
      </c>
      <c r="L1007">
        <v>148.61869999999999</v>
      </c>
      <c r="M1007">
        <v>-0.61906070000000002</v>
      </c>
      <c r="N1007">
        <v>0</v>
      </c>
      <c r="O1007">
        <v>-0.78514189999999995</v>
      </c>
      <c r="P1007">
        <v>-0.898949</v>
      </c>
      <c r="Q1007">
        <v>0.15124489999999999</v>
      </c>
      <c r="R1007">
        <v>-0.41111530000000002</v>
      </c>
      <c r="S1007">
        <v>-3.2133639999999999</v>
      </c>
      <c r="T1007">
        <v>-0.17523339999999901</v>
      </c>
      <c r="U1007">
        <v>-0.37504579999999998</v>
      </c>
      <c r="V1007">
        <v>0.4569975</v>
      </c>
      <c r="W1007">
        <v>0.15075239999999901</v>
      </c>
      <c r="X1007">
        <v>0.87659969999999998</v>
      </c>
      <c r="Y1007">
        <v>0.70632329999999999</v>
      </c>
      <c r="Z1007">
        <v>5.6361000000000001E-2</v>
      </c>
      <c r="AA1007">
        <v>0.7056422</v>
      </c>
      <c r="AB1007">
        <v>26</v>
      </c>
      <c r="AC1007">
        <v>-19.8124</v>
      </c>
      <c r="AD1007">
        <v>-1.0903617116490001</v>
      </c>
      <c r="AE1007">
        <v>-2.1293000000000002</v>
      </c>
      <c r="AF1007">
        <v>14.197120914757599</v>
      </c>
      <c r="AG1007">
        <v>-1.0903617116490001</v>
      </c>
      <c r="AH1007">
        <v>13.8974720528585</v>
      </c>
      <c r="AI1007">
        <v>93.141414853362903</v>
      </c>
      <c r="AJ1007">
        <v>44.388922837652302</v>
      </c>
      <c r="AK1007">
        <v>19.896905799406699</v>
      </c>
      <c r="AL1007">
        <v>81.329468408049493</v>
      </c>
      <c r="AM1007">
        <v>62.465628647359303</v>
      </c>
      <c r="AN1007">
        <v>1.00000001757604</v>
      </c>
    </row>
    <row r="1008" spans="1:40" x14ac:dyDescent="0.3">
      <c r="A1008" t="str">
        <f>"20200111150330101"</f>
        <v>20200111150330101</v>
      </c>
      <c r="B1008" t="str">
        <f>"1578726210099424"</f>
        <v>1578726210099424</v>
      </c>
      <c r="C1008" t="s">
        <v>40</v>
      </c>
      <c r="D1008">
        <v>5.4474549999999997</v>
      </c>
      <c r="E1008">
        <v>0.63469469999999995</v>
      </c>
      <c r="F1008" t="s">
        <v>68</v>
      </c>
      <c r="G1008">
        <v>-209.62039999999999</v>
      </c>
      <c r="H1008" s="1">
        <v>-7.3722049999999998E-6</v>
      </c>
      <c r="I1008">
        <v>146.57</v>
      </c>
      <c r="J1008">
        <v>-190.13200000000001</v>
      </c>
      <c r="K1008">
        <v>1.090627</v>
      </c>
      <c r="L1008">
        <v>147.51609999999999</v>
      </c>
      <c r="M1008">
        <v>-0.71099009999999996</v>
      </c>
      <c r="N1008">
        <v>0</v>
      </c>
      <c r="O1008">
        <v>-0.70297829999999994</v>
      </c>
      <c r="P1008">
        <v>-0.93354740000000003</v>
      </c>
      <c r="Q1008">
        <v>0.15803329999999999</v>
      </c>
      <c r="R1008">
        <v>-0.32173800000000002</v>
      </c>
      <c r="S1008">
        <v>-3.219589</v>
      </c>
      <c r="T1008">
        <v>-0.1702002</v>
      </c>
      <c r="U1008">
        <v>-0.31979370000000001</v>
      </c>
      <c r="V1008">
        <v>0.43337399999999998</v>
      </c>
      <c r="W1008">
        <v>0.15880569999999999</v>
      </c>
      <c r="X1008">
        <v>0.88711200000000001</v>
      </c>
      <c r="Y1008">
        <v>0.62771399999999999</v>
      </c>
      <c r="Z1008">
        <v>5.0154209999999998E-2</v>
      </c>
      <c r="AA1008">
        <v>0.77682659999999903</v>
      </c>
      <c r="AB1008">
        <v>26</v>
      </c>
      <c r="AC1008">
        <v>-19.488399999999899</v>
      </c>
      <c r="AD1008">
        <v>-1.090634372205</v>
      </c>
      <c r="AE1008">
        <v>-0.94610000000000105</v>
      </c>
      <c r="AF1008">
        <v>12.9887206075219</v>
      </c>
      <c r="AG1008">
        <v>-1.090634372205</v>
      </c>
      <c r="AH1008">
        <v>14.4781944148792</v>
      </c>
      <c r="AI1008">
        <v>93.209332936481502</v>
      </c>
      <c r="AJ1008">
        <v>48.103991013377502</v>
      </c>
      <c r="AK1008">
        <v>19.481130867306899</v>
      </c>
      <c r="AL1008">
        <v>80.862418299674502</v>
      </c>
      <c r="AM1008">
        <v>63.963459068712901</v>
      </c>
      <c r="AN1008">
        <v>0.99999998738624496</v>
      </c>
    </row>
    <row r="1009" spans="1:40" x14ac:dyDescent="0.3">
      <c r="A1009" t="str">
        <f>"20200111150330125"</f>
        <v>20200111150330125</v>
      </c>
      <c r="B1009" t="str">
        <f>"1578726210118945"</f>
        <v>1578726210118945</v>
      </c>
      <c r="C1009" t="s">
        <v>40</v>
      </c>
      <c r="D1009">
        <v>5.4535390000000001</v>
      </c>
      <c r="E1009">
        <v>0.63632149999999998</v>
      </c>
      <c r="F1009" t="s">
        <v>41</v>
      </c>
      <c r="G1009">
        <v>-215.83080000000001</v>
      </c>
      <c r="H1009" s="1">
        <v>-3.8952070000000004E-6</v>
      </c>
      <c r="I1009">
        <v>147.6386</v>
      </c>
      <c r="J1009">
        <v>-190.34389999999999</v>
      </c>
      <c r="K1009">
        <v>1.090695</v>
      </c>
      <c r="L1009">
        <v>147.33860000000001</v>
      </c>
      <c r="M1009">
        <v>-0.72596729999999998</v>
      </c>
      <c r="N1009">
        <v>0</v>
      </c>
      <c r="O1009">
        <v>-0.68750080000000002</v>
      </c>
      <c r="P1009">
        <v>-0.93808320000000001</v>
      </c>
      <c r="Q1009">
        <v>0.15926279999999901</v>
      </c>
      <c r="R1009">
        <v>-0.30762919999999999</v>
      </c>
      <c r="S1009">
        <v>-3.2422029999999999</v>
      </c>
      <c r="T1009">
        <v>-0.137596</v>
      </c>
      <c r="U1009">
        <v>1.5457149999999999E-2</v>
      </c>
      <c r="V1009">
        <v>0.42749029999999999</v>
      </c>
      <c r="W1009">
        <v>0.1603388</v>
      </c>
      <c r="X1009">
        <v>0.88968729999999996</v>
      </c>
      <c r="Y1009">
        <v>0.68991990000000003</v>
      </c>
      <c r="Z1009">
        <v>4.1497630000000001E-2</v>
      </c>
      <c r="AA1009">
        <v>0.72269530000000004</v>
      </c>
      <c r="AB1009">
        <v>25</v>
      </c>
      <c r="AC1009">
        <v>-25.486899999999999</v>
      </c>
      <c r="AD1009">
        <v>-1.090698895207</v>
      </c>
      <c r="AE1009">
        <v>0.299999999999982</v>
      </c>
      <c r="AF1009">
        <v>17.710411526958701</v>
      </c>
      <c r="AG1009">
        <v>-1.090698895207</v>
      </c>
      <c r="AH1009">
        <v>18.265833298578698</v>
      </c>
      <c r="AI1009">
        <v>92.454760247293507</v>
      </c>
      <c r="AJ1009">
        <v>45.884494630337699</v>
      </c>
      <c r="AK1009">
        <v>25.465446523194998</v>
      </c>
      <c r="AL1009">
        <v>80.773437978230902</v>
      </c>
      <c r="AM1009">
        <v>64.335948024683006</v>
      </c>
      <c r="AN1009">
        <v>0.99999998958040903</v>
      </c>
    </row>
    <row r="1010" spans="1:40" x14ac:dyDescent="0.3">
      <c r="A1010" t="str">
        <f>"20200111150330147"</f>
        <v>20200111150330147</v>
      </c>
      <c r="B1010" t="str">
        <f>"1578726210139440"</f>
        <v>1578726210139440</v>
      </c>
      <c r="C1010" t="s">
        <v>40</v>
      </c>
      <c r="D1010">
        <v>5.4566350000000003</v>
      </c>
      <c r="E1010">
        <v>0.63759319999999997</v>
      </c>
      <c r="F1010" t="s">
        <v>41</v>
      </c>
      <c r="G1010">
        <v>-216.3879</v>
      </c>
      <c r="H1010" s="1">
        <v>-3.735259E-6</v>
      </c>
      <c r="I1010">
        <v>147.94299999999899</v>
      </c>
      <c r="J1010">
        <v>-190.54480000000001</v>
      </c>
      <c r="K1010">
        <v>1.0907659999999999</v>
      </c>
      <c r="L1010">
        <v>147.1773</v>
      </c>
      <c r="M1010">
        <v>-0.73960550000000003</v>
      </c>
      <c r="N1010">
        <v>0</v>
      </c>
      <c r="O1010">
        <v>-0.67280719999999905</v>
      </c>
      <c r="P1010">
        <v>-0.94262020000000002</v>
      </c>
      <c r="Q1010">
        <v>0.15834010000000001</v>
      </c>
      <c r="R1010">
        <v>-0.29393140000000001</v>
      </c>
      <c r="S1010">
        <v>-3.2457729999999998</v>
      </c>
      <c r="T1010">
        <v>-0.13592989999999999</v>
      </c>
      <c r="U1010">
        <v>7.5317380000000003E-2</v>
      </c>
      <c r="V1010">
        <v>0.42263840000000003</v>
      </c>
      <c r="W1010">
        <v>0.15968550000000001</v>
      </c>
      <c r="X1010">
        <v>0.89211960000000001</v>
      </c>
      <c r="Y1010">
        <v>0.68878300000000003</v>
      </c>
      <c r="Z1010">
        <v>4.052567E-2</v>
      </c>
      <c r="AA1010">
        <v>0.72383399999999998</v>
      </c>
      <c r="AB1010">
        <v>25</v>
      </c>
      <c r="AC1010">
        <v>-25.8431</v>
      </c>
      <c r="AD1010">
        <v>-1.090769735259</v>
      </c>
      <c r="AE1010">
        <v>0.76569999999998095</v>
      </c>
      <c r="AF1010">
        <v>17.924656548547699</v>
      </c>
      <c r="AG1010">
        <v>-1.090769735259</v>
      </c>
      <c r="AH1010">
        <v>18.568402799025399</v>
      </c>
      <c r="AI1010">
        <v>92.420106566980706</v>
      </c>
      <c r="AJ1010">
        <v>46.0106063667833</v>
      </c>
      <c r="AK1010">
        <v>25.831544156430301</v>
      </c>
      <c r="AL1010">
        <v>80.811358268371507</v>
      </c>
      <c r="AM1010">
        <v>64.650916480593693</v>
      </c>
      <c r="AN1010">
        <v>1.0000000283844801</v>
      </c>
    </row>
    <row r="1011" spans="1:40" x14ac:dyDescent="0.3">
      <c r="A1011" t="str">
        <f>"20200111150330169"</f>
        <v>20200111150330169</v>
      </c>
      <c r="B1011" t="str">
        <f>"1578726210158963"</f>
        <v>1578726210158963</v>
      </c>
      <c r="C1011" t="s">
        <v>40</v>
      </c>
      <c r="D1011">
        <v>5.4609969999999999</v>
      </c>
      <c r="E1011">
        <v>0.63852319999999996</v>
      </c>
      <c r="F1011" t="s">
        <v>41</v>
      </c>
      <c r="G1011">
        <v>-215.34870000000001</v>
      </c>
      <c r="H1011" s="1">
        <v>-4.1749100000000003E-6</v>
      </c>
      <c r="I1011">
        <v>148.17169999999999</v>
      </c>
      <c r="J1011">
        <v>-190.75370000000001</v>
      </c>
      <c r="K1011">
        <v>1.090859</v>
      </c>
      <c r="L1011">
        <v>147.01650000000001</v>
      </c>
      <c r="M1011">
        <v>-0.7531911</v>
      </c>
      <c r="N1011">
        <v>0</v>
      </c>
      <c r="O1011">
        <v>-0.65756359999999903</v>
      </c>
      <c r="P1011">
        <v>-0.947299</v>
      </c>
      <c r="Q1011">
        <v>0.1548977</v>
      </c>
      <c r="R1011">
        <v>-0.28041250000000001</v>
      </c>
      <c r="S1011">
        <v>-3.2471920000000001</v>
      </c>
      <c r="T1011">
        <v>-0.142797799999999</v>
      </c>
      <c r="U1011">
        <v>0.130188</v>
      </c>
      <c r="V1011">
        <v>0.4173811</v>
      </c>
      <c r="W1011">
        <v>0.1565559</v>
      </c>
      <c r="X1011">
        <v>0.8951443</v>
      </c>
      <c r="Y1011">
        <v>0.68610059999999995</v>
      </c>
      <c r="Z1011">
        <v>4.2028709999999997E-2</v>
      </c>
      <c r="AA1011">
        <v>0.72629169999999998</v>
      </c>
      <c r="AB1011">
        <v>25</v>
      </c>
      <c r="AC1011">
        <v>-24.594999999999999</v>
      </c>
      <c r="AD1011">
        <v>-1.09086317491</v>
      </c>
      <c r="AE1011">
        <v>1.15519999999997</v>
      </c>
      <c r="AF1011">
        <v>17.012140819124699</v>
      </c>
      <c r="AG1011">
        <v>-1.09086317491</v>
      </c>
      <c r="AH1011">
        <v>17.733093381558302</v>
      </c>
      <c r="AI1011">
        <v>92.541757822541001</v>
      </c>
      <c r="AJ1011">
        <v>46.1886986295235</v>
      </c>
      <c r="AK1011">
        <v>24.598079571283002</v>
      </c>
      <c r="AL1011">
        <v>80.992955720314697</v>
      </c>
      <c r="AM1011">
        <v>65.001658362430206</v>
      </c>
      <c r="AN1011">
        <v>1.0000000251422501</v>
      </c>
    </row>
    <row r="1012" spans="1:40" x14ac:dyDescent="0.3">
      <c r="A1012" t="str">
        <f>"20200111150330214"</f>
        <v>20200111150330214</v>
      </c>
      <c r="B1012" t="str">
        <f>"1578726210208736"</f>
        <v>1578726210208736</v>
      </c>
      <c r="C1012" t="s">
        <v>40</v>
      </c>
      <c r="D1012">
        <v>5.6224470000000002</v>
      </c>
      <c r="E1012">
        <v>0.63911879999999999</v>
      </c>
      <c r="F1012" t="s">
        <v>41</v>
      </c>
      <c r="G1012">
        <v>-214.2396</v>
      </c>
      <c r="H1012" s="1">
        <v>-4.6346989999999996E-6</v>
      </c>
      <c r="I1012">
        <v>148.36279999999999</v>
      </c>
      <c r="J1012">
        <v>-191.18049999999999</v>
      </c>
      <c r="K1012">
        <v>1.0911310000000001</v>
      </c>
      <c r="L1012">
        <v>146.70849999999999</v>
      </c>
      <c r="M1012">
        <v>-0.77902839999999995</v>
      </c>
      <c r="N1012">
        <v>0</v>
      </c>
      <c r="O1012">
        <v>-0.62674160000000001</v>
      </c>
      <c r="P1012">
        <v>-0.95523130000000001</v>
      </c>
      <c r="Q1012">
        <v>0.14697099999999999</v>
      </c>
      <c r="R1012">
        <v>-0.256774</v>
      </c>
      <c r="S1012">
        <v>-3.246658</v>
      </c>
      <c r="T1012">
        <v>-0.1507993</v>
      </c>
      <c r="U1012">
        <v>0.18611150000000001</v>
      </c>
      <c r="V1012">
        <v>0.40394020000000003</v>
      </c>
      <c r="W1012">
        <v>0.1494489</v>
      </c>
      <c r="X1012">
        <v>0.90249509999999999</v>
      </c>
      <c r="Y1012">
        <v>0.66908059999999903</v>
      </c>
      <c r="Z1012">
        <v>4.2917299999999999E-2</v>
      </c>
      <c r="AA1012">
        <v>0.74194959999999999</v>
      </c>
      <c r="AB1012">
        <v>25</v>
      </c>
      <c r="AC1012">
        <v>-23.059100000000001</v>
      </c>
      <c r="AD1012">
        <v>-1.09113563469899</v>
      </c>
      <c r="AE1012">
        <v>1.6543000000000001</v>
      </c>
      <c r="AF1012">
        <v>15.708289822125099</v>
      </c>
      <c r="AG1012">
        <v>-1.09113563469899</v>
      </c>
      <c r="AH1012">
        <v>16.891868195949201</v>
      </c>
      <c r="AI1012">
        <v>92.708239198444403</v>
      </c>
      <c r="AJ1012">
        <v>47.079262112362201</v>
      </c>
      <c r="AK1012">
        <v>23.092772836073799</v>
      </c>
      <c r="AL1012">
        <v>81.405009411434307</v>
      </c>
      <c r="AM1012">
        <v>65.887588982298396</v>
      </c>
      <c r="AN1012">
        <v>1.0000000322056199</v>
      </c>
    </row>
    <row r="1013" spans="1:40" x14ac:dyDescent="0.3">
      <c r="A1013" t="str">
        <f>"20200111150330238"</f>
        <v>20200111150330238</v>
      </c>
      <c r="B1013" t="str">
        <f>"1578726210229232"</f>
        <v>1578726210229232</v>
      </c>
      <c r="C1013" t="s">
        <v>40</v>
      </c>
      <c r="D1013">
        <v>5.6201619999999997</v>
      </c>
      <c r="E1013">
        <v>0.63933909999999905</v>
      </c>
      <c r="F1013" t="s">
        <v>41</v>
      </c>
      <c r="G1013">
        <v>-212.43600000000001</v>
      </c>
      <c r="H1013" s="1">
        <v>-5.3566669999999996E-6</v>
      </c>
      <c r="I1013">
        <v>148.5283</v>
      </c>
      <c r="J1013">
        <v>-191.40039999999999</v>
      </c>
      <c r="K1013">
        <v>1.0913120000000001</v>
      </c>
      <c r="L1013">
        <v>146.55930000000001</v>
      </c>
      <c r="M1013">
        <v>-0.79137480000000004</v>
      </c>
      <c r="N1013">
        <v>0</v>
      </c>
      <c r="O1013">
        <v>-0.61107959999999995</v>
      </c>
      <c r="P1013">
        <v>-0.95871930000000005</v>
      </c>
      <c r="Q1013">
        <v>0.14560100000000001</v>
      </c>
      <c r="R1013">
        <v>-0.24424969999999999</v>
      </c>
      <c r="S1013">
        <v>-3.2407840000000001</v>
      </c>
      <c r="T1013">
        <v>-0.16636339999999999</v>
      </c>
      <c r="U1013">
        <v>0.27745059999999999</v>
      </c>
      <c r="V1013">
        <v>0.39772550000000001</v>
      </c>
      <c r="W1013">
        <v>0.14849309999999999</v>
      </c>
      <c r="X1013">
        <v>0.90540830000000005</v>
      </c>
      <c r="Y1013">
        <v>0.67485039999999996</v>
      </c>
      <c r="Z1013">
        <v>4.6957029999999997E-2</v>
      </c>
      <c r="AA1013">
        <v>0.73645899999999997</v>
      </c>
      <c r="AB1013">
        <v>25</v>
      </c>
      <c r="AC1013">
        <v>-21.035599999999899</v>
      </c>
      <c r="AD1013">
        <v>-1.091317356667</v>
      </c>
      <c r="AE1013">
        <v>1.9689999999999901</v>
      </c>
      <c r="AF1013">
        <v>14.376502444585199</v>
      </c>
      <c r="AG1013">
        <v>-1.091317356667</v>
      </c>
      <c r="AH1013">
        <v>15.405101681624799</v>
      </c>
      <c r="AI1013">
        <v>92.964789531644001</v>
      </c>
      <c r="AJ1013">
        <v>46.978099559138101</v>
      </c>
      <c r="AK1013">
        <v>21.099572363754799</v>
      </c>
      <c r="AL1013">
        <v>81.460390253537597</v>
      </c>
      <c r="AM1013">
        <v>66.285196254361693</v>
      </c>
      <c r="AN1013">
        <v>0.99999998190337402</v>
      </c>
    </row>
    <row r="1014" spans="1:40" x14ac:dyDescent="0.3">
      <c r="A1014" t="str">
        <f>"20200111150330280"</f>
        <v>20200111150330280</v>
      </c>
      <c r="B1014" t="str">
        <f>"1578726210269262"</f>
        <v>1578726210269262</v>
      </c>
      <c r="C1014" t="s">
        <v>40</v>
      </c>
      <c r="D1014">
        <v>5.8463269999999996</v>
      </c>
      <c r="E1014">
        <v>0.63926709999999998</v>
      </c>
      <c r="F1014" t="s">
        <v>41</v>
      </c>
      <c r="G1014">
        <v>-211.70359999999999</v>
      </c>
      <c r="H1014" s="1">
        <v>-5.6434559999999999E-6</v>
      </c>
      <c r="I1014">
        <v>148.55959999999999</v>
      </c>
      <c r="J1014">
        <v>-191.82509999999999</v>
      </c>
      <c r="K1014">
        <v>1.0919179999999999</v>
      </c>
      <c r="L1014">
        <v>146.28729999999999</v>
      </c>
      <c r="M1014">
        <v>-0.81324390000000002</v>
      </c>
      <c r="N1014">
        <v>0</v>
      </c>
      <c r="O1014">
        <v>-0.58166419999999996</v>
      </c>
      <c r="P1014">
        <v>-0.96477650000000004</v>
      </c>
      <c r="Q1014">
        <v>0.1449242</v>
      </c>
      <c r="R1014">
        <v>-0.2195529</v>
      </c>
      <c r="S1014">
        <v>-3.2368619999999999</v>
      </c>
      <c r="T1014">
        <v>-0.1739841</v>
      </c>
      <c r="U1014">
        <v>0.31889339999999999</v>
      </c>
      <c r="V1014">
        <v>0.38753739999999998</v>
      </c>
      <c r="W1014">
        <v>0.14865159999999999</v>
      </c>
      <c r="X1014">
        <v>0.90978970000000003</v>
      </c>
      <c r="Y1014">
        <v>0.65698389999999995</v>
      </c>
      <c r="Z1014">
        <v>4.7391870000000003E-2</v>
      </c>
      <c r="AA1014">
        <v>0.75241359999999902</v>
      </c>
      <c r="AB1014">
        <v>25</v>
      </c>
      <c r="AC1014">
        <v>-19.878499999999999</v>
      </c>
      <c r="AD1014">
        <v>-1.091923643456</v>
      </c>
      <c r="AE1014">
        <v>2.2723</v>
      </c>
      <c r="AF1014">
        <v>13.3727364281756</v>
      </c>
      <c r="AG1014">
        <v>-1.091923643456</v>
      </c>
      <c r="AH1014">
        <v>14.8025013646396</v>
      </c>
      <c r="AI1014">
        <v>93.133074190354805</v>
      </c>
      <c r="AJ1014">
        <v>47.9050078879715</v>
      </c>
      <c r="AK1014">
        <v>19.9783989216041</v>
      </c>
      <c r="AL1014">
        <v>81.451206387668293</v>
      </c>
      <c r="AM1014">
        <v>66.927755118506894</v>
      </c>
      <c r="AN1014">
        <v>0.99999991640370101</v>
      </c>
    </row>
    <row r="1015" spans="1:40" x14ac:dyDescent="0.3">
      <c r="A1015" t="str">
        <f>"20200111150330303"</f>
        <v>20200111150330303</v>
      </c>
      <c r="B1015" t="str">
        <f>"1578726210299505"</f>
        <v>1578726210299505</v>
      </c>
      <c r="C1015" t="s">
        <v>40</v>
      </c>
      <c r="D1015">
        <v>5.6487119999999997</v>
      </c>
      <c r="E1015">
        <v>0.63868130000000001</v>
      </c>
      <c r="F1015" t="s">
        <v>41</v>
      </c>
      <c r="G1015">
        <v>-212.57140000000001</v>
      </c>
      <c r="H1015" s="1">
        <v>-5.3668150000000002E-6</v>
      </c>
      <c r="I1015">
        <v>148.87870000000001</v>
      </c>
      <c r="J1015">
        <v>-192.04949999999999</v>
      </c>
      <c r="K1015">
        <v>1.0923499999999999</v>
      </c>
      <c r="L1015">
        <v>146.15119999999999</v>
      </c>
      <c r="M1015">
        <v>-0.82370149999999998</v>
      </c>
      <c r="N1015">
        <v>0</v>
      </c>
      <c r="O1015">
        <v>-0.56676260000000001</v>
      </c>
      <c r="P1015">
        <v>-0.96690710000000002</v>
      </c>
      <c r="Q1015">
        <v>0.1428432</v>
      </c>
      <c r="R1015">
        <v>-0.21139330000000001</v>
      </c>
      <c r="S1015">
        <v>-3.2267610000000002</v>
      </c>
      <c r="T1015">
        <v>-0.16983139999999999</v>
      </c>
      <c r="U1015">
        <v>0.40304570000000001</v>
      </c>
      <c r="V1015">
        <v>0.37856200000000001</v>
      </c>
      <c r="W1015">
        <v>0.1472184</v>
      </c>
      <c r="X1015">
        <v>0.91379290000000002</v>
      </c>
      <c r="Y1015">
        <v>0.66295170000000003</v>
      </c>
      <c r="Z1015">
        <v>4.5894419999999998E-2</v>
      </c>
      <c r="AA1015">
        <v>0.74725410000000003</v>
      </c>
      <c r="AB1015">
        <v>25</v>
      </c>
      <c r="AC1015">
        <v>-20.521899999999999</v>
      </c>
      <c r="AD1015">
        <v>-1.0923553668149999</v>
      </c>
      <c r="AE1015">
        <v>2.72750000000002</v>
      </c>
      <c r="AF1015">
        <v>13.8412099393842</v>
      </c>
      <c r="AG1015">
        <v>-1.0923553668149999</v>
      </c>
      <c r="AH1015">
        <v>15.317701925866499</v>
      </c>
      <c r="AI1015">
        <v>93.028791720114597</v>
      </c>
      <c r="AJ1015">
        <v>47.898755908347702</v>
      </c>
      <c r="AK1015">
        <v>20.6737593369763</v>
      </c>
      <c r="AL1015">
        <v>81.534236610254794</v>
      </c>
      <c r="AM1015">
        <v>67.4969715705369</v>
      </c>
      <c r="AN1015">
        <v>0.99999995461648405</v>
      </c>
    </row>
    <row r="1016" spans="1:40" x14ac:dyDescent="0.3">
      <c r="A1016" t="str">
        <f>"20200111150330348"</f>
        <v>20200111150330348</v>
      </c>
      <c r="B1016" t="str">
        <f>"1578726210339520"</f>
        <v>1578726210339520</v>
      </c>
      <c r="C1016" t="s">
        <v>40</v>
      </c>
      <c r="D1016">
        <v>5.6596339999999996</v>
      </c>
      <c r="E1016">
        <v>0.63868130000000001</v>
      </c>
      <c r="F1016" t="s">
        <v>41</v>
      </c>
      <c r="G1016">
        <v>-213.27930000000001</v>
      </c>
      <c r="H1016" s="1">
        <v>-5.1129450000000004E-6</v>
      </c>
      <c r="I1016">
        <v>148.97999999999999</v>
      </c>
      <c r="J1016">
        <v>-192.4999</v>
      </c>
      <c r="K1016">
        <v>1.093496</v>
      </c>
      <c r="L1016">
        <v>145.89150000000001</v>
      </c>
      <c r="M1016">
        <v>-0.84240669999999995</v>
      </c>
      <c r="N1016">
        <v>0</v>
      </c>
      <c r="O1016">
        <v>-0.53857790000000005</v>
      </c>
      <c r="P1016">
        <v>-0.97053089999999997</v>
      </c>
      <c r="Q1016">
        <v>0.13399759999999999</v>
      </c>
      <c r="R1016">
        <v>-0.20028760000000001</v>
      </c>
      <c r="S1016">
        <v>-3.220993</v>
      </c>
      <c r="T1016">
        <v>-0.16573189999999999</v>
      </c>
      <c r="U1016">
        <v>0.42918400000000001</v>
      </c>
      <c r="V1016">
        <v>0.35800009999999999</v>
      </c>
      <c r="W1016">
        <v>0.13984360000000001</v>
      </c>
      <c r="X1016">
        <v>0.92318990000000001</v>
      </c>
      <c r="Y1016">
        <v>0.6437098</v>
      </c>
      <c r="Z1016">
        <v>4.3122859999999999E-2</v>
      </c>
      <c r="AA1016">
        <v>0.76405369999999995</v>
      </c>
      <c r="AB1016">
        <v>25</v>
      </c>
      <c r="AC1016">
        <v>-20.779399999999999</v>
      </c>
      <c r="AD1016">
        <v>-1.0935011129449901</v>
      </c>
      <c r="AE1016">
        <v>3.0884999999999798</v>
      </c>
      <c r="AF1016">
        <v>13.7577870868232</v>
      </c>
      <c r="AG1016">
        <v>-1.0935011129449901</v>
      </c>
      <c r="AH1016">
        <v>15.800752709450601</v>
      </c>
      <c r="AI1016">
        <v>92.987756094216905</v>
      </c>
      <c r="AJ1016">
        <v>48.953762696089299</v>
      </c>
      <c r="AK1016">
        <v>20.979424119731799</v>
      </c>
      <c r="AL1016">
        <v>81.961203419640498</v>
      </c>
      <c r="AM1016">
        <v>68.804405598617095</v>
      </c>
      <c r="AN1016">
        <v>0.99999994776148804</v>
      </c>
    </row>
    <row r="1017" spans="1:40" x14ac:dyDescent="0.3">
      <c r="A1017" t="str">
        <f>"20200111150330371"</f>
        <v>20200111150330371</v>
      </c>
      <c r="B1017" t="str">
        <f>"1578726210359043"</f>
        <v>1578726210359043</v>
      </c>
      <c r="C1017" t="s">
        <v>40</v>
      </c>
      <c r="D1017">
        <v>5.7391170000000002</v>
      </c>
      <c r="E1017">
        <v>0.55177480000000001</v>
      </c>
      <c r="F1017" t="s">
        <v>41</v>
      </c>
      <c r="G1017">
        <v>-211.30619999999999</v>
      </c>
      <c r="H1017" s="1">
        <v>-5.8113550000000002E-6</v>
      </c>
      <c r="I1017">
        <v>148.6456</v>
      </c>
      <c r="J1017">
        <v>-192.72579999999999</v>
      </c>
      <c r="K1017">
        <v>1.0941320000000001</v>
      </c>
      <c r="L1017">
        <v>145.76740000000001</v>
      </c>
      <c r="M1017">
        <v>-0.85063040000000001</v>
      </c>
      <c r="N1017">
        <v>0</v>
      </c>
      <c r="O1017">
        <v>-0.5254991</v>
      </c>
      <c r="P1017">
        <v>-0.97185259999999996</v>
      </c>
      <c r="Q1017">
        <v>0.12956489999999901</v>
      </c>
      <c r="R1017">
        <v>-0.1967631</v>
      </c>
      <c r="S1017">
        <v>-3.214035</v>
      </c>
      <c r="T1017">
        <v>-0.18688179999999999</v>
      </c>
      <c r="U1017">
        <v>0.47068789999999999</v>
      </c>
      <c r="V1017">
        <v>0.34701369999999998</v>
      </c>
      <c r="W1017">
        <v>0.13616220000000001</v>
      </c>
      <c r="X1017">
        <v>0.9279231</v>
      </c>
      <c r="Y1017">
        <v>0.64140249999999999</v>
      </c>
      <c r="Z1017">
        <v>4.7974309999999999E-2</v>
      </c>
      <c r="AA1017">
        <v>0.76570309999999997</v>
      </c>
      <c r="AB1017">
        <v>25</v>
      </c>
      <c r="AC1017">
        <v>-18.580400000000001</v>
      </c>
      <c r="AD1017">
        <v>-1.094137811355</v>
      </c>
      <c r="AE1017">
        <v>2.8781999999999899</v>
      </c>
      <c r="AF1017">
        <v>12.1727479679559</v>
      </c>
      <c r="AG1017">
        <v>-1.094137811355</v>
      </c>
      <c r="AH1017">
        <v>14.2463096421048</v>
      </c>
      <c r="AI1017">
        <v>93.341688216150899</v>
      </c>
      <c r="AJ1017">
        <v>49.487793341275498</v>
      </c>
      <c r="AK1017">
        <v>18.770462675713102</v>
      </c>
      <c r="AL1017">
        <v>82.1741700875275</v>
      </c>
      <c r="AM1017">
        <v>69.495803348497205</v>
      </c>
      <c r="AN1017">
        <v>0.99999996610506903</v>
      </c>
    </row>
    <row r="1018" spans="1:40" x14ac:dyDescent="0.3">
      <c r="A1018" t="str">
        <f>"20200111150330393"</f>
        <v>20200111150330393</v>
      </c>
      <c r="B1018" t="str">
        <f>"1578726210389297"</f>
        <v>1578726210389297</v>
      </c>
      <c r="C1018" t="s">
        <v>40</v>
      </c>
      <c r="D1018">
        <v>5.682512</v>
      </c>
      <c r="E1018">
        <v>0.55055489999999996</v>
      </c>
      <c r="F1018" t="s">
        <v>68</v>
      </c>
      <c r="G1018">
        <v>-206.5598</v>
      </c>
      <c r="H1018" s="1">
        <v>-8.2864249999999992E-6</v>
      </c>
      <c r="I1018">
        <v>144.89169999999999</v>
      </c>
      <c r="J1018">
        <v>-192.94739999999999</v>
      </c>
      <c r="K1018">
        <v>1.0947559999999901</v>
      </c>
      <c r="L1018">
        <v>145.649</v>
      </c>
      <c r="M1018">
        <v>-0.85800180000000004</v>
      </c>
      <c r="N1018">
        <v>0</v>
      </c>
      <c r="O1018">
        <v>-0.51338139999999999</v>
      </c>
      <c r="P1018">
        <v>-0.97270239999999997</v>
      </c>
      <c r="Q1018">
        <v>0.1282799</v>
      </c>
      <c r="R1018">
        <v>-0.19337660000000001</v>
      </c>
      <c r="S1018">
        <v>-3.0799099999999999</v>
      </c>
      <c r="T1018">
        <v>-0.24359330000000001</v>
      </c>
      <c r="U1018">
        <v>-0.19496150000000001</v>
      </c>
      <c r="V1018">
        <v>0.33688269999999998</v>
      </c>
      <c r="W1018">
        <v>0.1355471</v>
      </c>
      <c r="X1018">
        <v>0.93173870000000003</v>
      </c>
      <c r="Y1018">
        <v>0.45534720000000001</v>
      </c>
      <c r="Z1018">
        <v>5.6756340000000002E-2</v>
      </c>
      <c r="AA1018">
        <v>0.88850300000000004</v>
      </c>
      <c r="AB1018">
        <v>25</v>
      </c>
      <c r="AC1018">
        <v>-13.612399999999999</v>
      </c>
      <c r="AD1018">
        <v>-1.09476428642499</v>
      </c>
      <c r="AE1018">
        <v>-0.75730000000001496</v>
      </c>
      <c r="AF1018">
        <v>6.2988365149809198</v>
      </c>
      <c r="AG1018">
        <v>-1.09476428642499</v>
      </c>
      <c r="AH1018">
        <v>11.9925628786721</v>
      </c>
      <c r="AI1018">
        <v>94.620468523124302</v>
      </c>
      <c r="AJ1018">
        <v>62.290262253031003</v>
      </c>
      <c r="AK1018">
        <v>13.5902691174308</v>
      </c>
      <c r="AL1018">
        <v>82.209742690756102</v>
      </c>
      <c r="AM1018">
        <v>70.121859353698696</v>
      </c>
      <c r="AN1018">
        <v>0.99999998747769503</v>
      </c>
    </row>
    <row r="1019" spans="1:40" x14ac:dyDescent="0.3">
      <c r="A1019" t="str">
        <f>"20200111150330416"</f>
        <v>20200111150330416</v>
      </c>
      <c r="B1019" t="str">
        <f>"1578726210408816"</f>
        <v>1578726210408816</v>
      </c>
      <c r="C1019" t="s">
        <v>40</v>
      </c>
      <c r="D1019">
        <v>5.6622849999999998</v>
      </c>
      <c r="E1019">
        <v>0.5503403</v>
      </c>
      <c r="F1019" t="s">
        <v>68</v>
      </c>
      <c r="G1019">
        <v>-206.4975</v>
      </c>
      <c r="H1019" s="1">
        <v>-8.2880229999999904E-6</v>
      </c>
      <c r="I1019">
        <v>144.79310000000001</v>
      </c>
      <c r="J1019">
        <v>-193.19</v>
      </c>
      <c r="K1019">
        <v>1.0953679999999999</v>
      </c>
      <c r="L1019">
        <v>145.523</v>
      </c>
      <c r="M1019">
        <v>-0.86540699999999904</v>
      </c>
      <c r="N1019">
        <v>0</v>
      </c>
      <c r="O1019">
        <v>-0.50080409999999997</v>
      </c>
      <c r="P1019">
        <v>-0.97366039999999998</v>
      </c>
      <c r="Q1019">
        <v>0.12918969999999999</v>
      </c>
      <c r="R1019">
        <v>-0.1878715</v>
      </c>
      <c r="S1019">
        <v>-3.0783230000000001</v>
      </c>
      <c r="T1019">
        <v>-0.2487103</v>
      </c>
      <c r="U1019">
        <v>-0.19445799999999999</v>
      </c>
      <c r="V1019">
        <v>0.32827669999999998</v>
      </c>
      <c r="W1019">
        <v>0.1370101</v>
      </c>
      <c r="X1019">
        <v>0.93459219999999998</v>
      </c>
      <c r="Y1019">
        <v>0.44238769999999999</v>
      </c>
      <c r="Z1019">
        <v>5.6571999999999997E-2</v>
      </c>
      <c r="AA1019">
        <v>0.89503790000000005</v>
      </c>
      <c r="AB1019">
        <v>25</v>
      </c>
      <c r="AC1019">
        <v>-13.307499999999999</v>
      </c>
      <c r="AD1019">
        <v>-1.095376288023</v>
      </c>
      <c r="AE1019">
        <v>-0.729899999999986</v>
      </c>
      <c r="AF1019">
        <v>5.9931086421798696</v>
      </c>
      <c r="AG1019">
        <v>-1.095376288023</v>
      </c>
      <c r="AH1019">
        <v>11.8037857753097</v>
      </c>
      <c r="AI1019">
        <v>94.730127078305401</v>
      </c>
      <c r="AJ1019">
        <v>63.081834532583002</v>
      </c>
      <c r="AK1019">
        <v>13.283318826209699</v>
      </c>
      <c r="AL1019">
        <v>82.1251294222251</v>
      </c>
      <c r="AM1019">
        <v>70.646109974128294</v>
      </c>
      <c r="AN1019">
        <v>0.99999996978286898</v>
      </c>
    </row>
    <row r="1020" spans="1:40" x14ac:dyDescent="0.3">
      <c r="A1020" t="str">
        <f>"20200111150330437"</f>
        <v>20200111150330437</v>
      </c>
      <c r="B1020" t="str">
        <f>"1578726210429312"</f>
        <v>1578726210429312</v>
      </c>
      <c r="C1020" t="s">
        <v>40</v>
      </c>
      <c r="D1020">
        <v>5.6784369999999997</v>
      </c>
      <c r="E1020">
        <v>0.55003389999999996</v>
      </c>
      <c r="F1020" t="s">
        <v>68</v>
      </c>
      <c r="G1020">
        <v>-206.82839999999999</v>
      </c>
      <c r="H1020" s="1">
        <v>-8.1234239999999998E-6</v>
      </c>
      <c r="I1020">
        <v>144.72540000000001</v>
      </c>
      <c r="J1020">
        <v>-193.4015</v>
      </c>
      <c r="K1020">
        <v>1.095837</v>
      </c>
      <c r="L1020">
        <v>145.416</v>
      </c>
      <c r="M1020">
        <v>-0.87134929999999999</v>
      </c>
      <c r="N1020">
        <v>0</v>
      </c>
      <c r="O1020">
        <v>-0.49039769999999999</v>
      </c>
      <c r="P1020">
        <v>-0.9740702</v>
      </c>
      <c r="Q1020">
        <v>0.12944939999999999</v>
      </c>
      <c r="R1020">
        <v>-0.18555450000000001</v>
      </c>
      <c r="S1020">
        <v>-3.0792079999999999</v>
      </c>
      <c r="T1020">
        <v>-0.2473089</v>
      </c>
      <c r="U1020">
        <v>-0.1800842</v>
      </c>
      <c r="V1020">
        <v>0.31909710000000002</v>
      </c>
      <c r="W1020">
        <v>0.13773279999999999</v>
      </c>
      <c r="X1020">
        <v>0.93766020000000005</v>
      </c>
      <c r="Y1020">
        <v>0.4359016</v>
      </c>
      <c r="Z1020">
        <v>5.526669E-2</v>
      </c>
      <c r="AA1020">
        <v>0.89829579999999998</v>
      </c>
      <c r="AB1020">
        <v>25</v>
      </c>
      <c r="AC1020">
        <v>-13.4268999999999</v>
      </c>
      <c r="AD1020">
        <v>-1.0958451234240001</v>
      </c>
      <c r="AE1020">
        <v>-0.690599999999989</v>
      </c>
      <c r="AF1020">
        <v>5.9440568682309998</v>
      </c>
      <c r="AG1020">
        <v>-1.0958451234240001</v>
      </c>
      <c r="AH1020">
        <v>11.9602981063575</v>
      </c>
      <c r="AI1020">
        <v>94.690577656895599</v>
      </c>
      <c r="AJ1020">
        <v>63.573435336613102</v>
      </c>
      <c r="AK1020">
        <v>13.4007992067726</v>
      </c>
      <c r="AL1020">
        <v>82.083325419990004</v>
      </c>
      <c r="AM1020">
        <v>71.205939891732299</v>
      </c>
      <c r="AN1020">
        <v>0.99999996704414396</v>
      </c>
    </row>
    <row r="1021" spans="1:40" x14ac:dyDescent="0.3">
      <c r="A1021" t="str">
        <f>"20200111150330460"</f>
        <v>20200111150330460</v>
      </c>
      <c r="B1021" t="str">
        <f>"1578726210448832"</f>
        <v>1578726210448832</v>
      </c>
      <c r="C1021" t="s">
        <v>40</v>
      </c>
      <c r="D1021">
        <v>5.7095089999999997</v>
      </c>
      <c r="E1021">
        <v>0.55014600000000002</v>
      </c>
      <c r="F1021" t="s">
        <v>68</v>
      </c>
      <c r="G1021">
        <v>-206.9658</v>
      </c>
      <c r="H1021" s="1">
        <v>-8.041348E-6</v>
      </c>
      <c r="I1021">
        <v>144.6454</v>
      </c>
      <c r="J1021">
        <v>-193.63079999999999</v>
      </c>
      <c r="K1021">
        <v>1.096311</v>
      </c>
      <c r="L1021">
        <v>145.30279999999999</v>
      </c>
      <c r="M1021">
        <v>-0.87726530000000003</v>
      </c>
      <c r="N1021">
        <v>0</v>
      </c>
      <c r="O1021">
        <v>-0.47974020000000001</v>
      </c>
      <c r="P1021">
        <v>-0.97465860000000004</v>
      </c>
      <c r="Q1021">
        <v>0.1301988</v>
      </c>
      <c r="R1021">
        <v>-0.1819045</v>
      </c>
      <c r="S1021">
        <v>-3.0795750000000002</v>
      </c>
      <c r="T1021">
        <v>-0.24879509999999999</v>
      </c>
      <c r="U1021">
        <v>-0.17495729999999901</v>
      </c>
      <c r="V1021">
        <v>0.31095850000000003</v>
      </c>
      <c r="W1021">
        <v>0.13888879999999901</v>
      </c>
      <c r="X1021">
        <v>0.94022050000000001</v>
      </c>
      <c r="Y1021">
        <v>0.42644199999999999</v>
      </c>
      <c r="Z1021">
        <v>5.4457930000000002E-2</v>
      </c>
      <c r="AA1021">
        <v>0.90287410000000001</v>
      </c>
      <c r="AB1021">
        <v>25</v>
      </c>
      <c r="AC1021">
        <v>-13.335000000000001</v>
      </c>
      <c r="AD1021">
        <v>-1.096319041348</v>
      </c>
      <c r="AE1021">
        <v>-0.65739999999999499</v>
      </c>
      <c r="AF1021">
        <v>5.78237463636441</v>
      </c>
      <c r="AG1021">
        <v>-1.096319041348</v>
      </c>
      <c r="AH1021">
        <v>11.934773066612999</v>
      </c>
      <c r="AI1021">
        <v>94.725758814699404</v>
      </c>
      <c r="AJ1021">
        <v>64.149900865663099</v>
      </c>
      <c r="AK1021">
        <v>13.307012438080999</v>
      </c>
      <c r="AL1021">
        <v>82.016448499471906</v>
      </c>
      <c r="AM1021">
        <v>71.699434253199399</v>
      </c>
      <c r="AN1021">
        <v>0.99999993805396803</v>
      </c>
    </row>
    <row r="1022" spans="1:40" x14ac:dyDescent="0.3">
      <c r="A1022" t="str">
        <f>"20200111150330482"</f>
        <v>20200111150330482</v>
      </c>
      <c r="B1022" t="str">
        <f>"1578726210479088"</f>
        <v>1578726210479088</v>
      </c>
      <c r="C1022" t="s">
        <v>40</v>
      </c>
      <c r="D1022">
        <v>5.7084020000000004</v>
      </c>
      <c r="E1022">
        <v>0.54955859999999901</v>
      </c>
      <c r="F1022" t="s">
        <v>68</v>
      </c>
      <c r="G1022">
        <v>-207.304</v>
      </c>
      <c r="H1022" s="1">
        <v>-7.8728049999999904E-6</v>
      </c>
      <c r="I1022">
        <v>144.57509999999999</v>
      </c>
      <c r="J1022">
        <v>-193.86269999999999</v>
      </c>
      <c r="K1022">
        <v>1.096781</v>
      </c>
      <c r="L1022">
        <v>145.19110000000001</v>
      </c>
      <c r="M1022">
        <v>-0.88273020000000002</v>
      </c>
      <c r="N1022">
        <v>0</v>
      </c>
      <c r="O1022">
        <v>-0.46961419999999998</v>
      </c>
      <c r="P1022">
        <v>-0.97530570000000005</v>
      </c>
      <c r="Q1022">
        <v>0.13240850000000001</v>
      </c>
      <c r="R1022">
        <v>-0.17676729999999999</v>
      </c>
      <c r="S1022">
        <v>-3.0804140000000002</v>
      </c>
      <c r="T1022">
        <v>-0.24698780000000001</v>
      </c>
      <c r="U1022">
        <v>-0.16395570000000001</v>
      </c>
      <c r="V1022">
        <v>0.304811</v>
      </c>
      <c r="W1022">
        <v>0.14144119999999999</v>
      </c>
      <c r="X1022">
        <v>0.94185169999999996</v>
      </c>
      <c r="Y1022">
        <v>0.41935220000000001</v>
      </c>
      <c r="Z1022">
        <v>5.3058139999999997E-2</v>
      </c>
      <c r="AA1022">
        <v>0.90627179999999996</v>
      </c>
      <c r="AB1022">
        <v>25</v>
      </c>
      <c r="AC1022">
        <v>-13.4413</v>
      </c>
      <c r="AD1022">
        <v>-1.0967888728049999</v>
      </c>
      <c r="AE1022">
        <v>-0.61600000000001298</v>
      </c>
      <c r="AF1022">
        <v>5.7311049868174004</v>
      </c>
      <c r="AG1022">
        <v>-1.0967888728049999</v>
      </c>
      <c r="AH1022">
        <v>12.0756081979406</v>
      </c>
      <c r="AI1022">
        <v>94.690865702002597</v>
      </c>
      <c r="AJ1022">
        <v>64.610901451426599</v>
      </c>
      <c r="AK1022">
        <v>13.411518316417499</v>
      </c>
      <c r="AL1022">
        <v>81.868749070026595</v>
      </c>
      <c r="AM1022">
        <v>72.066888842957397</v>
      </c>
      <c r="AN1022">
        <v>0.99999999178566401</v>
      </c>
    </row>
    <row r="1023" spans="1:40" x14ac:dyDescent="0.3">
      <c r="A1023" t="str">
        <f>"20200111150330504"</f>
        <v>20200111150330504</v>
      </c>
      <c r="B1023" t="str">
        <f>"1578726210499584"</f>
        <v>1578726210499584</v>
      </c>
      <c r="C1023" t="s">
        <v>40</v>
      </c>
      <c r="D1023">
        <v>5.7194699999999896</v>
      </c>
      <c r="E1023">
        <v>0.5490178</v>
      </c>
      <c r="F1023" t="s">
        <v>68</v>
      </c>
      <c r="G1023">
        <v>-207.73390000000001</v>
      </c>
      <c r="H1023" s="1">
        <v>-7.6616430000000006E-6</v>
      </c>
      <c r="I1023">
        <v>144.49719999999999</v>
      </c>
      <c r="J1023">
        <v>-194.08699999999999</v>
      </c>
      <c r="K1023">
        <v>1.097256</v>
      </c>
      <c r="L1023">
        <v>145.0855</v>
      </c>
      <c r="M1023">
        <v>-0.8875575</v>
      </c>
      <c r="N1023">
        <v>0</v>
      </c>
      <c r="O1023">
        <v>-0.46043139999999999</v>
      </c>
      <c r="P1023">
        <v>-0.97653809999999996</v>
      </c>
      <c r="Q1023">
        <v>0.13220190000000001</v>
      </c>
      <c r="R1023">
        <v>-0.1699889</v>
      </c>
      <c r="S1023">
        <v>-3.0811160000000002</v>
      </c>
      <c r="T1023">
        <v>-0.24362339999999999</v>
      </c>
      <c r="U1023">
        <v>-0.15412899999999999</v>
      </c>
      <c r="V1023">
        <v>0.3014058</v>
      </c>
      <c r="W1023">
        <v>0.14152609999999999</v>
      </c>
      <c r="X1023">
        <v>0.94293419999999895</v>
      </c>
      <c r="Y1023">
        <v>0.41294530000000002</v>
      </c>
      <c r="Z1023">
        <v>5.1435580000000002E-2</v>
      </c>
      <c r="AA1023">
        <v>0.90930219999999995</v>
      </c>
      <c r="AB1023">
        <v>25</v>
      </c>
      <c r="AC1023">
        <v>-13.646899999999899</v>
      </c>
      <c r="AD1023">
        <v>-1.097263661643</v>
      </c>
      <c r="AE1023">
        <v>-0.58830000000000304</v>
      </c>
      <c r="AF1023">
        <v>5.7250732566803197</v>
      </c>
      <c r="AG1023">
        <v>-1.097263661643</v>
      </c>
      <c r="AH1023">
        <v>12.305390929911299</v>
      </c>
      <c r="AI1023">
        <v>94.6221741399427</v>
      </c>
      <c r="AJ1023">
        <v>65.049833881577598</v>
      </c>
      <c r="AK1023">
        <v>13.6162805962371</v>
      </c>
      <c r="AL1023">
        <v>81.863835290271894</v>
      </c>
      <c r="AM1023">
        <v>72.273692851871701</v>
      </c>
      <c r="AN1023">
        <v>0.99999999939224404</v>
      </c>
    </row>
    <row r="1024" spans="1:40" x14ac:dyDescent="0.3">
      <c r="A1024" t="str">
        <f>"20200111150330527"</f>
        <v>20200111150330527</v>
      </c>
      <c r="B1024" t="str">
        <f>"1578726210519104"</f>
        <v>1578726210519104</v>
      </c>
      <c r="C1024" t="s">
        <v>40</v>
      </c>
      <c r="D1024">
        <v>5.7730030000000001</v>
      </c>
      <c r="E1024">
        <v>0.54888870000000001</v>
      </c>
      <c r="F1024" t="s">
        <v>68</v>
      </c>
      <c r="G1024">
        <v>-207.77260000000001</v>
      </c>
      <c r="H1024" s="1">
        <v>-7.6346690000000001E-6</v>
      </c>
      <c r="I1024">
        <v>144.46010000000001</v>
      </c>
      <c r="J1024">
        <v>-194.32650000000001</v>
      </c>
      <c r="K1024">
        <v>1.0978330000000001</v>
      </c>
      <c r="L1024">
        <v>144.97479999999999</v>
      </c>
      <c r="M1024">
        <v>-0.89225719999999997</v>
      </c>
      <c r="N1024">
        <v>0</v>
      </c>
      <c r="O1024">
        <v>-0.45126280000000002</v>
      </c>
      <c r="P1024">
        <v>-0.97811110000000001</v>
      </c>
      <c r="Q1024">
        <v>0.1286158</v>
      </c>
      <c r="R1024">
        <v>-0.1635762</v>
      </c>
      <c r="S1024">
        <v>-3.0810089999999999</v>
      </c>
      <c r="T1024">
        <v>-0.24702440000000001</v>
      </c>
      <c r="U1024">
        <v>-0.1407928</v>
      </c>
      <c r="V1024">
        <v>0.29782069999999999</v>
      </c>
      <c r="W1024">
        <v>0.13828859999999901</v>
      </c>
      <c r="X1024">
        <v>0.94455230000000001</v>
      </c>
      <c r="Y1024">
        <v>0.4074567</v>
      </c>
      <c r="Z1024">
        <v>5.1287319999999997E-2</v>
      </c>
      <c r="AA1024">
        <v>0.91178320000000002</v>
      </c>
      <c r="AB1024">
        <v>25</v>
      </c>
      <c r="AC1024">
        <v>-13.446099999999999</v>
      </c>
      <c r="AD1024">
        <v>-1.0978406346689999</v>
      </c>
      <c r="AE1024">
        <v>-0.51469999999997595</v>
      </c>
      <c r="AF1024">
        <v>5.5720594517569797</v>
      </c>
      <c r="AG1024">
        <v>-1.0978406346689999</v>
      </c>
      <c r="AH1024">
        <v>12.150227295861299</v>
      </c>
      <c r="AI1024">
        <v>94.695213183999599</v>
      </c>
      <c r="AJ1024">
        <v>65.363945578374995</v>
      </c>
      <c r="AK1024">
        <v>13.4119768838952</v>
      </c>
      <c r="AL1024">
        <v>82.051172825213996</v>
      </c>
      <c r="AM1024">
        <v>72.499751508278806</v>
      </c>
      <c r="AN1024">
        <v>0.99999997683686903</v>
      </c>
    </row>
    <row r="1025" spans="1:40" x14ac:dyDescent="0.3">
      <c r="A1025" t="str">
        <f>"20200111150330549"</f>
        <v>20200111150330549</v>
      </c>
      <c r="B1025" t="str">
        <f>"1578726210539600"</f>
        <v>1578726210539600</v>
      </c>
      <c r="C1025" t="s">
        <v>40</v>
      </c>
      <c r="D1025">
        <v>5.7312440000000002</v>
      </c>
      <c r="E1025">
        <v>0.54807289999999997</v>
      </c>
      <c r="F1025" t="s">
        <v>68</v>
      </c>
      <c r="G1025">
        <v>-207.32400000000001</v>
      </c>
      <c r="H1025" s="1">
        <v>-7.8320669999999903E-6</v>
      </c>
      <c r="I1025">
        <v>144.45429999999999</v>
      </c>
      <c r="J1025">
        <v>-194.5462</v>
      </c>
      <c r="K1025">
        <v>1.098398</v>
      </c>
      <c r="L1025">
        <v>144.8751</v>
      </c>
      <c r="M1025">
        <v>-0.89615239999999996</v>
      </c>
      <c r="N1025">
        <v>0</v>
      </c>
      <c r="O1025">
        <v>-0.44348209999999999</v>
      </c>
      <c r="P1025">
        <v>-0.97905850000000005</v>
      </c>
      <c r="Q1025">
        <v>0.12522649999999999</v>
      </c>
      <c r="R1025">
        <v>-0.16050989999999901</v>
      </c>
      <c r="S1025">
        <v>-3.0807039999999999</v>
      </c>
      <c r="T1025">
        <v>-0.26021270000000002</v>
      </c>
      <c r="U1025">
        <v>-0.1233673</v>
      </c>
      <c r="V1025">
        <v>0.2924949</v>
      </c>
      <c r="W1025">
        <v>0.13528209999999999</v>
      </c>
      <c r="X1025">
        <v>0.94664959999999998</v>
      </c>
      <c r="Y1025">
        <v>0.40440199999999998</v>
      </c>
      <c r="Z1025">
        <v>5.3317169999999997E-2</v>
      </c>
      <c r="AA1025">
        <v>0.91302589999999995</v>
      </c>
      <c r="AB1025">
        <v>25</v>
      </c>
      <c r="AC1025">
        <v>-12.777799999999999</v>
      </c>
      <c r="AD1025">
        <v>-1.098405832067</v>
      </c>
      <c r="AE1025">
        <v>-0.420800000000014</v>
      </c>
      <c r="AF1025">
        <v>5.2514813315672297</v>
      </c>
      <c r="AG1025">
        <v>-1.098405832067</v>
      </c>
      <c r="AH1025">
        <v>11.553555952058501</v>
      </c>
      <c r="AI1025">
        <v>94.946602961640906</v>
      </c>
      <c r="AJ1025">
        <v>65.556600111268295</v>
      </c>
      <c r="AK1025">
        <v>12.738493108883199</v>
      </c>
      <c r="AL1025">
        <v>82.225067239560403</v>
      </c>
      <c r="AM1025">
        <v>72.8299463895722</v>
      </c>
      <c r="AN1025">
        <v>0.99999998914328903</v>
      </c>
    </row>
    <row r="1026" spans="1:40" x14ac:dyDescent="0.3">
      <c r="A1026" t="str">
        <f>"20200111150330572"</f>
        <v>20200111150330572</v>
      </c>
      <c r="B1026" t="str">
        <f>"1578726210568880"</f>
        <v>1578726210568880</v>
      </c>
      <c r="C1026" t="s">
        <v>40</v>
      </c>
      <c r="D1026">
        <v>5.7467509999999997</v>
      </c>
      <c r="E1026">
        <v>0.54719249999999997</v>
      </c>
      <c r="F1026" t="s">
        <v>68</v>
      </c>
      <c r="G1026">
        <v>-206.99539999999999</v>
      </c>
      <c r="H1026" s="1">
        <v>-7.9620370000000006E-6</v>
      </c>
      <c r="I1026">
        <v>144.3946</v>
      </c>
      <c r="J1026">
        <v>-194.7784</v>
      </c>
      <c r="K1026">
        <v>1.099005</v>
      </c>
      <c r="L1026">
        <v>144.7714</v>
      </c>
      <c r="M1026">
        <v>-0.8998313</v>
      </c>
      <c r="N1026">
        <v>0</v>
      </c>
      <c r="O1026">
        <v>-0.43597419999999998</v>
      </c>
      <c r="P1026">
        <v>-0.97977239999999999</v>
      </c>
      <c r="Q1026">
        <v>0.12403930000000001</v>
      </c>
      <c r="R1026">
        <v>-0.15703610000000001</v>
      </c>
      <c r="S1026">
        <v>-3.0794220000000001</v>
      </c>
      <c r="T1026">
        <v>-0.27170159999999999</v>
      </c>
      <c r="U1026">
        <v>-0.1188507</v>
      </c>
      <c r="V1026">
        <v>0.28777039999999998</v>
      </c>
      <c r="W1026">
        <v>0.13447600000000001</v>
      </c>
      <c r="X1026">
        <v>0.94821120000000003</v>
      </c>
      <c r="Y1026">
        <v>0.39786070000000001</v>
      </c>
      <c r="Z1026">
        <v>5.480107E-2</v>
      </c>
      <c r="AA1026">
        <v>0.9158077</v>
      </c>
      <c r="AB1026">
        <v>25</v>
      </c>
      <c r="AC1026">
        <v>-12.216999999999899</v>
      </c>
      <c r="AD1026">
        <v>-1.0990129620369999</v>
      </c>
      <c r="AE1026">
        <v>-0.37680000000000202</v>
      </c>
      <c r="AF1026">
        <v>4.94781277014651</v>
      </c>
      <c r="AG1026">
        <v>-1.0990129620369999</v>
      </c>
      <c r="AH1026">
        <v>11.0693061760145</v>
      </c>
      <c r="AI1026">
        <v>95.179242725983897</v>
      </c>
      <c r="AJ1026">
        <v>65.916077542724693</v>
      </c>
      <c r="AK1026">
        <v>12.1744905403677</v>
      </c>
      <c r="AL1026">
        <v>82.271679692798102</v>
      </c>
      <c r="AM1026">
        <v>73.117603481531901</v>
      </c>
      <c r="AN1026">
        <v>1.00000003874879</v>
      </c>
    </row>
    <row r="1027" spans="1:40" x14ac:dyDescent="0.3">
      <c r="A1027" t="str">
        <f>"20200111150330872"</f>
        <v>20200111150330872</v>
      </c>
      <c r="B1027" t="str">
        <f>"1578726210869312"</f>
        <v>1578726210869312</v>
      </c>
      <c r="C1027" t="s">
        <v>40</v>
      </c>
      <c r="D1027">
        <v>6.2916499999999997</v>
      </c>
      <c r="E1027">
        <v>0.54689160000000003</v>
      </c>
      <c r="F1027" t="s">
        <v>68</v>
      </c>
      <c r="G1027">
        <v>-206.93629999999999</v>
      </c>
      <c r="H1027" s="1">
        <v>-7.9676819999999906E-6</v>
      </c>
      <c r="I1027">
        <v>144.3167</v>
      </c>
      <c r="J1027">
        <v>-197.8467</v>
      </c>
      <c r="K1027">
        <v>1.102528</v>
      </c>
      <c r="L1027">
        <v>143.4958</v>
      </c>
      <c r="M1027">
        <v>-0.92571760000000003</v>
      </c>
      <c r="N1027">
        <v>0</v>
      </c>
      <c r="O1027">
        <v>-0.37795269999999997</v>
      </c>
      <c r="P1027">
        <v>-0.98206369999999998</v>
      </c>
      <c r="Q1027">
        <v>0.11950959999999999</v>
      </c>
      <c r="R1027">
        <v>-0.14583769999999999</v>
      </c>
      <c r="S1027">
        <v>-3.0787049999999998</v>
      </c>
      <c r="T1027">
        <v>-0.2782983</v>
      </c>
      <c r="U1027">
        <v>-0.1151276</v>
      </c>
      <c r="V1027">
        <v>0.23690739999999999</v>
      </c>
      <c r="W1027">
        <v>0.1318201</v>
      </c>
      <c r="X1027">
        <v>0.96254779999999995</v>
      </c>
      <c r="Y1027">
        <v>0.3402751</v>
      </c>
      <c r="Z1027">
        <v>4.8712190000000002E-2</v>
      </c>
      <c r="AA1027">
        <v>0.93906339999999999</v>
      </c>
      <c r="AB1027">
        <v>24</v>
      </c>
      <c r="AC1027">
        <v>-9.0895999999999901</v>
      </c>
      <c r="AD1027">
        <v>-1.1025359676819999</v>
      </c>
      <c r="AE1027">
        <v>0.82089999999999397</v>
      </c>
      <c r="AF1027">
        <v>4.1354257313449203</v>
      </c>
      <c r="AG1027">
        <v>-1.1025359676819999</v>
      </c>
      <c r="AH1027">
        <v>7.9883659698068099</v>
      </c>
      <c r="AI1027">
        <v>96.987762717232698</v>
      </c>
      <c r="AJ1027">
        <v>62.630253345393299</v>
      </c>
      <c r="AK1027">
        <v>9.0626333042372291</v>
      </c>
      <c r="AL1027">
        <v>82.425218090786899</v>
      </c>
      <c r="AM1027">
        <v>76.172889265502704</v>
      </c>
      <c r="AN1027">
        <v>0.999999961111804</v>
      </c>
    </row>
    <row r="1028" spans="1:40" x14ac:dyDescent="0.3">
      <c r="A1028" t="str">
        <f>"20200111150330918"</f>
        <v>20200111150330918</v>
      </c>
      <c r="B1028" t="str">
        <f>"1578726210909327"</f>
        <v>1578726210909327</v>
      </c>
      <c r="C1028" t="s">
        <v>40</v>
      </c>
      <c r="D1028">
        <v>8.8715809999999902</v>
      </c>
      <c r="E1028">
        <v>0.46852500000000002</v>
      </c>
      <c r="F1028" t="s">
        <v>68</v>
      </c>
      <c r="G1028">
        <v>-209.48519999999999</v>
      </c>
      <c r="H1028" s="1">
        <v>-6.5421169999999901E-6</v>
      </c>
      <c r="I1028">
        <v>143.19829999999999</v>
      </c>
      <c r="J1028">
        <v>-198.31219999999999</v>
      </c>
      <c r="K1028">
        <v>1.1024590000000001</v>
      </c>
      <c r="L1028">
        <v>143.3158</v>
      </c>
      <c r="M1028">
        <v>-0.92844260000000001</v>
      </c>
      <c r="N1028">
        <v>0</v>
      </c>
      <c r="O1028">
        <v>-0.37121009999999999</v>
      </c>
      <c r="P1028">
        <v>-0.98166940000000003</v>
      </c>
      <c r="Q1028">
        <v>0.12344140000000001</v>
      </c>
      <c r="R1028">
        <v>-0.1452165</v>
      </c>
      <c r="S1028">
        <v>-3.0785979999999999</v>
      </c>
      <c r="T1028">
        <v>-0.29164289999999998</v>
      </c>
      <c r="U1028">
        <v>-7.8704830000000003E-2</v>
      </c>
      <c r="V1028">
        <v>0.23037189999999999</v>
      </c>
      <c r="W1028">
        <v>0.1357006</v>
      </c>
      <c r="X1028">
        <v>0.96359439999999996</v>
      </c>
      <c r="Y1028">
        <v>0.34426309999999999</v>
      </c>
      <c r="Z1028">
        <v>5.0659389999999999E-2</v>
      </c>
      <c r="AA1028">
        <v>0.93750549999999999</v>
      </c>
      <c r="AB1028">
        <v>24</v>
      </c>
      <c r="AC1028">
        <v>-11.173</v>
      </c>
      <c r="AD1028">
        <v>-1.102465542117</v>
      </c>
      <c r="AE1028">
        <v>-0.117500000000006</v>
      </c>
      <c r="AF1028">
        <v>3.9998975128905401</v>
      </c>
      <c r="AG1028">
        <v>-1.102465542117</v>
      </c>
      <c r="AH1028">
        <v>10.3176904656515</v>
      </c>
      <c r="AI1028">
        <v>95.689453857826905</v>
      </c>
      <c r="AJ1028">
        <v>68.809996702260193</v>
      </c>
      <c r="AK1028">
        <v>11.1206720538904</v>
      </c>
      <c r="AL1028">
        <v>82.200865996493803</v>
      </c>
      <c r="AM1028">
        <v>76.554357370941304</v>
      </c>
      <c r="AN1028">
        <v>1.0000000164306599</v>
      </c>
    </row>
    <row r="1029" spans="1:40" x14ac:dyDescent="0.3">
      <c r="A1029" t="str">
        <f>"20200111150330939"</f>
        <v>20200111150330939</v>
      </c>
      <c r="B1029" t="str">
        <f>"1578726210928846"</f>
        <v>1578726210928846</v>
      </c>
      <c r="C1029" t="s">
        <v>40</v>
      </c>
      <c r="D1029">
        <v>6.2484279999999996</v>
      </c>
      <c r="E1029">
        <v>0.4761532</v>
      </c>
      <c r="F1029" t="s">
        <v>42</v>
      </c>
      <c r="G1029">
        <v>-199.08170000000001</v>
      </c>
      <c r="H1029">
        <v>0.89966539999999995</v>
      </c>
      <c r="I1029">
        <v>143.1386</v>
      </c>
      <c r="J1029">
        <v>-198.53729999999999</v>
      </c>
      <c r="K1029">
        <v>1.1023799999999999</v>
      </c>
      <c r="L1029">
        <v>143.2302</v>
      </c>
      <c r="M1029">
        <v>-0.92981190000000002</v>
      </c>
      <c r="N1029">
        <v>0</v>
      </c>
      <c r="O1029">
        <v>-0.36776730000000002</v>
      </c>
      <c r="P1029">
        <v>-0.98125490000000004</v>
      </c>
      <c r="Q1029">
        <v>0.1262297</v>
      </c>
      <c r="R1029">
        <v>-0.14561789999999999</v>
      </c>
      <c r="S1029">
        <v>-3.0531619999999999</v>
      </c>
      <c r="T1029">
        <v>-0.80461070000000001</v>
      </c>
      <c r="U1029">
        <v>-0.70318599999999998</v>
      </c>
      <c r="V1029">
        <v>0.2263162</v>
      </c>
      <c r="W1029">
        <v>0.13845009999999999</v>
      </c>
      <c r="X1029">
        <v>0.96416409999999997</v>
      </c>
      <c r="Y1029">
        <v>0.13419929999999999</v>
      </c>
      <c r="Z1029">
        <v>0.10862040000000001</v>
      </c>
      <c r="AA1029">
        <v>0.98498330000000001</v>
      </c>
      <c r="AB1029">
        <v>24</v>
      </c>
      <c r="AC1029">
        <v>-0.54440000000002398</v>
      </c>
      <c r="AD1029">
        <v>-0.202714599999999</v>
      </c>
      <c r="AE1029">
        <v>-9.1599999999999598E-2</v>
      </c>
      <c r="AF1029">
        <v>0.101382908042981</v>
      </c>
      <c r="AG1029">
        <v>-0.202714599999999</v>
      </c>
      <c r="AH1029">
        <v>0.47577779004447202</v>
      </c>
      <c r="AI1029">
        <v>112.62218072205501</v>
      </c>
      <c r="AJ1029">
        <v>77.970827553348201</v>
      </c>
      <c r="AK1029">
        <v>0.52700683923077596</v>
      </c>
      <c r="AL1029">
        <v>82.041829324133303</v>
      </c>
      <c r="AM1029">
        <v>76.7902247889661</v>
      </c>
      <c r="AN1029">
        <v>0.99999993215062699</v>
      </c>
    </row>
    <row r="1030" spans="1:40" x14ac:dyDescent="0.3">
      <c r="A1030" t="str">
        <f>"20200111150330961"</f>
        <v>20200111150330961</v>
      </c>
      <c r="B1030" t="str">
        <f>"1578726210959102"</f>
        <v>1578726210959102</v>
      </c>
      <c r="C1030" t="s">
        <v>40</v>
      </c>
      <c r="D1030">
        <v>5.5901699999999996</v>
      </c>
      <c r="E1030">
        <v>0.47676039999999997</v>
      </c>
      <c r="F1030" t="s">
        <v>42</v>
      </c>
      <c r="G1030">
        <v>-199.28880000000001</v>
      </c>
      <c r="H1030">
        <v>0.89740350000000002</v>
      </c>
      <c r="I1030">
        <v>143.072</v>
      </c>
      <c r="J1030">
        <v>-198.75749999999999</v>
      </c>
      <c r="K1030">
        <v>1.1022620000000001</v>
      </c>
      <c r="L1030">
        <v>143.14760000000001</v>
      </c>
      <c r="M1030">
        <v>-0.93120570000000003</v>
      </c>
      <c r="N1030">
        <v>0</v>
      </c>
      <c r="O1030">
        <v>-0.36422470000000001</v>
      </c>
      <c r="P1030">
        <v>-0.98060990000000003</v>
      </c>
      <c r="Q1030">
        <v>0.12845299999999901</v>
      </c>
      <c r="R1030">
        <v>-0.14800189999999999</v>
      </c>
      <c r="S1030">
        <v>-3.069016</v>
      </c>
      <c r="T1030">
        <v>-0.83685279999999995</v>
      </c>
      <c r="U1030">
        <v>-0.64663700000000002</v>
      </c>
      <c r="V1030">
        <v>0.22024089999999999</v>
      </c>
      <c r="W1030">
        <v>0.1406424</v>
      </c>
      <c r="X1030">
        <v>0.96525320000000003</v>
      </c>
      <c r="Y1030">
        <v>0.1473255</v>
      </c>
      <c r="Z1030">
        <v>0.1134365</v>
      </c>
      <c r="AA1030">
        <v>0.98256160000000003</v>
      </c>
      <c r="AB1030">
        <v>24</v>
      </c>
      <c r="AC1030">
        <v>-0.53130000000001498</v>
      </c>
      <c r="AD1030">
        <v>-0.2048585</v>
      </c>
      <c r="AE1030">
        <v>-7.5600000000008494E-2</v>
      </c>
      <c r="AF1030">
        <v>0.107465507807448</v>
      </c>
      <c r="AG1030">
        <v>-0.2048585</v>
      </c>
      <c r="AH1030">
        <v>0.45590167651574498</v>
      </c>
      <c r="AI1030">
        <v>113.622712102823</v>
      </c>
      <c r="AJ1030">
        <v>76.736317674362297</v>
      </c>
      <c r="AK1030">
        <v>0.51123593285334501</v>
      </c>
      <c r="AL1030">
        <v>81.914979459688396</v>
      </c>
      <c r="AM1030">
        <v>77.146910586265705</v>
      </c>
      <c r="AN1030">
        <v>1.0000000394104001</v>
      </c>
    </row>
    <row r="1031" spans="1:40" x14ac:dyDescent="0.3">
      <c r="A1031" t="str">
        <f>"20200111150330983"</f>
        <v>20200111150330983</v>
      </c>
      <c r="B1031" t="str">
        <f>"1578726210979598"</f>
        <v>1578726210979598</v>
      </c>
      <c r="C1031" t="s">
        <v>40</v>
      </c>
      <c r="D1031">
        <v>7.7099259999999896</v>
      </c>
      <c r="E1031">
        <v>0.46554839999999997</v>
      </c>
      <c r="F1031" t="s">
        <v>42</v>
      </c>
      <c r="G1031">
        <v>-199.51079999999999</v>
      </c>
      <c r="H1031">
        <v>0.94087220000000005</v>
      </c>
      <c r="I1031">
        <v>142.9881</v>
      </c>
      <c r="J1031">
        <v>-198.98560000000001</v>
      </c>
      <c r="K1031">
        <v>1.102096</v>
      </c>
      <c r="L1031">
        <v>143.0633</v>
      </c>
      <c r="M1031">
        <v>-0.93272040000000001</v>
      </c>
      <c r="N1031">
        <v>0</v>
      </c>
      <c r="O1031">
        <v>-0.36032760000000003</v>
      </c>
      <c r="P1031">
        <v>-0.98012140000000003</v>
      </c>
      <c r="Q1031">
        <v>0.1300357</v>
      </c>
      <c r="R1031">
        <v>-0.14984349999999999</v>
      </c>
      <c r="S1031">
        <v>-3.047501</v>
      </c>
      <c r="T1031">
        <v>-0.65290930000000003</v>
      </c>
      <c r="U1031">
        <v>-0.64501949999999997</v>
      </c>
      <c r="V1031">
        <v>0.2143717</v>
      </c>
      <c r="W1031">
        <v>0.14218029999999901</v>
      </c>
      <c r="X1031">
        <v>0.96634850000000005</v>
      </c>
      <c r="Y1031">
        <v>0.14881240000000001</v>
      </c>
      <c r="Z1031">
        <v>8.9109170000000001E-2</v>
      </c>
      <c r="AA1031">
        <v>0.98484240000000001</v>
      </c>
      <c r="AB1031">
        <v>24</v>
      </c>
      <c r="AC1031">
        <v>-0.52519999999998301</v>
      </c>
      <c r="AD1031">
        <v>-0.1612238</v>
      </c>
      <c r="AE1031">
        <v>-7.5199999999995201E-2</v>
      </c>
      <c r="AF1031">
        <v>0.10904578402753599</v>
      </c>
      <c r="AG1031">
        <v>-0.1612238</v>
      </c>
      <c r="AH1031">
        <v>0.47330656803087701</v>
      </c>
      <c r="AI1031">
        <v>108.362924155644</v>
      </c>
      <c r="AJ1031">
        <v>77.025936014184197</v>
      </c>
      <c r="AK1031">
        <v>0.51176479367165095</v>
      </c>
      <c r="AL1031">
        <v>81.825969020034407</v>
      </c>
      <c r="AM1031">
        <v>77.492235549982198</v>
      </c>
      <c r="AN1031">
        <v>0.99999994346061305</v>
      </c>
    </row>
    <row r="1032" spans="1:40" x14ac:dyDescent="0.3">
      <c r="A1032" t="str">
        <f>"20200111150331006"</f>
        <v>20200111150331006</v>
      </c>
      <c r="B1032" t="str">
        <f>"1578726210999120"</f>
        <v>1578726210999120</v>
      </c>
      <c r="C1032" t="s">
        <v>40</v>
      </c>
      <c r="D1032">
        <v>6.4803569999999997</v>
      </c>
      <c r="E1032">
        <v>0.48144350000000002</v>
      </c>
      <c r="F1032" t="s">
        <v>41</v>
      </c>
      <c r="G1032">
        <v>-236.3614</v>
      </c>
      <c r="H1032" s="1">
        <v>-2.758762E-6</v>
      </c>
      <c r="I1032">
        <v>133.8492</v>
      </c>
      <c r="J1032">
        <v>-199.22149999999999</v>
      </c>
      <c r="K1032">
        <v>1.101899</v>
      </c>
      <c r="L1032">
        <v>142.9776</v>
      </c>
      <c r="M1032">
        <v>-0.9343688</v>
      </c>
      <c r="N1032">
        <v>0</v>
      </c>
      <c r="O1032">
        <v>-0.35603129999999999</v>
      </c>
      <c r="P1032">
        <v>-0.97984459999999995</v>
      </c>
      <c r="Q1032">
        <v>0.13194629999999999</v>
      </c>
      <c r="R1032">
        <v>-0.14998330000000001</v>
      </c>
      <c r="S1032">
        <v>-2.9608460000000001</v>
      </c>
      <c r="T1032">
        <v>-8.7306499999999995E-2</v>
      </c>
      <c r="U1032">
        <v>-0.7299194</v>
      </c>
      <c r="V1032">
        <v>0.20976929999999999</v>
      </c>
      <c r="W1032">
        <v>0.1440265</v>
      </c>
      <c r="X1032">
        <v>0.96708490000000003</v>
      </c>
      <c r="Y1032">
        <v>0.1218587</v>
      </c>
      <c r="Z1032">
        <v>1.182764E-2</v>
      </c>
      <c r="AA1032">
        <v>0.99247700000000005</v>
      </c>
      <c r="AB1032">
        <v>24</v>
      </c>
      <c r="AC1032">
        <v>-37.139899999999997</v>
      </c>
      <c r="AD1032">
        <v>-1.1019017587619999</v>
      </c>
      <c r="AE1032">
        <v>-9.1283999999999992</v>
      </c>
      <c r="AF1032">
        <v>4.6902429479986001</v>
      </c>
      <c r="AG1032">
        <v>-1.1019017587619999</v>
      </c>
      <c r="AH1032">
        <v>37.924611072964098</v>
      </c>
      <c r="AI1032">
        <v>91.651687689225</v>
      </c>
      <c r="AJ1032">
        <v>82.9498687474467</v>
      </c>
      <c r="AK1032">
        <v>38.229421803537797</v>
      </c>
      <c r="AL1032">
        <v>81.719089951695906</v>
      </c>
      <c r="AM1032">
        <v>77.761622603402799</v>
      </c>
      <c r="AN1032">
        <v>0.99999999786637495</v>
      </c>
    </row>
    <row r="1033" spans="1:40" x14ac:dyDescent="0.3">
      <c r="A1033" t="str">
        <f>"20200111150331029"</f>
        <v>20200111150331029</v>
      </c>
      <c r="B1033" t="str">
        <f>"1578726211019614"</f>
        <v>1578726211019614</v>
      </c>
      <c r="C1033" t="s">
        <v>40</v>
      </c>
      <c r="D1033">
        <v>5.8602429999999996</v>
      </c>
      <c r="E1033">
        <v>0.48648970000000002</v>
      </c>
      <c r="F1033" t="s">
        <v>41</v>
      </c>
      <c r="G1033">
        <v>-279.4203</v>
      </c>
      <c r="H1033">
        <v>7.998566E-2</v>
      </c>
      <c r="I1033">
        <v>126.6788</v>
      </c>
      <c r="J1033">
        <v>-199.4503</v>
      </c>
      <c r="K1033">
        <v>1.101683</v>
      </c>
      <c r="L1033">
        <v>142.89599999999999</v>
      </c>
      <c r="M1033">
        <v>-0.93605579999999999</v>
      </c>
      <c r="N1033">
        <v>0</v>
      </c>
      <c r="O1033">
        <v>-0.35157189999999999</v>
      </c>
      <c r="P1033">
        <v>-0.97963579999999995</v>
      </c>
      <c r="Q1033">
        <v>0.13353470000000001</v>
      </c>
      <c r="R1033">
        <v>-0.14994060000000001</v>
      </c>
      <c r="S1033">
        <v>-2.9742890000000002</v>
      </c>
      <c r="T1033">
        <v>-3.7899139999999998E-2</v>
      </c>
      <c r="U1033">
        <v>-0.60446169999999899</v>
      </c>
      <c r="V1033">
        <v>0.2052001</v>
      </c>
      <c r="W1033">
        <v>0.14555609999999999</v>
      </c>
      <c r="X1033">
        <v>0.96783589999999997</v>
      </c>
      <c r="Y1033">
        <v>0.15808359999999999</v>
      </c>
      <c r="Z1033">
        <v>5.3201019999999898E-3</v>
      </c>
      <c r="AA1033">
        <v>0.98741140000000005</v>
      </c>
      <c r="AB1033">
        <v>24</v>
      </c>
      <c r="AC1033">
        <v>-79.97</v>
      </c>
      <c r="AD1033">
        <v>-1.02169734</v>
      </c>
      <c r="AE1033">
        <v>-16.217199999999998</v>
      </c>
      <c r="AF1033">
        <v>12.9342454991999</v>
      </c>
      <c r="AG1033">
        <v>-1.02169734</v>
      </c>
      <c r="AH1033">
        <v>80.553190682698101</v>
      </c>
      <c r="AI1033">
        <v>90.717483483176494</v>
      </c>
      <c r="AJ1033">
        <v>80.878007550802593</v>
      </c>
      <c r="AK1033">
        <v>81.591391097659596</v>
      </c>
      <c r="AL1033">
        <v>81.630516924884802</v>
      </c>
      <c r="AM1033">
        <v>78.029443489060398</v>
      </c>
      <c r="AN1033">
        <v>0.99999999430801501</v>
      </c>
    </row>
    <row r="1034" spans="1:40" x14ac:dyDescent="0.3">
      <c r="A1034" t="str">
        <f>"20200111150331074"</f>
        <v>20200111150331074</v>
      </c>
      <c r="B1034" t="str">
        <f>"1578726211069141"</f>
        <v>1578726211069141</v>
      </c>
      <c r="C1034" t="s">
        <v>40</v>
      </c>
      <c r="D1034">
        <v>6.214785</v>
      </c>
      <c r="E1034">
        <v>0.49021490000000001</v>
      </c>
      <c r="F1034" t="s">
        <v>65</v>
      </c>
      <c r="G1034">
        <v>-332.27019999999999</v>
      </c>
      <c r="H1034">
        <v>0.68300839999999996</v>
      </c>
      <c r="I1034">
        <v>117.73990000000001</v>
      </c>
      <c r="J1034">
        <v>-199.9118</v>
      </c>
      <c r="K1034">
        <v>1.1012789999999999</v>
      </c>
      <c r="L1034">
        <v>142.73660000000001</v>
      </c>
      <c r="M1034">
        <v>-0.93970889999999996</v>
      </c>
      <c r="N1034">
        <v>0</v>
      </c>
      <c r="O1034">
        <v>-0.34168670000000001</v>
      </c>
      <c r="P1034">
        <v>-0.97998180000000001</v>
      </c>
      <c r="Q1034">
        <v>0.13403590000000001</v>
      </c>
      <c r="R1034">
        <v>-0.14720749999999999</v>
      </c>
      <c r="S1034">
        <v>-2.9773100000000001</v>
      </c>
      <c r="T1034">
        <v>-9.3847510000000002E-3</v>
      </c>
      <c r="U1034">
        <v>-0.56390379999999996</v>
      </c>
      <c r="V1034">
        <v>0.19780030000000001</v>
      </c>
      <c r="W1034">
        <v>0.1459609</v>
      </c>
      <c r="X1034">
        <v>0.96931449999999997</v>
      </c>
      <c r="Y1034">
        <v>0.16085949999999999</v>
      </c>
      <c r="Z1034">
        <v>1.2939480000000001E-3</v>
      </c>
      <c r="AA1034">
        <v>0.98697639999999998</v>
      </c>
      <c r="AB1034">
        <v>24</v>
      </c>
      <c r="AC1034">
        <v>-132.35839999999999</v>
      </c>
      <c r="AD1034">
        <v>-0.41827059999999999</v>
      </c>
      <c r="AE1034">
        <v>-24.996700000000001</v>
      </c>
      <c r="AF1034">
        <v>21.737419266114902</v>
      </c>
      <c r="AG1034">
        <v>-0.41827059999999999</v>
      </c>
      <c r="AH1034">
        <v>132.931244519752</v>
      </c>
      <c r="AI1034">
        <v>90.177918561599597</v>
      </c>
      <c r="AJ1034">
        <v>80.712973992452007</v>
      </c>
      <c r="AK1034">
        <v>134.69746143196599</v>
      </c>
      <c r="AL1034">
        <v>81.607073871157397</v>
      </c>
      <c r="AM1034">
        <v>78.466456716654406</v>
      </c>
      <c r="AN1034">
        <v>1.00000007145957</v>
      </c>
    </row>
    <row r="1035" spans="1:40" x14ac:dyDescent="0.3">
      <c r="A1035" t="str">
        <f>"20200111150331097"</f>
        <v>20200111150331097</v>
      </c>
      <c r="B1035" t="str">
        <f>"1578726211089619"</f>
        <v>1578726211089619</v>
      </c>
      <c r="C1035" t="s">
        <v>40</v>
      </c>
      <c r="D1035">
        <v>5.8917900000000003</v>
      </c>
      <c r="E1035">
        <v>0.49388910000000003</v>
      </c>
      <c r="F1035" t="s">
        <v>65</v>
      </c>
      <c r="G1035">
        <v>-333.05369999999999</v>
      </c>
      <c r="H1035">
        <v>17.076170000000001</v>
      </c>
      <c r="I1035">
        <v>119.166</v>
      </c>
      <c r="J1035">
        <v>-200.14359999999999</v>
      </c>
      <c r="K1035">
        <v>1.101111</v>
      </c>
      <c r="L1035">
        <v>142.6591</v>
      </c>
      <c r="M1035">
        <v>-0.94162699999999999</v>
      </c>
      <c r="N1035">
        <v>0</v>
      </c>
      <c r="O1035">
        <v>-0.33636490000000002</v>
      </c>
      <c r="P1035">
        <v>-0.98053590000000002</v>
      </c>
      <c r="Q1035">
        <v>0.13262409999999999</v>
      </c>
      <c r="R1035">
        <v>-0.14477799999999999</v>
      </c>
      <c r="S1035">
        <v>-2.9350740000000002</v>
      </c>
      <c r="T1035">
        <v>0.35216199999999998</v>
      </c>
      <c r="U1035">
        <v>-0.5196075</v>
      </c>
      <c r="V1035">
        <v>0.19481970000000001</v>
      </c>
      <c r="W1035">
        <v>0.14452100000000001</v>
      </c>
      <c r="X1035">
        <v>0.97013349999999998</v>
      </c>
      <c r="Y1035">
        <v>0.16372600000000001</v>
      </c>
      <c r="Z1035">
        <v>-4.8733539999999999E-2</v>
      </c>
      <c r="AA1035">
        <v>0.98530139999999999</v>
      </c>
      <c r="AB1035">
        <v>24</v>
      </c>
      <c r="AC1035">
        <v>-132.9101</v>
      </c>
      <c r="AD1035">
        <v>15.975059</v>
      </c>
      <c r="AE1035">
        <v>-23.493099999999998</v>
      </c>
      <c r="AF1035">
        <v>22.274735813125101</v>
      </c>
      <c r="AG1035">
        <v>15.975059</v>
      </c>
      <c r="AH1035">
        <v>131.22873189527601</v>
      </c>
      <c r="AI1035">
        <v>83.156221943240197</v>
      </c>
      <c r="AJ1035">
        <v>80.366446146345297</v>
      </c>
      <c r="AK1035">
        <v>134.060980305383</v>
      </c>
      <c r="AL1035">
        <v>81.690457828506297</v>
      </c>
      <c r="AM1035">
        <v>78.645041602813393</v>
      </c>
      <c r="AN1035">
        <v>1.0000000213856599</v>
      </c>
    </row>
    <row r="1036" spans="1:40" x14ac:dyDescent="0.3">
      <c r="A1036" t="str">
        <f>"20200111150331120"</f>
        <v>20200111150331120</v>
      </c>
      <c r="B1036" t="str">
        <f>"1578726211109142"</f>
        <v>1578726211109142</v>
      </c>
      <c r="C1036" t="s">
        <v>40</v>
      </c>
      <c r="D1036">
        <v>5.5660790000000002</v>
      </c>
      <c r="E1036">
        <v>0.49457970000000001</v>
      </c>
      <c r="F1036" t="s">
        <v>65</v>
      </c>
      <c r="G1036">
        <v>-344.16680000000002</v>
      </c>
      <c r="H1036">
        <v>16.700520000000001</v>
      </c>
      <c r="I1036">
        <v>119.00530000000001</v>
      </c>
      <c r="J1036">
        <v>-200.3879</v>
      </c>
      <c r="K1036">
        <v>1.100949</v>
      </c>
      <c r="L1036">
        <v>142.57919999999999</v>
      </c>
      <c r="M1036">
        <v>-0.94369510000000001</v>
      </c>
      <c r="N1036">
        <v>0</v>
      </c>
      <c r="O1036">
        <v>-0.33051799999999998</v>
      </c>
      <c r="P1036">
        <v>-0.9812303</v>
      </c>
      <c r="Q1036">
        <v>0.13096140000000001</v>
      </c>
      <c r="R1036">
        <v>-0.14155090000000001</v>
      </c>
      <c r="S1036">
        <v>-2.9449920000000001</v>
      </c>
      <c r="T1036">
        <v>0.31897740000000002</v>
      </c>
      <c r="U1036">
        <v>-0.48367310000000002</v>
      </c>
      <c r="V1036">
        <v>0.19209709999999999</v>
      </c>
      <c r="W1036">
        <v>0.14283680000000001</v>
      </c>
      <c r="X1036">
        <v>0.9709255</v>
      </c>
      <c r="Y1036">
        <v>0.17046500000000001</v>
      </c>
      <c r="Z1036">
        <v>-4.3857630000000002E-2</v>
      </c>
      <c r="AA1036">
        <v>0.98438720000000002</v>
      </c>
      <c r="AB1036">
        <v>24</v>
      </c>
      <c r="AC1036">
        <v>-143.77889999999999</v>
      </c>
      <c r="AD1036">
        <v>15.599570999999999</v>
      </c>
      <c r="AE1036">
        <v>-23.573899999999899</v>
      </c>
      <c r="AF1036">
        <v>24.9909539068396</v>
      </c>
      <c r="AG1036">
        <v>15.599570999999999</v>
      </c>
      <c r="AH1036">
        <v>141.86297080800401</v>
      </c>
      <c r="AI1036">
        <v>83.819256817367105</v>
      </c>
      <c r="AJ1036">
        <v>80.0091329643177</v>
      </c>
      <c r="AK1036">
        <v>144.88960238412699</v>
      </c>
      <c r="AL1036">
        <v>81.787966826768596</v>
      </c>
      <c r="AM1036">
        <v>78.808593328805301</v>
      </c>
      <c r="AN1036">
        <v>0.99999998690644898</v>
      </c>
    </row>
    <row r="1037" spans="1:40" x14ac:dyDescent="0.3">
      <c r="A1037" t="str">
        <f>"20200111150331209"</f>
        <v>20200111150331209</v>
      </c>
      <c r="B1037" t="str">
        <f>"1578726211198932"</f>
        <v>1578726211198932</v>
      </c>
      <c r="C1037" t="s">
        <v>40</v>
      </c>
      <c r="D1037">
        <v>6.343439</v>
      </c>
      <c r="E1037">
        <v>0.57526100000000002</v>
      </c>
      <c r="F1037" t="s">
        <v>65</v>
      </c>
      <c r="G1037">
        <v>-342.41419999999999</v>
      </c>
      <c r="H1037">
        <v>13.3052799999999</v>
      </c>
      <c r="I1037">
        <v>120.027</v>
      </c>
      <c r="J1037">
        <v>-201.30609999999999</v>
      </c>
      <c r="K1037">
        <v>1.100379</v>
      </c>
      <c r="L1037">
        <v>142.29650000000001</v>
      </c>
      <c r="M1037">
        <v>-0.9516675</v>
      </c>
      <c r="N1037">
        <v>0</v>
      </c>
      <c r="O1037">
        <v>-0.30683050000000001</v>
      </c>
      <c r="P1037">
        <v>-0.98437799999999998</v>
      </c>
      <c r="Q1037">
        <v>0.12970989999999999</v>
      </c>
      <c r="R1037">
        <v>-0.1190609</v>
      </c>
      <c r="S1037">
        <v>-2.9557799999999999</v>
      </c>
      <c r="T1037">
        <v>0.25399050000000001</v>
      </c>
      <c r="U1037">
        <v>-0.46934510000000002</v>
      </c>
      <c r="V1037">
        <v>0.19022629999999999</v>
      </c>
      <c r="W1037">
        <v>0.14093800000000001</v>
      </c>
      <c r="X1037">
        <v>0.97157110000000002</v>
      </c>
      <c r="Y1037">
        <v>0.15220040000000001</v>
      </c>
      <c r="Z1037">
        <v>-3.2163959999999998E-2</v>
      </c>
      <c r="AA1037">
        <v>0.98782619999999999</v>
      </c>
      <c r="AB1037">
        <v>24</v>
      </c>
      <c r="AC1037">
        <v>-141.10810000000001</v>
      </c>
      <c r="AD1037">
        <v>12.2049009999999</v>
      </c>
      <c r="AE1037">
        <v>-22.269500000000001</v>
      </c>
      <c r="AF1037">
        <v>21.944960895125199</v>
      </c>
      <c r="AG1037">
        <v>12.2049009999999</v>
      </c>
      <c r="AH1037">
        <v>140.111228768676</v>
      </c>
      <c r="AI1037">
        <v>85.0812747821155</v>
      </c>
      <c r="AJ1037">
        <v>81.098352348283896</v>
      </c>
      <c r="AK1037">
        <v>142.343589051902</v>
      </c>
      <c r="AL1037">
        <v>81.897871978178799</v>
      </c>
      <c r="AM1037">
        <v>78.922055925059894</v>
      </c>
      <c r="AN1037">
        <v>0.99999998370544896</v>
      </c>
    </row>
    <row r="1038" spans="1:40" x14ac:dyDescent="0.3">
      <c r="A1038" t="str">
        <f>"20200111150331232"</f>
        <v>20200111150331232</v>
      </c>
      <c r="B1038" t="str">
        <f>"1578726211229188"</f>
        <v>1578726211229188</v>
      </c>
      <c r="C1038" t="s">
        <v>40</v>
      </c>
      <c r="D1038">
        <v>5.0761589999999996</v>
      </c>
      <c r="E1038">
        <v>0.55974349999999995</v>
      </c>
      <c r="F1038" t="s">
        <v>68</v>
      </c>
      <c r="G1038">
        <v>-204.21619999999999</v>
      </c>
      <c r="H1038" s="1">
        <v>-8.6442180000000003E-6</v>
      </c>
      <c r="I1038">
        <v>142.4984</v>
      </c>
      <c r="J1038">
        <v>-201.53460000000001</v>
      </c>
      <c r="K1038">
        <v>1.1002620000000001</v>
      </c>
      <c r="L1038">
        <v>142.23050000000001</v>
      </c>
      <c r="M1038">
        <v>-0.95363439999999999</v>
      </c>
      <c r="N1038">
        <v>0</v>
      </c>
      <c r="O1038">
        <v>-0.3006742</v>
      </c>
      <c r="P1038">
        <v>-0.98508359999999995</v>
      </c>
      <c r="Q1038">
        <v>0.12974449999999901</v>
      </c>
      <c r="R1038">
        <v>-0.1130351</v>
      </c>
      <c r="S1038">
        <v>-3.235992</v>
      </c>
      <c r="T1038">
        <v>-1.2236320000000001</v>
      </c>
      <c r="U1038">
        <v>0.2244873</v>
      </c>
      <c r="V1038">
        <v>0.18990309999999999</v>
      </c>
      <c r="W1038">
        <v>0.14067079999999901</v>
      </c>
      <c r="X1038">
        <v>0.97167309999999996</v>
      </c>
      <c r="Y1038">
        <v>0.32333200000000001</v>
      </c>
      <c r="Z1038">
        <v>0.16774729999999999</v>
      </c>
      <c r="AA1038">
        <v>0.93129870000000003</v>
      </c>
      <c r="AB1038">
        <v>24</v>
      </c>
      <c r="AC1038">
        <v>-2.6815999999999698</v>
      </c>
      <c r="AD1038">
        <v>-1.1002706442179999</v>
      </c>
      <c r="AE1038">
        <v>0.26789999999999697</v>
      </c>
      <c r="AF1038">
        <v>0.91015120370992697</v>
      </c>
      <c r="AG1038">
        <v>-1.1002706442179999</v>
      </c>
      <c r="AH1038">
        <v>2.1230518200791799</v>
      </c>
      <c r="AI1038">
        <v>115.469600091296</v>
      </c>
      <c r="AJ1038">
        <v>66.795211609885001</v>
      </c>
      <c r="AK1038">
        <v>2.5585776781024299</v>
      </c>
      <c r="AL1038">
        <v>81.913335903199993</v>
      </c>
      <c r="AM1038">
        <v>78.941545589537895</v>
      </c>
      <c r="AN1038">
        <v>1.0000000373129201</v>
      </c>
    </row>
    <row r="1039" spans="1:40" x14ac:dyDescent="0.3">
      <c r="A1039" t="str">
        <f>"20200111150331252"</f>
        <v>20200111150331252</v>
      </c>
      <c r="B1039" t="str">
        <f>"1578726211248707"</f>
        <v>1578726211248707</v>
      </c>
      <c r="C1039" t="s">
        <v>40</v>
      </c>
      <c r="D1039">
        <v>5.6230710000000004</v>
      </c>
      <c r="E1039">
        <v>0.55963999999999903</v>
      </c>
      <c r="F1039" t="s">
        <v>41</v>
      </c>
      <c r="G1039">
        <v>-212.51669999999999</v>
      </c>
      <c r="H1039" s="1">
        <v>-4.2891400000000004E-6</v>
      </c>
      <c r="I1039">
        <v>142.6848</v>
      </c>
      <c r="J1039">
        <v>-201.76140000000001</v>
      </c>
      <c r="K1039">
        <v>1.100182</v>
      </c>
      <c r="L1039">
        <v>142.16659999999999</v>
      </c>
      <c r="M1039">
        <v>-0.95555650000000003</v>
      </c>
      <c r="N1039">
        <v>0</v>
      </c>
      <c r="O1039">
        <v>-0.2945217</v>
      </c>
      <c r="P1039">
        <v>-0.98585540000000005</v>
      </c>
      <c r="Q1039">
        <v>0.1286311</v>
      </c>
      <c r="R1039">
        <v>-0.1074391</v>
      </c>
      <c r="S1039">
        <v>-3.1010740000000001</v>
      </c>
      <c r="T1039">
        <v>-0.31068959999999901</v>
      </c>
      <c r="U1039">
        <v>0.12828059999999999</v>
      </c>
      <c r="V1039">
        <v>0.18918940000000001</v>
      </c>
      <c r="W1039">
        <v>0.1392756</v>
      </c>
      <c r="X1039">
        <v>0.97201320000000002</v>
      </c>
      <c r="Y1039">
        <v>0.33069159999999997</v>
      </c>
      <c r="Z1039">
        <v>4.5651270000000001E-2</v>
      </c>
      <c r="AA1039">
        <v>0.94263410000000003</v>
      </c>
      <c r="AB1039">
        <v>24</v>
      </c>
      <c r="AC1039">
        <v>-10.755299999999901</v>
      </c>
      <c r="AD1039">
        <v>-1.1001862891399901</v>
      </c>
      <c r="AE1039">
        <v>0.51820000000000699</v>
      </c>
      <c r="AF1039">
        <v>3.62530130379402</v>
      </c>
      <c r="AG1039">
        <v>-1.1001862891399901</v>
      </c>
      <c r="AH1039">
        <v>10.02091649846</v>
      </c>
      <c r="AI1039">
        <v>95.894367916224994</v>
      </c>
      <c r="AJ1039">
        <v>70.1112224364783</v>
      </c>
      <c r="AK1039">
        <v>10.7131688534816</v>
      </c>
      <c r="AL1039">
        <v>81.994069410168393</v>
      </c>
      <c r="AM1039">
        <v>78.985847767347195</v>
      </c>
      <c r="AN1039">
        <v>0.99999999140097995</v>
      </c>
    </row>
    <row r="1040" spans="1:40" x14ac:dyDescent="0.3">
      <c r="A1040" t="str">
        <f>"20200111150331275"</f>
        <v>20200111150331275</v>
      </c>
      <c r="B1040" t="str">
        <f>"1578726211269203"</f>
        <v>1578726211269203</v>
      </c>
      <c r="C1040" t="s">
        <v>40</v>
      </c>
      <c r="D1040">
        <v>5.6596890000000002</v>
      </c>
      <c r="E1040">
        <v>0.55784730000000005</v>
      </c>
      <c r="F1040" t="s">
        <v>41</v>
      </c>
      <c r="G1040">
        <v>-214.84020000000001</v>
      </c>
      <c r="H1040" s="1">
        <v>-3.2621519999999998E-6</v>
      </c>
      <c r="I1040">
        <v>142.78309999999999</v>
      </c>
      <c r="J1040">
        <v>-201.99289999999999</v>
      </c>
      <c r="K1040">
        <v>1.1001289999999999</v>
      </c>
      <c r="L1040">
        <v>142.10299999999901</v>
      </c>
      <c r="M1040">
        <v>-0.95748239999999996</v>
      </c>
      <c r="N1040">
        <v>0</v>
      </c>
      <c r="O1040">
        <v>-0.28821210000000003</v>
      </c>
      <c r="P1040">
        <v>-0.98663780000000001</v>
      </c>
      <c r="Q1040">
        <v>0.12671360000000001</v>
      </c>
      <c r="R1040">
        <v>-0.10241790000000001</v>
      </c>
      <c r="S1040">
        <v>-3.0928800000000001</v>
      </c>
      <c r="T1040">
        <v>-0.26017170000000001</v>
      </c>
      <c r="U1040">
        <v>0.1457977</v>
      </c>
      <c r="V1040">
        <v>0.18777050000000001</v>
      </c>
      <c r="W1040">
        <v>0.13709470000000001</v>
      </c>
      <c r="X1040">
        <v>0.97259819999999997</v>
      </c>
      <c r="Y1040">
        <v>0.33083770000000001</v>
      </c>
      <c r="Z1040">
        <v>3.7851330000000002E-2</v>
      </c>
      <c r="AA1040">
        <v>0.94292830000000005</v>
      </c>
      <c r="AB1040">
        <v>24</v>
      </c>
      <c r="AC1040">
        <v>-12.847300000000001</v>
      </c>
      <c r="AD1040">
        <v>-1.100132262152</v>
      </c>
      <c r="AE1040">
        <v>0.68010000000001003</v>
      </c>
      <c r="AF1040">
        <v>4.3226736982272103</v>
      </c>
      <c r="AG1040">
        <v>-1.100132262152</v>
      </c>
      <c r="AH1040">
        <v>12.0181469759804</v>
      </c>
      <c r="AI1040">
        <v>94.923131709613997</v>
      </c>
      <c r="AJ1040">
        <v>70.2174129910413</v>
      </c>
      <c r="AK1040">
        <v>12.819190911747899</v>
      </c>
      <c r="AL1040">
        <v>82.120236168820099</v>
      </c>
      <c r="AM1040">
        <v>79.072872656904806</v>
      </c>
      <c r="AN1040">
        <v>0.99999998804078905</v>
      </c>
    </row>
    <row r="1041" spans="1:40" x14ac:dyDescent="0.3">
      <c r="A1041" t="str">
        <f>"20200111150331298"</f>
        <v>20200111150331298</v>
      </c>
      <c r="B1041" t="str">
        <f>"1578726211289231"</f>
        <v>1578726211289231</v>
      </c>
      <c r="C1041" t="s">
        <v>40</v>
      </c>
      <c r="D1041">
        <v>5.7163940000000002</v>
      </c>
      <c r="E1041">
        <v>0.5720018</v>
      </c>
      <c r="F1041" t="s">
        <v>41</v>
      </c>
      <c r="G1041">
        <v>-214.62909999999999</v>
      </c>
      <c r="H1041" s="1">
        <v>-3.3424599999999999E-6</v>
      </c>
      <c r="I1041">
        <v>142.7098</v>
      </c>
      <c r="J1041">
        <v>-202.23079999999999</v>
      </c>
      <c r="K1041">
        <v>1.1000920000000001</v>
      </c>
      <c r="L1041">
        <v>142.0393</v>
      </c>
      <c r="M1041">
        <v>-0.95941540000000003</v>
      </c>
      <c r="N1041">
        <v>0</v>
      </c>
      <c r="O1041">
        <v>-0.28172419999999998</v>
      </c>
      <c r="P1041">
        <v>-0.98728249999999995</v>
      </c>
      <c r="Q1041">
        <v>0.12615390000000001</v>
      </c>
      <c r="R1041">
        <v>-9.674075E-2</v>
      </c>
      <c r="S1041">
        <v>-3.0905909999999999</v>
      </c>
      <c r="T1041">
        <v>-0.26907309999999901</v>
      </c>
      <c r="U1041">
        <v>0.1484222</v>
      </c>
      <c r="V1041">
        <v>0.1867877</v>
      </c>
      <c r="W1041">
        <v>0.136272799999999</v>
      </c>
      <c r="X1041">
        <v>0.97290290000000001</v>
      </c>
      <c r="Y1041">
        <v>0.32517059999999998</v>
      </c>
      <c r="Z1041">
        <v>3.8377229999999998E-2</v>
      </c>
      <c r="AA1041">
        <v>0.9448763</v>
      </c>
      <c r="AB1041">
        <v>24</v>
      </c>
      <c r="AC1041">
        <v>-12.398300000000001</v>
      </c>
      <c r="AD1041">
        <v>-1.10009534246</v>
      </c>
      <c r="AE1041">
        <v>0.67050000000000398</v>
      </c>
      <c r="AF1041">
        <v>4.1042882540277299</v>
      </c>
      <c r="AG1041">
        <v>-1.10009534246</v>
      </c>
      <c r="AH1041">
        <v>11.615938036841801</v>
      </c>
      <c r="AI1041">
        <v>95.102725561951701</v>
      </c>
      <c r="AJ1041">
        <v>70.540030767786803</v>
      </c>
      <c r="AK1041">
        <v>12.3687270286963</v>
      </c>
      <c r="AL1041">
        <v>82.167773715270997</v>
      </c>
      <c r="AM1041">
        <v>79.132023145612607</v>
      </c>
      <c r="AN1041">
        <v>0.99999998685976899</v>
      </c>
    </row>
    <row r="1042" spans="1:40" x14ac:dyDescent="0.3">
      <c r="A1042" t="str">
        <f>"20200111150331319"</f>
        <v>20200111150331319</v>
      </c>
      <c r="B1042" t="str">
        <f>"1578726211308750"</f>
        <v>1578726211308750</v>
      </c>
      <c r="C1042" t="s">
        <v>40</v>
      </c>
      <c r="D1042">
        <v>5.6646460000000003</v>
      </c>
      <c r="E1042">
        <v>0.56057880000000004</v>
      </c>
      <c r="F1042" t="s">
        <v>62</v>
      </c>
      <c r="G1042">
        <v>-459.875</v>
      </c>
      <c r="H1042">
        <v>38.475160000000002</v>
      </c>
      <c r="I1042">
        <v>166.1216</v>
      </c>
      <c r="J1042">
        <v>-202.4666</v>
      </c>
      <c r="K1042">
        <v>1.100077</v>
      </c>
      <c r="L1042">
        <v>141.9778</v>
      </c>
      <c r="M1042">
        <v>-0.96127759999999995</v>
      </c>
      <c r="N1042">
        <v>0</v>
      </c>
      <c r="O1042">
        <v>-0.275314</v>
      </c>
      <c r="P1042">
        <v>-0.98770650000000004</v>
      </c>
      <c r="Q1042">
        <v>0.1271361</v>
      </c>
      <c r="R1042">
        <v>-9.0955149999999999E-2</v>
      </c>
      <c r="S1042">
        <v>-3.0104220000000002</v>
      </c>
      <c r="T1042">
        <v>0.43670579999999998</v>
      </c>
      <c r="U1042">
        <v>0.28138730000000001</v>
      </c>
      <c r="V1042">
        <v>0.1859635</v>
      </c>
      <c r="W1042">
        <v>0.13701859999999999</v>
      </c>
      <c r="X1042">
        <v>0.97295609999999999</v>
      </c>
      <c r="Y1042">
        <v>0.35705890000000001</v>
      </c>
      <c r="Z1042">
        <v>-6.5091270000000007E-2</v>
      </c>
      <c r="AA1042">
        <v>0.93181119999999995</v>
      </c>
      <c r="AB1042">
        <v>24</v>
      </c>
      <c r="AC1042">
        <v>-257.40839999999997</v>
      </c>
      <c r="AD1042">
        <v>37.375082999999997</v>
      </c>
      <c r="AE1042">
        <v>24.143799999999999</v>
      </c>
      <c r="AF1042">
        <v>92.158009954530101</v>
      </c>
      <c r="AG1042">
        <v>37.375082999999997</v>
      </c>
      <c r="AH1042">
        <v>235.881995775825</v>
      </c>
      <c r="AI1042">
        <v>81.604649210770006</v>
      </c>
      <c r="AJ1042">
        <v>68.659641324381894</v>
      </c>
      <c r="AK1042">
        <v>255.988889523007</v>
      </c>
      <c r="AL1042">
        <v>82.124638377801105</v>
      </c>
      <c r="AM1042">
        <v>79.179421097404102</v>
      </c>
      <c r="AN1042">
        <v>1.0000000463026999</v>
      </c>
    </row>
    <row r="1043" spans="1:40" x14ac:dyDescent="0.3">
      <c r="A1043" t="str">
        <f>"20200111150331341"</f>
        <v>20200111150331341</v>
      </c>
      <c r="B1043" t="str">
        <f>"1578726211339005"</f>
        <v>1578726211339005</v>
      </c>
      <c r="C1043" t="s">
        <v>40</v>
      </c>
      <c r="D1043">
        <v>5.7211730000000003</v>
      </c>
      <c r="E1043">
        <v>0.54698359999999902</v>
      </c>
      <c r="F1043" t="s">
        <v>69</v>
      </c>
      <c r="G1043">
        <v>-511.93939999999998</v>
      </c>
      <c r="H1043">
        <v>42.807029999999997</v>
      </c>
      <c r="I1043">
        <v>163.43219999999999</v>
      </c>
      <c r="J1043">
        <v>-202.6962</v>
      </c>
      <c r="K1043">
        <v>1.100063</v>
      </c>
      <c r="L1043">
        <v>141.9195</v>
      </c>
      <c r="M1043">
        <v>-0.9630398</v>
      </c>
      <c r="N1043">
        <v>0</v>
      </c>
      <c r="O1043">
        <v>-0.26909480000000002</v>
      </c>
      <c r="P1043">
        <v>-0.98795270000000002</v>
      </c>
      <c r="Q1043">
        <v>0.12892719999999999</v>
      </c>
      <c r="R1043">
        <v>-8.5600960000000004E-2</v>
      </c>
      <c r="S1043">
        <v>-3.00441</v>
      </c>
      <c r="T1043">
        <v>0.40489770000000003</v>
      </c>
      <c r="U1043">
        <v>0.20828250000000001</v>
      </c>
      <c r="V1043">
        <v>0.18490039999999999</v>
      </c>
      <c r="W1043">
        <v>0.13860739999999999</v>
      </c>
      <c r="X1043">
        <v>0.97293370000000001</v>
      </c>
      <c r="Y1043">
        <v>0.32971020000000001</v>
      </c>
      <c r="Z1043">
        <v>-5.7896660000000003E-2</v>
      </c>
      <c r="AA1043">
        <v>0.94230519999999995</v>
      </c>
      <c r="AB1043">
        <v>24</v>
      </c>
      <c r="AC1043">
        <v>-309.2432</v>
      </c>
      <c r="AD1043">
        <v>41.706966999999999</v>
      </c>
      <c r="AE1043">
        <v>21.512699999999899</v>
      </c>
      <c r="AF1043">
        <v>102.09266607822801</v>
      </c>
      <c r="AG1043">
        <v>41.706966999999999</v>
      </c>
      <c r="AH1043">
        <v>286.85280419383298</v>
      </c>
      <c r="AI1043">
        <v>82.200270396177402</v>
      </c>
      <c r="AJ1043">
        <v>70.409044984611995</v>
      </c>
      <c r="AK1043">
        <v>307.322167825826</v>
      </c>
      <c r="AL1043">
        <v>82.032730116333298</v>
      </c>
      <c r="AM1043">
        <v>79.239589073982799</v>
      </c>
      <c r="AN1043">
        <v>1.0000000769252999</v>
      </c>
    </row>
    <row r="1044" spans="1:40" x14ac:dyDescent="0.3">
      <c r="A1044" t="str">
        <f>"20200111150331364"</f>
        <v>20200111150331364</v>
      </c>
      <c r="B1044" t="str">
        <f>"1578726211359502"</f>
        <v>1578726211359502</v>
      </c>
      <c r="C1044" t="s">
        <v>40</v>
      </c>
      <c r="D1044">
        <v>5.7623329999999999</v>
      </c>
      <c r="E1044">
        <v>0.54575739999999995</v>
      </c>
      <c r="F1044" t="s">
        <v>41</v>
      </c>
      <c r="G1044">
        <v>-215.10489999999999</v>
      </c>
      <c r="H1044" s="1">
        <v>-3.0292810000000001E-6</v>
      </c>
      <c r="I1044">
        <v>142.37819999999999</v>
      </c>
      <c r="J1044">
        <v>-202.93809999999999</v>
      </c>
      <c r="K1044">
        <v>1.1000479999999999</v>
      </c>
      <c r="L1044">
        <v>141.85980000000001</v>
      </c>
      <c r="M1044">
        <v>-0.96484519999999996</v>
      </c>
      <c r="N1044">
        <v>0</v>
      </c>
      <c r="O1044">
        <v>-0.2625575</v>
      </c>
      <c r="P1044">
        <v>-0.98833380000000004</v>
      </c>
      <c r="Q1044">
        <v>0.12982489999999999</v>
      </c>
      <c r="R1044">
        <v>-7.9635609999999996E-2</v>
      </c>
      <c r="S1044">
        <v>-3.0820919999999998</v>
      </c>
      <c r="T1044">
        <v>-0.27323520000000001</v>
      </c>
      <c r="U1044">
        <v>0.1139221</v>
      </c>
      <c r="V1044">
        <v>0.18415400000000001</v>
      </c>
      <c r="W1044">
        <v>0.13930809999999999</v>
      </c>
      <c r="X1044">
        <v>0.97297509999999998</v>
      </c>
      <c r="Y1044">
        <v>0.2958635</v>
      </c>
      <c r="Z1044">
        <v>3.6129349999999998E-2</v>
      </c>
      <c r="AA1044">
        <v>0.95454669999999997</v>
      </c>
      <c r="AB1044">
        <v>24</v>
      </c>
      <c r="AC1044">
        <v>-12.166799999999901</v>
      </c>
      <c r="AD1044">
        <v>-1.100051029281</v>
      </c>
      <c r="AE1044">
        <v>0.51839999999998498</v>
      </c>
      <c r="AF1044">
        <v>3.66500788207428</v>
      </c>
      <c r="AG1044">
        <v>-1.100051029281</v>
      </c>
      <c r="AH1044">
        <v>11.509846117992501</v>
      </c>
      <c r="AI1044">
        <v>95.203533201647204</v>
      </c>
      <c r="AJ1044">
        <v>72.337291498363399</v>
      </c>
      <c r="AK1044">
        <v>12.129260187767199</v>
      </c>
      <c r="AL1044">
        <v>81.9921889851489</v>
      </c>
      <c r="AM1044">
        <v>79.282463611991403</v>
      </c>
      <c r="AN1044">
        <v>0.99999999383080995</v>
      </c>
    </row>
    <row r="1045" spans="1:40" x14ac:dyDescent="0.3">
      <c r="A1045" t="str">
        <f>"20200111150331387"</f>
        <v>20200111150331387</v>
      </c>
      <c r="B1045" t="str">
        <f>"1578726211379022"</f>
        <v>1578726211379022</v>
      </c>
      <c r="C1045" t="s">
        <v>40</v>
      </c>
      <c r="D1045">
        <v>5.6933150000000001</v>
      </c>
      <c r="E1045">
        <v>0.54454539999999996</v>
      </c>
      <c r="F1045" t="s">
        <v>41</v>
      </c>
      <c r="G1045">
        <v>-215.65979999999999</v>
      </c>
      <c r="H1045" s="1">
        <v>-2.7639669999999999E-6</v>
      </c>
      <c r="I1045">
        <v>142.36689999999999</v>
      </c>
      <c r="J1045">
        <v>-203.19470000000001</v>
      </c>
      <c r="K1045">
        <v>1.10002</v>
      </c>
      <c r="L1045">
        <v>141.79820000000001</v>
      </c>
      <c r="M1045">
        <v>-0.96670500000000004</v>
      </c>
      <c r="N1045">
        <v>0</v>
      </c>
      <c r="O1045">
        <v>-0.25563360000000002</v>
      </c>
      <c r="P1045">
        <v>-0.98884159999999999</v>
      </c>
      <c r="Q1045">
        <v>0.1299063</v>
      </c>
      <c r="R1045">
        <v>-7.2917599999999999E-2</v>
      </c>
      <c r="S1045">
        <v>-3.080292</v>
      </c>
      <c r="T1045">
        <v>-0.26635370000000003</v>
      </c>
      <c r="U1045">
        <v>0.12278749999999999</v>
      </c>
      <c r="V1045">
        <v>0.18379119999999999</v>
      </c>
      <c r="W1045">
        <v>0.13919899999999999</v>
      </c>
      <c r="X1045">
        <v>0.97305929999999996</v>
      </c>
      <c r="Y1045">
        <v>0.2919255</v>
      </c>
      <c r="Z1045">
        <v>3.4490689999999997E-2</v>
      </c>
      <c r="AA1045">
        <v>0.95581899999999997</v>
      </c>
      <c r="AB1045">
        <v>24</v>
      </c>
      <c r="AC1045">
        <v>-12.4650999999999</v>
      </c>
      <c r="AD1045">
        <v>-1.1000227639669999</v>
      </c>
      <c r="AE1045">
        <v>0.568699999999978</v>
      </c>
      <c r="AF1045">
        <v>3.7076972018513898</v>
      </c>
      <c r="AG1045">
        <v>-1.1000227639669999</v>
      </c>
      <c r="AH1045">
        <v>11.8136760342686</v>
      </c>
      <c r="AI1045">
        <v>95.076920984553297</v>
      </c>
      <c r="AJ1045">
        <v>72.575645252231297</v>
      </c>
      <c r="AK1045">
        <v>12.4306077914362</v>
      </c>
      <c r="AL1045">
        <v>81.998501379973504</v>
      </c>
      <c r="AM1045">
        <v>79.3039946937769</v>
      </c>
      <c r="AN1045">
        <v>0.99999998405746404</v>
      </c>
    </row>
    <row r="1046" spans="1:40" x14ac:dyDescent="0.3">
      <c r="A1046" t="str">
        <f>"20200111150331409"</f>
        <v>20200111150331409</v>
      </c>
      <c r="B1046" t="str">
        <f>"1578726211399518"</f>
        <v>1578726211399518</v>
      </c>
      <c r="C1046" t="s">
        <v>40</v>
      </c>
      <c r="D1046">
        <v>5.7519770000000001</v>
      </c>
      <c r="E1046">
        <v>0.54372369999999903</v>
      </c>
      <c r="F1046" t="s">
        <v>41</v>
      </c>
      <c r="G1046">
        <v>-216.15350000000001</v>
      </c>
      <c r="H1046" s="1">
        <v>-2.529452E-6</v>
      </c>
      <c r="I1046">
        <v>142.36259999999999</v>
      </c>
      <c r="J1046">
        <v>-203.4204</v>
      </c>
      <c r="K1046">
        <v>1.0999939999999999</v>
      </c>
      <c r="L1046">
        <v>141.7458</v>
      </c>
      <c r="M1046">
        <v>-0.96829679999999996</v>
      </c>
      <c r="N1046">
        <v>0</v>
      </c>
      <c r="O1046">
        <v>-0.24954299999999999</v>
      </c>
      <c r="P1046">
        <v>-0.98932949999999997</v>
      </c>
      <c r="Q1046">
        <v>0.12998270000000001</v>
      </c>
      <c r="R1046">
        <v>-6.582006E-2</v>
      </c>
      <c r="S1046">
        <v>-3.0780639999999999</v>
      </c>
      <c r="T1046">
        <v>-0.26128420000000002</v>
      </c>
      <c r="U1046">
        <v>0.13404849999999999</v>
      </c>
      <c r="V1046">
        <v>0.1846518</v>
      </c>
      <c r="W1046">
        <v>0.13911879999999999</v>
      </c>
      <c r="X1046">
        <v>0.97290779999999999</v>
      </c>
      <c r="Y1046">
        <v>0.28952870000000003</v>
      </c>
      <c r="Z1046">
        <v>3.3255229999999997E-2</v>
      </c>
      <c r="AA1046">
        <v>0.95659150000000004</v>
      </c>
      <c r="AB1046">
        <v>24</v>
      </c>
      <c r="AC1046">
        <v>-12.7331</v>
      </c>
      <c r="AD1046">
        <v>-1.099996529452</v>
      </c>
      <c r="AE1046">
        <v>0.61679999999998303</v>
      </c>
      <c r="AF1046">
        <v>3.7470472543434199</v>
      </c>
      <c r="AG1046">
        <v>-1.099996529452</v>
      </c>
      <c r="AH1046">
        <v>12.0863018047385</v>
      </c>
      <c r="AI1046">
        <v>94.968233989641305</v>
      </c>
      <c r="AJ1046">
        <v>72.775293608008297</v>
      </c>
      <c r="AK1046">
        <v>12.7015371828104</v>
      </c>
      <c r="AL1046">
        <v>82.003141437570804</v>
      </c>
      <c r="AM1046">
        <v>79.253439981860595</v>
      </c>
      <c r="AN1046">
        <v>0.99999995752875903</v>
      </c>
    </row>
    <row r="1047" spans="1:40" x14ac:dyDescent="0.3">
      <c r="A1047" t="str">
        <f>"20200111150331430"</f>
        <v>20200111150331430</v>
      </c>
      <c r="B1047" t="str">
        <f>"1578726211419041"</f>
        <v>1578726211419041</v>
      </c>
      <c r="C1047" t="s">
        <v>40</v>
      </c>
      <c r="D1047">
        <v>5.7519369999999999</v>
      </c>
      <c r="E1047">
        <v>0.54341450000000002</v>
      </c>
      <c r="F1047" t="s">
        <v>41</v>
      </c>
      <c r="G1047">
        <v>-216.83850000000001</v>
      </c>
      <c r="H1047" s="1">
        <v>-2.214342E-6</v>
      </c>
      <c r="I1047">
        <v>142.39529999999999</v>
      </c>
      <c r="J1047">
        <v>-203.65209999999999</v>
      </c>
      <c r="K1047">
        <v>1.0999730000000001</v>
      </c>
      <c r="L1047">
        <v>141.6936</v>
      </c>
      <c r="M1047">
        <v>-0.96988920000000001</v>
      </c>
      <c r="N1047">
        <v>0</v>
      </c>
      <c r="O1047">
        <v>-0.24328520000000001</v>
      </c>
      <c r="P1047">
        <v>-0.98968210000000001</v>
      </c>
      <c r="Q1047">
        <v>0.1306773</v>
      </c>
      <c r="R1047">
        <v>-5.8763849999999999E-2</v>
      </c>
      <c r="S1047">
        <v>-3.0753940000000002</v>
      </c>
      <c r="T1047">
        <v>-0.25211630000000002</v>
      </c>
      <c r="U1047">
        <v>0.14886469999999999</v>
      </c>
      <c r="V1047">
        <v>0.1852972</v>
      </c>
      <c r="W1047">
        <v>0.13967879999999999</v>
      </c>
      <c r="X1047">
        <v>0.97270489999999998</v>
      </c>
      <c r="Y1047">
        <v>0.28814040000000002</v>
      </c>
      <c r="Z1047">
        <v>3.156175E-2</v>
      </c>
      <c r="AA1047">
        <v>0.95706789999999997</v>
      </c>
      <c r="AB1047">
        <v>24</v>
      </c>
      <c r="AC1047">
        <v>-13.186400000000001</v>
      </c>
      <c r="AD1047">
        <v>-1.0999752143420001</v>
      </c>
      <c r="AE1047">
        <v>0.701699999999988</v>
      </c>
      <c r="AF1047">
        <v>3.8620764228834301</v>
      </c>
      <c r="AG1047">
        <v>-1.0999752143420001</v>
      </c>
      <c r="AH1047">
        <v>12.5324761460736</v>
      </c>
      <c r="AI1047">
        <v>94.794606209946593</v>
      </c>
      <c r="AJ1047">
        <v>72.872508700813199</v>
      </c>
      <c r="AK1047">
        <v>13.160111630235599</v>
      </c>
      <c r="AL1047">
        <v>81.970739949428705</v>
      </c>
      <c r="AM1047">
        <v>79.214560980221194</v>
      </c>
      <c r="AN1047">
        <v>1.0000000209906399</v>
      </c>
    </row>
    <row r="1048" spans="1:40" x14ac:dyDescent="0.3">
      <c r="A1048" t="str">
        <f>"20200111150331453"</f>
        <v>20200111150331453</v>
      </c>
      <c r="B1048" t="str">
        <f>"1578726211449295"</f>
        <v>1578726211449295</v>
      </c>
      <c r="C1048" t="s">
        <v>40</v>
      </c>
      <c r="D1048">
        <v>5.7551899999999998</v>
      </c>
      <c r="E1048">
        <v>0.54232049999999998</v>
      </c>
      <c r="F1048" t="s">
        <v>41</v>
      </c>
      <c r="G1048">
        <v>-217.43680000000001</v>
      </c>
      <c r="H1048" s="1">
        <v>-1.9447560000000001E-6</v>
      </c>
      <c r="I1048">
        <v>142.4451</v>
      </c>
      <c r="J1048">
        <v>-203.88570000000001</v>
      </c>
      <c r="K1048">
        <v>1.0999490000000001</v>
      </c>
      <c r="L1048">
        <v>141.64250000000001</v>
      </c>
      <c r="M1048">
        <v>-0.97145519999999996</v>
      </c>
      <c r="N1048">
        <v>0</v>
      </c>
      <c r="O1048">
        <v>-0.23696059999999999</v>
      </c>
      <c r="P1048">
        <v>-0.99000069999999996</v>
      </c>
      <c r="Q1048">
        <v>0.13096869999999999</v>
      </c>
      <c r="R1048">
        <v>-5.2403859999999997E-2</v>
      </c>
      <c r="S1048">
        <v>-3.0735929999999998</v>
      </c>
      <c r="T1048">
        <v>-0.24526120000000001</v>
      </c>
      <c r="U1048">
        <v>0.16755680000000001</v>
      </c>
      <c r="V1048">
        <v>0.1852075</v>
      </c>
      <c r="W1048">
        <v>0.1398625</v>
      </c>
      <c r="X1048">
        <v>0.97269559999999999</v>
      </c>
      <c r="Y1048">
        <v>0.28784979999999999</v>
      </c>
      <c r="Z1048">
        <v>3.0217770000000001E-2</v>
      </c>
      <c r="AA1048">
        <v>0.95719869999999996</v>
      </c>
      <c r="AB1048">
        <v>24</v>
      </c>
      <c r="AC1048">
        <v>-13.5510999999999</v>
      </c>
      <c r="AD1048">
        <v>-1.0999509447560001</v>
      </c>
      <c r="AE1048">
        <v>0.80259999999998399</v>
      </c>
      <c r="AF1048">
        <v>3.9649824880953499</v>
      </c>
      <c r="AG1048">
        <v>-1.0999509447560001</v>
      </c>
      <c r="AH1048">
        <v>12.8902766410685</v>
      </c>
      <c r="AI1048">
        <v>94.6627579023327</v>
      </c>
      <c r="AJ1048">
        <v>72.902373052528901</v>
      </c>
      <c r="AK1048">
        <v>13.531083108718599</v>
      </c>
      <c r="AL1048">
        <v>81.960110476154696</v>
      </c>
      <c r="AM1048">
        <v>79.2195590355566</v>
      </c>
      <c r="AN1048">
        <v>1.00000003361092</v>
      </c>
    </row>
    <row r="1049" spans="1:40" x14ac:dyDescent="0.3">
      <c r="A1049" t="str">
        <f>"20200111150331476"</f>
        <v>20200111150331476</v>
      </c>
      <c r="B1049" t="str">
        <f>"1578726211468814"</f>
        <v>1578726211468814</v>
      </c>
      <c r="C1049" t="s">
        <v>40</v>
      </c>
      <c r="D1049">
        <v>5.713069</v>
      </c>
      <c r="E1049">
        <v>0.54151439999999995</v>
      </c>
      <c r="F1049" t="s">
        <v>41</v>
      </c>
      <c r="G1049">
        <v>-218.1054</v>
      </c>
      <c r="H1049" s="1">
        <v>-1.635213E-6</v>
      </c>
      <c r="I1049">
        <v>142.46940000000001</v>
      </c>
      <c r="J1049">
        <v>-204.13919999999999</v>
      </c>
      <c r="K1049">
        <v>1.099925</v>
      </c>
      <c r="L1049">
        <v>141.589</v>
      </c>
      <c r="M1049">
        <v>-0.97310779999999997</v>
      </c>
      <c r="N1049">
        <v>0</v>
      </c>
      <c r="O1049">
        <v>-0.23008400000000001</v>
      </c>
      <c r="P1049">
        <v>-0.99037699999999995</v>
      </c>
      <c r="Q1049">
        <v>0.1302044</v>
      </c>
      <c r="R1049">
        <v>-4.6911389999999997E-2</v>
      </c>
      <c r="S1049">
        <v>-3.0711819999999999</v>
      </c>
      <c r="T1049">
        <v>-0.23756830000000001</v>
      </c>
      <c r="U1049">
        <v>0.17858889999999999</v>
      </c>
      <c r="V1049">
        <v>0.18374109999999999</v>
      </c>
      <c r="W1049">
        <v>0.1390159</v>
      </c>
      <c r="X1049">
        <v>0.97309489999999998</v>
      </c>
      <c r="Y1049">
        <v>0.28467569999999998</v>
      </c>
      <c r="Z1049">
        <v>2.8651079999999999E-2</v>
      </c>
      <c r="AA1049">
        <v>0.95819560000000004</v>
      </c>
      <c r="AB1049">
        <v>24</v>
      </c>
      <c r="AC1049">
        <v>-13.966200000000001</v>
      </c>
      <c r="AD1049">
        <v>-1.0999266352129999</v>
      </c>
      <c r="AE1049">
        <v>0.88040000000000795</v>
      </c>
      <c r="AF1049">
        <v>4.0453803161434303</v>
      </c>
      <c r="AG1049">
        <v>-1.0999266352129999</v>
      </c>
      <c r="AH1049">
        <v>13.306664021560101</v>
      </c>
      <c r="AI1049">
        <v>94.521876866004604</v>
      </c>
      <c r="AJ1049">
        <v>73.090119407196596</v>
      </c>
      <c r="AK1049">
        <v>13.951424582736101</v>
      </c>
      <c r="AL1049">
        <v>82.009094951120503</v>
      </c>
      <c r="AM1049">
        <v>79.307225277830995</v>
      </c>
      <c r="AN1049">
        <v>0.99999994834401296</v>
      </c>
    </row>
    <row r="1050" spans="1:40" x14ac:dyDescent="0.3">
      <c r="A1050" t="str">
        <f>"20200111150331500"</f>
        <v>20200111150331500</v>
      </c>
      <c r="B1050" t="str">
        <f>"1578726211489310"</f>
        <v>1578726211489310</v>
      </c>
      <c r="C1050" t="s">
        <v>40</v>
      </c>
      <c r="D1050">
        <v>5.7351369999999999</v>
      </c>
      <c r="E1050">
        <v>0.54077849999999905</v>
      </c>
      <c r="F1050" t="s">
        <v>41</v>
      </c>
      <c r="G1050">
        <v>-218.34710000000001</v>
      </c>
      <c r="H1050" s="1">
        <v>-1.520497E-6</v>
      </c>
      <c r="I1050">
        <v>142.46780000000001</v>
      </c>
      <c r="J1050">
        <v>-204.3974</v>
      </c>
      <c r="K1050">
        <v>1.099898</v>
      </c>
      <c r="L1050">
        <v>141.53630000000001</v>
      </c>
      <c r="M1050">
        <v>-0.97474059999999996</v>
      </c>
      <c r="N1050">
        <v>0</v>
      </c>
      <c r="O1050">
        <v>-0.22306970000000001</v>
      </c>
      <c r="P1050">
        <v>-0.99083600000000005</v>
      </c>
      <c r="Q1050">
        <v>0.128641899999999</v>
      </c>
      <c r="R1050">
        <v>-4.1175749999999997E-2</v>
      </c>
      <c r="S1050">
        <v>-3.0693820000000001</v>
      </c>
      <c r="T1050">
        <v>-0.23762069999999999</v>
      </c>
      <c r="U1050">
        <v>0.18984989999999999</v>
      </c>
      <c r="V1050">
        <v>0.18239839999999999</v>
      </c>
      <c r="W1050">
        <v>0.13738330000000001</v>
      </c>
      <c r="X1050">
        <v>0.97357930000000004</v>
      </c>
      <c r="Y1050">
        <v>0.28133639999999999</v>
      </c>
      <c r="Z1050">
        <v>2.8011210000000002E-2</v>
      </c>
      <c r="AA1050">
        <v>0.95920030000000001</v>
      </c>
      <c r="AB1050">
        <v>24</v>
      </c>
      <c r="AC1050">
        <v>-13.9497</v>
      </c>
      <c r="AD1050">
        <v>-1.0998995204969999</v>
      </c>
      <c r="AE1050">
        <v>0.931499999999999</v>
      </c>
      <c r="AF1050">
        <v>3.9952409286831201</v>
      </c>
      <c r="AG1050">
        <v>-1.0998995204969999</v>
      </c>
      <c r="AH1050">
        <v>13.3079898401369</v>
      </c>
      <c r="AI1050">
        <v>94.526053817223996</v>
      </c>
      <c r="AJ1050">
        <v>73.289523066266696</v>
      </c>
      <c r="AK1050">
        <v>13.9382324065357</v>
      </c>
      <c r="AL1050">
        <v>82.103542750256395</v>
      </c>
      <c r="AM1050">
        <v>79.388743054103102</v>
      </c>
      <c r="AN1050">
        <v>1.0000000004149701</v>
      </c>
    </row>
    <row r="1051" spans="1:40" x14ac:dyDescent="0.3">
      <c r="A1051" t="str">
        <f>"20200111150331522"</f>
        <v>20200111150331522</v>
      </c>
      <c r="B1051" t="str">
        <f>"1578726211519566"</f>
        <v>1578726211519566</v>
      </c>
      <c r="C1051" t="s">
        <v>40</v>
      </c>
      <c r="D1051">
        <v>5.721622</v>
      </c>
      <c r="E1051">
        <v>0.53914219999999902</v>
      </c>
      <c r="F1051" t="s">
        <v>41</v>
      </c>
      <c r="G1051">
        <v>-218.45140000000001</v>
      </c>
      <c r="H1051" s="1">
        <v>-1.468928E-6</v>
      </c>
      <c r="I1051">
        <v>142.45910000000001</v>
      </c>
      <c r="J1051">
        <v>-204.63470000000001</v>
      </c>
      <c r="K1051">
        <v>1.0998749999999999</v>
      </c>
      <c r="L1051">
        <v>141.48949999999999</v>
      </c>
      <c r="M1051">
        <v>-0.97619560000000005</v>
      </c>
      <c r="N1051">
        <v>0</v>
      </c>
      <c r="O1051">
        <v>-0.2166168</v>
      </c>
      <c r="P1051">
        <v>-0.99127169999999998</v>
      </c>
      <c r="Q1051">
        <v>0.12674069999999901</v>
      </c>
      <c r="R1051">
        <v>-3.629595E-2</v>
      </c>
      <c r="S1051">
        <v>-3.0672609999999998</v>
      </c>
      <c r="T1051">
        <v>-0.24005209999999999</v>
      </c>
      <c r="U1051">
        <v>0.20141600000000001</v>
      </c>
      <c r="V1051">
        <v>0.18078610000000001</v>
      </c>
      <c r="W1051">
        <v>0.13543559999999999</v>
      </c>
      <c r="X1051">
        <v>0.97415269999999998</v>
      </c>
      <c r="Y1051">
        <v>0.27862809999999999</v>
      </c>
      <c r="Z1051">
        <v>2.7713149999999999E-2</v>
      </c>
      <c r="AA1051">
        <v>0.95999909999999999</v>
      </c>
      <c r="AB1051">
        <v>24</v>
      </c>
      <c r="AC1051">
        <v>-13.8166999999999</v>
      </c>
      <c r="AD1051">
        <v>-1.0998764689279901</v>
      </c>
      <c r="AE1051">
        <v>0.96960000000001401</v>
      </c>
      <c r="AF1051">
        <v>3.91499613460666</v>
      </c>
      <c r="AG1051">
        <v>-1.0998764689279901</v>
      </c>
      <c r="AH1051">
        <v>13.1953539593942</v>
      </c>
      <c r="AI1051">
        <v>94.568815305498902</v>
      </c>
      <c r="AJ1051">
        <v>73.474638154165902</v>
      </c>
      <c r="AK1051">
        <v>13.807761914756</v>
      </c>
      <c r="AL1051">
        <v>82.216190330797602</v>
      </c>
      <c r="AM1051">
        <v>79.486491766517304</v>
      </c>
      <c r="AN1051">
        <v>0.99999994930892799</v>
      </c>
    </row>
    <row r="1052" spans="1:40" x14ac:dyDescent="0.3">
      <c r="A1052" t="str">
        <f>"20200111150331543"</f>
        <v>20200111150331543</v>
      </c>
      <c r="B1052" t="str">
        <f>"1578726211539086"</f>
        <v>1578726211539086</v>
      </c>
      <c r="C1052" t="s">
        <v>40</v>
      </c>
      <c r="D1052">
        <v>5.6926180000000004</v>
      </c>
      <c r="E1052">
        <v>0.53797379999999995</v>
      </c>
      <c r="F1052" t="s">
        <v>41</v>
      </c>
      <c r="G1052">
        <v>-218.375</v>
      </c>
      <c r="H1052" s="1">
        <v>-1.4885739999999999E-6</v>
      </c>
      <c r="I1052">
        <v>142.3973</v>
      </c>
      <c r="J1052">
        <v>-204.86750000000001</v>
      </c>
      <c r="K1052">
        <v>1.09985</v>
      </c>
      <c r="L1052">
        <v>141.4452</v>
      </c>
      <c r="M1052">
        <v>-0.97758049999999996</v>
      </c>
      <c r="N1052">
        <v>0</v>
      </c>
      <c r="O1052">
        <v>-0.210282</v>
      </c>
      <c r="P1052">
        <v>-0.99168809999999996</v>
      </c>
      <c r="Q1052">
        <v>0.12444230000000001</v>
      </c>
      <c r="R1052">
        <v>-3.2698049999999999E-2</v>
      </c>
      <c r="S1052">
        <v>-3.0652159999999999</v>
      </c>
      <c r="T1052">
        <v>-0.2453631</v>
      </c>
      <c r="U1052">
        <v>0.20251459999999999</v>
      </c>
      <c r="V1052">
        <v>0.17803920000000001</v>
      </c>
      <c r="W1052">
        <v>0.13311700000000001</v>
      </c>
      <c r="X1052">
        <v>0.97497789999999995</v>
      </c>
      <c r="Y1052">
        <v>0.27275149999999998</v>
      </c>
      <c r="Z1052">
        <v>2.760988E-2</v>
      </c>
      <c r="AA1052">
        <v>0.96168830000000005</v>
      </c>
      <c r="AB1052">
        <v>24</v>
      </c>
      <c r="AC1052">
        <v>-13.507499999999901</v>
      </c>
      <c r="AD1052">
        <v>-1.0998514885740001</v>
      </c>
      <c r="AE1052">
        <v>0.95210000000000095</v>
      </c>
      <c r="AF1052">
        <v>3.7466430362705401</v>
      </c>
      <c r="AG1052">
        <v>-1.0998514885740001</v>
      </c>
      <c r="AH1052">
        <v>12.9199885005093</v>
      </c>
      <c r="AI1052">
        <v>94.6740822889019</v>
      </c>
      <c r="AJ1052">
        <v>73.828469426501897</v>
      </c>
      <c r="AK1052">
        <v>13.497151928886501</v>
      </c>
      <c r="AL1052">
        <v>82.350250803446897</v>
      </c>
      <c r="AM1052">
        <v>79.6513297091266</v>
      </c>
      <c r="AN1052">
        <v>0.99999999895702496</v>
      </c>
    </row>
    <row r="1053" spans="1:40" x14ac:dyDescent="0.3">
      <c r="A1053" t="str">
        <f>"20200111150331565"</f>
        <v>20200111150331565</v>
      </c>
      <c r="B1053" t="str">
        <f>"1578726211559583"</f>
        <v>1578726211559583</v>
      </c>
      <c r="C1053" t="s">
        <v>40</v>
      </c>
      <c r="D1053">
        <v>5.8033720000000004</v>
      </c>
      <c r="E1053">
        <v>0.53743160000000001</v>
      </c>
      <c r="F1053" t="s">
        <v>41</v>
      </c>
      <c r="G1053">
        <v>-218.0934</v>
      </c>
      <c r="H1053" s="1">
        <v>-1.6027830000000001E-6</v>
      </c>
      <c r="I1053">
        <v>142.3263</v>
      </c>
      <c r="J1053">
        <v>-205.11070000000001</v>
      </c>
      <c r="K1053">
        <v>1.099831</v>
      </c>
      <c r="L1053">
        <v>141.4006</v>
      </c>
      <c r="M1053">
        <v>-0.97898110000000005</v>
      </c>
      <c r="N1053">
        <v>0</v>
      </c>
      <c r="O1053">
        <v>-0.20366429999999999</v>
      </c>
      <c r="P1053">
        <v>-0.99188299999999996</v>
      </c>
      <c r="Q1053">
        <v>0.12325940000000001</v>
      </c>
      <c r="R1053">
        <v>-3.1226400000000001E-2</v>
      </c>
      <c r="S1053">
        <v>-3.063828</v>
      </c>
      <c r="T1053">
        <v>-0.25478450000000002</v>
      </c>
      <c r="U1053">
        <v>0.20411679999999999</v>
      </c>
      <c r="V1053">
        <v>0.17290059999999999</v>
      </c>
      <c r="W1053">
        <v>0.1319496</v>
      </c>
      <c r="X1053">
        <v>0.97606079999999995</v>
      </c>
      <c r="Y1053">
        <v>0.26669189999999998</v>
      </c>
      <c r="Z1053">
        <v>2.7886339999999999E-2</v>
      </c>
      <c r="AA1053">
        <v>0.96337830000000002</v>
      </c>
      <c r="AB1053">
        <v>24</v>
      </c>
      <c r="AC1053">
        <v>-12.9826999999999</v>
      </c>
      <c r="AD1053">
        <v>-1.0998326027830001</v>
      </c>
      <c r="AE1053">
        <v>0.92570000000000596</v>
      </c>
      <c r="AF1053">
        <v>3.5253901828010998</v>
      </c>
      <c r="AG1053">
        <v>-1.0998326027830001</v>
      </c>
      <c r="AH1053">
        <v>12.4332396212329</v>
      </c>
      <c r="AI1053">
        <v>94.864383425523997</v>
      </c>
      <c r="AJ1053">
        <v>74.169549355318395</v>
      </c>
      <c r="AK1053">
        <v>12.970098502869201</v>
      </c>
      <c r="AL1053">
        <v>82.417733199777103</v>
      </c>
      <c r="AM1053">
        <v>79.954760629585294</v>
      </c>
      <c r="AN1053">
        <v>0.99999999985857901</v>
      </c>
    </row>
    <row r="1054" spans="1:40" x14ac:dyDescent="0.3">
      <c r="A1054" t="str">
        <f>"20200111150331588"</f>
        <v>20200111150331588</v>
      </c>
      <c r="B1054" t="str">
        <f>"1578726211579102"</f>
        <v>1578726211579102</v>
      </c>
      <c r="C1054" t="s">
        <v>40</v>
      </c>
      <c r="D1054">
        <v>5.7458960000000001</v>
      </c>
      <c r="E1054">
        <v>0.52357690000000001</v>
      </c>
      <c r="F1054" t="s">
        <v>41</v>
      </c>
      <c r="G1054">
        <v>-218.10249999999999</v>
      </c>
      <c r="H1054" s="1">
        <v>-1.5840749999999999E-6</v>
      </c>
      <c r="I1054">
        <v>142.2722</v>
      </c>
      <c r="J1054">
        <v>-205.36099999999999</v>
      </c>
      <c r="K1054">
        <v>1.099823</v>
      </c>
      <c r="L1054">
        <v>141.35640000000001</v>
      </c>
      <c r="M1054">
        <v>-0.9803714</v>
      </c>
      <c r="N1054">
        <v>0</v>
      </c>
      <c r="O1054">
        <v>-0.19686480000000001</v>
      </c>
      <c r="P1054">
        <v>-0.99196229999999996</v>
      </c>
      <c r="Q1054">
        <v>0.1230509</v>
      </c>
      <c r="R1054">
        <v>-2.9483390000000002E-2</v>
      </c>
      <c r="S1054">
        <v>-3.0632630000000001</v>
      </c>
      <c r="T1054">
        <v>-0.25932369999999999</v>
      </c>
      <c r="U1054">
        <v>0.2055054</v>
      </c>
      <c r="V1054">
        <v>0.1678364</v>
      </c>
      <c r="W1054">
        <v>0.1317614</v>
      </c>
      <c r="X1054">
        <v>0.97696970000000005</v>
      </c>
      <c r="Y1054">
        <v>0.26043440000000001</v>
      </c>
      <c r="Z1054">
        <v>2.7555329999999999E-2</v>
      </c>
      <c r="AA1054">
        <v>0.96509829999999996</v>
      </c>
      <c r="AB1054">
        <v>25</v>
      </c>
      <c r="AC1054">
        <v>-12.7415</v>
      </c>
      <c r="AD1054">
        <v>-1.0998245840750001</v>
      </c>
      <c r="AE1054">
        <v>0.91579999999998996</v>
      </c>
      <c r="AF1054">
        <v>3.3813106895916998</v>
      </c>
      <c r="AG1054">
        <v>-1.0998245840750001</v>
      </c>
      <c r="AH1054">
        <v>12.221237959355699</v>
      </c>
      <c r="AI1054">
        <v>94.957108619989896</v>
      </c>
      <c r="AJ1054">
        <v>74.534565475994896</v>
      </c>
      <c r="AK1054">
        <v>12.727982297068101</v>
      </c>
      <c r="AL1054">
        <v>82.428610932658501</v>
      </c>
      <c r="AM1054">
        <v>80.252147433820099</v>
      </c>
      <c r="AN1054">
        <v>0.99999995920650397</v>
      </c>
    </row>
    <row r="1055" spans="1:40" x14ac:dyDescent="0.3">
      <c r="A1055" t="str">
        <f>"20200111150331611"</f>
        <v>20200111150331611</v>
      </c>
      <c r="B1055" t="str">
        <f>"1578726211599597"</f>
        <v>1578726211599597</v>
      </c>
      <c r="C1055" t="s">
        <v>40</v>
      </c>
      <c r="D1055">
        <v>5.8848339999999997</v>
      </c>
      <c r="E1055">
        <v>0.52446959999999998</v>
      </c>
      <c r="F1055" t="s">
        <v>41</v>
      </c>
      <c r="G1055">
        <v>-219.66909999999999</v>
      </c>
      <c r="H1055" s="1">
        <v>-7.2483179999999998E-7</v>
      </c>
      <c r="I1055">
        <v>141.82599999999999</v>
      </c>
      <c r="J1055">
        <v>-205.6003</v>
      </c>
      <c r="K1055">
        <v>1.099826</v>
      </c>
      <c r="L1055">
        <v>141.3159</v>
      </c>
      <c r="M1055">
        <v>-0.98164929999999995</v>
      </c>
      <c r="N1055">
        <v>0</v>
      </c>
      <c r="O1055">
        <v>-0.1903928</v>
      </c>
      <c r="P1055">
        <v>-0.99202299999999999</v>
      </c>
      <c r="Q1055">
        <v>0.1229156</v>
      </c>
      <c r="R1055">
        <v>-2.7972500000000001E-2</v>
      </c>
      <c r="S1055">
        <v>-3.0564269999999998</v>
      </c>
      <c r="T1055">
        <v>-0.2349387</v>
      </c>
      <c r="U1055">
        <v>0.10031130000000001</v>
      </c>
      <c r="V1055">
        <v>0.16286999999999999</v>
      </c>
      <c r="W1055">
        <v>0.131656</v>
      </c>
      <c r="X1055">
        <v>0.97782420000000003</v>
      </c>
      <c r="Y1055">
        <v>0.2212935</v>
      </c>
      <c r="Z1055">
        <v>2.3044490000000001E-2</v>
      </c>
      <c r="AA1055">
        <v>0.97493490000000005</v>
      </c>
      <c r="AB1055">
        <v>25</v>
      </c>
      <c r="AC1055">
        <v>-14.0687999999999</v>
      </c>
      <c r="AD1055">
        <v>-1.0998267248318001</v>
      </c>
      <c r="AE1055">
        <v>0.510099999999994</v>
      </c>
      <c r="AF1055">
        <v>3.16023291946901</v>
      </c>
      <c r="AG1055">
        <v>-1.0998267248318001</v>
      </c>
      <c r="AH1055">
        <v>13.6311039458746</v>
      </c>
      <c r="AI1055">
        <v>94.49422864121</v>
      </c>
      <c r="AJ1055">
        <v>76.947157179930002</v>
      </c>
      <c r="AK1055">
        <v>14.0358001451</v>
      </c>
      <c r="AL1055">
        <v>82.434703690380204</v>
      </c>
      <c r="AM1055">
        <v>80.543418947999498</v>
      </c>
      <c r="AN1055">
        <v>1.0000000526708099</v>
      </c>
    </row>
    <row r="1056" spans="1:40" x14ac:dyDescent="0.3">
      <c r="A1056" t="str">
        <f>"20200111150331632"</f>
        <v>20200111150331632</v>
      </c>
      <c r="B1056" t="str">
        <f>"1578726211628878"</f>
        <v>1578726211628878</v>
      </c>
      <c r="C1056" t="s">
        <v>40</v>
      </c>
      <c r="D1056">
        <v>5.7376750000000003</v>
      </c>
      <c r="E1056">
        <v>0.52365390000000001</v>
      </c>
      <c r="F1056" t="s">
        <v>41</v>
      </c>
      <c r="G1056">
        <v>-219.75450000000001</v>
      </c>
      <c r="H1056" s="1">
        <v>-6.8493489999999997E-7</v>
      </c>
      <c r="I1056">
        <v>141.82769999999999</v>
      </c>
      <c r="J1056">
        <v>-205.8434</v>
      </c>
      <c r="K1056">
        <v>1.099836</v>
      </c>
      <c r="L1056">
        <v>141.2764</v>
      </c>
      <c r="M1056">
        <v>-0.98289230000000005</v>
      </c>
      <c r="N1056">
        <v>0</v>
      </c>
      <c r="O1056">
        <v>-0.1838699</v>
      </c>
      <c r="P1056">
        <v>-0.99206399999999995</v>
      </c>
      <c r="Q1056">
        <v>0.12286229999999999</v>
      </c>
      <c r="R1056">
        <v>-2.6724459999999998E-2</v>
      </c>
      <c r="S1056">
        <v>-3.0566710000000001</v>
      </c>
      <c r="T1056">
        <v>-0.23751249999999999</v>
      </c>
      <c r="U1056">
        <v>0.1105347</v>
      </c>
      <c r="V1056">
        <v>0.15759049999999999</v>
      </c>
      <c r="W1056">
        <v>0.1316456</v>
      </c>
      <c r="X1056">
        <v>0.97869030000000001</v>
      </c>
      <c r="Y1056">
        <v>0.21807499999999999</v>
      </c>
      <c r="Z1056">
        <v>2.2669399999999999E-2</v>
      </c>
      <c r="AA1056">
        <v>0.97566870000000006</v>
      </c>
      <c r="AB1056">
        <v>25</v>
      </c>
      <c r="AC1056">
        <v>-13.911099999999999</v>
      </c>
      <c r="AD1056">
        <v>-1.0998366849348999</v>
      </c>
      <c r="AE1056">
        <v>0.55129999999999701</v>
      </c>
      <c r="AF1056">
        <v>3.0806524467579699</v>
      </c>
      <c r="AG1056">
        <v>-1.0998366849348999</v>
      </c>
      <c r="AH1056">
        <v>13.488342927097801</v>
      </c>
      <c r="AI1056">
        <v>94.545046099618503</v>
      </c>
      <c r="AJ1056">
        <v>77.134676719803593</v>
      </c>
      <c r="AK1056">
        <v>13.8793175318614</v>
      </c>
      <c r="AL1056">
        <v>82.435304523198099</v>
      </c>
      <c r="AM1056">
        <v>80.852647207957702</v>
      </c>
      <c r="AN1056">
        <v>1.0000000165018399</v>
      </c>
    </row>
    <row r="1057" spans="1:40" x14ac:dyDescent="0.3">
      <c r="A1057" t="str">
        <f>"20200111150331655"</f>
        <v>20200111150331655</v>
      </c>
      <c r="B1057" t="str">
        <f>"1578726211649374"</f>
        <v>1578726211649374</v>
      </c>
      <c r="C1057" t="s">
        <v>40</v>
      </c>
      <c r="D1057">
        <v>5.842778</v>
      </c>
      <c r="E1057">
        <v>0.52370649999999996</v>
      </c>
      <c r="F1057" t="s">
        <v>41</v>
      </c>
      <c r="G1057">
        <v>-218.64510000000001</v>
      </c>
      <c r="H1057" s="1">
        <v>-1.182034E-6</v>
      </c>
      <c r="I1057">
        <v>141.72499999999999</v>
      </c>
      <c r="J1057">
        <v>-206.089</v>
      </c>
      <c r="K1057">
        <v>1.0998559999999999</v>
      </c>
      <c r="L1057">
        <v>141.238</v>
      </c>
      <c r="M1057">
        <v>-0.9840913</v>
      </c>
      <c r="N1057">
        <v>0</v>
      </c>
      <c r="O1057">
        <v>-0.17734229999999901</v>
      </c>
      <c r="P1057">
        <v>-0.99222880000000002</v>
      </c>
      <c r="Q1057">
        <v>0.1219882</v>
      </c>
      <c r="R1057">
        <v>-2.451617E-2</v>
      </c>
      <c r="S1057">
        <v>-3.0594480000000002</v>
      </c>
      <c r="T1057">
        <v>-0.26284839999999998</v>
      </c>
      <c r="U1057">
        <v>0.1072235</v>
      </c>
      <c r="V1057">
        <v>0.15326400000000001</v>
      </c>
      <c r="W1057">
        <v>0.13081180000000001</v>
      </c>
      <c r="X1057">
        <v>0.97948880000000005</v>
      </c>
      <c r="Y1057">
        <v>0.21029030000000001</v>
      </c>
      <c r="Z1057">
        <v>2.4169349999999999E-2</v>
      </c>
      <c r="AA1057">
        <v>0.97734019999999999</v>
      </c>
      <c r="AB1057">
        <v>25</v>
      </c>
      <c r="AC1057">
        <v>-12.556099999999899</v>
      </c>
      <c r="AD1057">
        <v>-1.099857182034</v>
      </c>
      <c r="AE1057">
        <v>0.48699999999999399</v>
      </c>
      <c r="AF1057">
        <v>2.6855591582495899</v>
      </c>
      <c r="AG1057">
        <v>-1.099857182034</v>
      </c>
      <c r="AH1057">
        <v>12.1773863797813</v>
      </c>
      <c r="AI1057">
        <v>95.040457907915496</v>
      </c>
      <c r="AJ1057">
        <v>77.563260254360102</v>
      </c>
      <c r="AK1057">
        <v>12.5184125533477</v>
      </c>
      <c r="AL1057">
        <v>82.483493945394898</v>
      </c>
      <c r="AM1057">
        <v>81.106843181673597</v>
      </c>
      <c r="AN1057">
        <v>0.99999994502033795</v>
      </c>
    </row>
    <row r="1058" spans="1:40" x14ac:dyDescent="0.3">
      <c r="A1058" t="str">
        <f>"20200111150331677"</f>
        <v>20200111150331677</v>
      </c>
      <c r="B1058" t="str">
        <f>"1578726211668894"</f>
        <v>1578726211668894</v>
      </c>
      <c r="C1058" t="s">
        <v>40</v>
      </c>
      <c r="D1058">
        <v>5.7303800000000003</v>
      </c>
      <c r="E1058">
        <v>0.52465699999999904</v>
      </c>
      <c r="F1058" t="s">
        <v>41</v>
      </c>
      <c r="G1058">
        <v>-219.43620000000001</v>
      </c>
      <c r="H1058" s="1">
        <v>-8.0982159999999996E-7</v>
      </c>
      <c r="I1058">
        <v>141.73169999999999</v>
      </c>
      <c r="J1058">
        <v>-206.33850000000001</v>
      </c>
      <c r="K1058">
        <v>1.0999000000000001</v>
      </c>
      <c r="L1058">
        <v>141.20070000000001</v>
      </c>
      <c r="M1058">
        <v>-0.98524460000000003</v>
      </c>
      <c r="N1058">
        <v>0</v>
      </c>
      <c r="O1058">
        <v>-0.17082079999999999</v>
      </c>
      <c r="P1058">
        <v>-0.99262600000000001</v>
      </c>
      <c r="Q1058">
        <v>0.1194987</v>
      </c>
      <c r="R1058">
        <v>-2.0345289999999999E-2</v>
      </c>
      <c r="S1058">
        <v>-3.0572509999999999</v>
      </c>
      <c r="T1058">
        <v>-0.25192819999999999</v>
      </c>
      <c r="U1058">
        <v>0.1130829</v>
      </c>
      <c r="V1058">
        <v>0.150896</v>
      </c>
      <c r="W1058">
        <v>0.128356</v>
      </c>
      <c r="X1058">
        <v>0.98018119999999997</v>
      </c>
      <c r="Y1058">
        <v>0.20586080000000001</v>
      </c>
      <c r="Z1058">
        <v>2.2472019999999999E-2</v>
      </c>
      <c r="AA1058">
        <v>0.97832319999999995</v>
      </c>
      <c r="AB1058">
        <v>25</v>
      </c>
      <c r="AC1058">
        <v>-13.0977</v>
      </c>
      <c r="AD1058">
        <v>-1.0999008098216001</v>
      </c>
      <c r="AE1058">
        <v>0.53099999999997705</v>
      </c>
      <c r="AF1058">
        <v>2.7413802185587302</v>
      </c>
      <c r="AG1058">
        <v>-1.0999008098216001</v>
      </c>
      <c r="AH1058">
        <v>12.724869030705699</v>
      </c>
      <c r="AI1058">
        <v>94.829931884627101</v>
      </c>
      <c r="AJ1058">
        <v>77.842307842049294</v>
      </c>
      <c r="AK1058">
        <v>13.0632017186739</v>
      </c>
      <c r="AL1058">
        <v>82.625398025695901</v>
      </c>
      <c r="AM1058">
        <v>81.248190802423593</v>
      </c>
      <c r="AN1058">
        <v>1.0000000251927099</v>
      </c>
    </row>
    <row r="1059" spans="1:40" x14ac:dyDescent="0.3">
      <c r="A1059" t="str">
        <f>"20200111150331700"</f>
        <v>20200111150331700</v>
      </c>
      <c r="B1059" t="str">
        <f>"1578726211689389"</f>
        <v>1578726211689389</v>
      </c>
      <c r="C1059" t="s">
        <v>40</v>
      </c>
      <c r="D1059">
        <v>5.5748620000000004</v>
      </c>
      <c r="E1059">
        <v>0.52505369999999996</v>
      </c>
      <c r="F1059" t="s">
        <v>41</v>
      </c>
      <c r="G1059">
        <v>-218.9794</v>
      </c>
      <c r="H1059" s="1">
        <v>-1.0292940000000001E-6</v>
      </c>
      <c r="I1059">
        <v>141.745</v>
      </c>
      <c r="J1059">
        <v>-206.58930000000001</v>
      </c>
      <c r="K1059">
        <v>1.0999810000000001</v>
      </c>
      <c r="L1059">
        <v>141.16460000000001</v>
      </c>
      <c r="M1059">
        <v>-0.98632889999999995</v>
      </c>
      <c r="N1059">
        <v>0</v>
      </c>
      <c r="O1059">
        <v>-0.16444520000000001</v>
      </c>
      <c r="P1059">
        <v>-0.9930736</v>
      </c>
      <c r="Q1059">
        <v>0.1164212</v>
      </c>
      <c r="R1059">
        <v>-1.5832309999999999E-2</v>
      </c>
      <c r="S1059">
        <v>-3.0570219999999999</v>
      </c>
      <c r="T1059">
        <v>-0.26599509999999998</v>
      </c>
      <c r="U1059">
        <v>0.13165279999999999</v>
      </c>
      <c r="V1059">
        <v>0.1490059</v>
      </c>
      <c r="W1059">
        <v>0.12532509999999999</v>
      </c>
      <c r="X1059">
        <v>0.98086229999999996</v>
      </c>
      <c r="Y1059">
        <v>0.20534939999999999</v>
      </c>
      <c r="Z1059">
        <v>2.3152329999999999E-2</v>
      </c>
      <c r="AA1059">
        <v>0.97841480000000003</v>
      </c>
      <c r="AB1059">
        <v>25</v>
      </c>
      <c r="AC1059">
        <v>-12.390099999999901</v>
      </c>
      <c r="AD1059">
        <v>-1.0999820292939999</v>
      </c>
      <c r="AE1059">
        <v>0.58039999999999703</v>
      </c>
      <c r="AF1059">
        <v>2.58973841495192</v>
      </c>
      <c r="AG1059">
        <v>-1.0999820292939999</v>
      </c>
      <c r="AH1059">
        <v>12.0313352067419</v>
      </c>
      <c r="AI1059">
        <v>95.107484770253294</v>
      </c>
      <c r="AJ1059">
        <v>77.852458988478006</v>
      </c>
      <c r="AK1059">
        <v>12.3559593872607</v>
      </c>
      <c r="AL1059">
        <v>82.800469688139302</v>
      </c>
      <c r="AM1059">
        <v>81.362060204413396</v>
      </c>
      <c r="AN1059">
        <v>0.99999999524305405</v>
      </c>
    </row>
    <row r="1060" spans="1:40" x14ac:dyDescent="0.3">
      <c r="A1060" t="str">
        <f>"20200111150331721"</f>
        <v>20200111150331721</v>
      </c>
      <c r="B1060" t="str">
        <f>"1578726211719646"</f>
        <v>1578726211719646</v>
      </c>
      <c r="C1060" t="s">
        <v>40</v>
      </c>
      <c r="D1060">
        <v>5.6512909999999996</v>
      </c>
      <c r="E1060">
        <v>0.51738759999999995</v>
      </c>
      <c r="F1060" t="s">
        <v>41</v>
      </c>
      <c r="G1060">
        <v>-218.845</v>
      </c>
      <c r="H1060" s="1">
        <v>-1.097183E-6</v>
      </c>
      <c r="I1060">
        <v>141.76130000000001</v>
      </c>
      <c r="J1060">
        <v>-206.82910000000001</v>
      </c>
      <c r="K1060">
        <v>1.100112</v>
      </c>
      <c r="L1060">
        <v>141.13149999999999</v>
      </c>
      <c r="M1060">
        <v>-0.98728839999999995</v>
      </c>
      <c r="N1060">
        <v>0</v>
      </c>
      <c r="O1060">
        <v>-0.15858439999999999</v>
      </c>
      <c r="P1060">
        <v>-0.99319829999999998</v>
      </c>
      <c r="Q1060">
        <v>0.1160038</v>
      </c>
      <c r="R1060">
        <v>-1.0033149999999999E-2</v>
      </c>
      <c r="S1060">
        <v>-3.05545</v>
      </c>
      <c r="T1060">
        <v>-0.2742347</v>
      </c>
      <c r="U1060">
        <v>0.1487579</v>
      </c>
      <c r="V1060">
        <v>0.148866</v>
      </c>
      <c r="W1060">
        <v>0.12494470000000001</v>
      </c>
      <c r="X1060">
        <v>0.98093209999999997</v>
      </c>
      <c r="Y1060">
        <v>0.20496200000000001</v>
      </c>
      <c r="Z1060">
        <v>2.3339740000000001E-2</v>
      </c>
      <c r="AA1060">
        <v>0.97849160000000002</v>
      </c>
      <c r="AB1060">
        <v>25</v>
      </c>
      <c r="AC1060">
        <v>-12.015899999999901</v>
      </c>
      <c r="AD1060">
        <v>-1.100113097183</v>
      </c>
      <c r="AE1060">
        <v>0.62980000000001701</v>
      </c>
      <c r="AF1060">
        <v>2.5065180616628902</v>
      </c>
      <c r="AG1060">
        <v>-1.100113097183</v>
      </c>
      <c r="AH1060">
        <v>11.666421309474501</v>
      </c>
      <c r="AI1060">
        <v>95.2674121514261</v>
      </c>
      <c r="AJ1060">
        <v>77.8743936744698</v>
      </c>
      <c r="AK1060">
        <v>11.983249467076799</v>
      </c>
      <c r="AL1060">
        <v>82.822437887558095</v>
      </c>
      <c r="AM1060">
        <v>81.370652945162703</v>
      </c>
      <c r="AN1060">
        <v>1.00000002441224</v>
      </c>
    </row>
    <row r="1061" spans="1:40" x14ac:dyDescent="0.3">
      <c r="A1061" t="str">
        <f>"20200111150331744"</f>
        <v>20200111150331744</v>
      </c>
      <c r="B1061" t="str">
        <f>"1578726211739166"</f>
        <v>1578726211739166</v>
      </c>
      <c r="C1061" t="s">
        <v>40</v>
      </c>
      <c r="D1061">
        <v>5.6595329999999997</v>
      </c>
      <c r="E1061">
        <v>0.51411620000000002</v>
      </c>
      <c r="F1061" t="s">
        <v>42</v>
      </c>
      <c r="G1061">
        <v>-207.6617</v>
      </c>
      <c r="H1061">
        <v>1.031622</v>
      </c>
      <c r="I1061">
        <v>141.16050000000001</v>
      </c>
      <c r="J1061">
        <v>-207.07069999999999</v>
      </c>
      <c r="K1061">
        <v>1.1003149999999999</v>
      </c>
      <c r="L1061">
        <v>141.0992</v>
      </c>
      <c r="M1061">
        <v>-0.98817290000000002</v>
      </c>
      <c r="N1061">
        <v>0</v>
      </c>
      <c r="O1061">
        <v>-0.15297759999999999</v>
      </c>
      <c r="P1061">
        <v>-0.99319789999999997</v>
      </c>
      <c r="Q1061">
        <v>0.11636150000000001</v>
      </c>
      <c r="R1061">
        <v>-4.2811029999999996E-3</v>
      </c>
      <c r="S1061">
        <v>-3.0509029999999999</v>
      </c>
      <c r="T1061">
        <v>-0.25085190000000002</v>
      </c>
      <c r="U1061">
        <v>0.1062927</v>
      </c>
      <c r="V1061">
        <v>0.14891270000000001</v>
      </c>
      <c r="W1061">
        <v>0.12535350000000001</v>
      </c>
      <c r="X1061">
        <v>0.98087290000000005</v>
      </c>
      <c r="Y1061">
        <v>0.18616060000000001</v>
      </c>
      <c r="Z1061">
        <v>2.016308E-2</v>
      </c>
      <c r="AA1061">
        <v>0.98231239999999997</v>
      </c>
      <c r="AB1061">
        <v>25</v>
      </c>
      <c r="AC1061">
        <v>-0.59100000000000796</v>
      </c>
      <c r="AD1061">
        <v>-6.8692999999999796E-2</v>
      </c>
      <c r="AE1061">
        <v>6.1300000000017001E-2</v>
      </c>
      <c r="AF1061">
        <v>0.14900166751021701</v>
      </c>
      <c r="AG1061">
        <v>-6.8692999999999796E-2</v>
      </c>
      <c r="AH1061">
        <v>0.56708520708961496</v>
      </c>
      <c r="AI1061">
        <v>96.682131633971906</v>
      </c>
      <c r="AJ1061">
        <v>75.278293587207699</v>
      </c>
      <c r="AK1061">
        <v>0.59034384664337503</v>
      </c>
      <c r="AL1061">
        <v>82.798830088236997</v>
      </c>
      <c r="AM1061">
        <v>81.367473515373703</v>
      </c>
      <c r="AN1061">
        <v>1.0000000690689701</v>
      </c>
    </row>
    <row r="1062" spans="1:40" x14ac:dyDescent="0.3">
      <c r="A1062" t="str">
        <f>"20200111150331767"</f>
        <v>20200111150331767</v>
      </c>
      <c r="B1062" t="str">
        <f>"1578726211759661"</f>
        <v>1578726211759661</v>
      </c>
      <c r="C1062" t="s">
        <v>40</v>
      </c>
      <c r="D1062">
        <v>5.7036069999999999</v>
      </c>
      <c r="E1062">
        <v>0.51104399999999905</v>
      </c>
      <c r="F1062" t="s">
        <v>42</v>
      </c>
      <c r="G1062">
        <v>-207.87219999999999</v>
      </c>
      <c r="H1062">
        <v>1.0349600000000001</v>
      </c>
      <c r="I1062">
        <v>141.1251</v>
      </c>
      <c r="J1062">
        <v>-207.33269999999999</v>
      </c>
      <c r="K1062">
        <v>1.100606</v>
      </c>
      <c r="L1062">
        <v>141.06530000000001</v>
      </c>
      <c r="M1062">
        <v>-0.98903549999999996</v>
      </c>
      <c r="N1062">
        <v>0</v>
      </c>
      <c r="O1062">
        <v>-0.14729879999999901</v>
      </c>
      <c r="P1062">
        <v>-0.99329109999999998</v>
      </c>
      <c r="Q1062">
        <v>0.1156354</v>
      </c>
      <c r="R1062">
        <v>1.198864E-3</v>
      </c>
      <c r="S1062">
        <v>-3.0500949999999998</v>
      </c>
      <c r="T1062">
        <v>-0.2486467</v>
      </c>
      <c r="U1062">
        <v>9.8068240000000001E-2</v>
      </c>
      <c r="V1062">
        <v>0.14860999999999999</v>
      </c>
      <c r="W1062">
        <v>0.124712</v>
      </c>
      <c r="X1062">
        <v>0.98100050000000005</v>
      </c>
      <c r="Y1062">
        <v>0.17793989999999901</v>
      </c>
      <c r="Z1062">
        <v>1.919887E-2</v>
      </c>
      <c r="AA1062">
        <v>0.98385409999999995</v>
      </c>
      <c r="AB1062">
        <v>25</v>
      </c>
      <c r="AC1062">
        <v>-0.53950000000000298</v>
      </c>
      <c r="AD1062">
        <v>-6.5645999999999802E-2</v>
      </c>
      <c r="AE1062">
        <v>5.97999999999956E-2</v>
      </c>
      <c r="AF1062">
        <v>0.13662152930774099</v>
      </c>
      <c r="AG1062">
        <v>-6.5645999999999802E-2</v>
      </c>
      <c r="AH1062">
        <v>0.51724029387139603</v>
      </c>
      <c r="AI1062">
        <v>96.995651816742097</v>
      </c>
      <c r="AJ1062">
        <v>75.204064299382395</v>
      </c>
      <c r="AK1062">
        <v>0.53899198620253597</v>
      </c>
      <c r="AL1062">
        <v>82.835875531097003</v>
      </c>
      <c r="AM1062">
        <v>81.385861372159894</v>
      </c>
      <c r="AN1062">
        <v>0.99999999802212403</v>
      </c>
    </row>
    <row r="1063" spans="1:40" x14ac:dyDescent="0.3">
      <c r="A1063" t="str">
        <f>"20200111150331788"</f>
        <v>20200111150331788</v>
      </c>
      <c r="B1063" t="str">
        <f>"1578726211779185"</f>
        <v>1578726211779185</v>
      </c>
      <c r="C1063" t="s">
        <v>40</v>
      </c>
      <c r="D1063">
        <v>5.6810320000000001</v>
      </c>
      <c r="E1063">
        <v>0.50853769999999998</v>
      </c>
      <c r="F1063" t="s">
        <v>42</v>
      </c>
      <c r="G1063">
        <v>-208.0934</v>
      </c>
      <c r="H1063">
        <v>1.0389010000000001</v>
      </c>
      <c r="I1063">
        <v>141.0881</v>
      </c>
      <c r="J1063">
        <v>-207.5771</v>
      </c>
      <c r="K1063">
        <v>1.1009150000000001</v>
      </c>
      <c r="L1063">
        <v>141.03469999999999</v>
      </c>
      <c r="M1063">
        <v>-0.98974779999999996</v>
      </c>
      <c r="N1063">
        <v>0</v>
      </c>
      <c r="O1063">
        <v>-0.14243610000000001</v>
      </c>
      <c r="P1063">
        <v>-0.99318680000000004</v>
      </c>
      <c r="Q1063">
        <v>0.1163685</v>
      </c>
      <c r="R1063">
        <v>6.1888749999999999E-3</v>
      </c>
      <c r="S1063">
        <v>-3.04895</v>
      </c>
      <c r="T1063">
        <v>-0.2473513</v>
      </c>
      <c r="U1063">
        <v>9.1156009999999996E-2</v>
      </c>
      <c r="V1063">
        <v>0.14861949999999999</v>
      </c>
      <c r="W1063">
        <v>0.1255375</v>
      </c>
      <c r="X1063">
        <v>0.98089380000000004</v>
      </c>
      <c r="Y1063">
        <v>0.17093249999999999</v>
      </c>
      <c r="Z1063">
        <v>1.8431719999999999E-2</v>
      </c>
      <c r="AA1063">
        <v>0.98511029999999999</v>
      </c>
      <c r="AB1063">
        <v>25</v>
      </c>
      <c r="AC1063">
        <v>-0.51630000000000098</v>
      </c>
      <c r="AD1063">
        <v>-6.2013999999999701E-2</v>
      </c>
      <c r="AE1063">
        <v>5.3400000000010502E-2</v>
      </c>
      <c r="AF1063">
        <v>0.124620455316756</v>
      </c>
      <c r="AG1063">
        <v>-6.2013999999999701E-2</v>
      </c>
      <c r="AH1063">
        <v>0.496343757548114</v>
      </c>
      <c r="AI1063">
        <v>96.909437116549995</v>
      </c>
      <c r="AJ1063">
        <v>75.905698594823093</v>
      </c>
      <c r="AK1063">
        <v>0.51549308408196604</v>
      </c>
      <c r="AL1063">
        <v>82.788203463230104</v>
      </c>
      <c r="AM1063">
        <v>81.384395939302195</v>
      </c>
      <c r="AN1063">
        <v>1.0000000332824599</v>
      </c>
    </row>
    <row r="1064" spans="1:40" x14ac:dyDescent="0.3">
      <c r="A1064" t="str">
        <f>"20200111150331811"</f>
        <v>20200111150331811</v>
      </c>
      <c r="B1064" t="str">
        <f>"1578726211799677"</f>
        <v>1578726211799677</v>
      </c>
      <c r="C1064" t="s">
        <v>40</v>
      </c>
      <c r="D1064">
        <v>5.6172120000000003</v>
      </c>
      <c r="E1064">
        <v>0.50623850000000004</v>
      </c>
      <c r="F1064" t="s">
        <v>42</v>
      </c>
      <c r="G1064">
        <v>-208.31620000000001</v>
      </c>
      <c r="H1064">
        <v>1.0424119999999999</v>
      </c>
      <c r="I1064">
        <v>141.05590000000001</v>
      </c>
      <c r="J1064">
        <v>-207.82169999999999</v>
      </c>
      <c r="K1064">
        <v>1.1012519999999999</v>
      </c>
      <c r="L1064">
        <v>141.00470000000001</v>
      </c>
      <c r="M1064">
        <v>-0.99037019999999998</v>
      </c>
      <c r="N1064">
        <v>0</v>
      </c>
      <c r="O1064">
        <v>-0.1380421</v>
      </c>
      <c r="P1064">
        <v>-0.99273860000000003</v>
      </c>
      <c r="Q1064">
        <v>0.11963840000000001</v>
      </c>
      <c r="R1064">
        <v>1.251977E-2</v>
      </c>
      <c r="S1064">
        <v>-3.0482939999999998</v>
      </c>
      <c r="T1064">
        <v>-0.24117420000000001</v>
      </c>
      <c r="U1064">
        <v>8.6883539999999995E-2</v>
      </c>
      <c r="V1064">
        <v>0.15039620000000001</v>
      </c>
      <c r="W1064">
        <v>0.12888659999999999</v>
      </c>
      <c r="X1064">
        <v>0.98018839999999996</v>
      </c>
      <c r="Y1064">
        <v>0.16526579999999999</v>
      </c>
      <c r="Z1064">
        <v>1.740825E-2</v>
      </c>
      <c r="AA1064">
        <v>0.98609539999999996</v>
      </c>
      <c r="AB1064">
        <v>25</v>
      </c>
      <c r="AC1064">
        <v>-0.49450000000001598</v>
      </c>
      <c r="AD1064">
        <v>-5.8839999999999899E-2</v>
      </c>
      <c r="AE1064">
        <v>5.1199999999994299E-2</v>
      </c>
      <c r="AF1064">
        <v>0.117331785729431</v>
      </c>
      <c r="AG1064">
        <v>-5.8839999999999899E-2</v>
      </c>
      <c r="AH1064">
        <v>0.47602885967709702</v>
      </c>
      <c r="AI1064">
        <v>96.843570719607499</v>
      </c>
      <c r="AJ1064">
        <v>76.153708896084495</v>
      </c>
      <c r="AK1064">
        <v>0.49379385252140801</v>
      </c>
      <c r="AL1064">
        <v>82.594742332963605</v>
      </c>
      <c r="AM1064">
        <v>81.276795158310605</v>
      </c>
      <c r="AN1064">
        <v>1.00000003606427</v>
      </c>
    </row>
    <row r="1065" spans="1:40" x14ac:dyDescent="0.3">
      <c r="A1065" t="str">
        <f>"20200111150331844"</f>
        <v>20200111150331844</v>
      </c>
      <c r="B1065" t="str">
        <f>"1578726211839694"</f>
        <v>1578726211839694</v>
      </c>
      <c r="C1065" t="s">
        <v>40</v>
      </c>
      <c r="D1065">
        <v>5.8447630000000004</v>
      </c>
      <c r="E1065">
        <v>0.46640100000000001</v>
      </c>
      <c r="F1065" t="s">
        <v>42</v>
      </c>
      <c r="G1065">
        <v>-208.75980000000001</v>
      </c>
      <c r="H1065">
        <v>1.0322180000000001</v>
      </c>
      <c r="I1065">
        <v>141.0324</v>
      </c>
      <c r="J1065">
        <v>-208.1891</v>
      </c>
      <c r="K1065">
        <v>1.101701</v>
      </c>
      <c r="L1065">
        <v>140.96080000000001</v>
      </c>
      <c r="M1065">
        <v>-0.99116539999999997</v>
      </c>
      <c r="N1065">
        <v>0</v>
      </c>
      <c r="O1065">
        <v>-0.13221369999999999</v>
      </c>
      <c r="P1065">
        <v>-0.99185350000000005</v>
      </c>
      <c r="Q1065">
        <v>0.12540280000000001</v>
      </c>
      <c r="R1065">
        <v>2.2383500000000001E-2</v>
      </c>
      <c r="S1065">
        <v>-3.0478519999999998</v>
      </c>
      <c r="T1065">
        <v>-0.22425320000000001</v>
      </c>
      <c r="U1065">
        <v>8.9859010000000003E-2</v>
      </c>
      <c r="V1065">
        <v>0.15418419999999999</v>
      </c>
      <c r="W1065">
        <v>0.13474630000000001</v>
      </c>
      <c r="X1065">
        <v>0.97881079999999998</v>
      </c>
      <c r="Y1065">
        <v>0.1605848</v>
      </c>
      <c r="Z1065">
        <v>1.5594999999999999E-2</v>
      </c>
      <c r="AA1065">
        <v>0.98689879999999996</v>
      </c>
      <c r="AB1065">
        <v>25</v>
      </c>
      <c r="AC1065">
        <v>-0.57070000000001597</v>
      </c>
      <c r="AD1065">
        <v>-6.9482999999999906E-2</v>
      </c>
      <c r="AE1065">
        <v>7.1599999999989394E-2</v>
      </c>
      <c r="AF1065">
        <v>0.14432372073084301</v>
      </c>
      <c r="AG1065">
        <v>-6.9482999999999906E-2</v>
      </c>
      <c r="AH1065">
        <v>0.54822191399411602</v>
      </c>
      <c r="AI1065">
        <v>96.987685668956303</v>
      </c>
      <c r="AJ1065">
        <v>75.251081364462905</v>
      </c>
      <c r="AK1065">
        <v>0.57114314373716002</v>
      </c>
      <c r="AL1065">
        <v>82.256049761406402</v>
      </c>
      <c r="AM1065">
        <v>81.048213342238</v>
      </c>
      <c r="AN1065">
        <v>0.99999995754498405</v>
      </c>
    </row>
    <row r="1066" spans="1:40" x14ac:dyDescent="0.3">
      <c r="A1066" t="str">
        <f>"20200111150331869"</f>
        <v>20200111150331869</v>
      </c>
      <c r="B1066" t="str">
        <f>"1578726211859214"</f>
        <v>1578726211859214</v>
      </c>
      <c r="C1066" t="s">
        <v>40</v>
      </c>
      <c r="D1066">
        <v>5.5842489999999998</v>
      </c>
      <c r="E1066">
        <v>0.46990959999999898</v>
      </c>
      <c r="F1066" t="s">
        <v>44</v>
      </c>
      <c r="G1066">
        <v>0</v>
      </c>
      <c r="H1066">
        <v>0</v>
      </c>
      <c r="I1066">
        <v>0</v>
      </c>
      <c r="J1066">
        <v>-208.47069999999999</v>
      </c>
      <c r="K1066">
        <v>1.1019490000000001</v>
      </c>
      <c r="L1066">
        <v>140.928</v>
      </c>
      <c r="M1066">
        <v>-0.99169119999999999</v>
      </c>
      <c r="N1066">
        <v>0</v>
      </c>
      <c r="O1066">
        <v>-0.12820999999999999</v>
      </c>
      <c r="P1066">
        <v>-0.9915754</v>
      </c>
      <c r="Q1066">
        <v>0.12675510000000001</v>
      </c>
      <c r="R1066">
        <v>2.6670050000000001E-2</v>
      </c>
      <c r="S1066">
        <v>-3.018265</v>
      </c>
      <c r="T1066">
        <v>8.6001399999999895E-2</v>
      </c>
      <c r="U1066">
        <v>-0.19918820000000001</v>
      </c>
      <c r="V1066">
        <v>0.154368899999999</v>
      </c>
      <c r="W1066">
        <v>0.13617309999999999</v>
      </c>
      <c r="X1066">
        <v>0.97858420000000002</v>
      </c>
      <c r="Y1066">
        <v>6.2554529999999997E-2</v>
      </c>
      <c r="Z1066">
        <v>-4.5273140000000002E-3</v>
      </c>
      <c r="AA1066">
        <v>0.99803129999999995</v>
      </c>
      <c r="AB1066">
        <v>25</v>
      </c>
      <c r="AC1066">
        <v>-3.018265</v>
      </c>
      <c r="AD1066">
        <v>8.6001399999999895E-2</v>
      </c>
      <c r="AE1066">
        <v>-0.19918820000000001</v>
      </c>
      <c r="AF1066">
        <v>0.18929604171431699</v>
      </c>
      <c r="AG1066">
        <v>8.6001399999999895E-2</v>
      </c>
      <c r="AH1066">
        <v>3.016453545733</v>
      </c>
      <c r="AI1066">
        <v>88.370100349647402</v>
      </c>
      <c r="AJ1066">
        <v>86.409140672712795</v>
      </c>
      <c r="AK1066">
        <v>3.0236106273420602</v>
      </c>
      <c r="AL1066">
        <v>82.173539592377693</v>
      </c>
      <c r="AM1066">
        <v>81.035622192126496</v>
      </c>
      <c r="AN1066">
        <v>0.99999995347022796</v>
      </c>
    </row>
    <row r="1067" spans="1:40" x14ac:dyDescent="0.3">
      <c r="A1067" t="str">
        <f>"20200111150331891"</f>
        <v>20200111150331891</v>
      </c>
      <c r="B1067" t="str">
        <f>"1578726211879709"</f>
        <v>1578726211879709</v>
      </c>
      <c r="C1067" t="s">
        <v>40</v>
      </c>
      <c r="D1067">
        <v>5.5486740000000001</v>
      </c>
      <c r="E1067">
        <v>0.47083589999999997</v>
      </c>
      <c r="F1067" t="s">
        <v>44</v>
      </c>
      <c r="G1067">
        <v>0</v>
      </c>
      <c r="H1067">
        <v>0</v>
      </c>
      <c r="I1067">
        <v>0</v>
      </c>
      <c r="J1067">
        <v>-208.70689999999999</v>
      </c>
      <c r="K1067">
        <v>1.1020939999999999</v>
      </c>
      <c r="L1067">
        <v>140.90110000000001</v>
      </c>
      <c r="M1067">
        <v>-0.99208059999999998</v>
      </c>
      <c r="N1067">
        <v>0</v>
      </c>
      <c r="O1067">
        <v>-0.12516330000000001</v>
      </c>
      <c r="P1067">
        <v>-0.99167919999999998</v>
      </c>
      <c r="Q1067">
        <v>0.125472</v>
      </c>
      <c r="R1067">
        <v>2.8801299999999998E-2</v>
      </c>
      <c r="S1067">
        <v>-3.0296020000000001</v>
      </c>
      <c r="T1067">
        <v>9.6344949999999996E-4</v>
      </c>
      <c r="U1067">
        <v>-0.15708920000000001</v>
      </c>
      <c r="V1067">
        <v>0.1534285</v>
      </c>
      <c r="W1067">
        <v>0.13494619999999999</v>
      </c>
      <c r="X1067">
        <v>0.97890200000000005</v>
      </c>
      <c r="Y1067">
        <v>7.3627659999999998E-2</v>
      </c>
      <c r="Z1067" s="1">
        <v>-5.1367560000000003E-5</v>
      </c>
      <c r="AA1067">
        <v>0.9972858</v>
      </c>
      <c r="AB1067">
        <v>25</v>
      </c>
      <c r="AC1067">
        <v>-3.0296020000000001</v>
      </c>
      <c r="AD1067">
        <v>9.6344949999999996E-4</v>
      </c>
      <c r="AE1067">
        <v>-0.15708920000000001</v>
      </c>
      <c r="AF1067">
        <v>0.223362124793171</v>
      </c>
      <c r="AG1067">
        <v>9.6344949999999996E-4</v>
      </c>
      <c r="AH1067">
        <v>3.0254376212209202</v>
      </c>
      <c r="AI1067">
        <v>89.981803703445607</v>
      </c>
      <c r="AJ1067">
        <v>85.777625335447595</v>
      </c>
      <c r="AK1067">
        <v>3.0336717632146599</v>
      </c>
      <c r="AL1067">
        <v>82.244490729698995</v>
      </c>
      <c r="AM1067">
        <v>81.092199811258595</v>
      </c>
      <c r="AN1067">
        <v>0.99999995355534399</v>
      </c>
    </row>
    <row r="1068" spans="1:40" x14ac:dyDescent="0.3">
      <c r="A1068" t="str">
        <f>"20200111150331911"</f>
        <v>20200111150331911</v>
      </c>
      <c r="B1068" t="str">
        <f>"1578726211908990"</f>
        <v>1578726211908990</v>
      </c>
      <c r="C1068" t="s">
        <v>40</v>
      </c>
      <c r="D1068">
        <v>5.6283339999999997</v>
      </c>
      <c r="E1068">
        <v>0.4703215</v>
      </c>
      <c r="F1068" t="s">
        <v>41</v>
      </c>
      <c r="G1068">
        <v>-379.64420000000001</v>
      </c>
      <c r="H1068" s="1">
        <v>-1.90052E-6</v>
      </c>
      <c r="I1068">
        <v>132.87610000000001</v>
      </c>
      <c r="J1068">
        <v>-208.94149999999999</v>
      </c>
      <c r="K1068">
        <v>1.1022019999999999</v>
      </c>
      <c r="L1068">
        <v>140.875</v>
      </c>
      <c r="M1068">
        <v>-0.99243619999999999</v>
      </c>
      <c r="N1068">
        <v>0</v>
      </c>
      <c r="O1068">
        <v>-0.1223115</v>
      </c>
      <c r="P1068">
        <v>-0.99164399999999997</v>
      </c>
      <c r="Q1068">
        <v>0.12535679999999999</v>
      </c>
      <c r="R1068">
        <v>3.0463319999999999E-2</v>
      </c>
      <c r="S1068">
        <v>-3.0318149999999999</v>
      </c>
      <c r="T1068">
        <v>-1.9547220000000001E-2</v>
      </c>
      <c r="U1068">
        <v>-0.14233399999999999</v>
      </c>
      <c r="V1068">
        <v>0.1522181</v>
      </c>
      <c r="W1068">
        <v>0.13487289999999999</v>
      </c>
      <c r="X1068">
        <v>0.97910109999999995</v>
      </c>
      <c r="Y1068">
        <v>7.5636629999999996E-2</v>
      </c>
      <c r="Z1068">
        <v>1.0298309999999999E-3</v>
      </c>
      <c r="AA1068">
        <v>0.99713490000000005</v>
      </c>
      <c r="AB1068">
        <v>25</v>
      </c>
      <c r="AC1068">
        <v>-170.70269999999999</v>
      </c>
      <c r="AD1068">
        <v>-1.1022039005199999</v>
      </c>
      <c r="AE1068">
        <v>-7.9988999999999901</v>
      </c>
      <c r="AF1068">
        <v>12.9406806786441</v>
      </c>
      <c r="AG1068">
        <v>-1.1022039005199999</v>
      </c>
      <c r="AH1068">
        <v>170.392204683198</v>
      </c>
      <c r="AI1068">
        <v>90.369555741769901</v>
      </c>
      <c r="AJ1068">
        <v>85.656927020584703</v>
      </c>
      <c r="AK1068">
        <v>170.88645202784801</v>
      </c>
      <c r="AL1068">
        <v>82.248729672994003</v>
      </c>
      <c r="AM1068">
        <v>81.163128676408206</v>
      </c>
      <c r="AN1068">
        <v>1.0000000065716099</v>
      </c>
    </row>
    <row r="1069" spans="1:40" x14ac:dyDescent="0.3">
      <c r="A1069" t="str">
        <f>"20200111150331933"</f>
        <v>20200111150331933</v>
      </c>
      <c r="B1069" t="str">
        <f>"1578726211929486"</f>
        <v>1578726211929486</v>
      </c>
      <c r="C1069" t="s">
        <v>40</v>
      </c>
      <c r="D1069">
        <v>5.5448300000000001</v>
      </c>
      <c r="E1069">
        <v>0.4688329</v>
      </c>
      <c r="F1069" t="s">
        <v>44</v>
      </c>
      <c r="G1069">
        <v>0</v>
      </c>
      <c r="H1069">
        <v>0</v>
      </c>
      <c r="I1069">
        <v>0</v>
      </c>
      <c r="J1069">
        <v>-209.1841</v>
      </c>
      <c r="K1069">
        <v>1.102285</v>
      </c>
      <c r="L1069">
        <v>140.8485</v>
      </c>
      <c r="M1069">
        <v>-0.99278180000000005</v>
      </c>
      <c r="N1069">
        <v>0</v>
      </c>
      <c r="O1069">
        <v>-0.11947579999999999</v>
      </c>
      <c r="P1069">
        <v>-0.99155800000000005</v>
      </c>
      <c r="Q1069">
        <v>0.12596499999999999</v>
      </c>
      <c r="R1069">
        <v>3.0756929999999998E-2</v>
      </c>
      <c r="S1069">
        <v>-3.0299529999999999</v>
      </c>
      <c r="T1069">
        <v>-2.330899E-3</v>
      </c>
      <c r="U1069">
        <v>-0.14184569999999999</v>
      </c>
      <c r="V1069">
        <v>0.14967329999999901</v>
      </c>
      <c r="W1069">
        <v>0.13552069999999999</v>
      </c>
      <c r="X1069">
        <v>0.97940389999999999</v>
      </c>
      <c r="Y1069">
        <v>7.2923340000000003E-2</v>
      </c>
      <c r="Z1069">
        <v>1.196706E-4</v>
      </c>
      <c r="AA1069">
        <v>0.99733749999999999</v>
      </c>
      <c r="AB1069">
        <v>25</v>
      </c>
      <c r="AC1069">
        <v>-3.0299529999999999</v>
      </c>
      <c r="AD1069">
        <v>-2.330899E-3</v>
      </c>
      <c r="AE1069">
        <v>-0.14184569999999999</v>
      </c>
      <c r="AF1069">
        <v>0.22119624607281099</v>
      </c>
      <c r="AG1069">
        <v>-2.330899E-3</v>
      </c>
      <c r="AH1069">
        <v>3.0251936697292798</v>
      </c>
      <c r="AI1069">
        <v>90.044028611404499</v>
      </c>
      <c r="AJ1069">
        <v>85.818086551452595</v>
      </c>
      <c r="AK1069">
        <v>3.0332705042143799</v>
      </c>
      <c r="AL1069">
        <v>82.211269313113803</v>
      </c>
      <c r="AM1069">
        <v>81.311235952300805</v>
      </c>
      <c r="AN1069">
        <v>0.999999978098294</v>
      </c>
    </row>
    <row r="1070" spans="1:40" x14ac:dyDescent="0.3">
      <c r="A1070" t="str">
        <f>"20200111150331956"</f>
        <v>20200111150331956</v>
      </c>
      <c r="B1070" t="str">
        <f>"1578726211949009"</f>
        <v>1578726211949009</v>
      </c>
      <c r="C1070" t="s">
        <v>40</v>
      </c>
      <c r="D1070">
        <v>5.5952140000000004</v>
      </c>
      <c r="E1070">
        <v>0.46740739999999997</v>
      </c>
      <c r="F1070" t="s">
        <v>68</v>
      </c>
      <c r="G1070">
        <v>-290.68819999999999</v>
      </c>
      <c r="H1070" s="1">
        <v>-7.858407E-6</v>
      </c>
      <c r="I1070">
        <v>136.7388</v>
      </c>
      <c r="J1070">
        <v>-209.44569999999999</v>
      </c>
      <c r="K1070">
        <v>1.1023400000000001</v>
      </c>
      <c r="L1070">
        <v>140.82069999999999</v>
      </c>
      <c r="M1070">
        <v>-0.99313799999999997</v>
      </c>
      <c r="N1070">
        <v>0</v>
      </c>
      <c r="O1070">
        <v>-0.1164787</v>
      </c>
      <c r="P1070">
        <v>-0.99148009999999998</v>
      </c>
      <c r="Q1070">
        <v>0.1269142</v>
      </c>
      <c r="R1070">
        <v>2.9337970000000001E-2</v>
      </c>
      <c r="S1070">
        <v>-3.0354770000000002</v>
      </c>
      <c r="T1070">
        <v>-4.1052940000000003E-2</v>
      </c>
      <c r="U1070">
        <v>-0.1530609</v>
      </c>
      <c r="V1070">
        <v>0.1452803</v>
      </c>
      <c r="W1070">
        <v>0.136511299999999</v>
      </c>
      <c r="X1070">
        <v>0.97992769999999996</v>
      </c>
      <c r="Y1070">
        <v>6.6303490000000007E-2</v>
      </c>
      <c r="Z1070">
        <v>2.0185260000000001E-3</v>
      </c>
      <c r="AA1070">
        <v>0.9977975</v>
      </c>
      <c r="AB1070">
        <v>25</v>
      </c>
      <c r="AC1070">
        <v>-81.242500000000007</v>
      </c>
      <c r="AD1070">
        <v>-1.1023478584069999</v>
      </c>
      <c r="AE1070">
        <v>-4.0818999999999903</v>
      </c>
      <c r="AF1070">
        <v>5.4084340716538799</v>
      </c>
      <c r="AG1070">
        <v>-1.1023478584069999</v>
      </c>
      <c r="AH1070">
        <v>81.150014679369406</v>
      </c>
      <c r="AI1070">
        <v>90.776539757180402</v>
      </c>
      <c r="AJ1070">
        <v>86.187026582969295</v>
      </c>
      <c r="AK1070">
        <v>81.3375141762411</v>
      </c>
      <c r="AL1070">
        <v>82.153979861502705</v>
      </c>
      <c r="AM1070">
        <v>81.566976383069701</v>
      </c>
      <c r="AN1070">
        <v>0.99999999891153402</v>
      </c>
    </row>
    <row r="1071" spans="1:40" x14ac:dyDescent="0.3">
      <c r="A1071" t="str">
        <f>"20200111150331979"</f>
        <v>20200111150331979</v>
      </c>
      <c r="B1071" t="str">
        <f>"1578726211969502"</f>
        <v>1578726211969502</v>
      </c>
      <c r="C1071" t="s">
        <v>40</v>
      </c>
      <c r="D1071">
        <v>5.5871339999999998</v>
      </c>
      <c r="E1071">
        <v>0.4666167</v>
      </c>
      <c r="F1071" t="s">
        <v>41</v>
      </c>
      <c r="G1071">
        <v>-262.86200000000002</v>
      </c>
      <c r="H1071" s="1">
        <v>-3.3576740000000002E-6</v>
      </c>
      <c r="I1071">
        <v>137.85059999999999</v>
      </c>
      <c r="J1071">
        <v>-209.69880000000001</v>
      </c>
      <c r="K1071">
        <v>1.1023609999999999</v>
      </c>
      <c r="L1071">
        <v>140.7944</v>
      </c>
      <c r="M1071">
        <v>-0.99347189999999996</v>
      </c>
      <c r="N1071">
        <v>0</v>
      </c>
      <c r="O1071">
        <v>-0.113593899999999</v>
      </c>
      <c r="P1071">
        <v>-0.99153570000000002</v>
      </c>
      <c r="Q1071">
        <v>0.1269951</v>
      </c>
      <c r="R1071">
        <v>2.7002189999999999E-2</v>
      </c>
      <c r="S1071">
        <v>-3.0387879999999998</v>
      </c>
      <c r="T1071">
        <v>-6.2711000000000003E-2</v>
      </c>
      <c r="U1071">
        <v>-0.16896059999999999</v>
      </c>
      <c r="V1071">
        <v>0.1401075</v>
      </c>
      <c r="W1071">
        <v>0.13662939999999901</v>
      </c>
      <c r="X1071">
        <v>0.98066419999999999</v>
      </c>
      <c r="Y1071">
        <v>5.8232470000000001E-2</v>
      </c>
      <c r="Z1071">
        <v>2.9369830000000002E-3</v>
      </c>
      <c r="AA1071">
        <v>0.99829869999999998</v>
      </c>
      <c r="AB1071">
        <v>25</v>
      </c>
      <c r="AC1071">
        <v>-53.163200000000003</v>
      </c>
      <c r="AD1071">
        <v>-1.1023643576739901</v>
      </c>
      <c r="AE1071">
        <v>-2.9438</v>
      </c>
      <c r="AF1071">
        <v>3.1132694787172199</v>
      </c>
      <c r="AG1071">
        <v>-1.1023643576739901</v>
      </c>
      <c r="AH1071">
        <v>53.1306925728084</v>
      </c>
      <c r="AI1071">
        <v>91.186576974073006</v>
      </c>
      <c r="AJ1071">
        <v>86.646505865251399</v>
      </c>
      <c r="AK1071">
        <v>53.233242877833902</v>
      </c>
      <c r="AL1071">
        <v>82.147149149809195</v>
      </c>
      <c r="AM1071">
        <v>81.869175391324205</v>
      </c>
      <c r="AN1071">
        <v>0.99999998883112495</v>
      </c>
    </row>
    <row r="1072" spans="1:40" x14ac:dyDescent="0.3">
      <c r="A1072" t="str">
        <f>"20200111150332000"</f>
        <v>20200111150332000</v>
      </c>
      <c r="B1072" t="str">
        <f>"1578726211989025"</f>
        <v>1578726211989025</v>
      </c>
      <c r="C1072" t="s">
        <v>40</v>
      </c>
      <c r="D1072">
        <v>5.659897</v>
      </c>
      <c r="E1072">
        <v>0.46616770000000002</v>
      </c>
      <c r="F1072" t="s">
        <v>41</v>
      </c>
      <c r="G1072">
        <v>-252.26439999999999</v>
      </c>
      <c r="H1072" s="1">
        <v>-3.5457779999999998E-6</v>
      </c>
      <c r="I1072">
        <v>138.2355</v>
      </c>
      <c r="J1072">
        <v>-209.9461</v>
      </c>
      <c r="K1072">
        <v>1.1023559999999999</v>
      </c>
      <c r="L1072">
        <v>140.76939999999999</v>
      </c>
      <c r="M1072">
        <v>-0.99379110000000004</v>
      </c>
      <c r="N1072">
        <v>0</v>
      </c>
      <c r="O1072">
        <v>-0.11076809999999999</v>
      </c>
      <c r="P1072">
        <v>-0.99172159999999998</v>
      </c>
      <c r="Q1072">
        <v>0.12594949999999999</v>
      </c>
      <c r="R1072">
        <v>2.500409E-2</v>
      </c>
      <c r="S1072">
        <v>-3.04068</v>
      </c>
      <c r="T1072">
        <v>-7.8747629999999999E-2</v>
      </c>
      <c r="U1072">
        <v>-0.182785</v>
      </c>
      <c r="V1072">
        <v>0.13534360000000001</v>
      </c>
      <c r="W1072">
        <v>0.13561329999999999</v>
      </c>
      <c r="X1072">
        <v>0.98147399999999996</v>
      </c>
      <c r="Y1072">
        <v>5.0885199999999998E-2</v>
      </c>
      <c r="Z1072">
        <v>3.517175E-3</v>
      </c>
      <c r="AA1072">
        <v>0.99869830000000004</v>
      </c>
      <c r="AB1072">
        <v>25</v>
      </c>
      <c r="AC1072">
        <v>-42.318300000000001</v>
      </c>
      <c r="AD1072">
        <v>-1.102359545778</v>
      </c>
      <c r="AE1072">
        <v>-2.5338999999999801</v>
      </c>
      <c r="AF1072">
        <v>2.16800352108717</v>
      </c>
      <c r="AG1072">
        <v>-1.102359545778</v>
      </c>
      <c r="AH1072">
        <v>42.309939664343503</v>
      </c>
      <c r="AI1072">
        <v>91.490514157731894</v>
      </c>
      <c r="AJ1072">
        <v>87.0666725857118</v>
      </c>
      <c r="AK1072">
        <v>42.379787991871801</v>
      </c>
      <c r="AL1072">
        <v>82.205914732938496</v>
      </c>
      <c r="AM1072">
        <v>82.148527014067895</v>
      </c>
      <c r="AN1072">
        <v>1.00000003493692</v>
      </c>
    </row>
    <row r="1073" spans="1:40" x14ac:dyDescent="0.3">
      <c r="A1073" t="str">
        <f>"20200111150332022"</f>
        <v>20200111150332022</v>
      </c>
      <c r="B1073" t="str">
        <f>"1578726212019278"</f>
        <v>1578726212019278</v>
      </c>
      <c r="C1073" t="s">
        <v>40</v>
      </c>
      <c r="D1073">
        <v>5.5910339999999996</v>
      </c>
      <c r="E1073">
        <v>0.46570660000000003</v>
      </c>
      <c r="F1073" t="s">
        <v>41</v>
      </c>
      <c r="G1073">
        <v>-243.93459999999999</v>
      </c>
      <c r="H1073" s="1">
        <v>-2.7617019999999998E-6</v>
      </c>
      <c r="I1073">
        <v>138.6164</v>
      </c>
      <c r="J1073">
        <v>-210.1833</v>
      </c>
      <c r="K1073">
        <v>1.1023400000000001</v>
      </c>
      <c r="L1073">
        <v>140.74600000000001</v>
      </c>
      <c r="M1073">
        <v>-0.9940909</v>
      </c>
      <c r="N1073">
        <v>0</v>
      </c>
      <c r="O1073">
        <v>-0.108046</v>
      </c>
      <c r="P1073">
        <v>-0.9917243</v>
      </c>
      <c r="Q1073">
        <v>0.12601370000000001</v>
      </c>
      <c r="R1073">
        <v>2.4575449999999999E-2</v>
      </c>
      <c r="S1073">
        <v>-3.0424349999999998</v>
      </c>
      <c r="T1073">
        <v>-9.8676200000000006E-2</v>
      </c>
      <c r="U1073">
        <v>-0.19271849999999999</v>
      </c>
      <c r="V1073">
        <v>0.13222909999999999</v>
      </c>
      <c r="W1073">
        <v>0.13569220000000001</v>
      </c>
      <c r="X1073">
        <v>0.98188750000000002</v>
      </c>
      <c r="Y1073">
        <v>4.4909259999999999E-2</v>
      </c>
      <c r="Z1073">
        <v>4.2192870000000004E-3</v>
      </c>
      <c r="AA1073">
        <v>0.99898209999999998</v>
      </c>
      <c r="AB1073">
        <v>25</v>
      </c>
      <c r="AC1073">
        <v>-33.751299999999901</v>
      </c>
      <c r="AD1073">
        <v>-1.1023427617020001</v>
      </c>
      <c r="AE1073">
        <v>-2.1296000000000102</v>
      </c>
      <c r="AF1073">
        <v>1.5281369796164299</v>
      </c>
      <c r="AG1073">
        <v>-1.1023427617020001</v>
      </c>
      <c r="AH1073">
        <v>33.747945032466397</v>
      </c>
      <c r="AI1073">
        <v>91.868930331137406</v>
      </c>
      <c r="AJ1073">
        <v>87.407367097425293</v>
      </c>
      <c r="AK1073">
        <v>33.8005052640803</v>
      </c>
      <c r="AL1073">
        <v>82.201351530292897</v>
      </c>
      <c r="AM1073">
        <v>82.330219063733097</v>
      </c>
      <c r="AN1073">
        <v>0.99999998534195</v>
      </c>
    </row>
    <row r="1074" spans="1:40" x14ac:dyDescent="0.3">
      <c r="A1074" t="str">
        <f>"20200111150332044"</f>
        <v>20200111150332044</v>
      </c>
      <c r="B1074" t="str">
        <f>"1578726212038798"</f>
        <v>1578726212038798</v>
      </c>
      <c r="C1074" t="s">
        <v>40</v>
      </c>
      <c r="D1074">
        <v>5.6137489999999897</v>
      </c>
      <c r="E1074">
        <v>0.46544590000000002</v>
      </c>
      <c r="F1074" t="s">
        <v>41</v>
      </c>
      <c r="G1074">
        <v>-240.322</v>
      </c>
      <c r="H1074" s="1">
        <v>-4.2820980000000004E-6</v>
      </c>
      <c r="I1074">
        <v>138.78219999999999</v>
      </c>
      <c r="J1074">
        <v>-210.4365</v>
      </c>
      <c r="K1074">
        <v>1.1023229999999999</v>
      </c>
      <c r="L1074">
        <v>140.7218</v>
      </c>
      <c r="M1074">
        <v>-0.99440320000000004</v>
      </c>
      <c r="N1074">
        <v>0</v>
      </c>
      <c r="O1074">
        <v>-0.1051315</v>
      </c>
      <c r="P1074">
        <v>-0.99158939999999995</v>
      </c>
      <c r="Q1074">
        <v>0.12610839999999901</v>
      </c>
      <c r="R1074">
        <v>2.9112949999999999E-2</v>
      </c>
      <c r="S1074">
        <v>-3.0440670000000001</v>
      </c>
      <c r="T1074">
        <v>-0.1113391</v>
      </c>
      <c r="U1074">
        <v>-0.198349</v>
      </c>
      <c r="V1074">
        <v>0.13384879999999999</v>
      </c>
      <c r="W1074">
        <v>0.13577249999999999</v>
      </c>
      <c r="X1074">
        <v>0.981657</v>
      </c>
      <c r="Y1074">
        <v>4.0157470000000001E-2</v>
      </c>
      <c r="Z1074">
        <v>4.5648809999999998E-3</v>
      </c>
      <c r="AA1074">
        <v>0.99918289999999998</v>
      </c>
      <c r="AB1074">
        <v>25</v>
      </c>
      <c r="AC1074">
        <v>-29.8855</v>
      </c>
      <c r="AD1074">
        <v>-1.1023272820979999</v>
      </c>
      <c r="AE1074">
        <v>-1.93960000000001</v>
      </c>
      <c r="AF1074">
        <v>1.21158805250561</v>
      </c>
      <c r="AG1074">
        <v>-1.1023272820979999</v>
      </c>
      <c r="AH1074">
        <v>29.883304565761801</v>
      </c>
      <c r="AI1074">
        <v>92.110820812158096</v>
      </c>
      <c r="AJ1074">
        <v>87.678272763019507</v>
      </c>
      <c r="AK1074">
        <v>29.928163371912898</v>
      </c>
      <c r="AL1074">
        <v>82.196708362515807</v>
      </c>
      <c r="AM1074">
        <v>82.235608586743993</v>
      </c>
      <c r="AN1074">
        <v>1.00000006933334</v>
      </c>
    </row>
    <row r="1075" spans="1:40" x14ac:dyDescent="0.3">
      <c r="A1075" t="str">
        <f>"20200111150332068"</f>
        <v>20200111150332068</v>
      </c>
      <c r="B1075" t="str">
        <f>"1578726212059294"</f>
        <v>1578726212059294</v>
      </c>
      <c r="C1075" t="s">
        <v>40</v>
      </c>
      <c r="D1075">
        <v>5.534186</v>
      </c>
      <c r="E1075">
        <v>0.46551690000000001</v>
      </c>
      <c r="F1075" t="s">
        <v>41</v>
      </c>
      <c r="G1075">
        <v>-239.44659999999999</v>
      </c>
      <c r="H1075" s="1">
        <v>-3.545285E-7</v>
      </c>
      <c r="I1075">
        <v>138.9392</v>
      </c>
      <c r="J1075">
        <v>-210.70400000000001</v>
      </c>
      <c r="K1075">
        <v>1.102309</v>
      </c>
      <c r="L1075">
        <v>140.697</v>
      </c>
      <c r="M1075">
        <v>-0.99472249999999995</v>
      </c>
      <c r="N1075">
        <v>0</v>
      </c>
      <c r="O1075">
        <v>-0.1020659</v>
      </c>
      <c r="P1075">
        <v>-0.99158159999999895</v>
      </c>
      <c r="Q1075">
        <v>0.12415229999999999</v>
      </c>
      <c r="R1075">
        <v>3.6772270000000003E-2</v>
      </c>
      <c r="S1075">
        <v>-3.0456699999999999</v>
      </c>
      <c r="T1075">
        <v>-0.1157292</v>
      </c>
      <c r="U1075">
        <v>-0.18714900000000001</v>
      </c>
      <c r="V1075">
        <v>0.1384273</v>
      </c>
      <c r="W1075">
        <v>0.1337894</v>
      </c>
      <c r="X1075">
        <v>0.98129420000000001</v>
      </c>
      <c r="Y1075">
        <v>4.0765410000000002E-2</v>
      </c>
      <c r="Z1075">
        <v>4.6388519999999997E-3</v>
      </c>
      <c r="AA1075">
        <v>0.99915799999999999</v>
      </c>
      <c r="AB1075">
        <v>25</v>
      </c>
      <c r="AC1075">
        <v>-28.7425999999999</v>
      </c>
      <c r="AD1075">
        <v>-1.1023093545285001</v>
      </c>
      <c r="AE1075">
        <v>-1.7578</v>
      </c>
      <c r="AF1075">
        <v>1.18344700281047</v>
      </c>
      <c r="AG1075">
        <v>-1.1023093545285001</v>
      </c>
      <c r="AH1075">
        <v>28.729802088271999</v>
      </c>
      <c r="AI1075">
        <v>92.195395311471103</v>
      </c>
      <c r="AJ1075">
        <v>87.641187857449907</v>
      </c>
      <c r="AK1075">
        <v>28.7752873270246</v>
      </c>
      <c r="AL1075">
        <v>82.311377518367095</v>
      </c>
      <c r="AM1075">
        <v>81.970492197186502</v>
      </c>
      <c r="AN1075">
        <v>1.00000001394564</v>
      </c>
    </row>
    <row r="1076" spans="1:40" x14ac:dyDescent="0.3">
      <c r="A1076" t="str">
        <f>"20200111150332090"</f>
        <v>20200111150332090</v>
      </c>
      <c r="B1076" t="str">
        <f>"1578726212078817"</f>
        <v>1578726212078817</v>
      </c>
      <c r="C1076" t="s">
        <v>40</v>
      </c>
      <c r="D1076">
        <v>5.541258</v>
      </c>
      <c r="E1076">
        <v>0.46655039999999998</v>
      </c>
      <c r="F1076" t="s">
        <v>41</v>
      </c>
      <c r="G1076">
        <v>-242.10149999999999</v>
      </c>
      <c r="H1076" s="1">
        <v>-3.478101E-6</v>
      </c>
      <c r="I1076">
        <v>139.01089999999999</v>
      </c>
      <c r="J1076">
        <v>-210.9504</v>
      </c>
      <c r="K1076">
        <v>1.102314</v>
      </c>
      <c r="L1076">
        <v>140.67490000000001</v>
      </c>
      <c r="M1076">
        <v>-0.99500319999999998</v>
      </c>
      <c r="N1076">
        <v>0</v>
      </c>
      <c r="O1076">
        <v>-9.9293270000000003E-2</v>
      </c>
      <c r="P1076">
        <v>-0.99179799999999996</v>
      </c>
      <c r="Q1076">
        <v>0.11962059999999999</v>
      </c>
      <c r="R1076">
        <v>4.5032509999999998E-2</v>
      </c>
      <c r="S1076">
        <v>-3.0449220000000001</v>
      </c>
      <c r="T1076">
        <v>-0.1069022</v>
      </c>
      <c r="U1076">
        <v>-0.1635132</v>
      </c>
      <c r="V1076">
        <v>0.1439</v>
      </c>
      <c r="W1076">
        <v>0.12923689999999999</v>
      </c>
      <c r="X1076">
        <v>0.98111700000000002</v>
      </c>
      <c r="Y1076">
        <v>4.5709029999999998E-2</v>
      </c>
      <c r="Z1076">
        <v>4.2775629999999999E-3</v>
      </c>
      <c r="AA1076">
        <v>0.99894570000000005</v>
      </c>
      <c r="AB1076">
        <v>25</v>
      </c>
      <c r="AC1076">
        <v>-31.1510999999999</v>
      </c>
      <c r="AD1076">
        <v>-1.1023174781009999</v>
      </c>
      <c r="AE1076">
        <v>-1.6640000000000099</v>
      </c>
      <c r="AF1076">
        <v>1.43569531420723</v>
      </c>
      <c r="AG1076">
        <v>-1.1023174781009999</v>
      </c>
      <c r="AH1076">
        <v>31.1235126963685</v>
      </c>
      <c r="AI1076">
        <v>92.0262733718059</v>
      </c>
      <c r="AJ1076">
        <v>87.358877471134207</v>
      </c>
      <c r="AK1076">
        <v>31.176102505264701</v>
      </c>
      <c r="AL1076">
        <v>82.574501905071699</v>
      </c>
      <c r="AM1076">
        <v>81.655946056769295</v>
      </c>
      <c r="AN1076">
        <v>0.99999997700530396</v>
      </c>
    </row>
    <row r="1077" spans="1:40" x14ac:dyDescent="0.3">
      <c r="A1077" t="str">
        <f>"20200111150332112"</f>
        <v>20200111150332112</v>
      </c>
      <c r="B1077" t="str">
        <f>"1578726212109069"</f>
        <v>1578726212109069</v>
      </c>
      <c r="C1077" t="s">
        <v>40</v>
      </c>
      <c r="D1077">
        <v>5.405373</v>
      </c>
      <c r="E1077">
        <v>0.46752749999999998</v>
      </c>
      <c r="F1077" t="s">
        <v>41</v>
      </c>
      <c r="G1077">
        <v>-237.01920000000001</v>
      </c>
      <c r="H1077" s="1">
        <v>-1.2689729999999999E-6</v>
      </c>
      <c r="I1077">
        <v>139.57159999999999</v>
      </c>
      <c r="J1077">
        <v>-211.2039</v>
      </c>
      <c r="K1077">
        <v>1.102363</v>
      </c>
      <c r="L1077">
        <v>140.65289999999999</v>
      </c>
      <c r="M1077">
        <v>-0.99527429999999995</v>
      </c>
      <c r="N1077">
        <v>0</v>
      </c>
      <c r="O1077">
        <v>-9.6535179999999998E-2</v>
      </c>
      <c r="P1077">
        <v>-0.99193019999999998</v>
      </c>
      <c r="Q1077">
        <v>0.1165742</v>
      </c>
      <c r="R1077">
        <v>4.9847589999999997E-2</v>
      </c>
      <c r="S1077">
        <v>-3.0461879999999999</v>
      </c>
      <c r="T1077">
        <v>-0.12880749999999999</v>
      </c>
      <c r="U1077">
        <v>-0.12892149999999999</v>
      </c>
      <c r="V1077">
        <v>0.1459512</v>
      </c>
      <c r="W1077">
        <v>0.12620490000000001</v>
      </c>
      <c r="X1077">
        <v>0.98120870000000004</v>
      </c>
      <c r="Y1077">
        <v>5.4233120000000003E-2</v>
      </c>
      <c r="Z1077">
        <v>5.2172909999999998E-3</v>
      </c>
      <c r="AA1077">
        <v>0.99851469999999998</v>
      </c>
      <c r="AB1077">
        <v>25</v>
      </c>
      <c r="AC1077">
        <v>-25.815300000000001</v>
      </c>
      <c r="AD1077">
        <v>-1.102364268973</v>
      </c>
      <c r="AE1077">
        <v>-1.0812999999999899</v>
      </c>
      <c r="AF1077">
        <v>1.4133996692466599</v>
      </c>
      <c r="AG1077">
        <v>-1.102364268973</v>
      </c>
      <c r="AH1077">
        <v>25.752231575519399</v>
      </c>
      <c r="AI1077">
        <v>92.447459407233893</v>
      </c>
      <c r="AJ1077">
        <v>86.858498728978802</v>
      </c>
      <c r="AK1077">
        <v>25.814537313802699</v>
      </c>
      <c r="AL1077">
        <v>82.749657238171594</v>
      </c>
      <c r="AM1077">
        <v>81.539496270788504</v>
      </c>
      <c r="AN1077">
        <v>0.99999997126056905</v>
      </c>
    </row>
    <row r="1078" spans="1:40" x14ac:dyDescent="0.3">
      <c r="A1078" t="str">
        <f>"20200111150332134"</f>
        <v>20200111150332134</v>
      </c>
      <c r="B1078" t="str">
        <f>"1578726212129566"</f>
        <v>1578726212129566</v>
      </c>
      <c r="C1078" t="s">
        <v>40</v>
      </c>
      <c r="D1078">
        <v>5.5080539999999996</v>
      </c>
      <c r="E1078">
        <v>0.4684468</v>
      </c>
      <c r="F1078" t="s">
        <v>41</v>
      </c>
      <c r="G1078">
        <v>-234.92320000000001</v>
      </c>
      <c r="H1078" s="1">
        <v>-2.2180939999999998E-6</v>
      </c>
      <c r="I1078">
        <v>139.83359999999999</v>
      </c>
      <c r="J1078">
        <v>-211.453</v>
      </c>
      <c r="K1078">
        <v>1.102419</v>
      </c>
      <c r="L1078">
        <v>140.6317</v>
      </c>
      <c r="M1078">
        <v>-0.99552490000000005</v>
      </c>
      <c r="N1078">
        <v>0</v>
      </c>
      <c r="O1078">
        <v>-9.3917150000000005E-2</v>
      </c>
      <c r="P1078">
        <v>-0.99193880000000001</v>
      </c>
      <c r="Q1078">
        <v>0.1159843</v>
      </c>
      <c r="R1078">
        <v>5.1043440000000002E-2</v>
      </c>
      <c r="S1078">
        <v>-3.0463260000000001</v>
      </c>
      <c r="T1078">
        <v>-0.14157939999999999</v>
      </c>
      <c r="U1078">
        <v>-0.10520939999999999</v>
      </c>
      <c r="V1078">
        <v>0.14453540000000001</v>
      </c>
      <c r="W1078">
        <v>0.1256553</v>
      </c>
      <c r="X1078">
        <v>0.98148880000000005</v>
      </c>
      <c r="Y1078">
        <v>5.9338149999999999E-2</v>
      </c>
      <c r="Z1078">
        <v>5.7325639999999999E-3</v>
      </c>
      <c r="AA1078">
        <v>0.99822149999999998</v>
      </c>
      <c r="AB1078">
        <v>25</v>
      </c>
      <c r="AC1078">
        <v>-23.470199999999998</v>
      </c>
      <c r="AD1078">
        <v>-1.1024212180940001</v>
      </c>
      <c r="AE1078">
        <v>-0.79810000000000503</v>
      </c>
      <c r="AF1078">
        <v>1.4067032278321701</v>
      </c>
      <c r="AG1078">
        <v>-1.1024212180940001</v>
      </c>
      <c r="AH1078">
        <v>23.389864981833298</v>
      </c>
      <c r="AI1078">
        <v>92.693632543202497</v>
      </c>
      <c r="AJ1078">
        <v>86.558287375847996</v>
      </c>
      <c r="AK1078">
        <v>23.458046175708901</v>
      </c>
      <c r="AL1078">
        <v>82.781399909391993</v>
      </c>
      <c r="AM1078">
        <v>81.622753972722805</v>
      </c>
      <c r="AN1078">
        <v>1.00000000039834</v>
      </c>
    </row>
    <row r="1079" spans="1:40" x14ac:dyDescent="0.3">
      <c r="A1079" t="str">
        <f>"20200111150332157"</f>
        <v>20200111150332157</v>
      </c>
      <c r="B1079" t="str">
        <f>"1578726212149086"</f>
        <v>1578726212149086</v>
      </c>
      <c r="C1079" t="s">
        <v>40</v>
      </c>
      <c r="D1079">
        <v>5.5650069999999996</v>
      </c>
      <c r="E1079">
        <v>0.46893390000000001</v>
      </c>
      <c r="F1079" t="s">
        <v>41</v>
      </c>
      <c r="G1079">
        <v>-235.203</v>
      </c>
      <c r="H1079" s="1">
        <v>-2.1144020000000001E-6</v>
      </c>
      <c r="I1079">
        <v>139.89510000000001</v>
      </c>
      <c r="J1079">
        <v>-211.71559999999999</v>
      </c>
      <c r="K1079">
        <v>1.102484</v>
      </c>
      <c r="L1079">
        <v>140.60990000000001</v>
      </c>
      <c r="M1079">
        <v>-0.99576920000000002</v>
      </c>
      <c r="N1079">
        <v>0</v>
      </c>
      <c r="O1079">
        <v>-9.1289110000000007E-2</v>
      </c>
      <c r="P1079">
        <v>-0.99197480000000005</v>
      </c>
      <c r="Q1079">
        <v>0.1156702</v>
      </c>
      <c r="R1079">
        <v>5.1055200000000002E-2</v>
      </c>
      <c r="S1079">
        <v>-3.045776</v>
      </c>
      <c r="T1079">
        <v>-0.1413779</v>
      </c>
      <c r="U1079">
        <v>-9.4451900000000005E-2</v>
      </c>
      <c r="V1079">
        <v>0.14193</v>
      </c>
      <c r="W1079">
        <v>0.1253927</v>
      </c>
      <c r="X1079">
        <v>0.98190250000000001</v>
      </c>
      <c r="Y1079">
        <v>6.0221169999999997E-2</v>
      </c>
      <c r="Z1079">
        <v>5.625016E-3</v>
      </c>
      <c r="AA1079">
        <v>0.99816919999999998</v>
      </c>
      <c r="AB1079">
        <v>25</v>
      </c>
      <c r="AC1079">
        <v>-23.487400000000001</v>
      </c>
      <c r="AD1079">
        <v>-1.102486114402</v>
      </c>
      <c r="AE1079">
        <v>-0.71479999999999599</v>
      </c>
      <c r="AF1079">
        <v>1.4293005202716</v>
      </c>
      <c r="AG1079">
        <v>-1.102486114402</v>
      </c>
      <c r="AH1079">
        <v>23.403056421165498</v>
      </c>
      <c r="AI1079">
        <v>92.692123481216896</v>
      </c>
      <c r="AJ1079">
        <v>86.505101952734705</v>
      </c>
      <c r="AK1079">
        <v>23.472567508944501</v>
      </c>
      <c r="AL1079">
        <v>82.796565635555098</v>
      </c>
      <c r="AM1079">
        <v>81.7750955517227</v>
      </c>
      <c r="AN1079">
        <v>0.99999998680976998</v>
      </c>
    </row>
    <row r="1080" spans="1:40" x14ac:dyDescent="0.3">
      <c r="A1080" t="str">
        <f>"20200111150332179"</f>
        <v>20200111150332179</v>
      </c>
      <c r="B1080" t="str">
        <f>"1578726212169581"</f>
        <v>1578726212169581</v>
      </c>
      <c r="C1080" t="s">
        <v>40</v>
      </c>
      <c r="D1080">
        <v>5.5823720000000003</v>
      </c>
      <c r="E1080">
        <v>0.4693254</v>
      </c>
      <c r="F1080" t="s">
        <v>41</v>
      </c>
      <c r="G1080">
        <v>-235.0264</v>
      </c>
      <c r="H1080" s="1">
        <v>-2.1951969999999999E-6</v>
      </c>
      <c r="I1080">
        <v>139.91390000000001</v>
      </c>
      <c r="J1080">
        <v>-211.9667</v>
      </c>
      <c r="K1080">
        <v>1.102563</v>
      </c>
      <c r="L1080">
        <v>140.58959999999999</v>
      </c>
      <c r="M1080">
        <v>-0.99598240000000005</v>
      </c>
      <c r="N1080">
        <v>0</v>
      </c>
      <c r="O1080">
        <v>-8.8930319999999993E-2</v>
      </c>
      <c r="P1080">
        <v>-0.99187119999999995</v>
      </c>
      <c r="Q1080">
        <v>0.11586440000000001</v>
      </c>
      <c r="R1080">
        <v>5.2602200000000002E-2</v>
      </c>
      <c r="S1080">
        <v>-3.045776</v>
      </c>
      <c r="T1080">
        <v>-0.1440507</v>
      </c>
      <c r="U1080">
        <v>-9.092712E-2</v>
      </c>
      <c r="V1080">
        <v>0.14110639999999999</v>
      </c>
      <c r="W1080">
        <v>0.12562780000000001</v>
      </c>
      <c r="X1080">
        <v>0.98199119999999995</v>
      </c>
      <c r="Y1080">
        <v>5.9008739999999997E-2</v>
      </c>
      <c r="Z1080">
        <v>5.591688E-3</v>
      </c>
      <c r="AA1080">
        <v>0.99824179999999996</v>
      </c>
      <c r="AB1080">
        <v>25</v>
      </c>
      <c r="AC1080">
        <v>-23.0596999999999</v>
      </c>
      <c r="AD1080">
        <v>-1.1025651951969999</v>
      </c>
      <c r="AE1080">
        <v>-0.67569999999997699</v>
      </c>
      <c r="AF1080">
        <v>1.3746573365181101</v>
      </c>
      <c r="AG1080">
        <v>-1.1025651951969999</v>
      </c>
      <c r="AH1080">
        <v>22.975936471131</v>
      </c>
      <c r="AI1080">
        <v>92.742495432831703</v>
      </c>
      <c r="AJ1080">
        <v>86.5760575427784</v>
      </c>
      <c r="AK1080">
        <v>23.043415318219498</v>
      </c>
      <c r="AL1080">
        <v>82.782988405770098</v>
      </c>
      <c r="AM1080">
        <v>81.822904799399595</v>
      </c>
      <c r="AN1080">
        <v>1.00000003856561</v>
      </c>
    </row>
    <row r="1081" spans="1:40" x14ac:dyDescent="0.3">
      <c r="A1081" t="str">
        <f>"20200111150332203"</f>
        <v>20200111150332203</v>
      </c>
      <c r="B1081" t="str">
        <f>"1578726212198862"</f>
        <v>1578726212198862</v>
      </c>
      <c r="C1081" t="s">
        <v>40</v>
      </c>
      <c r="D1081">
        <v>5.6329760000000002</v>
      </c>
      <c r="E1081">
        <v>0.46909420000000002</v>
      </c>
      <c r="F1081" t="s">
        <v>41</v>
      </c>
      <c r="G1081">
        <v>-235.47450000000001</v>
      </c>
      <c r="H1081" s="1">
        <v>-2.0134929999999999E-6</v>
      </c>
      <c r="I1081">
        <v>139.9537</v>
      </c>
      <c r="J1081">
        <v>-212.22909999999999</v>
      </c>
      <c r="K1081">
        <v>1.102657</v>
      </c>
      <c r="L1081">
        <v>140.56880000000001</v>
      </c>
      <c r="M1081">
        <v>-0.99618459999999998</v>
      </c>
      <c r="N1081">
        <v>0</v>
      </c>
      <c r="O1081">
        <v>-8.6634820000000001E-2</v>
      </c>
      <c r="P1081">
        <v>-0.9916277</v>
      </c>
      <c r="Q1081">
        <v>0.1171537</v>
      </c>
      <c r="R1081">
        <v>5.4309139999999999E-2</v>
      </c>
      <c r="S1081">
        <v>-3.0456539999999999</v>
      </c>
      <c r="T1081">
        <v>-0.14284759999999999</v>
      </c>
      <c r="U1081">
        <v>-8.2382200000000003E-2</v>
      </c>
      <c r="V1081">
        <v>0.14049339999999999</v>
      </c>
      <c r="W1081">
        <v>0.1269594</v>
      </c>
      <c r="X1081">
        <v>0.9819078</v>
      </c>
      <c r="Y1081">
        <v>5.951012E-2</v>
      </c>
      <c r="Z1081">
        <v>5.450145E-3</v>
      </c>
      <c r="AA1081">
        <v>0.99821280000000001</v>
      </c>
      <c r="AB1081">
        <v>25</v>
      </c>
      <c r="AC1081">
        <v>-23.2454</v>
      </c>
      <c r="AD1081">
        <v>-1.1026590134929899</v>
      </c>
      <c r="AE1081">
        <v>-0.61510000000001197</v>
      </c>
      <c r="AF1081">
        <v>1.3980418399629899</v>
      </c>
      <c r="AG1081">
        <v>-1.1026590134929899</v>
      </c>
      <c r="AH1081">
        <v>23.159207923494399</v>
      </c>
      <c r="AI1081">
        <v>92.720969234999004</v>
      </c>
      <c r="AJ1081">
        <v>86.545442784495705</v>
      </c>
      <c r="AK1081">
        <v>23.2275545318479</v>
      </c>
      <c r="AL1081">
        <v>82.706077272640002</v>
      </c>
      <c r="AM1081">
        <v>81.857268448049496</v>
      </c>
      <c r="AN1081">
        <v>1.0000000061963701</v>
      </c>
    </row>
    <row r="1082" spans="1:40" x14ac:dyDescent="0.3">
      <c r="A1082" t="str">
        <f>"20200111150332225"</f>
        <v>20200111150332225</v>
      </c>
      <c r="B1082" t="str">
        <f>"1578726212219358"</f>
        <v>1578726212219358</v>
      </c>
      <c r="C1082" t="s">
        <v>40</v>
      </c>
      <c r="D1082">
        <v>5.5421060000000004</v>
      </c>
      <c r="E1082">
        <v>0.46911409999999998</v>
      </c>
      <c r="F1082" t="s">
        <v>41</v>
      </c>
      <c r="G1082">
        <v>-236.7038</v>
      </c>
      <c r="H1082" s="1">
        <v>-1.483803E-6</v>
      </c>
      <c r="I1082">
        <v>139.94479999999999</v>
      </c>
      <c r="J1082">
        <v>-212.48009999999999</v>
      </c>
      <c r="K1082">
        <v>1.102741</v>
      </c>
      <c r="L1082">
        <v>140.54939999999999</v>
      </c>
      <c r="M1082">
        <v>-0.99636150000000001</v>
      </c>
      <c r="N1082">
        <v>0</v>
      </c>
      <c r="O1082">
        <v>-8.457771E-2</v>
      </c>
      <c r="P1082">
        <v>-0.99150430000000001</v>
      </c>
      <c r="Q1082">
        <v>0.1171524</v>
      </c>
      <c r="R1082">
        <v>5.6523240000000002E-2</v>
      </c>
      <c r="S1082">
        <v>-3.0457920000000001</v>
      </c>
      <c r="T1082">
        <v>-0.13722219999999999</v>
      </c>
      <c r="U1082">
        <v>-7.7651979999999995E-2</v>
      </c>
      <c r="V1082">
        <v>0.14063049999999999</v>
      </c>
      <c r="W1082">
        <v>0.12699340000000001</v>
      </c>
      <c r="X1082">
        <v>0.98188379999999997</v>
      </c>
      <c r="Y1082">
        <v>5.9014339999999998E-2</v>
      </c>
      <c r="Z1082">
        <v>5.1321989999999996E-3</v>
      </c>
      <c r="AA1082">
        <v>0.99824389999999996</v>
      </c>
      <c r="AB1082">
        <v>25</v>
      </c>
      <c r="AC1082">
        <v>-24.223700000000001</v>
      </c>
      <c r="AD1082">
        <v>-1.102742483803</v>
      </c>
      <c r="AE1082">
        <v>-0.60460000000000402</v>
      </c>
      <c r="AF1082">
        <v>1.4434751858152399</v>
      </c>
      <c r="AG1082">
        <v>-1.102742483803</v>
      </c>
      <c r="AH1082">
        <v>24.138040827903101</v>
      </c>
      <c r="AI1082">
        <v>92.611071507169697</v>
      </c>
      <c r="AJ1082">
        <v>86.5777397062201</v>
      </c>
      <c r="AK1082">
        <v>24.206294152702601</v>
      </c>
      <c r="AL1082">
        <v>82.704113486221203</v>
      </c>
      <c r="AM1082">
        <v>81.849232560757997</v>
      </c>
      <c r="AN1082">
        <v>1.0000000289381199</v>
      </c>
    </row>
    <row r="1083" spans="1:40" x14ac:dyDescent="0.3">
      <c r="A1083" t="str">
        <f>"20200111150332246"</f>
        <v>20200111150332246</v>
      </c>
      <c r="B1083" t="str">
        <f>"1578726212238879"</f>
        <v>1578726212238879</v>
      </c>
      <c r="C1083" t="s">
        <v>40</v>
      </c>
      <c r="D1083">
        <v>5.5746650000000004</v>
      </c>
      <c r="E1083">
        <v>0.46881899999999999</v>
      </c>
      <c r="F1083" t="s">
        <v>41</v>
      </c>
      <c r="G1083">
        <v>-236.6788</v>
      </c>
      <c r="H1083" s="1">
        <v>-1.506527E-6</v>
      </c>
      <c r="I1083">
        <v>139.98990000000001</v>
      </c>
      <c r="J1083">
        <v>-212.7295</v>
      </c>
      <c r="K1083">
        <v>1.1028089999999999</v>
      </c>
      <c r="L1083">
        <v>140.53039999999999</v>
      </c>
      <c r="M1083">
        <v>-0.99652459999999998</v>
      </c>
      <c r="N1083">
        <v>0</v>
      </c>
      <c r="O1083">
        <v>-8.2631560000000007E-2</v>
      </c>
      <c r="P1083">
        <v>-0.99165590000000003</v>
      </c>
      <c r="Q1083">
        <v>0.11454640000000001</v>
      </c>
      <c r="R1083">
        <v>5.9143689999999999E-2</v>
      </c>
      <c r="S1083">
        <v>-3.0461429999999998</v>
      </c>
      <c r="T1083">
        <v>-0.13881370000000001</v>
      </c>
      <c r="U1083">
        <v>-7.0419309999999999E-2</v>
      </c>
      <c r="V1083">
        <v>0.14130299999999901</v>
      </c>
      <c r="W1083">
        <v>0.1244181</v>
      </c>
      <c r="X1083">
        <v>0.98211689999999996</v>
      </c>
      <c r="Y1083">
        <v>5.9434599999999997E-2</v>
      </c>
      <c r="Z1083">
        <v>5.1125240000000002E-3</v>
      </c>
      <c r="AA1083">
        <v>0.99821910000000003</v>
      </c>
      <c r="AB1083">
        <v>25</v>
      </c>
      <c r="AC1083">
        <v>-23.949299999999901</v>
      </c>
      <c r="AD1083">
        <v>-1.102810506527</v>
      </c>
      <c r="AE1083">
        <v>-0.54049999999998</v>
      </c>
      <c r="AF1083">
        <v>1.43737997984857</v>
      </c>
      <c r="AG1083">
        <v>-1.102810506527</v>
      </c>
      <c r="AH1083">
        <v>23.861483151325899</v>
      </c>
      <c r="AI1083">
        <v>92.641385211313406</v>
      </c>
      <c r="AJ1083">
        <v>86.552753741540997</v>
      </c>
      <c r="AK1083">
        <v>23.930161520574501</v>
      </c>
      <c r="AL1083">
        <v>82.852846981815901</v>
      </c>
      <c r="AM1083">
        <v>81.812700054921905</v>
      </c>
      <c r="AN1083">
        <v>1.0000000033411001</v>
      </c>
    </row>
    <row r="1084" spans="1:40" x14ac:dyDescent="0.3">
      <c r="A1084" t="str">
        <f>"20200111150332270"</f>
        <v>20200111150332270</v>
      </c>
      <c r="B1084" t="str">
        <f>"1578726212259390"</f>
        <v>1578726212259390</v>
      </c>
      <c r="C1084" t="s">
        <v>40</v>
      </c>
      <c r="D1084">
        <v>5.5922269999999896</v>
      </c>
      <c r="E1084">
        <v>0.46860790000000002</v>
      </c>
      <c r="F1084" t="s">
        <v>41</v>
      </c>
      <c r="G1084">
        <v>-235.27699999999999</v>
      </c>
      <c r="H1084" s="1">
        <v>-2.1234459999999999E-6</v>
      </c>
      <c r="I1084">
        <v>140.04839999999999</v>
      </c>
      <c r="J1084">
        <v>-212.9939</v>
      </c>
      <c r="K1084">
        <v>1.102846</v>
      </c>
      <c r="L1084">
        <v>140.51079999999999</v>
      </c>
      <c r="M1084">
        <v>-0.99668800000000002</v>
      </c>
      <c r="N1084">
        <v>0</v>
      </c>
      <c r="O1084">
        <v>-8.0635960000000007E-2</v>
      </c>
      <c r="P1084">
        <v>-0.99185509999999999</v>
      </c>
      <c r="Q1084">
        <v>0.1119537</v>
      </c>
      <c r="R1084">
        <v>6.0744479999999997E-2</v>
      </c>
      <c r="S1084">
        <v>-3.046341</v>
      </c>
      <c r="T1084">
        <v>-0.14899860000000001</v>
      </c>
      <c r="U1084">
        <v>-6.5124509999999997E-2</v>
      </c>
      <c r="V1084">
        <v>0.14092370000000001</v>
      </c>
      <c r="W1084">
        <v>0.1218515</v>
      </c>
      <c r="X1084">
        <v>0.98249310000000001</v>
      </c>
      <c r="Y1084">
        <v>5.9151750000000003E-2</v>
      </c>
      <c r="Z1084">
        <v>5.3828560000000001E-3</v>
      </c>
      <c r="AA1084">
        <v>0.99823450000000002</v>
      </c>
      <c r="AB1084">
        <v>25</v>
      </c>
      <c r="AC1084">
        <v>-22.283100000000001</v>
      </c>
      <c r="AD1084">
        <v>-1.1028481234459999</v>
      </c>
      <c r="AE1084">
        <v>-0.46240000000000198</v>
      </c>
      <c r="AF1084">
        <v>1.33276148062157</v>
      </c>
      <c r="AG1084">
        <v>-1.1028481234459999</v>
      </c>
      <c r="AH1084">
        <v>22.193477941974699</v>
      </c>
      <c r="AI1084">
        <v>92.839719801329295</v>
      </c>
      <c r="AJ1084">
        <v>86.5634041863714</v>
      </c>
      <c r="AK1084">
        <v>22.260794916366699</v>
      </c>
      <c r="AL1084">
        <v>83.001029918699402</v>
      </c>
      <c r="AM1084">
        <v>81.837464976520295</v>
      </c>
      <c r="AN1084">
        <v>0.99999998441077398</v>
      </c>
    </row>
    <row r="1085" spans="1:40" x14ac:dyDescent="0.3">
      <c r="A1085" t="str">
        <f>"20200111150332291"</f>
        <v>20200111150332291</v>
      </c>
      <c r="B1085" t="str">
        <f>"1578726212278896"</f>
        <v>1578726212278896</v>
      </c>
      <c r="C1085" t="s">
        <v>40</v>
      </c>
      <c r="D1085">
        <v>7.9306749999999999</v>
      </c>
      <c r="E1085">
        <v>0.46855439999999998</v>
      </c>
      <c r="F1085" t="s">
        <v>42</v>
      </c>
      <c r="G1085">
        <v>-213.95570000000001</v>
      </c>
      <c r="H1085">
        <v>1.0549649999999999</v>
      </c>
      <c r="I1085">
        <v>140.49160000000001</v>
      </c>
      <c r="J1085">
        <v>-213.23259999999999</v>
      </c>
      <c r="K1085">
        <v>1.1028450000000001</v>
      </c>
      <c r="L1085">
        <v>140.49350000000001</v>
      </c>
      <c r="M1085">
        <v>-0.99683069999999896</v>
      </c>
      <c r="N1085">
        <v>0</v>
      </c>
      <c r="O1085">
        <v>-7.8852099999999994E-2</v>
      </c>
      <c r="P1085">
        <v>-0.99189669999999996</v>
      </c>
      <c r="Q1085">
        <v>0.1108702</v>
      </c>
      <c r="R1085">
        <v>6.2040530000000003E-2</v>
      </c>
      <c r="S1085">
        <v>-3.0455019999999999</v>
      </c>
      <c r="T1085">
        <v>-0.15163960000000001</v>
      </c>
      <c r="U1085">
        <v>-6.089783E-2</v>
      </c>
      <c r="V1085">
        <v>0.1404531</v>
      </c>
      <c r="W1085">
        <v>0.120778</v>
      </c>
      <c r="X1085">
        <v>0.98269300000000004</v>
      </c>
      <c r="Y1085">
        <v>5.8740819999999999E-2</v>
      </c>
      <c r="Z1085">
        <v>5.3810569999999999E-3</v>
      </c>
      <c r="AA1085">
        <v>0.9982588</v>
      </c>
      <c r="AB1085">
        <v>25</v>
      </c>
      <c r="AC1085">
        <v>-0.72310000000001595</v>
      </c>
      <c r="AD1085">
        <v>-4.7880000000000103E-2</v>
      </c>
      <c r="AE1085">
        <v>-1.90000000000623E-3</v>
      </c>
      <c r="AF1085">
        <v>5.4886389116094302E-2</v>
      </c>
      <c r="AG1085">
        <v>-4.7880000000000103E-2</v>
      </c>
      <c r="AH1085">
        <v>0.71785074611909605</v>
      </c>
      <c r="AI1085">
        <v>93.804852334548002</v>
      </c>
      <c r="AJ1085">
        <v>85.627709861964902</v>
      </c>
      <c r="AK1085">
        <v>0.72153634961375701</v>
      </c>
      <c r="AL1085">
        <v>83.062994475322995</v>
      </c>
      <c r="AM1085">
        <v>81.865990208693603</v>
      </c>
      <c r="AN1085">
        <v>0.99999996541630398</v>
      </c>
    </row>
    <row r="1086" spans="1:40" x14ac:dyDescent="0.3">
      <c r="A1086" t="str">
        <f>"20200111150332315"</f>
        <v>20200111150332315</v>
      </c>
      <c r="B1086" t="str">
        <f>"1578726212309150"</f>
        <v>1578726212309150</v>
      </c>
      <c r="C1086" t="s">
        <v>40</v>
      </c>
      <c r="D1086">
        <v>5.754753</v>
      </c>
      <c r="E1086">
        <v>0.4682133</v>
      </c>
      <c r="F1086" t="s">
        <v>42</v>
      </c>
      <c r="G1086">
        <v>-214.17310000000001</v>
      </c>
      <c r="H1086">
        <v>1.0541780000000001</v>
      </c>
      <c r="I1086">
        <v>140.476</v>
      </c>
      <c r="J1086">
        <v>-213.5035</v>
      </c>
      <c r="K1086">
        <v>1.1028169999999999</v>
      </c>
      <c r="L1086">
        <v>140.4744</v>
      </c>
      <c r="M1086">
        <v>-0.9969903</v>
      </c>
      <c r="N1086">
        <v>0</v>
      </c>
      <c r="O1086">
        <v>-7.6809569999999994E-2</v>
      </c>
      <c r="P1086">
        <v>-0.99168880000000004</v>
      </c>
      <c r="Q1086">
        <v>0.11161310000000001</v>
      </c>
      <c r="R1086">
        <v>6.4002099999999895E-2</v>
      </c>
      <c r="S1086">
        <v>-3.045731</v>
      </c>
      <c r="T1086">
        <v>-0.15757639999999901</v>
      </c>
      <c r="U1086">
        <v>-5.758667E-2</v>
      </c>
      <c r="V1086">
        <v>0.1403855</v>
      </c>
      <c r="W1086">
        <v>0.12151919999999999</v>
      </c>
      <c r="X1086">
        <v>0.98261129999999997</v>
      </c>
      <c r="Y1086">
        <v>5.7772270000000001E-2</v>
      </c>
      <c r="Z1086">
        <v>5.4607789999999998E-3</v>
      </c>
      <c r="AA1086">
        <v>0.99831490000000001</v>
      </c>
      <c r="AB1086">
        <v>25</v>
      </c>
      <c r="AC1086">
        <v>-0.66960000000000197</v>
      </c>
      <c r="AD1086">
        <v>-4.86389999999998E-2</v>
      </c>
      <c r="AE1086">
        <v>1.59999999999627E-3</v>
      </c>
      <c r="AF1086">
        <v>5.2751469325926101E-2</v>
      </c>
      <c r="AG1086">
        <v>-4.86389999999998E-2</v>
      </c>
      <c r="AH1086">
        <v>0.66399524390446096</v>
      </c>
      <c r="AI1086">
        <v>94.176436904370604</v>
      </c>
      <c r="AJ1086">
        <v>85.457645583652905</v>
      </c>
      <c r="AK1086">
        <v>0.66786087904951297</v>
      </c>
      <c r="AL1086">
        <v>83.020211862113399</v>
      </c>
      <c r="AM1086">
        <v>81.869185802173106</v>
      </c>
      <c r="AN1086">
        <v>0.99999998573328897</v>
      </c>
    </row>
    <row r="1087" spans="1:40" x14ac:dyDescent="0.3">
      <c r="A1087" t="str">
        <f>"20200111150332336"</f>
        <v>20200111150332336</v>
      </c>
      <c r="B1087" t="str">
        <f>"1578726212329646"</f>
        <v>1578726212329646</v>
      </c>
      <c r="C1087" t="s">
        <v>40</v>
      </c>
      <c r="D1087">
        <v>5.6487160000000003</v>
      </c>
      <c r="E1087">
        <v>0.46805000000000002</v>
      </c>
      <c r="F1087" t="s">
        <v>41</v>
      </c>
      <c r="G1087">
        <v>-235.4314</v>
      </c>
      <c r="H1087" s="1">
        <v>-2.064467E-6</v>
      </c>
      <c r="I1087">
        <v>140.07570000000001</v>
      </c>
      <c r="J1087">
        <v>-213.7533</v>
      </c>
      <c r="K1087">
        <v>1.1027629999999999</v>
      </c>
      <c r="L1087">
        <v>140.45740000000001</v>
      </c>
      <c r="M1087">
        <v>-0.99713850000000004</v>
      </c>
      <c r="N1087">
        <v>0</v>
      </c>
      <c r="O1087">
        <v>-7.4857430000000003E-2</v>
      </c>
      <c r="P1087">
        <v>-0.99167729999999998</v>
      </c>
      <c r="Q1087">
        <v>0.1114156</v>
      </c>
      <c r="R1087">
        <v>6.4520369999999994E-2</v>
      </c>
      <c r="S1087">
        <v>-3.0459589999999999</v>
      </c>
      <c r="T1087">
        <v>-0.153190299999999</v>
      </c>
      <c r="U1087">
        <v>-5.5374149999999997E-2</v>
      </c>
      <c r="V1087">
        <v>0.13898820000000001</v>
      </c>
      <c r="W1087">
        <v>0.121319</v>
      </c>
      <c r="X1087">
        <v>0.9828346</v>
      </c>
      <c r="Y1087">
        <v>5.655785E-2</v>
      </c>
      <c r="Z1087">
        <v>5.1802519999999998E-3</v>
      </c>
      <c r="AA1087">
        <v>0.99838590000000005</v>
      </c>
      <c r="AB1087">
        <v>26</v>
      </c>
      <c r="AC1087">
        <v>-21.678100000000001</v>
      </c>
      <c r="AD1087">
        <v>-1.102765064467</v>
      </c>
      <c r="AE1087">
        <v>-0.38169999999999499</v>
      </c>
      <c r="AF1087">
        <v>1.2390228464769899</v>
      </c>
      <c r="AG1087">
        <v>-1.102765064467</v>
      </c>
      <c r="AH1087">
        <v>21.5899921440475</v>
      </c>
      <c r="AI1087">
        <v>92.919195210527207</v>
      </c>
      <c r="AJ1087">
        <v>86.715469015912504</v>
      </c>
      <c r="AK1087">
        <v>21.653614690890102</v>
      </c>
      <c r="AL1087">
        <v>83.031767623556604</v>
      </c>
      <c r="AM1087">
        <v>81.950853203120204</v>
      </c>
      <c r="AN1087">
        <v>0.99999993522869801</v>
      </c>
    </row>
    <row r="1088" spans="1:40" x14ac:dyDescent="0.3">
      <c r="A1088" t="str">
        <f>"20200111150332358"</f>
        <v>20200111150332358</v>
      </c>
      <c r="B1088" t="str">
        <f>"1578726212349166"</f>
        <v>1578726212349166</v>
      </c>
      <c r="C1088" t="s">
        <v>40</v>
      </c>
      <c r="D1088">
        <v>5.6336040000000001</v>
      </c>
      <c r="E1088">
        <v>0.46786840000000002</v>
      </c>
      <c r="F1088" t="s">
        <v>41</v>
      </c>
      <c r="G1088">
        <v>-235.44560000000001</v>
      </c>
      <c r="H1088" s="1">
        <v>-2.0550849999999998E-6</v>
      </c>
      <c r="I1088">
        <v>140.06319999999999</v>
      </c>
      <c r="J1088">
        <v>-214.01050000000001</v>
      </c>
      <c r="K1088">
        <v>1.10267</v>
      </c>
      <c r="L1088">
        <v>140.44049999999999</v>
      </c>
      <c r="M1088">
        <v>-0.99729630000000002</v>
      </c>
      <c r="N1088">
        <v>0</v>
      </c>
      <c r="O1088">
        <v>-7.2723490000000002E-2</v>
      </c>
      <c r="P1088">
        <v>-0.99198790000000003</v>
      </c>
      <c r="Q1088">
        <v>0.108942</v>
      </c>
      <c r="R1088">
        <v>6.3967079999999996E-2</v>
      </c>
      <c r="S1088">
        <v>-3.046173</v>
      </c>
      <c r="T1088">
        <v>-0.15485750000000001</v>
      </c>
      <c r="U1088">
        <v>-5.5343629999999998E-2</v>
      </c>
      <c r="V1088">
        <v>0.13636690000000001</v>
      </c>
      <c r="W1088">
        <v>0.1188422</v>
      </c>
      <c r="X1088">
        <v>0.98350420000000005</v>
      </c>
      <c r="Y1088">
        <v>5.4434410000000003E-2</v>
      </c>
      <c r="Z1088">
        <v>5.0741079999999999E-3</v>
      </c>
      <c r="AA1088">
        <v>0.99850450000000002</v>
      </c>
      <c r="AB1088">
        <v>26</v>
      </c>
      <c r="AC1088">
        <v>-21.435099999999998</v>
      </c>
      <c r="AD1088">
        <v>-1.102672055085</v>
      </c>
      <c r="AE1088">
        <v>-0.37729999999999098</v>
      </c>
      <c r="AF1088">
        <v>1.1795008855604701</v>
      </c>
      <c r="AG1088">
        <v>-1.102672055085</v>
      </c>
      <c r="AH1088">
        <v>21.3492971682012</v>
      </c>
      <c r="AI1088">
        <v>92.952154383744102</v>
      </c>
      <c r="AJ1088">
        <v>86.837751197323698</v>
      </c>
      <c r="AK1088">
        <v>21.410268507804101</v>
      </c>
      <c r="AL1088">
        <v>83.174712324136195</v>
      </c>
      <c r="AM1088">
        <v>82.106034954907898</v>
      </c>
      <c r="AN1088">
        <v>0.99999995566704403</v>
      </c>
    </row>
    <row r="1089" spans="1:40" x14ac:dyDescent="0.3">
      <c r="A1089" t="str">
        <f>"20200111150332381"</f>
        <v>20200111150332381</v>
      </c>
      <c r="B1089" t="str">
        <f>"1578726212369662"</f>
        <v>1578726212369662</v>
      </c>
      <c r="C1089" t="s">
        <v>40</v>
      </c>
      <c r="D1089">
        <v>5.6295080000000004</v>
      </c>
      <c r="E1089">
        <v>0.46784330000000002</v>
      </c>
      <c r="F1089" t="s">
        <v>41</v>
      </c>
      <c r="G1089">
        <v>-234.6369</v>
      </c>
      <c r="H1089" s="1">
        <v>-2.3978499999999998E-6</v>
      </c>
      <c r="I1089">
        <v>140.04759999999999</v>
      </c>
      <c r="J1089">
        <v>-214.26429999999999</v>
      </c>
      <c r="K1089">
        <v>1.1025469999999999</v>
      </c>
      <c r="L1089">
        <v>140.42449999999999</v>
      </c>
      <c r="M1089">
        <v>-0.9974596</v>
      </c>
      <c r="N1089">
        <v>0</v>
      </c>
      <c r="O1089">
        <v>-7.044889E-2</v>
      </c>
      <c r="P1089">
        <v>-0.9922434</v>
      </c>
      <c r="Q1089">
        <v>0.106984</v>
      </c>
      <c r="R1089">
        <v>6.3306760000000004E-2</v>
      </c>
      <c r="S1089">
        <v>-3.0458370000000001</v>
      </c>
      <c r="T1089">
        <v>-0.16282839999999901</v>
      </c>
      <c r="U1089">
        <v>-5.799866E-2</v>
      </c>
      <c r="V1089">
        <v>0.1335044</v>
      </c>
      <c r="W1089">
        <v>0.1168738</v>
      </c>
      <c r="X1089">
        <v>0.98413260000000002</v>
      </c>
      <c r="Y1089">
        <v>5.1275279999999999E-2</v>
      </c>
      <c r="Z1089">
        <v>5.1298300000000002E-3</v>
      </c>
      <c r="AA1089">
        <v>0.99867139999999999</v>
      </c>
      <c r="AB1089">
        <v>26</v>
      </c>
      <c r="AC1089">
        <v>-20.372599999999998</v>
      </c>
      <c r="AD1089">
        <v>-1.1025493978499901</v>
      </c>
      <c r="AE1089">
        <v>-0.37690000000000601</v>
      </c>
      <c r="AF1089">
        <v>1.0562509022289399</v>
      </c>
      <c r="AG1089">
        <v>-1.1025493978499901</v>
      </c>
      <c r="AH1089">
        <v>20.289125759350501</v>
      </c>
      <c r="AI1089">
        <v>93.106303114786002</v>
      </c>
      <c r="AJ1089">
        <v>87.019874839920803</v>
      </c>
      <c r="AK1089">
        <v>20.346496141151601</v>
      </c>
      <c r="AL1089">
        <v>83.288284818630302</v>
      </c>
      <c r="AM1089">
        <v>82.274590249795295</v>
      </c>
      <c r="AN1089">
        <v>0.99999994216427801</v>
      </c>
    </row>
    <row r="1090" spans="1:40" x14ac:dyDescent="0.3">
      <c r="A1090" t="str">
        <f>"20200111150332425"</f>
        <v>20200111150332425</v>
      </c>
      <c r="B1090" t="str">
        <f>"1578726212419439"</f>
        <v>1578726212419439</v>
      </c>
      <c r="C1090" t="s">
        <v>40</v>
      </c>
      <c r="D1090">
        <v>6.0278049999999999</v>
      </c>
      <c r="E1090">
        <v>0.46771699999999999</v>
      </c>
      <c r="F1090" t="s">
        <v>41</v>
      </c>
      <c r="G1090">
        <v>-233.76589999999999</v>
      </c>
      <c r="H1090" s="1">
        <v>-2.7698659999999998E-6</v>
      </c>
      <c r="I1090">
        <v>140.04150000000001</v>
      </c>
      <c r="J1090">
        <v>-214.7679</v>
      </c>
      <c r="K1090">
        <v>1.102233</v>
      </c>
      <c r="L1090">
        <v>140.39500000000001</v>
      </c>
      <c r="M1090">
        <v>-0.99780880000000005</v>
      </c>
      <c r="N1090">
        <v>0</v>
      </c>
      <c r="O1090">
        <v>-6.5313430000000006E-2</v>
      </c>
      <c r="P1090">
        <v>-0.99220019999999998</v>
      </c>
      <c r="Q1090">
        <v>0.1060508</v>
      </c>
      <c r="R1090">
        <v>6.5512940000000006E-2</v>
      </c>
      <c r="S1090">
        <v>-3.0458530000000001</v>
      </c>
      <c r="T1090">
        <v>-0.1722013</v>
      </c>
      <c r="U1090">
        <v>-5.9799190000000002E-2</v>
      </c>
      <c r="V1090">
        <v>0.13071140000000001</v>
      </c>
      <c r="W1090">
        <v>0.1158802</v>
      </c>
      <c r="X1090">
        <v>0.98462499999999997</v>
      </c>
      <c r="Y1090">
        <v>4.5540410000000003E-2</v>
      </c>
      <c r="Z1090">
        <v>4.973117E-3</v>
      </c>
      <c r="AA1090">
        <v>0.99895009999999995</v>
      </c>
      <c r="AB1090">
        <v>26</v>
      </c>
      <c r="AC1090">
        <v>-18.997999999999902</v>
      </c>
      <c r="AD1090">
        <v>-1.1022357698659999</v>
      </c>
      <c r="AE1090">
        <v>-0.35349999999999598</v>
      </c>
      <c r="AF1090">
        <v>0.88517017829266498</v>
      </c>
      <c r="AG1090">
        <v>-1.1022357698659999</v>
      </c>
      <c r="AH1090">
        <v>18.916865554781499</v>
      </c>
      <c r="AI1090">
        <v>93.331066660963501</v>
      </c>
      <c r="AJ1090">
        <v>87.320933095594</v>
      </c>
      <c r="AK1090">
        <v>18.969613922128001</v>
      </c>
      <c r="AL1090">
        <v>83.345604043099499</v>
      </c>
      <c r="AM1090">
        <v>82.438058850253299</v>
      </c>
      <c r="AN1090">
        <v>1.0000000407334899</v>
      </c>
    </row>
    <row r="1091" spans="1:40" x14ac:dyDescent="0.3">
      <c r="A1091" t="str">
        <f>"20200111150332447"</f>
        <v>20200111150332447</v>
      </c>
      <c r="B1091" t="str">
        <f>"1578726212438958"</f>
        <v>1578726212438958</v>
      </c>
      <c r="C1091" t="s">
        <v>40</v>
      </c>
      <c r="D1091">
        <v>5.5524649999999998</v>
      </c>
      <c r="E1091">
        <v>0.47182849999999998</v>
      </c>
      <c r="F1091" t="s">
        <v>41</v>
      </c>
      <c r="G1091">
        <v>-234.06720000000001</v>
      </c>
      <c r="H1091" s="1">
        <v>-2.644129E-6</v>
      </c>
      <c r="I1091">
        <v>140.0547</v>
      </c>
      <c r="J1091">
        <v>-215.03129999999999</v>
      </c>
      <c r="K1091">
        <v>1.102047</v>
      </c>
      <c r="L1091">
        <v>140.381</v>
      </c>
      <c r="M1091">
        <v>-0.99800390000000005</v>
      </c>
      <c r="N1091">
        <v>0</v>
      </c>
      <c r="O1091">
        <v>-6.2260290000000003E-2</v>
      </c>
      <c r="P1091">
        <v>-0.99213340000000005</v>
      </c>
      <c r="Q1091">
        <v>0.1051975</v>
      </c>
      <c r="R1091">
        <v>6.7863129999999994E-2</v>
      </c>
      <c r="S1091">
        <v>-3.045731</v>
      </c>
      <c r="T1091">
        <v>-0.17395039999999901</v>
      </c>
      <c r="U1091">
        <v>-5.3695680000000003E-2</v>
      </c>
      <c r="V1091">
        <v>0.13008499999999901</v>
      </c>
      <c r="W1091">
        <v>0.114985</v>
      </c>
      <c r="X1091">
        <v>0.98481289999999999</v>
      </c>
      <c r="Y1091">
        <v>4.448746E-2</v>
      </c>
      <c r="Z1091">
        <v>4.8199509999999899E-3</v>
      </c>
      <c r="AA1091">
        <v>0.99899830000000001</v>
      </c>
      <c r="AB1091">
        <v>26</v>
      </c>
      <c r="AC1091">
        <v>-19.035900000000002</v>
      </c>
      <c r="AD1091">
        <v>-1.102049644129</v>
      </c>
      <c r="AE1091">
        <v>-0.32630000000000298</v>
      </c>
      <c r="AF1091">
        <v>0.85670953848337905</v>
      </c>
      <c r="AG1091">
        <v>-1.102049644129</v>
      </c>
      <c r="AH1091">
        <v>18.955767890354199</v>
      </c>
      <c r="AI1091">
        <v>93.323928831341803</v>
      </c>
      <c r="AJ1091">
        <v>87.412267284086397</v>
      </c>
      <c r="AK1091">
        <v>19.007093438094099</v>
      </c>
      <c r="AL1091">
        <v>83.397240476925802</v>
      </c>
      <c r="AM1091">
        <v>82.475300580568501</v>
      </c>
      <c r="AN1091">
        <v>1.0000000527282</v>
      </c>
    </row>
    <row r="1092" spans="1:40" x14ac:dyDescent="0.3">
      <c r="A1092" t="str">
        <f>"20200111150332470"</f>
        <v>20200111150332470</v>
      </c>
      <c r="B1092" t="str">
        <f>"1578726212459454"</f>
        <v>1578726212459454</v>
      </c>
      <c r="C1092" t="s">
        <v>40</v>
      </c>
      <c r="D1092">
        <v>6.5537960000000002</v>
      </c>
      <c r="E1092">
        <v>0.47182849999999998</v>
      </c>
      <c r="F1092" t="s">
        <v>42</v>
      </c>
      <c r="G1092">
        <v>-215.7011</v>
      </c>
      <c r="H1092">
        <v>0.90033079999999999</v>
      </c>
      <c r="I1092">
        <v>140.38079999999999</v>
      </c>
      <c r="J1092">
        <v>-215.28720000000001</v>
      </c>
      <c r="K1092">
        <v>1.10186299999999</v>
      </c>
      <c r="L1092">
        <v>140.36850000000001</v>
      </c>
      <c r="M1092">
        <v>-0.99819990000000003</v>
      </c>
      <c r="N1092">
        <v>0</v>
      </c>
      <c r="O1092">
        <v>-5.9028200000000003E-2</v>
      </c>
      <c r="P1092">
        <v>-0.9918612</v>
      </c>
      <c r="Q1092">
        <v>0.1053972</v>
      </c>
      <c r="R1092">
        <v>7.1434150000000002E-2</v>
      </c>
      <c r="S1092">
        <v>-3.123596</v>
      </c>
      <c r="T1092">
        <v>-0.94069119999999995</v>
      </c>
      <c r="U1092">
        <v>-1.083374E-3</v>
      </c>
      <c r="V1092">
        <v>0.13049279999999999</v>
      </c>
      <c r="W1092">
        <v>0.11513610000000001</v>
      </c>
      <c r="X1092">
        <v>0.98474119999999998</v>
      </c>
      <c r="Y1092">
        <v>5.3687070000000003E-2</v>
      </c>
      <c r="Z1092">
        <v>2.5292820000000001E-2</v>
      </c>
      <c r="AA1092">
        <v>0.99823740000000005</v>
      </c>
      <c r="AB1092">
        <v>26</v>
      </c>
      <c r="AC1092">
        <v>-0.413899999999984</v>
      </c>
      <c r="AD1092">
        <v>-0.201532199999999</v>
      </c>
      <c r="AE1092">
        <v>1.22999999999819E-2</v>
      </c>
      <c r="AF1092">
        <v>2.9681068788542299E-2</v>
      </c>
      <c r="AG1092">
        <v>-0.201532199999999</v>
      </c>
      <c r="AH1092">
        <v>0.33346372753749098</v>
      </c>
      <c r="AI1092">
        <v>121.04711206667299</v>
      </c>
      <c r="AJ1092">
        <v>84.913599100479303</v>
      </c>
      <c r="AK1092">
        <v>0.39076111764666099</v>
      </c>
      <c r="AL1092">
        <v>83.388524597751598</v>
      </c>
      <c r="AM1092">
        <v>82.451439918331005</v>
      </c>
      <c r="AN1092">
        <v>0.99999996167624405</v>
      </c>
    </row>
    <row r="1093" spans="1:40" x14ac:dyDescent="0.3">
      <c r="A1093" t="str">
        <f>"20200111150332491"</f>
        <v>20200111150332491</v>
      </c>
      <c r="B1093" t="str">
        <f>"1578726212489710"</f>
        <v>1578726212489710</v>
      </c>
      <c r="C1093" t="s">
        <v>40</v>
      </c>
      <c r="D1093">
        <v>5.5876150000000004</v>
      </c>
      <c r="E1093">
        <v>0.46155849999999998</v>
      </c>
      <c r="F1093" t="s">
        <v>42</v>
      </c>
      <c r="G1093">
        <v>-216.1405</v>
      </c>
      <c r="H1093">
        <v>0.845006699999999</v>
      </c>
      <c r="I1093">
        <v>140.3715</v>
      </c>
      <c r="J1093">
        <v>-215.53299999999999</v>
      </c>
      <c r="K1093">
        <v>1.101699</v>
      </c>
      <c r="L1093">
        <v>140.35759999999999</v>
      </c>
      <c r="M1093">
        <v>-0.99839149999999999</v>
      </c>
      <c r="N1093">
        <v>0</v>
      </c>
      <c r="O1093">
        <v>-5.569176E-2</v>
      </c>
      <c r="P1093">
        <v>-0.99153389999999997</v>
      </c>
      <c r="Q1093">
        <v>0.1052029</v>
      </c>
      <c r="R1093">
        <v>7.6111349999999994E-2</v>
      </c>
      <c r="S1093">
        <v>-3.1237789999999999</v>
      </c>
      <c r="T1093">
        <v>-0.94013069999999999</v>
      </c>
      <c r="U1093">
        <v>1.055908E-2</v>
      </c>
      <c r="V1093">
        <v>0.13189500000000001</v>
      </c>
      <c r="W1093">
        <v>0.1148912</v>
      </c>
      <c r="X1093">
        <v>0.98458299999999999</v>
      </c>
      <c r="Y1093">
        <v>5.4202140000000003E-2</v>
      </c>
      <c r="Z1093">
        <v>2.437197E-2</v>
      </c>
      <c r="AA1093">
        <v>0.99823249999999997</v>
      </c>
      <c r="AB1093">
        <v>26</v>
      </c>
      <c r="AC1093">
        <v>-0.60750000000001503</v>
      </c>
      <c r="AD1093">
        <v>-0.25669229999999998</v>
      </c>
      <c r="AE1093">
        <v>1.39000000000066E-2</v>
      </c>
      <c r="AF1093">
        <v>4.0488146938686298E-2</v>
      </c>
      <c r="AG1093">
        <v>-0.25669229999999998</v>
      </c>
      <c r="AH1093">
        <v>0.51405249979320899</v>
      </c>
      <c r="AI1093">
        <v>116.46451922448399</v>
      </c>
      <c r="AJ1093">
        <v>85.496528637331906</v>
      </c>
      <c r="AK1093">
        <v>0.57600364535779303</v>
      </c>
      <c r="AL1093">
        <v>83.402650203182105</v>
      </c>
      <c r="AM1093">
        <v>82.370066405546694</v>
      </c>
      <c r="AN1093">
        <v>0.99999998137571899</v>
      </c>
    </row>
    <row r="1094" spans="1:40" x14ac:dyDescent="0.3">
      <c r="A1094" t="str">
        <f>"20200111150332515"</f>
        <v>20200111150332515</v>
      </c>
      <c r="B1094" t="str">
        <f>"1578726212509230"</f>
        <v>1578726212509230</v>
      </c>
      <c r="C1094" t="s">
        <v>40</v>
      </c>
      <c r="D1094">
        <v>6.3061860000000003</v>
      </c>
      <c r="E1094">
        <v>0.46854190000000001</v>
      </c>
      <c r="F1094" t="s">
        <v>42</v>
      </c>
      <c r="G1094">
        <v>-216.4391</v>
      </c>
      <c r="H1094">
        <v>0.99652149999999995</v>
      </c>
      <c r="I1094">
        <v>140.3382</v>
      </c>
      <c r="J1094">
        <v>-215.80709999999999</v>
      </c>
      <c r="K1094">
        <v>1.1015469999999901</v>
      </c>
      <c r="L1094">
        <v>140.3466</v>
      </c>
      <c r="M1094">
        <v>-0.99860269999999995</v>
      </c>
      <c r="N1094">
        <v>0</v>
      </c>
      <c r="O1094">
        <v>-5.1763110000000001E-2</v>
      </c>
      <c r="P1094">
        <v>-0.99124749999999995</v>
      </c>
      <c r="Q1094">
        <v>0.10518130000000001</v>
      </c>
      <c r="R1094">
        <v>7.9781480000000002E-2</v>
      </c>
      <c r="S1094">
        <v>-3.0684659999999999</v>
      </c>
      <c r="T1094">
        <v>-0.35604180000000002</v>
      </c>
      <c r="U1094">
        <v>-6.6299440000000001E-2</v>
      </c>
      <c r="V1094">
        <v>0.1317092</v>
      </c>
      <c r="W1094">
        <v>0.1148339</v>
      </c>
      <c r="X1094">
        <v>0.98461460000000001</v>
      </c>
      <c r="Y1094">
        <v>2.9635749999999999E-2</v>
      </c>
      <c r="Z1094">
        <v>7.696329E-3</v>
      </c>
      <c r="AA1094">
        <v>0.99953110000000001</v>
      </c>
      <c r="AB1094">
        <v>26</v>
      </c>
      <c r="AC1094">
        <v>-0.632000000000005</v>
      </c>
      <c r="AD1094">
        <v>-0.10502549999999899</v>
      </c>
      <c r="AE1094">
        <v>-8.3999999999946305E-3</v>
      </c>
      <c r="AF1094">
        <v>2.36737495058599E-2</v>
      </c>
      <c r="AG1094">
        <v>-0.10502549999999899</v>
      </c>
      <c r="AH1094">
        <v>0.61461740932007103</v>
      </c>
      <c r="AI1094">
        <v>99.689963904594507</v>
      </c>
      <c r="AJ1094">
        <v>87.794179422422602</v>
      </c>
      <c r="AK1094">
        <v>0.62397544976163299</v>
      </c>
      <c r="AL1094">
        <v>83.405955409314203</v>
      </c>
      <c r="AM1094">
        <v>82.3809299682937</v>
      </c>
      <c r="AN1094">
        <v>1.0000000242435001</v>
      </c>
    </row>
    <row r="1095" spans="1:40" x14ac:dyDescent="0.3">
      <c r="A1095" t="str">
        <f>"20200111150332537"</f>
        <v>20200111150332537</v>
      </c>
      <c r="B1095" t="str">
        <f>"1578726212529726"</f>
        <v>1578726212529726</v>
      </c>
      <c r="C1095" t="s">
        <v>40</v>
      </c>
      <c r="D1095">
        <v>9.1360119999999991</v>
      </c>
      <c r="E1095">
        <v>0.4685281</v>
      </c>
      <c r="F1095" t="s">
        <v>42</v>
      </c>
      <c r="G1095">
        <v>-216.67699999999999</v>
      </c>
      <c r="H1095">
        <v>1.0081420000000001</v>
      </c>
      <c r="I1095">
        <v>140.34700000000001</v>
      </c>
      <c r="J1095">
        <v>-216.0641</v>
      </c>
      <c r="K1095">
        <v>1.101431</v>
      </c>
      <c r="L1095">
        <v>140.33750000000001</v>
      </c>
      <c r="M1095">
        <v>-0.99879459999999998</v>
      </c>
      <c r="N1095">
        <v>0</v>
      </c>
      <c r="O1095">
        <v>-4.7916930000000003E-2</v>
      </c>
      <c r="P1095">
        <v>-0.99099280000000001</v>
      </c>
      <c r="Q1095">
        <v>0.1051811</v>
      </c>
      <c r="R1095">
        <v>8.2887039999999995E-2</v>
      </c>
      <c r="S1095">
        <v>-3.061264</v>
      </c>
      <c r="T1095">
        <v>-0.32868589999999998</v>
      </c>
      <c r="U1095">
        <v>1.190186E-3</v>
      </c>
      <c r="V1095">
        <v>0.13103480000000001</v>
      </c>
      <c r="W1095">
        <v>0.1148126</v>
      </c>
      <c r="X1095">
        <v>0.98470709999999995</v>
      </c>
      <c r="Y1095">
        <v>4.7758229999999999E-2</v>
      </c>
      <c r="Z1095">
        <v>7.6854280000000002E-3</v>
      </c>
      <c r="AA1095">
        <v>0.99882939999999998</v>
      </c>
      <c r="AB1095">
        <v>26</v>
      </c>
      <c r="AC1095">
        <v>-0.61290000000002398</v>
      </c>
      <c r="AD1095">
        <v>-9.32889999999999E-2</v>
      </c>
      <c r="AE1095">
        <v>9.5000000000027198E-3</v>
      </c>
      <c r="AF1095">
        <v>3.7979356431096498E-2</v>
      </c>
      <c r="AG1095">
        <v>-9.32889999999999E-2</v>
      </c>
      <c r="AH1095">
        <v>0.59789224027750998</v>
      </c>
      <c r="AI1095">
        <v>98.850786809968994</v>
      </c>
      <c r="AJ1095">
        <v>86.3653365680142</v>
      </c>
      <c r="AK1095">
        <v>0.60631707877972596</v>
      </c>
      <c r="AL1095">
        <v>83.407184187343503</v>
      </c>
      <c r="AM1095">
        <v>82.420191423733897</v>
      </c>
      <c r="AN1095">
        <v>1.0000000623601</v>
      </c>
    </row>
    <row r="1096" spans="1:40" x14ac:dyDescent="0.3">
      <c r="A1096" t="str">
        <f>"20200111150332559"</f>
        <v>20200111150332559</v>
      </c>
      <c r="B1096" t="str">
        <f>"1578726212549248"</f>
        <v>1578726212549248</v>
      </c>
      <c r="C1096" t="s">
        <v>40</v>
      </c>
      <c r="D1096">
        <v>5.7240719999999996</v>
      </c>
      <c r="E1096">
        <v>0.41365730000000001</v>
      </c>
      <c r="F1096" t="s">
        <v>42</v>
      </c>
      <c r="G1096">
        <v>-216.90899999999999</v>
      </c>
      <c r="H1096">
        <v>1.0085010000000001</v>
      </c>
      <c r="I1096">
        <v>140.3408</v>
      </c>
      <c r="J1096">
        <v>-216.32210000000001</v>
      </c>
      <c r="K1096">
        <v>1.1013329999999999</v>
      </c>
      <c r="L1096">
        <v>140.32939999999999</v>
      </c>
      <c r="M1096">
        <v>-0.99897829999999999</v>
      </c>
      <c r="N1096">
        <v>0</v>
      </c>
      <c r="O1096">
        <v>-4.39195E-2</v>
      </c>
      <c r="P1096">
        <v>-0.99072439999999995</v>
      </c>
      <c r="Q1096">
        <v>0.10559350000000001</v>
      </c>
      <c r="R1096">
        <v>8.5529069999999999E-2</v>
      </c>
      <c r="S1096">
        <v>-3.0620729999999998</v>
      </c>
      <c r="T1096">
        <v>-0.33659050000000001</v>
      </c>
      <c r="U1096">
        <v>1.1245730000000001E-2</v>
      </c>
      <c r="V1096">
        <v>0.129746</v>
      </c>
      <c r="W1096">
        <v>0.11521380000000001</v>
      </c>
      <c r="X1096">
        <v>0.98483089999999995</v>
      </c>
      <c r="Y1096">
        <v>4.7042920000000002E-2</v>
      </c>
      <c r="Z1096">
        <v>7.3901959999999999E-3</v>
      </c>
      <c r="AA1096">
        <v>0.99886549999999996</v>
      </c>
      <c r="AB1096">
        <v>26</v>
      </c>
      <c r="AC1096">
        <v>-0.58690000000001397</v>
      </c>
      <c r="AD1096">
        <v>-9.2831999999999804E-2</v>
      </c>
      <c r="AE1096">
        <v>1.14000000000089E-2</v>
      </c>
      <c r="AF1096">
        <v>3.6259974799087699E-2</v>
      </c>
      <c r="AG1096">
        <v>-9.2831999999999804E-2</v>
      </c>
      <c r="AH1096">
        <v>0.57153905742830602</v>
      </c>
      <c r="AI1096">
        <v>99.207483621553607</v>
      </c>
      <c r="AJ1096">
        <v>86.369866848212197</v>
      </c>
      <c r="AK1096">
        <v>0.58016330473623201</v>
      </c>
      <c r="AL1096">
        <v>83.384043629956196</v>
      </c>
      <c r="AM1096">
        <v>82.494821637116104</v>
      </c>
      <c r="AN1096">
        <v>1.00000007291062</v>
      </c>
    </row>
    <row r="1097" spans="1:40" x14ac:dyDescent="0.3">
      <c r="A1097" t="str">
        <f>"20200111150332582"</f>
        <v>20200111150332582</v>
      </c>
      <c r="B1097" t="str">
        <f>"1578726212579502"</f>
        <v>1578726212579502</v>
      </c>
      <c r="C1097" t="s">
        <v>40</v>
      </c>
      <c r="D1097">
        <v>8.6433529999999994</v>
      </c>
      <c r="E1097">
        <v>0.46928239999999999</v>
      </c>
      <c r="F1097" t="s">
        <v>65</v>
      </c>
      <c r="G1097">
        <v>-367.9864</v>
      </c>
      <c r="H1097">
        <v>12.130929999999999</v>
      </c>
      <c r="I1097">
        <v>119.0038</v>
      </c>
      <c r="J1097">
        <v>-216.5874</v>
      </c>
      <c r="K1097">
        <v>1.101256</v>
      </c>
      <c r="L1097">
        <v>140.32230000000001</v>
      </c>
      <c r="M1097">
        <v>-0.99915469999999895</v>
      </c>
      <c r="N1097">
        <v>0</v>
      </c>
      <c r="O1097">
        <v>-3.9702679999999997E-2</v>
      </c>
      <c r="P1097">
        <v>-0.99050910000000003</v>
      </c>
      <c r="Q1097">
        <v>0.1060188</v>
      </c>
      <c r="R1097">
        <v>8.7474759999999999E-2</v>
      </c>
      <c r="S1097">
        <v>-3.0414279999999998</v>
      </c>
      <c r="T1097">
        <v>0.2211844</v>
      </c>
      <c r="U1097">
        <v>-0.42765809999999999</v>
      </c>
      <c r="V1097">
        <v>0.12754450000000001</v>
      </c>
      <c r="W1097">
        <v>0.11564199999999999</v>
      </c>
      <c r="X1097">
        <v>0.98506819999999895</v>
      </c>
      <c r="Y1097">
        <v>-9.9658170000000004E-2</v>
      </c>
      <c r="Z1097">
        <v>7.3426539999999895E-4</v>
      </c>
      <c r="AA1097">
        <v>0.9950215</v>
      </c>
      <c r="AB1097">
        <v>26</v>
      </c>
      <c r="AC1097">
        <v>-151.399</v>
      </c>
      <c r="AD1097">
        <v>11.029674</v>
      </c>
      <c r="AE1097">
        <v>-21.3185</v>
      </c>
      <c r="AF1097">
        <v>-15.2112397208946</v>
      </c>
      <c r="AG1097">
        <v>11.029674</v>
      </c>
      <c r="AH1097">
        <v>151.33847046629</v>
      </c>
      <c r="AI1097">
        <v>85.8524300297819</v>
      </c>
      <c r="AJ1097">
        <v>95.739601936312994</v>
      </c>
      <c r="AK1097">
        <v>152.500387427275</v>
      </c>
      <c r="AL1097">
        <v>83.359344100966496</v>
      </c>
      <c r="AM1097">
        <v>82.622510352609197</v>
      </c>
      <c r="AN1097">
        <v>1.00000001514774</v>
      </c>
    </row>
    <row r="1098" spans="1:40" x14ac:dyDescent="0.3">
      <c r="A1098" t="str">
        <f>"20200111150332603"</f>
        <v>20200111150332603</v>
      </c>
      <c r="B1098" t="str">
        <f>"1578726212599022"</f>
        <v>1578726212599022</v>
      </c>
      <c r="C1098" t="s">
        <v>40</v>
      </c>
      <c r="D1098">
        <v>5.7581199999999999</v>
      </c>
      <c r="E1098">
        <v>0.4640282</v>
      </c>
      <c r="F1098" t="s">
        <v>42</v>
      </c>
      <c r="G1098">
        <v>-217.37860000000001</v>
      </c>
      <c r="H1098">
        <v>1.018956</v>
      </c>
      <c r="I1098">
        <v>140.33029999999999</v>
      </c>
      <c r="J1098">
        <v>-216.84010000000001</v>
      </c>
      <c r="K1098">
        <v>1.1011919999999999</v>
      </c>
      <c r="L1098">
        <v>140.3167</v>
      </c>
      <c r="M1098">
        <v>-0.99930870000000005</v>
      </c>
      <c r="N1098">
        <v>0</v>
      </c>
      <c r="O1098">
        <v>-3.5616130000000003E-2</v>
      </c>
      <c r="P1098">
        <v>-0.99026069999999999</v>
      </c>
      <c r="Q1098">
        <v>0.107266</v>
      </c>
      <c r="R1098">
        <v>8.8759459999999998E-2</v>
      </c>
      <c r="S1098">
        <v>-3.0601500000000001</v>
      </c>
      <c r="T1098">
        <v>-0.31814310000000001</v>
      </c>
      <c r="U1098">
        <v>2.9937740000000001E-2</v>
      </c>
      <c r="V1098">
        <v>0.12481150000000001</v>
      </c>
      <c r="W1098">
        <v>0.1169004</v>
      </c>
      <c r="X1098">
        <v>0.98526970000000003</v>
      </c>
      <c r="Y1098">
        <v>4.4958650000000003E-2</v>
      </c>
      <c r="Z1098">
        <v>6.0231979999999996E-3</v>
      </c>
      <c r="AA1098">
        <v>0.99897069999999999</v>
      </c>
      <c r="AB1098">
        <v>26</v>
      </c>
      <c r="AC1098">
        <v>-0.53849999999999898</v>
      </c>
      <c r="AD1098">
        <v>-8.2235999999999906E-2</v>
      </c>
      <c r="AE1098">
        <v>1.35999999999967E-2</v>
      </c>
      <c r="AF1098">
        <v>3.2025349690345602E-2</v>
      </c>
      <c r="AG1098">
        <v>-8.2235999999999906E-2</v>
      </c>
      <c r="AH1098">
        <v>0.52542805157448802</v>
      </c>
      <c r="AI1098">
        <v>98.8791196013469</v>
      </c>
      <c r="AJ1098">
        <v>86.512081590246595</v>
      </c>
      <c r="AK1098">
        <v>0.53278796917737603</v>
      </c>
      <c r="AL1098">
        <v>83.286750607389195</v>
      </c>
      <c r="AM1098">
        <v>82.780368411877802</v>
      </c>
      <c r="AN1098">
        <v>0.99999999789524996</v>
      </c>
    </row>
    <row r="1099" spans="1:40" x14ac:dyDescent="0.3">
      <c r="A1099" t="str">
        <f>"20200111150332627"</f>
        <v>20200111150332627</v>
      </c>
      <c r="B1099" t="str">
        <f>"1578726212619518"</f>
        <v>1578726212619518</v>
      </c>
      <c r="C1099" t="s">
        <v>40</v>
      </c>
      <c r="D1099">
        <v>5.7919939999999999</v>
      </c>
      <c r="E1099">
        <v>0.46288639999999998</v>
      </c>
      <c r="F1099" t="s">
        <v>68</v>
      </c>
      <c r="G1099">
        <v>-292.32819999999998</v>
      </c>
      <c r="H1099" s="1">
        <v>-8.8191259999999994E-6</v>
      </c>
      <c r="I1099">
        <v>139.99</v>
      </c>
      <c r="J1099">
        <v>-217.10400000000001</v>
      </c>
      <c r="K1099">
        <v>1.1011439999999999</v>
      </c>
      <c r="L1099">
        <v>140.31200000000001</v>
      </c>
      <c r="M1099">
        <v>-0.99945269999999997</v>
      </c>
      <c r="N1099">
        <v>0</v>
      </c>
      <c r="O1099">
        <v>-3.1307439999999999E-2</v>
      </c>
      <c r="P1099">
        <v>-0.98999210000000004</v>
      </c>
      <c r="Q1099">
        <v>0.10812280000000001</v>
      </c>
      <c r="R1099">
        <v>9.0693819999999994E-2</v>
      </c>
      <c r="S1099">
        <v>-3.0354770000000002</v>
      </c>
      <c r="T1099">
        <v>-4.4280769999999997E-2</v>
      </c>
      <c r="U1099">
        <v>-1.313782E-2</v>
      </c>
      <c r="V1099">
        <v>0.1225021</v>
      </c>
      <c r="W1099">
        <v>0.11776979999999999</v>
      </c>
      <c r="X1099">
        <v>0.985456</v>
      </c>
      <c r="Y1099">
        <v>2.6976799999999999E-2</v>
      </c>
      <c r="Z1099">
        <v>6.5339489999999896E-4</v>
      </c>
      <c r="AA1099">
        <v>0.99963590000000002</v>
      </c>
      <c r="AB1099">
        <v>26</v>
      </c>
      <c r="AC1099">
        <v>-75.224199999999897</v>
      </c>
      <c r="AD1099">
        <v>-1.101152819126</v>
      </c>
      <c r="AE1099">
        <v>-0.32200000000000201</v>
      </c>
      <c r="AF1099">
        <v>2.0329338036275599</v>
      </c>
      <c r="AG1099">
        <v>-1.101152819126</v>
      </c>
      <c r="AH1099">
        <v>75.181293111755906</v>
      </c>
      <c r="AI1099">
        <v>90.838823694375904</v>
      </c>
      <c r="AJ1099">
        <v>88.451075453570596</v>
      </c>
      <c r="AK1099">
        <v>75.216834494259004</v>
      </c>
      <c r="AL1099">
        <v>83.236591248825505</v>
      </c>
      <c r="AM1099">
        <v>82.913909121154106</v>
      </c>
      <c r="AN1099">
        <v>1.00000000911622</v>
      </c>
    </row>
    <row r="1100" spans="1:40" x14ac:dyDescent="0.3">
      <c r="A1100" t="str">
        <f>"20200111150332649"</f>
        <v>20200111150332649</v>
      </c>
      <c r="B1100" t="str">
        <f>"1578726212639040"</f>
        <v>1578726212639040</v>
      </c>
      <c r="C1100" t="s">
        <v>40</v>
      </c>
      <c r="D1100">
        <v>5.7355980000000004</v>
      </c>
      <c r="E1100">
        <v>0.46544439999999998</v>
      </c>
      <c r="F1100" t="s">
        <v>44</v>
      </c>
      <c r="G1100">
        <v>0</v>
      </c>
      <c r="H1100">
        <v>0</v>
      </c>
      <c r="I1100">
        <v>0</v>
      </c>
      <c r="J1100">
        <v>-217.36699999999999</v>
      </c>
      <c r="K1100">
        <v>1.1011169999999999</v>
      </c>
      <c r="L1100">
        <v>140.30840000000001</v>
      </c>
      <c r="M1100">
        <v>-0.99957850000000004</v>
      </c>
      <c r="N1100">
        <v>0</v>
      </c>
      <c r="O1100">
        <v>-2.699441E-2</v>
      </c>
      <c r="P1100">
        <v>-0.98982959999999998</v>
      </c>
      <c r="Q1100">
        <v>0.1082412</v>
      </c>
      <c r="R1100">
        <v>9.2311749999999998E-2</v>
      </c>
      <c r="S1100">
        <v>-3.0281980000000002</v>
      </c>
      <c r="T1100">
        <v>3.4345269999999997E-2</v>
      </c>
      <c r="U1100">
        <v>-1.7837519999999999E-2</v>
      </c>
      <c r="V1100">
        <v>0.11986579999999999</v>
      </c>
      <c r="W1100">
        <v>0.117909</v>
      </c>
      <c r="X1100">
        <v>0.98576350000000001</v>
      </c>
      <c r="Y1100">
        <v>2.110416E-2</v>
      </c>
      <c r="Z1100">
        <v>-4.2581150000000001E-4</v>
      </c>
      <c r="AA1100">
        <v>0.99977720000000003</v>
      </c>
      <c r="AB1100">
        <v>26</v>
      </c>
      <c r="AC1100">
        <v>-3.0281980000000002</v>
      </c>
      <c r="AD1100">
        <v>3.4345269999999997E-2</v>
      </c>
      <c r="AE1100">
        <v>-1.7837519999999999E-2</v>
      </c>
      <c r="AF1100">
        <v>6.3909843415340506E-2</v>
      </c>
      <c r="AG1100">
        <v>3.4345269999999997E-2</v>
      </c>
      <c r="AH1100">
        <v>3.0271864984207402</v>
      </c>
      <c r="AI1100">
        <v>89.350117264033202</v>
      </c>
      <c r="AJ1100">
        <v>88.7905534032693</v>
      </c>
      <c r="AK1100">
        <v>3.0280558386326999</v>
      </c>
      <c r="AL1100">
        <v>83.228559724797506</v>
      </c>
      <c r="AM1100">
        <v>83.067046083899996</v>
      </c>
      <c r="AN1100">
        <v>1.0000000101114399</v>
      </c>
    </row>
    <row r="1101" spans="1:40" x14ac:dyDescent="0.3">
      <c r="A1101" t="str">
        <f>"20200111150332671"</f>
        <v>20200111150332671</v>
      </c>
      <c r="B1101" t="str">
        <f>"1578726212659534"</f>
        <v>1578726212659534</v>
      </c>
      <c r="C1101" t="s">
        <v>40</v>
      </c>
      <c r="D1101">
        <v>8.6445880000000006</v>
      </c>
      <c r="E1101">
        <v>0.46648820000000002</v>
      </c>
      <c r="F1101" t="s">
        <v>44</v>
      </c>
      <c r="G1101">
        <v>0</v>
      </c>
      <c r="H1101">
        <v>0</v>
      </c>
      <c r="I1101">
        <v>0</v>
      </c>
      <c r="J1101">
        <v>-217.61930000000001</v>
      </c>
      <c r="K1101">
        <v>1.10111</v>
      </c>
      <c r="L1101">
        <v>140.30619999999999</v>
      </c>
      <c r="M1101">
        <v>-0.99968170000000001</v>
      </c>
      <c r="N1101">
        <v>0</v>
      </c>
      <c r="O1101">
        <v>-2.284916E-2</v>
      </c>
      <c r="P1101">
        <v>-0.98969759999999996</v>
      </c>
      <c r="Q1101">
        <v>0.1086251</v>
      </c>
      <c r="R1101">
        <v>9.3270729999999996E-2</v>
      </c>
      <c r="S1101">
        <v>-3.0235289999999999</v>
      </c>
      <c r="T1101">
        <v>6.0770030000000003E-2</v>
      </c>
      <c r="U1101">
        <v>6.9885249999999998E-3</v>
      </c>
      <c r="V1101">
        <v>0.1167339</v>
      </c>
      <c r="W1101">
        <v>0.11832139999999999</v>
      </c>
      <c r="X1101">
        <v>0.98608989999999996</v>
      </c>
      <c r="Y1101">
        <v>2.5151489999999999E-2</v>
      </c>
      <c r="Z1101">
        <v>-7.1193310000000002E-4</v>
      </c>
      <c r="AA1101">
        <v>0.9996834</v>
      </c>
      <c r="AB1101">
        <v>26</v>
      </c>
      <c r="AC1101">
        <v>-3.0235289999999999</v>
      </c>
      <c r="AD1101">
        <v>6.0770030000000003E-2</v>
      </c>
      <c r="AE1101">
        <v>6.9885249999999998E-3</v>
      </c>
      <c r="AF1101">
        <v>7.6045030796069196E-2</v>
      </c>
      <c r="AG1101">
        <v>6.0770030000000003E-2</v>
      </c>
      <c r="AH1101">
        <v>3.0213593110855101</v>
      </c>
      <c r="AI1101">
        <v>88.848102930987693</v>
      </c>
      <c r="AJ1101">
        <v>88.558218611749894</v>
      </c>
      <c r="AK1101">
        <v>3.0229270467442801</v>
      </c>
      <c r="AL1101">
        <v>83.204764470328897</v>
      </c>
      <c r="AM1101">
        <v>83.248712489676294</v>
      </c>
      <c r="AN1101">
        <v>1.0000000239945801</v>
      </c>
    </row>
    <row r="1102" spans="1:40" x14ac:dyDescent="0.3">
      <c r="A1102" t="str">
        <f>"20200111150332782"</f>
        <v>20200111150332782</v>
      </c>
      <c r="B1102" t="str">
        <f>"1578726212779112"</f>
        <v>1578726212779112</v>
      </c>
      <c r="C1102" t="s">
        <v>40</v>
      </c>
      <c r="D1102">
        <v>6.8491049999999998</v>
      </c>
      <c r="E1102">
        <v>0.50913030000000004</v>
      </c>
      <c r="F1102" t="s">
        <v>44</v>
      </c>
      <c r="G1102">
        <v>0</v>
      </c>
      <c r="H1102">
        <v>0</v>
      </c>
      <c r="I1102">
        <v>0</v>
      </c>
      <c r="J1102">
        <v>-218.92019999999999</v>
      </c>
      <c r="K1102">
        <v>1.101126</v>
      </c>
      <c r="L1102">
        <v>140.31110000000001</v>
      </c>
      <c r="M1102">
        <v>-0.99994130000000003</v>
      </c>
      <c r="N1102">
        <v>0</v>
      </c>
      <c r="O1102">
        <v>-1.594275E-3</v>
      </c>
      <c r="P1102">
        <v>-0.98847229999999997</v>
      </c>
      <c r="Q1102">
        <v>0.11305419999999999</v>
      </c>
      <c r="R1102">
        <v>0.1007059</v>
      </c>
      <c r="S1102">
        <v>-3.027237</v>
      </c>
      <c r="T1102">
        <v>1.998627E-2</v>
      </c>
      <c r="U1102">
        <v>1.9226070000000001E-2</v>
      </c>
      <c r="V1102">
        <v>0.103186</v>
      </c>
      <c r="W1102">
        <v>0.1228836</v>
      </c>
      <c r="X1102">
        <v>0.98704219999999998</v>
      </c>
      <c r="Y1102">
        <v>7.945021E-3</v>
      </c>
      <c r="Z1102" s="1">
        <v>-3.6752589999999997E-5</v>
      </c>
      <c r="AA1102">
        <v>0.99996839999999998</v>
      </c>
      <c r="AB1102">
        <v>26</v>
      </c>
      <c r="AC1102">
        <v>-3.027237</v>
      </c>
      <c r="AD1102">
        <v>1.998627E-2</v>
      </c>
      <c r="AE1102">
        <v>1.9226070000000001E-2</v>
      </c>
      <c r="AF1102">
        <v>2.4051522690198501E-2</v>
      </c>
      <c r="AG1102">
        <v>1.998627E-2</v>
      </c>
      <c r="AH1102">
        <v>3.0270705592114902</v>
      </c>
      <c r="AI1102">
        <v>89.621721359231401</v>
      </c>
      <c r="AJ1102">
        <v>89.544767220952295</v>
      </c>
      <c r="AK1102">
        <v>3.02723208511954</v>
      </c>
      <c r="AL1102">
        <v>82.941447400147695</v>
      </c>
      <c r="AM1102">
        <v>84.0319420109535</v>
      </c>
      <c r="AN1102">
        <v>1.00000001716289</v>
      </c>
    </row>
    <row r="1103" spans="1:40" x14ac:dyDescent="0.3">
      <c r="A1103" t="str">
        <f>"20200111150332805"</f>
        <v>20200111150332805</v>
      </c>
      <c r="B1103" t="str">
        <f>"1578726212799608"</f>
        <v>1578726212799608</v>
      </c>
      <c r="C1103" t="s">
        <v>40</v>
      </c>
      <c r="D1103">
        <v>5.1615489999999999</v>
      </c>
      <c r="E1103">
        <v>0.48925550000000001</v>
      </c>
      <c r="F1103" t="s">
        <v>42</v>
      </c>
      <c r="G1103">
        <v>-219.63480000000001</v>
      </c>
      <c r="H1103">
        <v>0.84535669999999996</v>
      </c>
      <c r="I1103">
        <v>140.4034</v>
      </c>
      <c r="J1103">
        <v>-219.1918</v>
      </c>
      <c r="K1103">
        <v>1.101116</v>
      </c>
      <c r="L1103">
        <v>140.31559999999999</v>
      </c>
      <c r="M1103">
        <v>-0.99993849999999995</v>
      </c>
      <c r="N1103">
        <v>0</v>
      </c>
      <c r="O1103">
        <v>2.813046E-3</v>
      </c>
      <c r="P1103">
        <v>-0.98838369999999998</v>
      </c>
      <c r="Q1103">
        <v>0.11245570000000001</v>
      </c>
      <c r="R1103">
        <v>0.1022314</v>
      </c>
      <c r="S1103">
        <v>-3.1217350000000001</v>
      </c>
      <c r="T1103">
        <v>-1.11707</v>
      </c>
      <c r="U1103">
        <v>0.40246579999999998</v>
      </c>
      <c r="V1103">
        <v>0.10034990000000001</v>
      </c>
      <c r="W1103">
        <v>0.1223176</v>
      </c>
      <c r="X1103">
        <v>0.98740479999999997</v>
      </c>
      <c r="Y1103">
        <v>0.1180345</v>
      </c>
      <c r="Z1103">
        <v>1.9432789999999998E-2</v>
      </c>
      <c r="AA1103">
        <v>0.99281929999999996</v>
      </c>
      <c r="AB1103">
        <v>26</v>
      </c>
      <c r="AC1103">
        <v>-0.443000000000012</v>
      </c>
      <c r="AD1103">
        <v>-0.25575929999999902</v>
      </c>
      <c r="AE1103">
        <v>8.7800000000015602E-2</v>
      </c>
      <c r="AF1103">
        <v>6.5535143435316801E-2</v>
      </c>
      <c r="AG1103">
        <v>-0.25575929999999902</v>
      </c>
      <c r="AH1103">
        <v>0.335609465618804</v>
      </c>
      <c r="AI1103">
        <v>126.794559946405</v>
      </c>
      <c r="AJ1103">
        <v>78.950776251635602</v>
      </c>
      <c r="AK1103">
        <v>0.42701450557857701</v>
      </c>
      <c r="AL1103">
        <v>82.974122970911296</v>
      </c>
      <c r="AM1103">
        <v>84.196957278714294</v>
      </c>
      <c r="AN1103">
        <v>0.99999996838140404</v>
      </c>
    </row>
    <row r="1104" spans="1:40" x14ac:dyDescent="0.3">
      <c r="A1104" t="str">
        <f>"20200111150332826"</f>
        <v>20200111150332826</v>
      </c>
      <c r="B1104" t="str">
        <f>"1578726212819128"</f>
        <v>1578726212819128</v>
      </c>
      <c r="C1104" t="s">
        <v>40</v>
      </c>
      <c r="D1104">
        <v>5.5796380000000001</v>
      </c>
      <c r="E1104">
        <v>0.49139240000000001</v>
      </c>
      <c r="F1104" t="s">
        <v>42</v>
      </c>
      <c r="G1104">
        <v>-219.94210000000001</v>
      </c>
      <c r="H1104">
        <v>1.0059260000000001</v>
      </c>
      <c r="I1104">
        <v>140.3733</v>
      </c>
      <c r="J1104">
        <v>-219.44810000000001</v>
      </c>
      <c r="K1104">
        <v>1.1011089999999999</v>
      </c>
      <c r="L1104">
        <v>140.32079999999999</v>
      </c>
      <c r="M1104">
        <v>-0.99991819999999998</v>
      </c>
      <c r="N1104">
        <v>0</v>
      </c>
      <c r="O1104">
        <v>6.9625080000000001E-3</v>
      </c>
      <c r="P1104">
        <v>-0.98839379999999999</v>
      </c>
      <c r="Q1104">
        <v>0.1113519</v>
      </c>
      <c r="R1104">
        <v>0.103338899999999</v>
      </c>
      <c r="S1104">
        <v>-3.0550540000000002</v>
      </c>
      <c r="T1104">
        <v>-0.38756350000000001</v>
      </c>
      <c r="U1104">
        <v>0.23489380000000001</v>
      </c>
      <c r="V1104">
        <v>9.7345580000000001E-2</v>
      </c>
      <c r="W1104">
        <v>0.1212522</v>
      </c>
      <c r="X1104">
        <v>0.98783690000000002</v>
      </c>
      <c r="Y1104">
        <v>6.9220450000000003E-2</v>
      </c>
      <c r="Z1104">
        <v>3.488311E-3</v>
      </c>
      <c r="AA1104">
        <v>0.99759529999999996</v>
      </c>
      <c r="AB1104">
        <v>26</v>
      </c>
      <c r="AC1104">
        <v>-0.493999999999999</v>
      </c>
      <c r="AD1104">
        <v>-9.5183000000000004E-2</v>
      </c>
      <c r="AE1104">
        <v>5.2500000000008998E-2</v>
      </c>
      <c r="AF1104">
        <v>4.7321853639178998E-2</v>
      </c>
      <c r="AG1104">
        <v>-9.5183000000000004E-2</v>
      </c>
      <c r="AH1104">
        <v>0.47684835833839601</v>
      </c>
      <c r="AI1104">
        <v>101.23459218367999</v>
      </c>
      <c r="AJ1104">
        <v>84.332592460685305</v>
      </c>
      <c r="AK1104">
        <v>0.48855247227997001</v>
      </c>
      <c r="AL1104">
        <v>83.035623896569007</v>
      </c>
      <c r="AM1104">
        <v>84.372005032019004</v>
      </c>
      <c r="AN1104">
        <v>0.99999999947599305</v>
      </c>
    </row>
    <row r="1105" spans="1:40" x14ac:dyDescent="0.3">
      <c r="A1105" t="str">
        <f>"20200111150332850"</f>
        <v>20200111150332850</v>
      </c>
      <c r="B1105" t="str">
        <f>"1578726212839624"</f>
        <v>1578726212839624</v>
      </c>
      <c r="C1105" t="s">
        <v>40</v>
      </c>
      <c r="D1105">
        <v>7.3342669999999996</v>
      </c>
      <c r="E1105">
        <v>0.49450260000000001</v>
      </c>
      <c r="F1105" t="s">
        <v>42</v>
      </c>
      <c r="G1105">
        <v>-220.19829999999999</v>
      </c>
      <c r="H1105">
        <v>1.0477959999999999</v>
      </c>
      <c r="I1105">
        <v>140.38319999999999</v>
      </c>
      <c r="J1105">
        <v>-219.7166</v>
      </c>
      <c r="K1105">
        <v>1.1011089999999999</v>
      </c>
      <c r="L1105">
        <v>140.32749999999999</v>
      </c>
      <c r="M1105">
        <v>-0.9998785</v>
      </c>
      <c r="N1105">
        <v>0</v>
      </c>
      <c r="O1105">
        <v>1.129319E-2</v>
      </c>
      <c r="P1105">
        <v>-0.98834489999999997</v>
      </c>
      <c r="Q1105">
        <v>0.1108228</v>
      </c>
      <c r="R1105">
        <v>0.10437</v>
      </c>
      <c r="S1105">
        <v>-3.033188</v>
      </c>
      <c r="T1105">
        <v>-0.2154162</v>
      </c>
      <c r="U1105">
        <v>0.25163269999999999</v>
      </c>
      <c r="V1105">
        <v>9.4086799999999998E-2</v>
      </c>
      <c r="W1105">
        <v>0.1207713</v>
      </c>
      <c r="X1105">
        <v>0.98821150000000002</v>
      </c>
      <c r="Y1105">
        <v>7.1265350000000005E-2</v>
      </c>
      <c r="Z1105">
        <v>1.7235200000000001E-3</v>
      </c>
      <c r="AA1105">
        <v>0.99745589999999995</v>
      </c>
      <c r="AB1105">
        <v>26</v>
      </c>
      <c r="AC1105">
        <v>-0.48169999999998903</v>
      </c>
      <c r="AD1105">
        <v>-5.3313000000000103E-2</v>
      </c>
      <c r="AE1105">
        <v>5.5700000000001602E-2</v>
      </c>
      <c r="AF1105">
        <v>4.9655976146886299E-2</v>
      </c>
      <c r="AG1105">
        <v>-5.3313000000000103E-2</v>
      </c>
      <c r="AH1105">
        <v>0.47653808411388998</v>
      </c>
      <c r="AI1105">
        <v>96.349363364594794</v>
      </c>
      <c r="AJ1105">
        <v>84.051163409073496</v>
      </c>
      <c r="AK1105">
        <v>0.48207524054553702</v>
      </c>
      <c r="AL1105">
        <v>83.0633814343594</v>
      </c>
      <c r="AM1105">
        <v>84.561310180872695</v>
      </c>
      <c r="AN1105">
        <v>1.00000000078509</v>
      </c>
    </row>
    <row r="1106" spans="1:40" x14ac:dyDescent="0.3">
      <c r="A1106" t="str">
        <f>"20200111150332882"</f>
        <v>20200111150332882</v>
      </c>
      <c r="B1106" t="str">
        <f>"1578726212879227"</f>
        <v>1578726212879227</v>
      </c>
      <c r="C1106" t="s">
        <v>40</v>
      </c>
      <c r="D1106">
        <v>6.4328430000000001</v>
      </c>
      <c r="E1106">
        <v>0.49615300000000001</v>
      </c>
      <c r="F1106" t="s">
        <v>42</v>
      </c>
      <c r="G1106">
        <v>-220.6694</v>
      </c>
      <c r="H1106">
        <v>1.0493140000000001</v>
      </c>
      <c r="I1106">
        <v>140.41489999999999</v>
      </c>
      <c r="J1106">
        <v>-220.10050000000001</v>
      </c>
      <c r="K1106">
        <v>1.101126</v>
      </c>
      <c r="L1106">
        <v>140.3391</v>
      </c>
      <c r="M1106">
        <v>-0.9997897</v>
      </c>
      <c r="N1106">
        <v>0</v>
      </c>
      <c r="O1106">
        <v>1.7443190000000001E-2</v>
      </c>
      <c r="P1106">
        <v>-0.98836579999999996</v>
      </c>
      <c r="Q1106">
        <v>0.10872569999999999</v>
      </c>
      <c r="R1106">
        <v>0.1063578</v>
      </c>
      <c r="S1106">
        <v>-3.0245669999999998</v>
      </c>
      <c r="T1106">
        <v>-0.16434679999999999</v>
      </c>
      <c r="U1106">
        <v>0.27687070000000003</v>
      </c>
      <c r="V1106">
        <v>8.9965260000000005E-2</v>
      </c>
      <c r="W1106">
        <v>0.11874609999999999</v>
      </c>
      <c r="X1106">
        <v>0.98884050000000001</v>
      </c>
      <c r="Y1106">
        <v>7.3691770000000004E-2</v>
      </c>
      <c r="Z1106">
        <v>1.0514890000000001E-3</v>
      </c>
      <c r="AA1106">
        <v>0.99728050000000001</v>
      </c>
      <c r="AB1106">
        <v>26</v>
      </c>
      <c r="AC1106">
        <v>-0.56889999999998497</v>
      </c>
      <c r="AD1106">
        <v>-5.1812000000000101E-2</v>
      </c>
      <c r="AE1106">
        <v>7.5799999999986697E-2</v>
      </c>
      <c r="AF1106">
        <v>6.5332015932172097E-2</v>
      </c>
      <c r="AG1106">
        <v>-5.1812000000000101E-2</v>
      </c>
      <c r="AH1106">
        <v>0.56552678004069601</v>
      </c>
      <c r="AI1106">
        <v>95.200272966882196</v>
      </c>
      <c r="AJ1106">
        <v>83.410164229846998</v>
      </c>
      <c r="AK1106">
        <v>0.57164087904291705</v>
      </c>
      <c r="AL1106">
        <v>83.180257741529502</v>
      </c>
      <c r="AM1106">
        <v>84.801509945993601</v>
      </c>
      <c r="AN1106">
        <v>0.99999995935616204</v>
      </c>
    </row>
    <row r="1107" spans="1:40" x14ac:dyDescent="0.3">
      <c r="A1107" t="str">
        <f>"20200111150332905"</f>
        <v>20200111150332905</v>
      </c>
      <c r="B1107" t="str">
        <f>"1578726212899723"</f>
        <v>1578726212899723</v>
      </c>
      <c r="C1107" t="s">
        <v>40</v>
      </c>
      <c r="D1107">
        <v>5.76586</v>
      </c>
      <c r="E1107">
        <v>0.50484449999999903</v>
      </c>
      <c r="F1107" t="s">
        <v>68</v>
      </c>
      <c r="G1107">
        <v>-296.34899999999999</v>
      </c>
      <c r="H1107" s="1">
        <v>-1.0538790000000001E-5</v>
      </c>
      <c r="I1107">
        <v>147.7824</v>
      </c>
      <c r="J1107">
        <v>-220.36429999999999</v>
      </c>
      <c r="K1107">
        <v>1.1011409999999999</v>
      </c>
      <c r="L1107">
        <v>140.34829999999999</v>
      </c>
      <c r="M1107">
        <v>-0.99970780000000004</v>
      </c>
      <c r="N1107">
        <v>0</v>
      </c>
      <c r="O1107">
        <v>2.1631839999999999E-2</v>
      </c>
      <c r="P1107">
        <v>-0.98854660000000005</v>
      </c>
      <c r="Q1107">
        <v>0.1063699</v>
      </c>
      <c r="R1107">
        <v>0.1070585</v>
      </c>
      <c r="S1107">
        <v>-3.0084840000000002</v>
      </c>
      <c r="T1107">
        <v>-4.3446779999999997E-2</v>
      </c>
      <c r="U1107">
        <v>0.2936859</v>
      </c>
      <c r="V1107">
        <v>8.6490699999999907E-2</v>
      </c>
      <c r="W1107">
        <v>0.1164457</v>
      </c>
      <c r="X1107">
        <v>0.98942390000000002</v>
      </c>
      <c r="Y1107">
        <v>7.5598369999999998E-2</v>
      </c>
      <c r="Z1107">
        <v>2.3299599999999999E-4</v>
      </c>
      <c r="AA1107">
        <v>0.99713830000000003</v>
      </c>
      <c r="AB1107">
        <v>26</v>
      </c>
      <c r="AC1107">
        <v>-75.984700000000004</v>
      </c>
      <c r="AD1107">
        <v>-1.1011515387899999</v>
      </c>
      <c r="AE1107">
        <v>7.4340999999999999</v>
      </c>
      <c r="AF1107">
        <v>5.7873718370915599</v>
      </c>
      <c r="AG1107">
        <v>-1.1011515387899999</v>
      </c>
      <c r="AH1107">
        <v>76.1119076832274</v>
      </c>
      <c r="AI1107">
        <v>90.826485275884394</v>
      </c>
      <c r="AJ1107">
        <v>85.651729925786299</v>
      </c>
      <c r="AK1107">
        <v>76.339561818707594</v>
      </c>
      <c r="AL1107">
        <v>83.312981815402495</v>
      </c>
      <c r="AM1107">
        <v>85.004176519703407</v>
      </c>
      <c r="AN1107">
        <v>0.999999948063093</v>
      </c>
    </row>
    <row r="1108" spans="1:40" x14ac:dyDescent="0.3">
      <c r="A1108" t="str">
        <f>"20200111150332929"</f>
        <v>20200111150332929</v>
      </c>
      <c r="B1108" t="str">
        <f>"1578726212919243"</f>
        <v>1578726212919243</v>
      </c>
      <c r="C1108" t="s">
        <v>40</v>
      </c>
      <c r="D1108">
        <v>5.1873100000000001</v>
      </c>
      <c r="E1108">
        <v>0.50236910000000001</v>
      </c>
      <c r="F1108" t="s">
        <v>62</v>
      </c>
      <c r="G1108">
        <v>-459.875</v>
      </c>
      <c r="H1108">
        <v>41.810519999999997</v>
      </c>
      <c r="I1108">
        <v>169.4151</v>
      </c>
      <c r="J1108">
        <v>-220.6412</v>
      </c>
      <c r="K1108">
        <v>1.101167</v>
      </c>
      <c r="L1108">
        <v>140.35910000000001</v>
      </c>
      <c r="M1108">
        <v>-0.99960420000000005</v>
      </c>
      <c r="N1108">
        <v>0</v>
      </c>
      <c r="O1108">
        <v>2.5970010000000002E-2</v>
      </c>
      <c r="P1108">
        <v>-0.98853489999999999</v>
      </c>
      <c r="Q1108">
        <v>0.104646</v>
      </c>
      <c r="R1108">
        <v>0.10885</v>
      </c>
      <c r="S1108">
        <v>-2.9422760000000001</v>
      </c>
      <c r="T1108">
        <v>0.50009539999999997</v>
      </c>
      <c r="U1108">
        <v>0.35707090000000002</v>
      </c>
      <c r="V1108">
        <v>8.3960389999999996E-2</v>
      </c>
      <c r="W1108">
        <v>0.1147695</v>
      </c>
      <c r="X1108">
        <v>0.98983759999999998</v>
      </c>
      <c r="Y1108">
        <v>9.3695239999999999E-2</v>
      </c>
      <c r="Z1108">
        <v>-3.5124869999999999E-3</v>
      </c>
      <c r="AA1108">
        <v>0.99559470000000005</v>
      </c>
      <c r="AB1108">
        <v>26</v>
      </c>
      <c r="AC1108">
        <v>-239.2338</v>
      </c>
      <c r="AD1108">
        <v>40.709353</v>
      </c>
      <c r="AE1108">
        <v>29.055999999999901</v>
      </c>
      <c r="AF1108">
        <v>22.1994610415205</v>
      </c>
      <c r="AG1108">
        <v>40.709353</v>
      </c>
      <c r="AH1108">
        <v>233.25180080780601</v>
      </c>
      <c r="AI1108">
        <v>80.143565475012295</v>
      </c>
      <c r="AJ1108">
        <v>84.563318528523396</v>
      </c>
      <c r="AK1108">
        <v>237.81604250406801</v>
      </c>
      <c r="AL1108">
        <v>83.409669190290501</v>
      </c>
      <c r="AM1108">
        <v>85.151640593547796</v>
      </c>
      <c r="AN1108">
        <v>0.999999929796478</v>
      </c>
    </row>
    <row r="1109" spans="1:40" x14ac:dyDescent="0.3">
      <c r="A1109" t="str">
        <f>"20200111150332950"</f>
        <v>20200111150332950</v>
      </c>
      <c r="B1109" t="str">
        <f>"1578726212939739"</f>
        <v>1578726212939739</v>
      </c>
      <c r="C1109" t="s">
        <v>40</v>
      </c>
      <c r="D1109">
        <v>6.0529519999999897</v>
      </c>
      <c r="E1109">
        <v>0.50625719999999996</v>
      </c>
      <c r="F1109" t="s">
        <v>62</v>
      </c>
      <c r="G1109">
        <v>-459.875</v>
      </c>
      <c r="H1109">
        <v>42.754939999999998</v>
      </c>
      <c r="I1109">
        <v>168.2347</v>
      </c>
      <c r="J1109">
        <v>-220.8973</v>
      </c>
      <c r="K1109">
        <v>1.1012120000000001</v>
      </c>
      <c r="L1109">
        <v>140.37020000000001</v>
      </c>
      <c r="M1109">
        <v>-0.99949429999999995</v>
      </c>
      <c r="N1109">
        <v>0</v>
      </c>
      <c r="O1109">
        <v>2.9897980000000001E-2</v>
      </c>
      <c r="P1109">
        <v>-0.98846880000000004</v>
      </c>
      <c r="Q1109">
        <v>0.1036961</v>
      </c>
      <c r="R1109">
        <v>0.1103485</v>
      </c>
      <c r="S1109">
        <v>-2.9427949999999998</v>
      </c>
      <c r="T1109">
        <v>0.51237949999999999</v>
      </c>
      <c r="U1109">
        <v>0.34289550000000002</v>
      </c>
      <c r="V1109">
        <v>8.1544989999999998E-2</v>
      </c>
      <c r="W1109">
        <v>0.1138647</v>
      </c>
      <c r="X1109">
        <v>0.99014409999999997</v>
      </c>
      <c r="Y1109">
        <v>8.5166980000000003E-2</v>
      </c>
      <c r="Z1109">
        <v>-2.1874920000000001E-3</v>
      </c>
      <c r="AA1109">
        <v>0.99636429999999998</v>
      </c>
      <c r="AB1109">
        <v>26</v>
      </c>
      <c r="AC1109">
        <v>-238.9777</v>
      </c>
      <c r="AD1109">
        <v>41.653728000000001</v>
      </c>
      <c r="AE1109">
        <v>27.8644999999999</v>
      </c>
      <c r="AF1109">
        <v>20.104094889155299</v>
      </c>
      <c r="AG1109">
        <v>41.653728000000001</v>
      </c>
      <c r="AH1109">
        <v>232.72845368770399</v>
      </c>
      <c r="AI1109">
        <v>79.889518824378996</v>
      </c>
      <c r="AJ1109">
        <v>85.062798194435999</v>
      </c>
      <c r="AK1109">
        <v>237.27987871600101</v>
      </c>
      <c r="AL1109">
        <v>83.461853284599698</v>
      </c>
      <c r="AM1109">
        <v>85.291934451010704</v>
      </c>
      <c r="AN1109">
        <v>1.0000000470324899</v>
      </c>
    </row>
    <row r="1110" spans="1:40" x14ac:dyDescent="0.3">
      <c r="A1110" t="str">
        <f>"20200111150333711"</f>
        <v>20200111150333711</v>
      </c>
      <c r="B1110" t="str">
        <f>"1578726213699625"</f>
        <v>1578726213699625</v>
      </c>
      <c r="C1110" t="s">
        <v>40</v>
      </c>
      <c r="D1110">
        <v>5.6894470000000004</v>
      </c>
      <c r="E1110">
        <v>0.43954460000000001</v>
      </c>
      <c r="F1110" t="s">
        <v>62</v>
      </c>
      <c r="G1110">
        <v>-459.58620000000002</v>
      </c>
      <c r="H1110">
        <v>40.173070000000003</v>
      </c>
      <c r="I1110">
        <v>171.07820000000001</v>
      </c>
      <c r="J1110">
        <v>-229.91220000000001</v>
      </c>
      <c r="K1110">
        <v>1.106598</v>
      </c>
      <c r="L1110">
        <v>141.05350000000001</v>
      </c>
      <c r="M1110">
        <v>-0.99792510000000001</v>
      </c>
      <c r="N1110">
        <v>0</v>
      </c>
      <c r="O1110">
        <v>6.3459509999999997E-2</v>
      </c>
      <c r="P1110">
        <v>-0.99315940000000003</v>
      </c>
      <c r="Q1110">
        <v>9.8468860000000005E-2</v>
      </c>
      <c r="R1110">
        <v>6.2760159999999995E-2</v>
      </c>
      <c r="S1110">
        <v>-2.942215</v>
      </c>
      <c r="T1110">
        <v>0.48162199999999999</v>
      </c>
      <c r="U1110">
        <v>0.37852479999999999</v>
      </c>
      <c r="V1110">
        <v>-1.0857149999999999E-3</v>
      </c>
      <c r="W1110">
        <v>0.1092962</v>
      </c>
      <c r="X1110">
        <v>0.99400860000000002</v>
      </c>
      <c r="Y1110">
        <v>6.4386699999999894E-2</v>
      </c>
      <c r="Z1110">
        <v>5.0488109999999899E-3</v>
      </c>
      <c r="AA1110">
        <v>0.99791220000000003</v>
      </c>
      <c r="AB1110">
        <v>27</v>
      </c>
      <c r="AC1110">
        <v>-229.67400000000001</v>
      </c>
      <c r="AD1110">
        <v>39.066471999999997</v>
      </c>
      <c r="AE1110">
        <v>30.024699999999999</v>
      </c>
      <c r="AF1110">
        <v>14.9626805586005</v>
      </c>
      <c r="AG1110">
        <v>39.066471999999997</v>
      </c>
      <c r="AH1110">
        <v>224.72392342736299</v>
      </c>
      <c r="AI1110">
        <v>80.159501344686106</v>
      </c>
      <c r="AJ1110">
        <v>86.190726267794801</v>
      </c>
      <c r="AK1110">
        <v>228.58458566712801</v>
      </c>
      <c r="AL1110">
        <v>83.725253610687503</v>
      </c>
      <c r="AM1110">
        <v>90.062581815203401</v>
      </c>
      <c r="AN1110">
        <v>0.99999996749273001</v>
      </c>
    </row>
    <row r="1111" spans="1:40" x14ac:dyDescent="0.3">
      <c r="A1111" t="str">
        <f>"20200111150333732"</f>
        <v>20200111150333732</v>
      </c>
      <c r="B1111" t="str">
        <f>"1578726213728904"</f>
        <v>1578726213728904</v>
      </c>
      <c r="C1111" t="s">
        <v>40</v>
      </c>
      <c r="D1111">
        <v>5.7503909999999996</v>
      </c>
      <c r="E1111">
        <v>0.43769659999999999</v>
      </c>
      <c r="F1111" t="s">
        <v>41</v>
      </c>
      <c r="G1111">
        <v>-247.80170000000001</v>
      </c>
      <c r="H1111" s="1">
        <v>-9.7109980000000002E-7</v>
      </c>
      <c r="I1111">
        <v>139.3586</v>
      </c>
      <c r="J1111">
        <v>-230.16990000000001</v>
      </c>
      <c r="K1111">
        <v>1.106598</v>
      </c>
      <c r="L1111">
        <v>141.06610000000001</v>
      </c>
      <c r="M1111">
        <v>-0.9981411</v>
      </c>
      <c r="N1111">
        <v>0</v>
      </c>
      <c r="O1111">
        <v>5.9973579999999999E-2</v>
      </c>
      <c r="P1111">
        <v>-0.99321720000000002</v>
      </c>
      <c r="Q1111">
        <v>9.7853330000000002E-2</v>
      </c>
      <c r="R1111">
        <v>6.2806310000000004E-2</v>
      </c>
      <c r="S1111">
        <v>-3.057709</v>
      </c>
      <c r="T1111">
        <v>-0.18914259999999999</v>
      </c>
      <c r="U1111">
        <v>-0.2896881</v>
      </c>
      <c r="V1111">
        <v>2.4327810000000002E-3</v>
      </c>
      <c r="W1111">
        <v>0.10866679999999999</v>
      </c>
      <c r="X1111">
        <v>0.99407520000000005</v>
      </c>
      <c r="Y1111">
        <v>-0.15345309999999901</v>
      </c>
      <c r="Z1111">
        <v>-8.4302289999999992E-3</v>
      </c>
      <c r="AA1111">
        <v>0.98812</v>
      </c>
      <c r="AB1111">
        <v>27</v>
      </c>
      <c r="AC1111">
        <v>-17.631799999999998</v>
      </c>
      <c r="AD1111">
        <v>-1.1065989710998001</v>
      </c>
      <c r="AE1111">
        <v>-1.70750000000001</v>
      </c>
      <c r="AF1111">
        <v>-2.7511940885051298</v>
      </c>
      <c r="AG1111">
        <v>-1.1065989710998001</v>
      </c>
      <c r="AH1111">
        <v>17.429629887369199</v>
      </c>
      <c r="AI1111">
        <v>93.588495113340997</v>
      </c>
      <c r="AJ1111">
        <v>98.969891612428299</v>
      </c>
      <c r="AK1111">
        <v>17.680091295186799</v>
      </c>
      <c r="AL1111">
        <v>83.761531531310993</v>
      </c>
      <c r="AM1111">
        <v>89.859781427494497</v>
      </c>
      <c r="AN1111">
        <v>0.99999994755033506</v>
      </c>
    </row>
    <row r="1112" spans="1:40" x14ac:dyDescent="0.3">
      <c r="A1112" t="str">
        <f>"20200111150333755"</f>
        <v>20200111150333755</v>
      </c>
      <c r="B1112" t="str">
        <f>"1578726213749401"</f>
        <v>1578726213749401</v>
      </c>
      <c r="C1112" t="s">
        <v>40</v>
      </c>
      <c r="D1112">
        <v>5.7274190000000003</v>
      </c>
      <c r="E1112">
        <v>0.43841330000000001</v>
      </c>
      <c r="F1112" t="s">
        <v>41</v>
      </c>
      <c r="G1112">
        <v>-248.05779999999999</v>
      </c>
      <c r="H1112" s="1">
        <v>-8.7409909999999898E-7</v>
      </c>
      <c r="I1112">
        <v>139.286</v>
      </c>
      <c r="J1112">
        <v>-230.43969999999999</v>
      </c>
      <c r="K1112">
        <v>1.1065830000000001</v>
      </c>
      <c r="L1112">
        <v>141.07839999999999</v>
      </c>
      <c r="M1112">
        <v>-0.99835320000000005</v>
      </c>
      <c r="N1112">
        <v>0</v>
      </c>
      <c r="O1112">
        <v>5.6336190000000001E-2</v>
      </c>
      <c r="P1112">
        <v>-0.99334990000000001</v>
      </c>
      <c r="Q1112">
        <v>9.5766169999999998E-2</v>
      </c>
      <c r="R1112">
        <v>6.3912339999999998E-2</v>
      </c>
      <c r="S1112">
        <v>-3.0583800000000001</v>
      </c>
      <c r="T1112">
        <v>-0.18920090000000001</v>
      </c>
      <c r="U1112">
        <v>-0.30435180000000001</v>
      </c>
      <c r="V1112">
        <v>7.1692759999999996E-3</v>
      </c>
      <c r="W1112">
        <v>0.10657610000000001</v>
      </c>
      <c r="X1112">
        <v>0.99427869999999996</v>
      </c>
      <c r="Y1112">
        <v>-0.15453059999999999</v>
      </c>
      <c r="Z1112">
        <v>-8.2380790000000006E-3</v>
      </c>
      <c r="AA1112">
        <v>0.98795370000000005</v>
      </c>
      <c r="AB1112">
        <v>27</v>
      </c>
      <c r="AC1112">
        <v>-17.618099999999998</v>
      </c>
      <c r="AD1112">
        <v>-1.1065838740991001</v>
      </c>
      <c r="AE1112">
        <v>-1.79239999999998</v>
      </c>
      <c r="AF1112">
        <v>-2.7713268612914201</v>
      </c>
      <c r="AG1112">
        <v>-1.1065838740991001</v>
      </c>
      <c r="AH1112">
        <v>17.421110948625302</v>
      </c>
      <c r="AI1112">
        <v>93.589514108085694</v>
      </c>
      <c r="AJ1112">
        <v>99.038797907233601</v>
      </c>
      <c r="AK1112">
        <v>17.6748376831824</v>
      </c>
      <c r="AL1112">
        <v>83.882019960895093</v>
      </c>
      <c r="AM1112">
        <v>89.586874245302198</v>
      </c>
      <c r="AN1112">
        <v>0.99999999844163201</v>
      </c>
    </row>
    <row r="1113" spans="1:40" x14ac:dyDescent="0.3">
      <c r="A1113" t="str">
        <f>"20200111150333777"</f>
        <v>20200111150333777</v>
      </c>
      <c r="B1113" t="str">
        <f>"1578726213768921"</f>
        <v>1578726213768921</v>
      </c>
      <c r="C1113" t="s">
        <v>40</v>
      </c>
      <c r="D1113">
        <v>5.7340059999999999</v>
      </c>
      <c r="E1113">
        <v>0.43805870000000002</v>
      </c>
      <c r="F1113" t="s">
        <v>41</v>
      </c>
      <c r="G1113">
        <v>-247.30080000000001</v>
      </c>
      <c r="H1113" s="1">
        <v>-1.169264E-6</v>
      </c>
      <c r="I1113">
        <v>139.4528</v>
      </c>
      <c r="J1113">
        <v>-230.70269999999999</v>
      </c>
      <c r="K1113">
        <v>1.1065609999999999</v>
      </c>
      <c r="L1113">
        <v>141.08940000000001</v>
      </c>
      <c r="M1113">
        <v>-0.99854620000000005</v>
      </c>
      <c r="N1113">
        <v>0</v>
      </c>
      <c r="O1113">
        <v>5.2813449999999998E-2</v>
      </c>
      <c r="P1113">
        <v>-0.99357119999999999</v>
      </c>
      <c r="Q1113">
        <v>9.3390169999999995E-2</v>
      </c>
      <c r="R1113">
        <v>6.3988939999999994E-2</v>
      </c>
      <c r="S1113">
        <v>-3.058395</v>
      </c>
      <c r="T1113">
        <v>-0.20072139999999999</v>
      </c>
      <c r="U1113">
        <v>-0.29484559999999999</v>
      </c>
      <c r="V1113">
        <v>1.076296E-2</v>
      </c>
      <c r="W1113">
        <v>0.10419340000000001</v>
      </c>
      <c r="X1113">
        <v>0.99449880000000002</v>
      </c>
      <c r="Y1113">
        <v>-0.14797080000000001</v>
      </c>
      <c r="Z1113">
        <v>-8.2948469999999993E-3</v>
      </c>
      <c r="AA1113">
        <v>0.98895690000000003</v>
      </c>
      <c r="AB1113">
        <v>27</v>
      </c>
      <c r="AC1113">
        <v>-16.598099999999999</v>
      </c>
      <c r="AD1113">
        <v>-1.106562169264</v>
      </c>
      <c r="AE1113">
        <v>-1.63660000000001</v>
      </c>
      <c r="AF1113">
        <v>-2.4999651461557399</v>
      </c>
      <c r="AG1113">
        <v>-1.106562169264</v>
      </c>
      <c r="AH1113">
        <v>16.4162320046422</v>
      </c>
      <c r="AI1113">
        <v>93.8124572204608</v>
      </c>
      <c r="AJ1113">
        <v>98.658828130113093</v>
      </c>
      <c r="AK1113">
        <v>16.642324921617099</v>
      </c>
      <c r="AL1113">
        <v>84.019303023370398</v>
      </c>
      <c r="AM1113">
        <v>89.379940821894294</v>
      </c>
      <c r="AN1113">
        <v>0.99999998455647998</v>
      </c>
    </row>
    <row r="1114" spans="1:40" x14ac:dyDescent="0.3">
      <c r="A1114" t="str">
        <f>"20200111150333866"</f>
        <v>20200111150333866</v>
      </c>
      <c r="B1114" t="str">
        <f>"1578726213859690"</f>
        <v>1578726213859690</v>
      </c>
      <c r="C1114" t="s">
        <v>40</v>
      </c>
      <c r="D1114">
        <v>5.7871519999999999</v>
      </c>
      <c r="E1114">
        <v>0.43805870000000002</v>
      </c>
      <c r="F1114" t="s">
        <v>41</v>
      </c>
      <c r="G1114">
        <v>-246.7758</v>
      </c>
      <c r="H1114" s="1">
        <v>-1.3804660000000001E-6</v>
      </c>
      <c r="I1114">
        <v>139.5317</v>
      </c>
      <c r="J1114">
        <v>-231.7758</v>
      </c>
      <c r="K1114">
        <v>1.106533</v>
      </c>
      <c r="L1114">
        <v>141.125</v>
      </c>
      <c r="M1114">
        <v>-0.99919380000000002</v>
      </c>
      <c r="N1114">
        <v>0</v>
      </c>
      <c r="O1114">
        <v>3.8700409999999998E-2</v>
      </c>
      <c r="P1114">
        <v>-0.99409590000000003</v>
      </c>
      <c r="Q1114">
        <v>9.4831170000000006E-2</v>
      </c>
      <c r="R1114">
        <v>5.2732710000000002E-2</v>
      </c>
      <c r="S1114">
        <v>-3.0582729999999998</v>
      </c>
      <c r="T1114">
        <v>-0.21054800000000001</v>
      </c>
      <c r="U1114">
        <v>-0.29637150000000001</v>
      </c>
      <c r="V1114">
        <v>1.3559760000000001E-2</v>
      </c>
      <c r="W1114">
        <v>0.10555009999999999</v>
      </c>
      <c r="X1114">
        <v>0.99432149999999997</v>
      </c>
      <c r="Y1114">
        <v>-0.1344996</v>
      </c>
      <c r="Z1114">
        <v>-7.2694909999999899E-3</v>
      </c>
      <c r="AA1114">
        <v>0.99088699999999996</v>
      </c>
      <c r="AB1114">
        <v>27</v>
      </c>
      <c r="AC1114">
        <v>-15</v>
      </c>
      <c r="AD1114">
        <v>-1.1065343804659999</v>
      </c>
      <c r="AE1114">
        <v>-1.5932999999999899</v>
      </c>
      <c r="AF1114">
        <v>-2.1610167610410902</v>
      </c>
      <c r="AG1114">
        <v>-1.1065343804659999</v>
      </c>
      <c r="AH1114">
        <v>14.8472017641371</v>
      </c>
      <c r="AI1114">
        <v>94.2179864304386</v>
      </c>
      <c r="AJ1114">
        <v>98.281273314033797</v>
      </c>
      <c r="AK1114">
        <v>15.044394703730999</v>
      </c>
      <c r="AL1114">
        <v>83.941138714739196</v>
      </c>
      <c r="AM1114">
        <v>89.218694494013207</v>
      </c>
      <c r="AN1114">
        <v>0.99999996803175795</v>
      </c>
    </row>
    <row r="1115" spans="1:40" x14ac:dyDescent="0.3">
      <c r="A1115" t="str">
        <f>"20200111150333922"</f>
        <v>20200111150333922</v>
      </c>
      <c r="B1115" t="str">
        <f>"1578726213919225"</f>
        <v>1578726213919225</v>
      </c>
      <c r="C1115" t="s">
        <v>40</v>
      </c>
      <c r="D1115">
        <v>5.6431930000000001</v>
      </c>
      <c r="E1115">
        <v>0.46283410000000003</v>
      </c>
      <c r="F1115" t="s">
        <v>41</v>
      </c>
      <c r="G1115">
        <v>-248.1857</v>
      </c>
      <c r="H1115" s="1">
        <v>-8.0857550000000004E-7</v>
      </c>
      <c r="I1115">
        <v>139.346</v>
      </c>
      <c r="J1115">
        <v>-232.44290000000001</v>
      </c>
      <c r="K1115">
        <v>1.1065160000000001</v>
      </c>
      <c r="L1115">
        <v>141.1395</v>
      </c>
      <c r="M1115">
        <v>-0.99949200000000005</v>
      </c>
      <c r="N1115">
        <v>0</v>
      </c>
      <c r="O1115">
        <v>3.0037749999999998E-2</v>
      </c>
      <c r="P1115">
        <v>-0.99433640000000001</v>
      </c>
      <c r="Q1115">
        <v>9.6762760000000003E-2</v>
      </c>
      <c r="R1115">
        <v>4.3958110000000002E-2</v>
      </c>
      <c r="S1115">
        <v>-3.0550380000000001</v>
      </c>
      <c r="T1115">
        <v>-0.2060041</v>
      </c>
      <c r="U1115">
        <v>-0.33117679999999999</v>
      </c>
      <c r="V1115">
        <v>1.34014999999999E-2</v>
      </c>
      <c r="W1115">
        <v>0.10744040000000001</v>
      </c>
      <c r="X1115">
        <v>0.99412120000000004</v>
      </c>
      <c r="Y1115">
        <v>-0.13721220000000001</v>
      </c>
      <c r="Z1115">
        <v>-6.6254720000000003E-3</v>
      </c>
      <c r="AA1115">
        <v>0.9905195</v>
      </c>
      <c r="AB1115">
        <v>27</v>
      </c>
      <c r="AC1115">
        <v>-15.7427999999999</v>
      </c>
      <c r="AD1115">
        <v>-1.1065168085754999</v>
      </c>
      <c r="AE1115">
        <v>-1.7934999999999901</v>
      </c>
      <c r="AF1115">
        <v>-2.2546000841985001</v>
      </c>
      <c r="AG1115">
        <v>-1.1065168085754999</v>
      </c>
      <c r="AH1115">
        <v>15.6057108689148</v>
      </c>
      <c r="AI1115">
        <v>94.014208833289899</v>
      </c>
      <c r="AJ1115">
        <v>98.220798314554301</v>
      </c>
      <c r="AK1115">
        <v>15.806511718639699</v>
      </c>
      <c r="AL1115">
        <v>83.832213243134802</v>
      </c>
      <c r="AM1115">
        <v>89.227656667722201</v>
      </c>
      <c r="AN1115">
        <v>1.00000000002192</v>
      </c>
    </row>
    <row r="1116" spans="1:40" x14ac:dyDescent="0.3">
      <c r="A1116" t="str">
        <f>"20200111150333943"</f>
        <v>20200111150333943</v>
      </c>
      <c r="B1116" t="str">
        <f>"1578726213939721"</f>
        <v>1578726213939721</v>
      </c>
      <c r="C1116" t="s">
        <v>40</v>
      </c>
      <c r="D1116">
        <v>5.6498290000000004</v>
      </c>
      <c r="E1116">
        <v>0.46381020000000001</v>
      </c>
      <c r="F1116" t="s">
        <v>41</v>
      </c>
      <c r="G1116">
        <v>-250.10730000000001</v>
      </c>
      <c r="H1116" s="1">
        <v>-4.3471439999999998E-6</v>
      </c>
      <c r="I1116">
        <v>140.22299999999899</v>
      </c>
      <c r="J1116">
        <v>-232.70740000000001</v>
      </c>
      <c r="K1116">
        <v>1.106509</v>
      </c>
      <c r="L1116">
        <v>141.1437</v>
      </c>
      <c r="M1116">
        <v>-0.99958919999999996</v>
      </c>
      <c r="N1116">
        <v>0</v>
      </c>
      <c r="O1116">
        <v>2.6618429999999998E-2</v>
      </c>
      <c r="P1116">
        <v>-0.99440050000000002</v>
      </c>
      <c r="Q1116">
        <v>9.7236379999999997E-2</v>
      </c>
      <c r="R1116">
        <v>4.1387029999999998E-2</v>
      </c>
      <c r="S1116">
        <v>-3.042618</v>
      </c>
      <c r="T1116">
        <v>-0.1905945</v>
      </c>
      <c r="U1116">
        <v>-0.1578522</v>
      </c>
      <c r="V1116">
        <v>1.4232109999999999E-2</v>
      </c>
      <c r="W1116">
        <v>0.1079069</v>
      </c>
      <c r="X1116">
        <v>0.99405909999999997</v>
      </c>
      <c r="Y1116">
        <v>-7.8171610000000002E-2</v>
      </c>
      <c r="Z1116">
        <v>-4.1092680000000001E-3</v>
      </c>
      <c r="AA1116">
        <v>0.99693140000000002</v>
      </c>
      <c r="AB1116">
        <v>27</v>
      </c>
      <c r="AC1116">
        <v>-17.399899999999999</v>
      </c>
      <c r="AD1116">
        <v>-1.1065133471439901</v>
      </c>
      <c r="AE1116">
        <v>-0.92070000000000995</v>
      </c>
      <c r="AF1116">
        <v>-1.3780007075863501</v>
      </c>
      <c r="AG1116">
        <v>-1.1065133471439901</v>
      </c>
      <c r="AH1116">
        <v>17.299459894027098</v>
      </c>
      <c r="AI1116">
        <v>93.648260168367798</v>
      </c>
      <c r="AJ1116">
        <v>94.554319632095499</v>
      </c>
      <c r="AK1116">
        <v>17.389495977818498</v>
      </c>
      <c r="AL1116">
        <v>83.805328294427994</v>
      </c>
      <c r="AM1116">
        <v>89.179742807256403</v>
      </c>
      <c r="AN1116">
        <v>0.99999997315773503</v>
      </c>
    </row>
    <row r="1117" spans="1:40" x14ac:dyDescent="0.3">
      <c r="A1117" t="str">
        <f>"20200111150333966"</f>
        <v>20200111150333966</v>
      </c>
      <c r="B1117" t="str">
        <f>"1578726213959240"</f>
        <v>1578726213959240</v>
      </c>
      <c r="C1117" t="s">
        <v>40</v>
      </c>
      <c r="D1117">
        <v>5.6471119999999999</v>
      </c>
      <c r="E1117">
        <v>0.46441640000000001</v>
      </c>
      <c r="F1117" t="s">
        <v>41</v>
      </c>
      <c r="G1117">
        <v>-249.60040000000001</v>
      </c>
      <c r="H1117" s="1">
        <v>-3.2814280000000002E-7</v>
      </c>
      <c r="I1117">
        <v>140.27170000000001</v>
      </c>
      <c r="J1117">
        <v>-232.9863</v>
      </c>
      <c r="K1117">
        <v>1.1065</v>
      </c>
      <c r="L1117">
        <v>141.1472</v>
      </c>
      <c r="M1117">
        <v>-0.99967810000000001</v>
      </c>
      <c r="N1117">
        <v>0</v>
      </c>
      <c r="O1117">
        <v>2.30344E-2</v>
      </c>
      <c r="P1117">
        <v>-0.99445399999999995</v>
      </c>
      <c r="Q1117">
        <v>9.7972569999999995E-2</v>
      </c>
      <c r="R1117">
        <v>3.8244899999999998E-2</v>
      </c>
      <c r="S1117">
        <v>-3.0429379999999999</v>
      </c>
      <c r="T1117">
        <v>-0.1993161</v>
      </c>
      <c r="U1117">
        <v>-0.15707399999999999</v>
      </c>
      <c r="V1117">
        <v>1.465578E-2</v>
      </c>
      <c r="W1117">
        <v>0.10863399999999999</v>
      </c>
      <c r="X1117">
        <v>0.99397380000000002</v>
      </c>
      <c r="Y1117">
        <v>-7.4333800000000005E-2</v>
      </c>
      <c r="Z1117">
        <v>-3.936635E-3</v>
      </c>
      <c r="AA1117">
        <v>0.99722560000000005</v>
      </c>
      <c r="AB1117">
        <v>27</v>
      </c>
      <c r="AC1117">
        <v>-16.614100000000001</v>
      </c>
      <c r="AD1117">
        <v>-1.1065003281428001</v>
      </c>
      <c r="AE1117">
        <v>-0.87549999999998795</v>
      </c>
      <c r="AF1117">
        <v>-1.25244522579364</v>
      </c>
      <c r="AG1117">
        <v>-1.1065003281428001</v>
      </c>
      <c r="AH1117">
        <v>16.516466499631001</v>
      </c>
      <c r="AI1117">
        <v>93.821793401275599</v>
      </c>
      <c r="AJ1117">
        <v>94.336445303645903</v>
      </c>
      <c r="AK1117">
        <v>16.600802018373301</v>
      </c>
      <c r="AL1117">
        <v>83.763422518767399</v>
      </c>
      <c r="AM1117">
        <v>89.155255908229904</v>
      </c>
      <c r="AN1117">
        <v>1.00000002646492</v>
      </c>
    </row>
    <row r="1118" spans="1:40" x14ac:dyDescent="0.3">
      <c r="A1118" t="str">
        <f>"20200111150333988"</f>
        <v>20200111150333988</v>
      </c>
      <c r="B1118" t="str">
        <f>"1578726213979736"</f>
        <v>1578726213979736</v>
      </c>
      <c r="C1118" t="s">
        <v>40</v>
      </c>
      <c r="D1118">
        <v>5.6662540000000003</v>
      </c>
      <c r="E1118">
        <v>0.46447450000000001</v>
      </c>
      <c r="F1118" t="s">
        <v>41</v>
      </c>
      <c r="G1118">
        <v>-251.0076</v>
      </c>
      <c r="H1118" s="1">
        <v>-3.9923919999999999E-6</v>
      </c>
      <c r="I1118">
        <v>140.18889999999999</v>
      </c>
      <c r="J1118">
        <v>-233.2593</v>
      </c>
      <c r="K1118">
        <v>1.106474</v>
      </c>
      <c r="L1118">
        <v>141.1497</v>
      </c>
      <c r="M1118">
        <v>-0.99975199999999997</v>
      </c>
      <c r="N1118">
        <v>0</v>
      </c>
      <c r="O1118">
        <v>1.9573759999999999E-2</v>
      </c>
      <c r="P1118">
        <v>-0.99453179999999997</v>
      </c>
      <c r="Q1118">
        <v>9.8311380000000004E-2</v>
      </c>
      <c r="R1118">
        <v>3.523395E-2</v>
      </c>
      <c r="S1118">
        <v>-3.0413510000000001</v>
      </c>
      <c r="T1118">
        <v>-0.18673899999999999</v>
      </c>
      <c r="U1118">
        <v>-0.16172790000000001</v>
      </c>
      <c r="V1118">
        <v>1.5092650000000001E-2</v>
      </c>
      <c r="W1118">
        <v>0.1089692</v>
      </c>
      <c r="X1118">
        <v>0.99393050000000005</v>
      </c>
      <c r="Y1118">
        <v>-7.2465489999999994E-2</v>
      </c>
      <c r="Z1118">
        <v>-3.4210529999999999E-3</v>
      </c>
      <c r="AA1118">
        <v>0.9973651</v>
      </c>
      <c r="AB1118">
        <v>27</v>
      </c>
      <c r="AC1118">
        <v>-17.7483</v>
      </c>
      <c r="AD1118">
        <v>-1.1064779923920001</v>
      </c>
      <c r="AE1118">
        <v>-0.96080000000000598</v>
      </c>
      <c r="AF1118">
        <v>-1.3029870483983299</v>
      </c>
      <c r="AG1118">
        <v>-1.1064779923920001</v>
      </c>
      <c r="AH1118">
        <v>17.657663700923901</v>
      </c>
      <c r="AI1118">
        <v>93.575926350569006</v>
      </c>
      <c r="AJ1118">
        <v>94.220297539468802</v>
      </c>
      <c r="AK1118">
        <v>17.740212968588299</v>
      </c>
      <c r="AL1118">
        <v>83.744101841010504</v>
      </c>
      <c r="AM1118">
        <v>89.130041092452501</v>
      </c>
      <c r="AN1118">
        <v>0.99999995673145503</v>
      </c>
    </row>
    <row r="1119" spans="1:40" x14ac:dyDescent="0.3">
      <c r="A1119" t="str">
        <f>"20200111150334011"</f>
        <v>20200111150334011</v>
      </c>
      <c r="B1119" t="str">
        <f>"1578726214009993"</f>
        <v>1578726214009993</v>
      </c>
      <c r="C1119" t="s">
        <v>40</v>
      </c>
      <c r="D1119">
        <v>5.642728</v>
      </c>
      <c r="E1119">
        <v>0.46469240000000001</v>
      </c>
      <c r="F1119" t="s">
        <v>41</v>
      </c>
      <c r="G1119">
        <v>-251.54939999999999</v>
      </c>
      <c r="H1119" s="1">
        <v>-3.7420279999999998E-6</v>
      </c>
      <c r="I1119">
        <v>140.12139999999999</v>
      </c>
      <c r="J1119">
        <v>-233.53190000000001</v>
      </c>
      <c r="K1119">
        <v>1.106411</v>
      </c>
      <c r="L1119">
        <v>141.1514</v>
      </c>
      <c r="M1119">
        <v>-0.99981220000000004</v>
      </c>
      <c r="N1119">
        <v>0</v>
      </c>
      <c r="O1119">
        <v>1.6211630000000001E-2</v>
      </c>
      <c r="P1119">
        <v>-0.99461690000000003</v>
      </c>
      <c r="Q1119">
        <v>9.8510340000000002E-2</v>
      </c>
      <c r="R1119">
        <v>3.214409E-2</v>
      </c>
      <c r="S1119">
        <v>-3.0407410000000001</v>
      </c>
      <c r="T1119">
        <v>-0.1839538</v>
      </c>
      <c r="U1119">
        <v>-0.17094419999999999</v>
      </c>
      <c r="V1119">
        <v>1.5360830000000001E-2</v>
      </c>
      <c r="W1119">
        <v>0.1091678</v>
      </c>
      <c r="X1119">
        <v>0.99390469999999997</v>
      </c>
      <c r="Y1119">
        <v>-7.2147859999999994E-2</v>
      </c>
      <c r="Z1119">
        <v>-3.1578460000000002E-3</v>
      </c>
      <c r="AA1119">
        <v>0.99738899999999997</v>
      </c>
      <c r="AB1119">
        <v>27</v>
      </c>
      <c r="AC1119">
        <v>-18.017499999999899</v>
      </c>
      <c r="AD1119">
        <v>-1.1064147420279999</v>
      </c>
      <c r="AE1119">
        <v>-1.03</v>
      </c>
      <c r="AF1119">
        <v>-1.3170239274004101</v>
      </c>
      <c r="AG1119">
        <v>-1.1064147420279999</v>
      </c>
      <c r="AH1119">
        <v>17.9310368255728</v>
      </c>
      <c r="AI1119">
        <v>93.521433933953404</v>
      </c>
      <c r="AJ1119">
        <v>94.200797389988693</v>
      </c>
      <c r="AK1119">
        <v>18.013350250488401</v>
      </c>
      <c r="AL1119">
        <v>83.732655245475101</v>
      </c>
      <c r="AM1119">
        <v>89.1145623267345</v>
      </c>
      <c r="AN1119">
        <v>1.0000000581685999</v>
      </c>
    </row>
    <row r="1120" spans="1:40" x14ac:dyDescent="0.3">
      <c r="A1120" t="str">
        <f>"20200111150334032"</f>
        <v>20200111150334032</v>
      </c>
      <c r="B1120" t="str">
        <f>"1578726214029513"</f>
        <v>1578726214029513</v>
      </c>
      <c r="C1120" t="s">
        <v>40</v>
      </c>
      <c r="D1120">
        <v>5.6005770000000004</v>
      </c>
      <c r="E1120">
        <v>0.46523130000000001</v>
      </c>
      <c r="F1120" t="s">
        <v>41</v>
      </c>
      <c r="G1120">
        <v>-251.90190000000001</v>
      </c>
      <c r="H1120" s="1">
        <v>-3.5764659999999999E-6</v>
      </c>
      <c r="I1120">
        <v>140.0676</v>
      </c>
      <c r="J1120">
        <v>-233.7927</v>
      </c>
      <c r="K1120">
        <v>1.106322</v>
      </c>
      <c r="L1120">
        <v>141.15219999999999</v>
      </c>
      <c r="M1120">
        <v>-0.99985749999999995</v>
      </c>
      <c r="N1120">
        <v>0</v>
      </c>
      <c r="O1120">
        <v>1.311497E-2</v>
      </c>
      <c r="P1120">
        <v>-0.99481459999999999</v>
      </c>
      <c r="Q1120">
        <v>9.7911880000000007E-2</v>
      </c>
      <c r="R1120">
        <v>2.751226E-2</v>
      </c>
      <c r="S1120">
        <v>-3.0401760000000002</v>
      </c>
      <c r="T1120">
        <v>-0.18310870000000001</v>
      </c>
      <c r="U1120">
        <v>-0.17935179999999901</v>
      </c>
      <c r="V1120">
        <v>1.383292E-2</v>
      </c>
      <c r="W1120">
        <v>0.10855869999999999</v>
      </c>
      <c r="X1120">
        <v>0.99399380000000004</v>
      </c>
      <c r="Y1120">
        <v>-7.1825970000000003E-2</v>
      </c>
      <c r="Z1120">
        <v>-2.9478109999999998E-3</v>
      </c>
      <c r="AA1120">
        <v>0.99741279999999999</v>
      </c>
      <c r="AB1120">
        <v>27</v>
      </c>
      <c r="AC1120">
        <v>-18.109200000000001</v>
      </c>
      <c r="AD1120">
        <v>-1.1063255764659901</v>
      </c>
      <c r="AE1120">
        <v>-1.08459999999999</v>
      </c>
      <c r="AF1120">
        <v>-1.3171235145402</v>
      </c>
      <c r="AG1120">
        <v>-1.1063255764659901</v>
      </c>
      <c r="AH1120">
        <v>18.026379079925899</v>
      </c>
      <c r="AI1120">
        <v>93.502671328257193</v>
      </c>
      <c r="AJ1120">
        <v>94.178972961966707</v>
      </c>
      <c r="AK1120">
        <v>18.1082609150324</v>
      </c>
      <c r="AL1120">
        <v>83.767762440930895</v>
      </c>
      <c r="AM1120">
        <v>89.2026944484208</v>
      </c>
      <c r="AN1120">
        <v>1.00000000772992</v>
      </c>
    </row>
    <row r="1121" spans="1:40" x14ac:dyDescent="0.3">
      <c r="A1121" t="str">
        <f>"20200111150334055"</f>
        <v>20200111150334055</v>
      </c>
      <c r="B1121" t="str">
        <f>"1578726214049033"</f>
        <v>1578726214049033</v>
      </c>
      <c r="C1121" t="s">
        <v>40</v>
      </c>
      <c r="D1121">
        <v>5.6918040000000003</v>
      </c>
      <c r="E1121">
        <v>0.46430640000000001</v>
      </c>
      <c r="F1121" t="s">
        <v>41</v>
      </c>
      <c r="G1121">
        <v>-253.12610000000001</v>
      </c>
      <c r="H1121" s="1">
        <v>-3.0203289999999999E-6</v>
      </c>
      <c r="I1121">
        <v>139.9512</v>
      </c>
      <c r="J1121">
        <v>-234.06979999999999</v>
      </c>
      <c r="K1121">
        <v>1.1062080000000001</v>
      </c>
      <c r="L1121">
        <v>141.1523</v>
      </c>
      <c r="M1121">
        <v>-0.99989410000000001</v>
      </c>
      <c r="N1121">
        <v>0</v>
      </c>
      <c r="O1121">
        <v>9.9554499999999994E-3</v>
      </c>
      <c r="P1121">
        <v>-0.99514440000000004</v>
      </c>
      <c r="Q1121">
        <v>9.6006900000000006E-2</v>
      </c>
      <c r="R1121">
        <v>2.169051E-2</v>
      </c>
      <c r="S1121">
        <v>-3.037979</v>
      </c>
      <c r="T1121">
        <v>-0.17384450000000001</v>
      </c>
      <c r="U1121">
        <v>-0.1887054</v>
      </c>
      <c r="V1121">
        <v>1.118943E-2</v>
      </c>
      <c r="W1121">
        <v>0.1066382</v>
      </c>
      <c r="X1121">
        <v>0.99423490000000003</v>
      </c>
      <c r="Y1121">
        <v>-7.1796499999999999E-2</v>
      </c>
      <c r="Z1121">
        <v>-2.6193269999999999E-3</v>
      </c>
      <c r="AA1121">
        <v>0.99741579999999996</v>
      </c>
      <c r="AB1121">
        <v>27</v>
      </c>
      <c r="AC1121">
        <v>-19.0563</v>
      </c>
      <c r="AD1121">
        <v>-1.1062110203290001</v>
      </c>
      <c r="AE1121">
        <v>-1.2010999999999901</v>
      </c>
      <c r="AF1121">
        <v>-1.3861128183790199</v>
      </c>
      <c r="AG1121">
        <v>-1.1062110203290001</v>
      </c>
      <c r="AH1121">
        <v>18.979693448486</v>
      </c>
      <c r="AI1121">
        <v>93.326809097215502</v>
      </c>
      <c r="AJ1121">
        <v>94.176973140182199</v>
      </c>
      <c r="AK1121">
        <v>19.062365408450098</v>
      </c>
      <c r="AL1121">
        <v>83.878441342002702</v>
      </c>
      <c r="AM1121">
        <v>89.355202629912696</v>
      </c>
      <c r="AN1121">
        <v>0.99999997271048702</v>
      </c>
    </row>
    <row r="1122" spans="1:40" x14ac:dyDescent="0.3">
      <c r="A1122" t="str">
        <f>"20200111150334078"</f>
        <v>20200111150334078</v>
      </c>
      <c r="B1122" t="str">
        <f>"1578726214069528"</f>
        <v>1578726214069528</v>
      </c>
      <c r="C1122" t="s">
        <v>40</v>
      </c>
      <c r="D1122">
        <v>5.6387839999999896</v>
      </c>
      <c r="E1122">
        <v>0.46402450000000001</v>
      </c>
      <c r="F1122" t="s">
        <v>41</v>
      </c>
      <c r="G1122">
        <v>-252.64179999999999</v>
      </c>
      <c r="H1122" s="1">
        <v>-3.2007670000000001E-6</v>
      </c>
      <c r="I1122">
        <v>139.8485</v>
      </c>
      <c r="J1122">
        <v>-234.35059999999999</v>
      </c>
      <c r="K1122">
        <v>1.1060840000000001</v>
      </c>
      <c r="L1122">
        <v>141.15170000000001</v>
      </c>
      <c r="M1122">
        <v>-0.99991969999999997</v>
      </c>
      <c r="N1122">
        <v>0</v>
      </c>
      <c r="O1122">
        <v>6.9350660000000001E-3</v>
      </c>
      <c r="P1122">
        <v>-0.99530350000000001</v>
      </c>
      <c r="Q1122">
        <v>9.5047279999999998E-2</v>
      </c>
      <c r="R1122">
        <v>1.837393E-2</v>
      </c>
      <c r="S1122">
        <v>-3.036743</v>
      </c>
      <c r="T1122">
        <v>-0.18087919999999999</v>
      </c>
      <c r="U1122">
        <v>-0.21318049999999999</v>
      </c>
      <c r="V1122">
        <v>1.091483E-2</v>
      </c>
      <c r="W1122">
        <v>0.1056753</v>
      </c>
      <c r="X1122">
        <v>0.99434080000000002</v>
      </c>
      <c r="Y1122">
        <v>-7.6797110000000002E-2</v>
      </c>
      <c r="Z1122">
        <v>-2.6945789999999999E-3</v>
      </c>
      <c r="AA1122">
        <v>0.99704309999999996</v>
      </c>
      <c r="AB1122">
        <v>27</v>
      </c>
      <c r="AC1122">
        <v>-18.2912</v>
      </c>
      <c r="AD1122">
        <v>-1.106087200767</v>
      </c>
      <c r="AE1122">
        <v>-1.3031999999999999</v>
      </c>
      <c r="AF1122">
        <v>-1.42484250553193</v>
      </c>
      <c r="AG1122">
        <v>-1.106087200767</v>
      </c>
      <c r="AH1122">
        <v>18.215449012998501</v>
      </c>
      <c r="AI1122">
        <v>93.464318639860494</v>
      </c>
      <c r="AJ1122">
        <v>94.472663151442703</v>
      </c>
      <c r="AK1122">
        <v>18.304540087268499</v>
      </c>
      <c r="AL1122">
        <v>83.933925221917505</v>
      </c>
      <c r="AM1122">
        <v>89.371092308484407</v>
      </c>
      <c r="AN1122">
        <v>1.00000001454432</v>
      </c>
    </row>
    <row r="1123" spans="1:40" x14ac:dyDescent="0.3">
      <c r="A1123" t="str">
        <f>"20200111150334100"</f>
        <v>20200111150334100</v>
      </c>
      <c r="B1123" t="str">
        <f>"1578726214089051"</f>
        <v>1578726214089051</v>
      </c>
      <c r="C1123" t="s">
        <v>40</v>
      </c>
      <c r="D1123">
        <v>5.7196239999999996</v>
      </c>
      <c r="E1123">
        <v>0.46387349999999999</v>
      </c>
      <c r="F1123" t="s">
        <v>41</v>
      </c>
      <c r="G1123">
        <v>-253.07939999999999</v>
      </c>
      <c r="H1123" s="1">
        <v>-2.9864119999999998E-6</v>
      </c>
      <c r="I1123">
        <v>139.74850000000001</v>
      </c>
      <c r="J1123">
        <v>-234.61920000000001</v>
      </c>
      <c r="K1123">
        <v>1.1059490000000001</v>
      </c>
      <c r="L1123">
        <v>141.1506</v>
      </c>
      <c r="M1123">
        <v>-0.99993460000000001</v>
      </c>
      <c r="N1123">
        <v>0</v>
      </c>
      <c r="O1123">
        <v>4.2711149999999998E-3</v>
      </c>
      <c r="P1123">
        <v>-0.99537330000000002</v>
      </c>
      <c r="Q1123">
        <v>9.468029E-2</v>
      </c>
      <c r="R1123">
        <v>1.6368509999999999E-2</v>
      </c>
      <c r="S1123">
        <v>-3.0354770000000002</v>
      </c>
      <c r="T1123">
        <v>-0.1792697</v>
      </c>
      <c r="U1123">
        <v>-0.22741700000000001</v>
      </c>
      <c r="V1123">
        <v>1.159906E-2</v>
      </c>
      <c r="W1123">
        <v>0.10530779999999999</v>
      </c>
      <c r="X1123">
        <v>0.99437200000000003</v>
      </c>
      <c r="Y1123">
        <v>-7.8825060000000002E-2</v>
      </c>
      <c r="Z1123">
        <v>-2.5740569999999998E-3</v>
      </c>
      <c r="AA1123">
        <v>0.99688509999999997</v>
      </c>
      <c r="AB1123">
        <v>27</v>
      </c>
      <c r="AC1123">
        <v>-18.460199999999901</v>
      </c>
      <c r="AD1123">
        <v>-1.105951986412</v>
      </c>
      <c r="AE1123">
        <v>-1.4020999999999899</v>
      </c>
      <c r="AF1123">
        <v>-1.47567115918898</v>
      </c>
      <c r="AG1123">
        <v>-1.105951986412</v>
      </c>
      <c r="AH1123">
        <v>18.388421252307001</v>
      </c>
      <c r="AI1123">
        <v>93.430844267783698</v>
      </c>
      <c r="AJ1123">
        <v>94.588154926377101</v>
      </c>
      <c r="AK1123">
        <v>18.480659385384701</v>
      </c>
      <c r="AL1123">
        <v>83.9550993152031</v>
      </c>
      <c r="AM1123">
        <v>89.331691716193902</v>
      </c>
      <c r="AN1123">
        <v>0.99999997265886098</v>
      </c>
    </row>
    <row r="1124" spans="1:40" x14ac:dyDescent="0.3">
      <c r="A1124" t="str">
        <f>"20200111150334124"</f>
        <v>20200111150334124</v>
      </c>
      <c r="B1124" t="str">
        <f>"1578726214119305"</f>
        <v>1578726214119305</v>
      </c>
      <c r="C1124" t="s">
        <v>40</v>
      </c>
      <c r="D1124">
        <v>5.7058080000000002</v>
      </c>
      <c r="E1124">
        <v>0.4639547</v>
      </c>
      <c r="F1124" t="s">
        <v>41</v>
      </c>
      <c r="G1124">
        <v>-253.75399999999999</v>
      </c>
      <c r="H1124" s="1">
        <v>-2.6732329999999999E-6</v>
      </c>
      <c r="I1124">
        <v>139.6591</v>
      </c>
      <c r="J1124">
        <v>-234.90270000000001</v>
      </c>
      <c r="K1124">
        <v>1.1057589999999999</v>
      </c>
      <c r="L1124">
        <v>141.1489</v>
      </c>
      <c r="M1124">
        <v>-0.999942</v>
      </c>
      <c r="N1124">
        <v>0</v>
      </c>
      <c r="O1124">
        <v>1.737482E-3</v>
      </c>
      <c r="P1124">
        <v>-0.99550119999999997</v>
      </c>
      <c r="Q1124">
        <v>9.381101E-2</v>
      </c>
      <c r="R1124">
        <v>1.331242E-2</v>
      </c>
      <c r="S1124">
        <v>-3.0345149999999999</v>
      </c>
      <c r="T1124">
        <v>-0.175389299999999</v>
      </c>
      <c r="U1124">
        <v>-0.2365265</v>
      </c>
      <c r="V1124">
        <v>1.1115750000000001E-2</v>
      </c>
      <c r="W1124">
        <v>0.10443429999999999</v>
      </c>
      <c r="X1124">
        <v>0.99446959999999995</v>
      </c>
      <c r="Y1124">
        <v>-7.9307450000000002E-2</v>
      </c>
      <c r="Z1124">
        <v>-2.386736E-3</v>
      </c>
      <c r="AA1124">
        <v>0.99684729999999999</v>
      </c>
      <c r="AB1124">
        <v>27</v>
      </c>
      <c r="AC1124">
        <v>-18.851299999999998</v>
      </c>
      <c r="AD1124">
        <v>-1.105761673233</v>
      </c>
      <c r="AE1124">
        <v>-1.4898</v>
      </c>
      <c r="AF1124">
        <v>-1.51736507823955</v>
      </c>
      <c r="AG1124">
        <v>-1.105761673233</v>
      </c>
      <c r="AH1124">
        <v>18.784453323406598</v>
      </c>
      <c r="AI1124">
        <v>93.357961178367006</v>
      </c>
      <c r="AJ1124">
        <v>94.618194511644205</v>
      </c>
      <c r="AK1124">
        <v>18.8780505433663</v>
      </c>
      <c r="AL1124">
        <v>84.005424452501003</v>
      </c>
      <c r="AM1124">
        <v>89.359599288528699</v>
      </c>
      <c r="AN1124">
        <v>0.99999993411935395</v>
      </c>
    </row>
    <row r="1125" spans="1:40" x14ac:dyDescent="0.3">
      <c r="A1125" t="str">
        <f>"20200111150334144"</f>
        <v>20200111150334144</v>
      </c>
      <c r="B1125" t="str">
        <f>"1578726214139800"</f>
        <v>1578726214139800</v>
      </c>
      <c r="C1125" t="s">
        <v>40</v>
      </c>
      <c r="D1125">
        <v>6.0030950000000001</v>
      </c>
      <c r="E1125">
        <v>0.46411059999999998</v>
      </c>
      <c r="F1125" t="s">
        <v>41</v>
      </c>
      <c r="G1125">
        <v>-253.6414</v>
      </c>
      <c r="H1125" s="1">
        <v>-2.7145649999999999E-6</v>
      </c>
      <c r="I1125">
        <v>139.63290000000001</v>
      </c>
      <c r="J1125">
        <v>-235.15459999999999</v>
      </c>
      <c r="K1125">
        <v>1.1055680000000001</v>
      </c>
      <c r="L1125">
        <v>141.14709999999999</v>
      </c>
      <c r="M1125">
        <v>-0.99994360000000004</v>
      </c>
      <c r="N1125">
        <v>0</v>
      </c>
      <c r="O1125">
        <v>-2.4674650000000001E-4</v>
      </c>
      <c r="P1125">
        <v>-0.99565579999999998</v>
      </c>
      <c r="Q1125">
        <v>9.2289179999999998E-2</v>
      </c>
      <c r="R1125">
        <v>1.234672E-2</v>
      </c>
      <c r="S1125">
        <v>-3.0337070000000002</v>
      </c>
      <c r="T1125">
        <v>-0.1790177</v>
      </c>
      <c r="U1125">
        <v>-0.24542240000000001</v>
      </c>
      <c r="V1125">
        <v>1.2179260000000001E-2</v>
      </c>
      <c r="W1125">
        <v>0.102919</v>
      </c>
      <c r="X1125">
        <v>0.99461520000000003</v>
      </c>
      <c r="Y1125">
        <v>-8.0250859999999993E-2</v>
      </c>
      <c r="Z1125">
        <v>-2.3473529999999999E-3</v>
      </c>
      <c r="AA1125">
        <v>0.99677190000000004</v>
      </c>
      <c r="AB1125">
        <v>27</v>
      </c>
      <c r="AC1125">
        <v>-18.486799999999999</v>
      </c>
      <c r="AD1125">
        <v>-1.105570714565</v>
      </c>
      <c r="AE1125">
        <v>-1.51419999999998</v>
      </c>
      <c r="AF1125">
        <v>-1.5042939960571799</v>
      </c>
      <c r="AG1125">
        <v>-1.105570714565</v>
      </c>
      <c r="AH1125">
        <v>18.4217281404093</v>
      </c>
      <c r="AI1125">
        <v>93.423091259774594</v>
      </c>
      <c r="AJ1125">
        <v>94.668339708154903</v>
      </c>
      <c r="AK1125">
        <v>18.516080976022501</v>
      </c>
      <c r="AL1125">
        <v>84.0927157081899</v>
      </c>
      <c r="AM1125">
        <v>89.2984369024892</v>
      </c>
      <c r="AN1125">
        <v>1.0000000255030901</v>
      </c>
    </row>
    <row r="1126" spans="1:40" x14ac:dyDescent="0.3">
      <c r="A1126" t="str">
        <f>"20200111150334168"</f>
        <v>20200111150334168</v>
      </c>
      <c r="B1126" t="str">
        <f>"1578726214159321"</f>
        <v>1578726214159321</v>
      </c>
      <c r="C1126" t="s">
        <v>40</v>
      </c>
      <c r="D1126">
        <v>5.5447649999999999</v>
      </c>
      <c r="E1126">
        <v>0.4644414</v>
      </c>
      <c r="F1126" t="s">
        <v>41</v>
      </c>
      <c r="G1126">
        <v>-253.17420000000001</v>
      </c>
      <c r="H1126" s="1">
        <v>-2.925685E-6</v>
      </c>
      <c r="I1126">
        <v>139.673</v>
      </c>
      <c r="J1126">
        <v>-235.44749999999999</v>
      </c>
      <c r="K1126">
        <v>1.105332</v>
      </c>
      <c r="L1126">
        <v>141.1447</v>
      </c>
      <c r="M1126">
        <v>-0.99994090000000002</v>
      </c>
      <c r="N1126">
        <v>0</v>
      </c>
      <c r="O1126">
        <v>-2.2380339999999999E-3</v>
      </c>
      <c r="P1126">
        <v>-0.99575380000000002</v>
      </c>
      <c r="Q1126">
        <v>9.1260789999999994E-2</v>
      </c>
      <c r="R1126">
        <v>1.2090750000000001E-2</v>
      </c>
      <c r="S1126">
        <v>-3.033417</v>
      </c>
      <c r="T1126">
        <v>-0.1861131</v>
      </c>
      <c r="U1126">
        <v>-0.24813840000000001</v>
      </c>
      <c r="V1126">
        <v>1.396962E-2</v>
      </c>
      <c r="W1126">
        <v>0.1018997</v>
      </c>
      <c r="X1126">
        <v>0.99469660000000004</v>
      </c>
      <c r="Y1126">
        <v>-7.9154740000000001E-2</v>
      </c>
      <c r="Z1126">
        <v>-2.2849659999999998E-3</v>
      </c>
      <c r="AA1126">
        <v>0.99685970000000002</v>
      </c>
      <c r="AB1126">
        <v>27</v>
      </c>
      <c r="AC1126">
        <v>-17.726700000000001</v>
      </c>
      <c r="AD1126">
        <v>-1.105334925685</v>
      </c>
      <c r="AE1126">
        <v>-1.47169999999999</v>
      </c>
      <c r="AF1126">
        <v>-1.4265127234321699</v>
      </c>
      <c r="AG1126">
        <v>-1.105334925685</v>
      </c>
      <c r="AH1126">
        <v>17.6617497836545</v>
      </c>
      <c r="AI1126">
        <v>93.569508740136499</v>
      </c>
      <c r="AJ1126">
        <v>94.617669361941594</v>
      </c>
      <c r="AK1126">
        <v>17.753706916260501</v>
      </c>
      <c r="AL1126">
        <v>84.151425900201005</v>
      </c>
      <c r="AM1126">
        <v>89.195385154793996</v>
      </c>
      <c r="AN1126">
        <v>1.0000000125972901</v>
      </c>
    </row>
    <row r="1127" spans="1:40" x14ac:dyDescent="0.3">
      <c r="A1127" t="str">
        <f>"20200111150334190"</f>
        <v>20200111150334190</v>
      </c>
      <c r="B1127" t="str">
        <f>"1578726214179829"</f>
        <v>1578726214179829</v>
      </c>
      <c r="C1127" t="s">
        <v>40</v>
      </c>
      <c r="D1127">
        <v>5.672612</v>
      </c>
      <c r="E1127">
        <v>0.46489219999999998</v>
      </c>
      <c r="F1127" t="s">
        <v>41</v>
      </c>
      <c r="G1127">
        <v>-253.16650000000001</v>
      </c>
      <c r="H1127" s="1">
        <v>-2.9360980000000001E-6</v>
      </c>
      <c r="I1127">
        <v>139.69980000000001</v>
      </c>
      <c r="J1127">
        <v>-235.71440000000001</v>
      </c>
      <c r="K1127">
        <v>1.105118</v>
      </c>
      <c r="L1127">
        <v>141.14230000000001</v>
      </c>
      <c r="M1127">
        <v>-0.99993650000000001</v>
      </c>
      <c r="N1127">
        <v>0</v>
      </c>
      <c r="O1127">
        <v>-3.718907E-3</v>
      </c>
      <c r="P1127">
        <v>-0.9958321</v>
      </c>
      <c r="Q1127">
        <v>9.0495220000000001E-2</v>
      </c>
      <c r="R1127">
        <v>1.1367759999999999E-2</v>
      </c>
      <c r="S1127">
        <v>-3.0331419999999998</v>
      </c>
      <c r="T1127">
        <v>-0.18921199999999999</v>
      </c>
      <c r="U1127">
        <v>-0.24732970000000001</v>
      </c>
      <c r="V1127">
        <v>1.477931E-2</v>
      </c>
      <c r="W1127">
        <v>0.1011369</v>
      </c>
      <c r="X1127">
        <v>0.9947627</v>
      </c>
      <c r="Y1127">
        <v>-7.7422980000000002E-2</v>
      </c>
      <c r="Z1127">
        <v>-2.1771640000000001E-3</v>
      </c>
      <c r="AA1127">
        <v>0.99699599999999999</v>
      </c>
      <c r="AB1127">
        <v>27</v>
      </c>
      <c r="AC1127">
        <v>-17.452100000000002</v>
      </c>
      <c r="AD1127">
        <v>-1.1051209360979899</v>
      </c>
      <c r="AE1127">
        <v>-1.4424999999999899</v>
      </c>
      <c r="AF1127">
        <v>-1.3721190054239401</v>
      </c>
      <c r="AG1127">
        <v>-1.1051209360979899</v>
      </c>
      <c r="AH1127">
        <v>17.388094208509099</v>
      </c>
      <c r="AI1127">
        <v>93.625369984192801</v>
      </c>
      <c r="AJ1127">
        <v>94.511940863484696</v>
      </c>
      <c r="AK1127">
        <v>17.477122848238899</v>
      </c>
      <c r="AL1127">
        <v>84.195357811813807</v>
      </c>
      <c r="AM1127">
        <v>89.148812284493999</v>
      </c>
      <c r="AN1127">
        <v>0.99999996492848697</v>
      </c>
    </row>
    <row r="1128" spans="1:40" x14ac:dyDescent="0.3">
      <c r="A1128" t="str">
        <f>"20200111150334213"</f>
        <v>20200111150334213</v>
      </c>
      <c r="B1128" t="str">
        <f>"1578726214209097"</f>
        <v>1578726214209097</v>
      </c>
      <c r="C1128" t="s">
        <v>40</v>
      </c>
      <c r="D1128">
        <v>5.67537</v>
      </c>
      <c r="E1128">
        <v>0.46963159999999998</v>
      </c>
      <c r="F1128" t="s">
        <v>41</v>
      </c>
      <c r="G1128">
        <v>-253.53139999999999</v>
      </c>
      <c r="H1128" s="1">
        <v>-2.7789959999999999E-6</v>
      </c>
      <c r="I1128">
        <v>139.69759999999999</v>
      </c>
      <c r="J1128">
        <v>-235.99520000000001</v>
      </c>
      <c r="K1128">
        <v>1.1048899999999999</v>
      </c>
      <c r="L1128">
        <v>141.13980000000001</v>
      </c>
      <c r="M1128">
        <v>-0.99993120000000002</v>
      </c>
      <c r="N1128">
        <v>0</v>
      </c>
      <c r="O1128">
        <v>-4.9291589999999998E-3</v>
      </c>
      <c r="P1128">
        <v>-0.99578639999999996</v>
      </c>
      <c r="Q1128">
        <v>9.1254500000000002E-2</v>
      </c>
      <c r="R1128">
        <v>9.0608279999999999E-3</v>
      </c>
      <c r="S1128">
        <v>-3.0324710000000001</v>
      </c>
      <c r="T1128">
        <v>-0.18809339999999999</v>
      </c>
      <c r="U1128">
        <v>-0.24588009999999999</v>
      </c>
      <c r="V1128">
        <v>1.373335E-2</v>
      </c>
      <c r="W1128">
        <v>0.1018916</v>
      </c>
      <c r="X1128">
        <v>0.99470069999999999</v>
      </c>
      <c r="Y1128">
        <v>-7.5767699999999993E-2</v>
      </c>
      <c r="Z1128">
        <v>-2.0387629999999999E-3</v>
      </c>
      <c r="AA1128">
        <v>0.99712339999999999</v>
      </c>
      <c r="AB1128">
        <v>27</v>
      </c>
      <c r="AC1128">
        <v>-17.536199999999901</v>
      </c>
      <c r="AD1128">
        <v>-1.1048927789959999</v>
      </c>
      <c r="AE1128">
        <v>-1.4422000000000099</v>
      </c>
      <c r="AF1128">
        <v>-1.35041399622602</v>
      </c>
      <c r="AG1128">
        <v>-1.1048927789959999</v>
      </c>
      <c r="AH1128">
        <v>17.474193053206999</v>
      </c>
      <c r="AI1128">
        <v>93.607266955739803</v>
      </c>
      <c r="AJ1128">
        <v>94.419061929141805</v>
      </c>
      <c r="AK1128">
        <v>17.5610884877626</v>
      </c>
      <c r="AL1128">
        <v>84.151892308140603</v>
      </c>
      <c r="AM1128">
        <v>89.208995226345394</v>
      </c>
      <c r="AN1128">
        <v>0.99999999281663599</v>
      </c>
    </row>
    <row r="1129" spans="1:40" x14ac:dyDescent="0.3">
      <c r="A1129" t="str">
        <f>"20200111150334234"</f>
        <v>20200111150334234</v>
      </c>
      <c r="B1129" t="str">
        <f>"1578726214229594"</f>
        <v>1578726214229594</v>
      </c>
      <c r="C1129" t="s">
        <v>40</v>
      </c>
      <c r="D1129">
        <v>5.515441</v>
      </c>
      <c r="E1129">
        <v>0.46890039999999999</v>
      </c>
      <c r="F1129" t="s">
        <v>44</v>
      </c>
      <c r="G1129">
        <v>0</v>
      </c>
      <c r="H1129">
        <v>0</v>
      </c>
      <c r="I1129">
        <v>0</v>
      </c>
      <c r="J1129">
        <v>-236.26259999999999</v>
      </c>
      <c r="K1129">
        <v>1.1047009999999999</v>
      </c>
      <c r="L1129">
        <v>141.13730000000001</v>
      </c>
      <c r="M1129">
        <v>-0.99992619999999999</v>
      </c>
      <c r="N1129">
        <v>0</v>
      </c>
      <c r="O1129">
        <v>-5.8230119999999998E-3</v>
      </c>
      <c r="P1129">
        <v>-0.99561359999999999</v>
      </c>
      <c r="Q1129">
        <v>9.3369540000000001E-2</v>
      </c>
      <c r="R1129">
        <v>5.9800679999999998E-3</v>
      </c>
      <c r="S1129">
        <v>-3.0007779999999999</v>
      </c>
      <c r="T1129">
        <v>0.15148399999999901</v>
      </c>
      <c r="U1129">
        <v>-0.2147522</v>
      </c>
      <c r="V1129">
        <v>1.158758E-2</v>
      </c>
      <c r="W1129">
        <v>0.1040013</v>
      </c>
      <c r="X1129">
        <v>0.99450959999999999</v>
      </c>
      <c r="Y1129">
        <v>-6.5497659999999999E-2</v>
      </c>
      <c r="Z1129">
        <v>1.3566610000000001E-3</v>
      </c>
      <c r="AA1129">
        <v>0.99785179999999996</v>
      </c>
      <c r="AB1129">
        <v>28</v>
      </c>
      <c r="AC1129">
        <v>-3.0007779999999999</v>
      </c>
      <c r="AD1129">
        <v>0.15148399999999901</v>
      </c>
      <c r="AE1129">
        <v>-0.2147522</v>
      </c>
      <c r="AF1129">
        <v>-0.196775094684946</v>
      </c>
      <c r="AG1129">
        <v>0.15148399999999901</v>
      </c>
      <c r="AH1129">
        <v>2.9943857174575301</v>
      </c>
      <c r="AI1129">
        <v>87.110135725342701</v>
      </c>
      <c r="AJ1129">
        <v>93.759767863385306</v>
      </c>
      <c r="AK1129">
        <v>3.0046653166464199</v>
      </c>
      <c r="AL1129">
        <v>84.030369420359605</v>
      </c>
      <c r="AM1129">
        <v>89.332445471670297</v>
      </c>
      <c r="AN1129">
        <v>0.99999994345205101</v>
      </c>
    </row>
    <row r="1130" spans="1:40" x14ac:dyDescent="0.3">
      <c r="A1130" t="str">
        <f>"20200111150334258"</f>
        <v>20200111150334258</v>
      </c>
      <c r="B1130" t="str">
        <f>"1578726214249113"</f>
        <v>1578726214249113</v>
      </c>
      <c r="C1130" t="s">
        <v>40</v>
      </c>
      <c r="D1130">
        <v>4.184272</v>
      </c>
      <c r="E1130">
        <v>0.468254</v>
      </c>
      <c r="F1130" t="s">
        <v>44</v>
      </c>
      <c r="G1130">
        <v>0</v>
      </c>
      <c r="H1130">
        <v>0</v>
      </c>
      <c r="I1130">
        <v>0</v>
      </c>
      <c r="J1130">
        <v>-236.5558</v>
      </c>
      <c r="K1130">
        <v>1.1045039999999999</v>
      </c>
      <c r="L1130">
        <v>141.13460000000001</v>
      </c>
      <c r="M1130">
        <v>-0.99992199999999998</v>
      </c>
      <c r="N1130">
        <v>0</v>
      </c>
      <c r="O1130">
        <v>-6.4975349999999996E-3</v>
      </c>
      <c r="P1130">
        <v>-0.99535119999999999</v>
      </c>
      <c r="Q1130">
        <v>9.6285449999999995E-2</v>
      </c>
      <c r="R1130">
        <v>2.316416E-3</v>
      </c>
      <c r="S1130">
        <v>-3.0023040000000001</v>
      </c>
      <c r="T1130">
        <v>0.1312207</v>
      </c>
      <c r="U1130">
        <v>-0.22972110000000001</v>
      </c>
      <c r="V1130">
        <v>8.6422840000000001E-3</v>
      </c>
      <c r="W1130">
        <v>0.1069118</v>
      </c>
      <c r="X1130">
        <v>0.99423090000000003</v>
      </c>
      <c r="Y1130">
        <v>-6.975133E-2</v>
      </c>
      <c r="Z1130">
        <v>1.237918E-3</v>
      </c>
      <c r="AA1130">
        <v>0.99756369999999905</v>
      </c>
      <c r="AB1130">
        <v>28</v>
      </c>
      <c r="AC1130">
        <v>-3.0023040000000001</v>
      </c>
      <c r="AD1130">
        <v>0.1312207</v>
      </c>
      <c r="AE1130">
        <v>-0.22972110000000001</v>
      </c>
      <c r="AF1130">
        <v>-0.20980910524673399</v>
      </c>
      <c r="AG1130">
        <v>0.1312207</v>
      </c>
      <c r="AH1130">
        <v>2.9980395833578801</v>
      </c>
      <c r="AI1130">
        <v>87.499936784987099</v>
      </c>
      <c r="AJ1130">
        <v>94.003152332964007</v>
      </c>
      <c r="AK1130">
        <v>3.0082353757865401</v>
      </c>
      <c r="AL1130">
        <v>83.862674957989299</v>
      </c>
      <c r="AM1130">
        <v>89.501972904083303</v>
      </c>
      <c r="AN1130">
        <v>0.999999952283392</v>
      </c>
    </row>
    <row r="1131" spans="1:40" x14ac:dyDescent="0.3">
      <c r="A1131" t="str">
        <f>"20200111150334838"</f>
        <v>20200111150334838</v>
      </c>
      <c r="B1131" t="str">
        <f>"1578726214829833"</f>
        <v>1578726214829833</v>
      </c>
      <c r="C1131" t="s">
        <v>40</v>
      </c>
      <c r="D1131">
        <v>5.8855649999999997</v>
      </c>
      <c r="E1131">
        <v>0.47171489999999999</v>
      </c>
      <c r="F1131" t="s">
        <v>44</v>
      </c>
      <c r="G1131">
        <v>0</v>
      </c>
      <c r="H1131">
        <v>0</v>
      </c>
      <c r="I1131">
        <v>0</v>
      </c>
      <c r="J1131">
        <v>-243.79929999999999</v>
      </c>
      <c r="K1131">
        <v>1.102633</v>
      </c>
      <c r="L1131">
        <v>141.27629999999999</v>
      </c>
      <c r="M1131">
        <v>-0.99913129999999994</v>
      </c>
      <c r="N1131">
        <v>0</v>
      </c>
      <c r="O1131">
        <v>4.0235439999999997E-2</v>
      </c>
      <c r="P1131">
        <v>-0.99427089999999996</v>
      </c>
      <c r="Q1131">
        <v>0.102921</v>
      </c>
      <c r="R1131">
        <v>2.8861890000000001E-2</v>
      </c>
      <c r="S1131">
        <v>-2.999619</v>
      </c>
      <c r="T1131">
        <v>0.1547521</v>
      </c>
      <c r="U1131">
        <v>-0.24581910000000001</v>
      </c>
      <c r="V1131">
        <v>-1.0782460000000001E-2</v>
      </c>
      <c r="W1131">
        <v>0.11374960000000001</v>
      </c>
      <c r="X1131">
        <v>0.99345090000000003</v>
      </c>
      <c r="Y1131">
        <v>-0.1214997</v>
      </c>
      <c r="Z1131">
        <v>5.1982909999999998E-3</v>
      </c>
      <c r="AA1131">
        <v>0.99257790000000001</v>
      </c>
      <c r="AB1131">
        <v>28</v>
      </c>
      <c r="AC1131">
        <v>-2.999619</v>
      </c>
      <c r="AD1131">
        <v>0.1547521</v>
      </c>
      <c r="AE1131">
        <v>-0.24581910000000001</v>
      </c>
      <c r="AF1131">
        <v>-0.36535218556458698</v>
      </c>
      <c r="AG1131">
        <v>0.1547521</v>
      </c>
      <c r="AH1131">
        <v>2.9794213882112</v>
      </c>
      <c r="AI1131">
        <v>87.048777115271307</v>
      </c>
      <c r="AJ1131">
        <v>96.991005524819599</v>
      </c>
      <c r="AK1131">
        <v>3.00572491097931</v>
      </c>
      <c r="AL1131">
        <v>83.468490596747998</v>
      </c>
      <c r="AM1131">
        <v>90.621837671176607</v>
      </c>
      <c r="AN1131">
        <v>0.99999996182730999</v>
      </c>
    </row>
    <row r="1132" spans="1:40" x14ac:dyDescent="0.3">
      <c r="A1132" t="str">
        <f>"20200111150334861"</f>
        <v>20200111150334861</v>
      </c>
      <c r="B1132" t="str">
        <f>"1578726214849352"</f>
        <v>1578726214849352</v>
      </c>
      <c r="C1132" t="s">
        <v>40</v>
      </c>
      <c r="D1132">
        <v>5.7557019999999897</v>
      </c>
      <c r="E1132">
        <v>0.47443289999999999</v>
      </c>
      <c r="F1132" t="s">
        <v>44</v>
      </c>
      <c r="G1132">
        <v>0</v>
      </c>
      <c r="H1132">
        <v>0</v>
      </c>
      <c r="I1132">
        <v>0</v>
      </c>
      <c r="J1132">
        <v>-244.07640000000001</v>
      </c>
      <c r="K1132">
        <v>1.1026309999999999</v>
      </c>
      <c r="L1132">
        <v>141.2894</v>
      </c>
      <c r="M1132">
        <v>-0.99905929999999998</v>
      </c>
      <c r="N1132">
        <v>0</v>
      </c>
      <c r="O1132">
        <v>4.1985149999999999E-2</v>
      </c>
      <c r="P1132">
        <v>-0.99440779999999995</v>
      </c>
      <c r="Q1132">
        <v>0.1011943</v>
      </c>
      <c r="R1132">
        <v>3.021573E-2</v>
      </c>
      <c r="S1132">
        <v>-3.0036320000000001</v>
      </c>
      <c r="T1132">
        <v>0.170729399999999</v>
      </c>
      <c r="U1132">
        <v>-0.1388855</v>
      </c>
      <c r="V1132">
        <v>-1.1187310000000001E-2</v>
      </c>
      <c r="W1132">
        <v>0.1120326</v>
      </c>
      <c r="X1132">
        <v>0.99364160000000001</v>
      </c>
      <c r="Y1132">
        <v>-8.7882680000000005E-2</v>
      </c>
      <c r="Z1132">
        <v>4.8778010000000002E-3</v>
      </c>
      <c r="AA1132">
        <v>0.99611890000000003</v>
      </c>
      <c r="AB1132">
        <v>28</v>
      </c>
      <c r="AC1132">
        <v>-3.0036320000000001</v>
      </c>
      <c r="AD1132">
        <v>0.170729399999999</v>
      </c>
      <c r="AE1132">
        <v>-0.1388855</v>
      </c>
      <c r="AF1132">
        <v>-0.264027162540033</v>
      </c>
      <c r="AG1132">
        <v>0.170729399999999</v>
      </c>
      <c r="AH1132">
        <v>2.9855263678012198</v>
      </c>
      <c r="AI1132">
        <v>86.739762167551604</v>
      </c>
      <c r="AJ1132">
        <v>95.053845495441493</v>
      </c>
      <c r="AK1132">
        <v>3.0020370689616098</v>
      </c>
      <c r="AL1132">
        <v>83.567500932841696</v>
      </c>
      <c r="AM1132">
        <v>90.645060115021707</v>
      </c>
      <c r="AN1132">
        <v>1.0000000443091701</v>
      </c>
    </row>
    <row r="1133" spans="1:40" x14ac:dyDescent="0.3">
      <c r="A1133" t="str">
        <f>"20200111150334882"</f>
        <v>20200111150334882</v>
      </c>
      <c r="B1133" t="str">
        <f>"1578726214859113"</f>
        <v>1578726214859113</v>
      </c>
      <c r="C1133" t="s">
        <v>40</v>
      </c>
      <c r="D1133">
        <v>5.878838</v>
      </c>
      <c r="E1133">
        <v>0.47477219999999998</v>
      </c>
      <c r="F1133" t="s">
        <v>44</v>
      </c>
      <c r="G1133">
        <v>0</v>
      </c>
      <c r="H1133">
        <v>0</v>
      </c>
      <c r="I1133">
        <v>0</v>
      </c>
      <c r="J1133">
        <v>-244.3535</v>
      </c>
      <c r="K1133">
        <v>1.102644</v>
      </c>
      <c r="L1133">
        <v>141.30289999999999</v>
      </c>
      <c r="M1133">
        <v>-0.99898540000000002</v>
      </c>
      <c r="N1133">
        <v>0</v>
      </c>
      <c r="O1133">
        <v>4.3705979999999998E-2</v>
      </c>
      <c r="P1133">
        <v>-0.99460389999999999</v>
      </c>
      <c r="Q1133">
        <v>9.8772239999999997E-2</v>
      </c>
      <c r="R1133">
        <v>3.1736380000000002E-2</v>
      </c>
      <c r="S1133">
        <v>-3.0040589999999998</v>
      </c>
      <c r="T1133">
        <v>0.1595905</v>
      </c>
      <c r="U1133">
        <v>-0.1134491</v>
      </c>
      <c r="V1133">
        <v>-1.140361E-2</v>
      </c>
      <c r="W1133">
        <v>0.10961949999999999</v>
      </c>
      <c r="X1133">
        <v>0.99390820000000002</v>
      </c>
      <c r="Y1133">
        <v>-8.1203810000000001E-2</v>
      </c>
      <c r="Z1133">
        <v>4.4741659999999999E-3</v>
      </c>
      <c r="AA1133">
        <v>0.99668749999999995</v>
      </c>
      <c r="AB1133">
        <v>28</v>
      </c>
      <c r="AC1133">
        <v>-3.0040589999999998</v>
      </c>
      <c r="AD1133">
        <v>0.1595905</v>
      </c>
      <c r="AE1133">
        <v>-0.1134491</v>
      </c>
      <c r="AF1133">
        <v>-0.243956238789136</v>
      </c>
      <c r="AG1133">
        <v>0.1595905</v>
      </c>
      <c r="AH1133">
        <v>2.9878090300569098</v>
      </c>
      <c r="AI1133">
        <v>86.952637107709407</v>
      </c>
      <c r="AJ1133">
        <v>94.667876775999105</v>
      </c>
      <c r="AK1133">
        <v>3.0019970976375001</v>
      </c>
      <c r="AL1133">
        <v>83.706618075461705</v>
      </c>
      <c r="AM1133">
        <v>90.657354528250906</v>
      </c>
      <c r="AN1133">
        <v>0.99999999356426095</v>
      </c>
    </row>
    <row r="1134" spans="1:40" x14ac:dyDescent="0.3">
      <c r="A1134" t="str">
        <f>"20200111150335027"</f>
        <v>20200111150335027</v>
      </c>
      <c r="B1134" t="str">
        <f>"1578726215019735"</f>
        <v>1578726215019735</v>
      </c>
      <c r="C1134" t="s">
        <v>40</v>
      </c>
      <c r="D1134">
        <v>6.2719440000000004</v>
      </c>
      <c r="E1134">
        <v>0.47680739999999999</v>
      </c>
      <c r="F1134" t="s">
        <v>44</v>
      </c>
      <c r="G1134">
        <v>0</v>
      </c>
      <c r="H1134">
        <v>0</v>
      </c>
      <c r="I1134">
        <v>0</v>
      </c>
      <c r="J1134">
        <v>-246.19040000000001</v>
      </c>
      <c r="K1134">
        <v>1.1033299999999999</v>
      </c>
      <c r="L1134">
        <v>141.4008</v>
      </c>
      <c r="M1134">
        <v>-0.99857370000000001</v>
      </c>
      <c r="N1134">
        <v>0</v>
      </c>
      <c r="O1134">
        <v>5.2270329999999997E-2</v>
      </c>
      <c r="P1134">
        <v>-0.99452640000000003</v>
      </c>
      <c r="Q1134">
        <v>9.8024879999999995E-2</v>
      </c>
      <c r="R1134">
        <v>3.6173459999999998E-2</v>
      </c>
      <c r="S1134">
        <v>-3.0041350000000002</v>
      </c>
      <c r="T1134">
        <v>0.156667</v>
      </c>
      <c r="U1134">
        <v>-0.10661320000000001</v>
      </c>
      <c r="V1134">
        <v>-1.568723E-2</v>
      </c>
      <c r="W1134">
        <v>0.10888009999999999</v>
      </c>
      <c r="X1134">
        <v>0.99393109999999996</v>
      </c>
      <c r="Y1134">
        <v>-8.7468840000000006E-2</v>
      </c>
      <c r="Z1134">
        <v>5.0015809999999997E-3</v>
      </c>
      <c r="AA1134">
        <v>0.99615469999999895</v>
      </c>
      <c r="AB1134">
        <v>28</v>
      </c>
      <c r="AC1134">
        <v>-3.0041350000000002</v>
      </c>
      <c r="AD1134">
        <v>0.156667</v>
      </c>
      <c r="AE1134">
        <v>-0.10661320000000001</v>
      </c>
      <c r="AF1134">
        <v>-0.262790059274427</v>
      </c>
      <c r="AG1134">
        <v>0.156667</v>
      </c>
      <c r="AH1134">
        <v>2.98634308896311</v>
      </c>
      <c r="AI1134">
        <v>87.008489286271796</v>
      </c>
      <c r="AJ1134">
        <v>95.028918750119303</v>
      </c>
      <c r="AK1134">
        <v>3.0019740520431202</v>
      </c>
      <c r="AL1134">
        <v>83.749237713867501</v>
      </c>
      <c r="AM1134">
        <v>90.904225101688596</v>
      </c>
      <c r="AN1134">
        <v>0.999999998454146</v>
      </c>
    </row>
    <row r="1135" spans="1:40" x14ac:dyDescent="0.3">
      <c r="A1135" t="str">
        <f>"20200111150335093"</f>
        <v>20200111150335093</v>
      </c>
      <c r="B1135" t="str">
        <f>"1578726215089577"</f>
        <v>1578726215089577</v>
      </c>
      <c r="C1135" t="s">
        <v>40</v>
      </c>
      <c r="D1135">
        <v>7.7210539999999996</v>
      </c>
      <c r="E1135">
        <v>0.44947619999999999</v>
      </c>
      <c r="F1135" t="s">
        <v>44</v>
      </c>
      <c r="G1135">
        <v>0</v>
      </c>
      <c r="H1135">
        <v>0</v>
      </c>
      <c r="I1135">
        <v>0</v>
      </c>
      <c r="J1135">
        <v>-247.0273</v>
      </c>
      <c r="K1135">
        <v>1.104028</v>
      </c>
      <c r="L1135">
        <v>141.44569999999999</v>
      </c>
      <c r="M1135">
        <v>-0.99855850000000002</v>
      </c>
      <c r="N1135">
        <v>0</v>
      </c>
      <c r="O1135">
        <v>5.2557409999999999E-2</v>
      </c>
      <c r="P1135">
        <v>-0.99487950000000003</v>
      </c>
      <c r="Q1135">
        <v>9.5022949999999995E-2</v>
      </c>
      <c r="R1135">
        <v>3.4432949999999997E-2</v>
      </c>
      <c r="S1135">
        <v>-3.0052340000000002</v>
      </c>
      <c r="T1135">
        <v>0.1429908</v>
      </c>
      <c r="U1135">
        <v>-7.7453610000000006E-2</v>
      </c>
      <c r="V1135">
        <v>-1.7917280000000001E-2</v>
      </c>
      <c r="W1135">
        <v>0.1058625</v>
      </c>
      <c r="X1135">
        <v>0.99421939999999998</v>
      </c>
      <c r="Y1135">
        <v>-7.8124070000000004E-2</v>
      </c>
      <c r="Z1135">
        <v>4.3558290000000003E-3</v>
      </c>
      <c r="AA1135">
        <v>0.99693410000000005</v>
      </c>
      <c r="AB1135">
        <v>28</v>
      </c>
      <c r="AC1135">
        <v>-3.0052340000000002</v>
      </c>
      <c r="AD1135">
        <v>0.1429908</v>
      </c>
      <c r="AE1135">
        <v>-7.7453610000000006E-2</v>
      </c>
      <c r="AF1135">
        <v>-0.234772084190073</v>
      </c>
      <c r="AG1135">
        <v>0.1429908</v>
      </c>
      <c r="AH1135">
        <v>2.9902438268334901</v>
      </c>
      <c r="AI1135">
        <v>87.2706388281985</v>
      </c>
      <c r="AJ1135">
        <v>94.489236595597404</v>
      </c>
      <c r="AK1135">
        <v>3.0028523847028201</v>
      </c>
      <c r="AL1135">
        <v>83.923139205526596</v>
      </c>
      <c r="AM1135">
        <v>91.032441541994601</v>
      </c>
      <c r="AN1135">
        <v>1.0000000565825999</v>
      </c>
    </row>
    <row r="1136" spans="1:40" x14ac:dyDescent="0.3">
      <c r="A1136" t="str">
        <f>"20200111150335117"</f>
        <v>20200111150335117</v>
      </c>
      <c r="B1136" t="str">
        <f>"1578726215109096"</f>
        <v>1578726215109096</v>
      </c>
      <c r="C1136" t="s">
        <v>40</v>
      </c>
      <c r="D1136">
        <v>6.1439370000000002</v>
      </c>
      <c r="E1136">
        <v>0.46037850000000002</v>
      </c>
      <c r="F1136" t="s">
        <v>41</v>
      </c>
      <c r="G1136">
        <v>-251.874</v>
      </c>
      <c r="H1136" s="1">
        <v>-3.8276499999999997E-6</v>
      </c>
      <c r="I1136">
        <v>140.9667</v>
      </c>
      <c r="J1136">
        <v>-247.33459999999999</v>
      </c>
      <c r="K1136">
        <v>1.104268</v>
      </c>
      <c r="L1136">
        <v>141.4614</v>
      </c>
      <c r="M1136">
        <v>-0.9985889</v>
      </c>
      <c r="N1136">
        <v>0</v>
      </c>
      <c r="O1136">
        <v>5.1975559999999997E-2</v>
      </c>
      <c r="P1136">
        <v>-0.99505719999999998</v>
      </c>
      <c r="Q1136">
        <v>9.3401070000000003E-2</v>
      </c>
      <c r="R1136">
        <v>3.3730669999999997E-2</v>
      </c>
      <c r="S1136">
        <v>-3.0933229999999998</v>
      </c>
      <c r="T1136">
        <v>-0.70462340000000001</v>
      </c>
      <c r="U1136">
        <v>-0.3056335</v>
      </c>
      <c r="V1136">
        <v>-1.8109090000000001E-2</v>
      </c>
      <c r="W1136">
        <v>0.1042356</v>
      </c>
      <c r="X1136">
        <v>0.99438769999999999</v>
      </c>
      <c r="Y1136">
        <v>-0.1449183</v>
      </c>
      <c r="Z1136">
        <v>-2.7924979999999999E-2</v>
      </c>
      <c r="AA1136">
        <v>0.98904950000000003</v>
      </c>
      <c r="AB1136">
        <v>28</v>
      </c>
      <c r="AC1136">
        <v>-4.5394000000000201</v>
      </c>
      <c r="AD1136">
        <v>-1.1042718276500001</v>
      </c>
      <c r="AE1136">
        <v>-0.49469999999999398</v>
      </c>
      <c r="AF1136">
        <v>-0.68965049115185795</v>
      </c>
      <c r="AG1136">
        <v>-1.1042718276500001</v>
      </c>
      <c r="AH1136">
        <v>4.2585010487695998</v>
      </c>
      <c r="AI1136">
        <v>104.357992732128</v>
      </c>
      <c r="AJ1136">
        <v>99.199001298705696</v>
      </c>
      <c r="AK1136">
        <v>4.4530736858555704</v>
      </c>
      <c r="AL1136">
        <v>84.016871688171605</v>
      </c>
      <c r="AM1136">
        <v>91.043315143905104</v>
      </c>
      <c r="AN1136">
        <v>0.99999994867963704</v>
      </c>
    </row>
    <row r="1137" spans="1:40" x14ac:dyDescent="0.3">
      <c r="A1137" t="str">
        <f>"20200111150335139"</f>
        <v>20200111150335139</v>
      </c>
      <c r="B1137" t="str">
        <f>"1578726215129592"</f>
        <v>1578726215129592</v>
      </c>
      <c r="C1137" t="s">
        <v>40</v>
      </c>
      <c r="D1137">
        <v>5.148104</v>
      </c>
      <c r="E1137">
        <v>0.464617</v>
      </c>
      <c r="F1137" t="s">
        <v>42</v>
      </c>
      <c r="G1137">
        <v>-248.15790000000001</v>
      </c>
      <c r="H1137">
        <v>0.92437879999999994</v>
      </c>
      <c r="I1137">
        <v>141.4034</v>
      </c>
      <c r="J1137">
        <v>-247.60929999999999</v>
      </c>
      <c r="K1137">
        <v>1.1044879999999999</v>
      </c>
      <c r="L1137">
        <v>141.47499999999999</v>
      </c>
      <c r="M1137">
        <v>-0.99863239999999998</v>
      </c>
      <c r="N1137">
        <v>0</v>
      </c>
      <c r="O1137">
        <v>5.1132780000000003E-2</v>
      </c>
      <c r="P1137">
        <v>-0.99508730000000001</v>
      </c>
      <c r="Q1137">
        <v>9.3457910000000005E-2</v>
      </c>
      <c r="R1137">
        <v>3.2663949999999997E-2</v>
      </c>
      <c r="S1137">
        <v>-3.085556</v>
      </c>
      <c r="T1137">
        <v>-0.67417299999999902</v>
      </c>
      <c r="U1137">
        <v>-0.21765139999999999</v>
      </c>
      <c r="V1137">
        <v>-1.839112E-2</v>
      </c>
      <c r="W1137">
        <v>0.1042858</v>
      </c>
      <c r="X1137">
        <v>0.99437730000000002</v>
      </c>
      <c r="Y1137">
        <v>-0.11732339999999999</v>
      </c>
      <c r="Z1137">
        <v>-2.3683180000000002E-2</v>
      </c>
      <c r="AA1137">
        <v>0.99281129999999995</v>
      </c>
      <c r="AB1137">
        <v>28</v>
      </c>
      <c r="AC1137">
        <v>-0.54860000000002096</v>
      </c>
      <c r="AD1137">
        <v>-0.180109199999999</v>
      </c>
      <c r="AE1137">
        <v>-7.1599999999989394E-2</v>
      </c>
      <c r="AF1137">
        <v>-9.0019183874859604E-2</v>
      </c>
      <c r="AG1137">
        <v>-0.180109199999999</v>
      </c>
      <c r="AH1137">
        <v>0.49207114604478702</v>
      </c>
      <c r="AI1137">
        <v>109.801282698561</v>
      </c>
      <c r="AJ1137">
        <v>100.367017690002</v>
      </c>
      <c r="AK1137">
        <v>0.53167357481820199</v>
      </c>
      <c r="AL1137">
        <v>84.013979915071701</v>
      </c>
      <c r="AM1137">
        <v>91.059571081566304</v>
      </c>
      <c r="AN1137">
        <v>0.99999998806589196</v>
      </c>
    </row>
    <row r="1138" spans="1:40" x14ac:dyDescent="0.3">
      <c r="A1138" t="str">
        <f>"20200111150335161"</f>
        <v>20200111150335161</v>
      </c>
      <c r="B1138" t="str">
        <f>"1578726215159847"</f>
        <v>1578726215159847</v>
      </c>
      <c r="C1138" t="s">
        <v>40</v>
      </c>
      <c r="D1138">
        <v>5.5266440000000001</v>
      </c>
      <c r="E1138">
        <v>0.46755000000000002</v>
      </c>
      <c r="F1138" t="s">
        <v>41</v>
      </c>
      <c r="G1138">
        <v>-254.62610000000001</v>
      </c>
      <c r="H1138" s="1">
        <v>-2.6697110000000001E-6</v>
      </c>
      <c r="I1138">
        <v>141.05189999999999</v>
      </c>
      <c r="J1138">
        <v>-247.8937</v>
      </c>
      <c r="K1138">
        <v>1.1047290000000001</v>
      </c>
      <c r="L1138">
        <v>141.48849999999999</v>
      </c>
      <c r="M1138">
        <v>-0.99869249999999998</v>
      </c>
      <c r="N1138">
        <v>0</v>
      </c>
      <c r="O1138">
        <v>4.9942840000000002E-2</v>
      </c>
      <c r="P1138">
        <v>-0.99493279999999995</v>
      </c>
      <c r="Q1138">
        <v>9.5474240000000002E-2</v>
      </c>
      <c r="R1138">
        <v>3.1519650000000003E-2</v>
      </c>
      <c r="S1138">
        <v>-3.066208</v>
      </c>
      <c r="T1138">
        <v>-0.48264590000000002</v>
      </c>
      <c r="U1138">
        <v>-0.18484500000000001</v>
      </c>
      <c r="V1138">
        <v>-1.84052E-2</v>
      </c>
      <c r="W1138">
        <v>0.1062945</v>
      </c>
      <c r="X1138">
        <v>0.9941643</v>
      </c>
      <c r="Y1138">
        <v>-0.1080165</v>
      </c>
      <c r="Z1138">
        <v>-1.6249070000000001E-2</v>
      </c>
      <c r="AA1138">
        <v>0.99401629999999996</v>
      </c>
      <c r="AB1138">
        <v>28</v>
      </c>
      <c r="AC1138">
        <v>-6.7324000000000099</v>
      </c>
      <c r="AD1138">
        <v>-1.1047316697109999</v>
      </c>
      <c r="AE1138">
        <v>-0.43659999999999799</v>
      </c>
      <c r="AF1138">
        <v>-0.75214280498682196</v>
      </c>
      <c r="AG1138">
        <v>-1.1047316697109999</v>
      </c>
      <c r="AH1138">
        <v>6.5271756714723796</v>
      </c>
      <c r="AI1138">
        <v>99.544351367354196</v>
      </c>
      <c r="AJ1138">
        <v>96.5733437460689</v>
      </c>
      <c r="AK1138">
        <v>6.6625950730490002</v>
      </c>
      <c r="AL1138">
        <v>83.898246413498399</v>
      </c>
      <c r="AM1138">
        <v>91.060609225418901</v>
      </c>
      <c r="AN1138">
        <v>0.99999996375588895</v>
      </c>
    </row>
    <row r="1139" spans="1:40" x14ac:dyDescent="0.3">
      <c r="A1139" t="str">
        <f>"20200111150335183"</f>
        <v>20200111150335183</v>
      </c>
      <c r="B1139" t="str">
        <f>"1578726215179368"</f>
        <v>1578726215179368</v>
      </c>
      <c r="C1139" t="s">
        <v>40</v>
      </c>
      <c r="D1139">
        <v>5.1902980000000003</v>
      </c>
      <c r="E1139">
        <v>0.47355150000000001</v>
      </c>
      <c r="F1139" t="s">
        <v>41</v>
      </c>
      <c r="G1139">
        <v>-392.91449999999998</v>
      </c>
      <c r="H1139" s="1">
        <v>-4.0897080000000002E-6</v>
      </c>
      <c r="I1139">
        <v>133.5967</v>
      </c>
      <c r="J1139">
        <v>-248.16749999999999</v>
      </c>
      <c r="K1139">
        <v>1.1049709999999999</v>
      </c>
      <c r="L1139">
        <v>141.5008</v>
      </c>
      <c r="M1139">
        <v>-0.99876279999999995</v>
      </c>
      <c r="N1139">
        <v>0</v>
      </c>
      <c r="O1139">
        <v>4.8514479999999999E-2</v>
      </c>
      <c r="P1139">
        <v>-0.99487210000000004</v>
      </c>
      <c r="Q1139">
        <v>9.6658300000000003E-2</v>
      </c>
      <c r="R1139">
        <v>2.978364E-2</v>
      </c>
      <c r="S1139">
        <v>-3.0227050000000002</v>
      </c>
      <c r="T1139">
        <v>-2.3026230000000002E-2</v>
      </c>
      <c r="U1139">
        <v>-0.16448969999999999</v>
      </c>
      <c r="V1139">
        <v>-1.8778260000000001E-2</v>
      </c>
      <c r="W1139">
        <v>0.1074717</v>
      </c>
      <c r="X1139">
        <v>0.99403079999999999</v>
      </c>
      <c r="Y1139">
        <v>-0.102715</v>
      </c>
      <c r="Z1139">
        <v>-7.6026179999999998E-4</v>
      </c>
      <c r="AA1139">
        <v>0.9947106</v>
      </c>
      <c r="AB1139">
        <v>28</v>
      </c>
      <c r="AC1139">
        <v>-144.74700000000001</v>
      </c>
      <c r="AD1139">
        <v>-1.104975089708</v>
      </c>
      <c r="AE1139">
        <v>-7.9040999999999997</v>
      </c>
      <c r="AF1139">
        <v>-14.9166690126704</v>
      </c>
      <c r="AG1139">
        <v>-1.104975089708</v>
      </c>
      <c r="AH1139">
        <v>144.18467347220101</v>
      </c>
      <c r="AI1139">
        <v>90.436752935285497</v>
      </c>
      <c r="AJ1139">
        <v>95.906539448470397</v>
      </c>
      <c r="AK1139">
        <v>144.95843558988801</v>
      </c>
      <c r="AL1139">
        <v>83.830409504886504</v>
      </c>
      <c r="AM1139">
        <v>91.082247234636398</v>
      </c>
      <c r="AN1139">
        <v>1.00000001034907</v>
      </c>
    </row>
    <row r="1140" spans="1:40" x14ac:dyDescent="0.3">
      <c r="A1140" t="str">
        <f>"20200111150335206"</f>
        <v>20200111150335206</v>
      </c>
      <c r="B1140" t="str">
        <f>"1578726215199421"</f>
        <v>1578726215199421</v>
      </c>
      <c r="C1140" t="s">
        <v>40</v>
      </c>
      <c r="D1140">
        <v>8.6637989999999991</v>
      </c>
      <c r="E1140">
        <v>0.47480109999999998</v>
      </c>
      <c r="F1140" t="s">
        <v>44</v>
      </c>
      <c r="G1140">
        <v>0</v>
      </c>
      <c r="H1140">
        <v>0</v>
      </c>
      <c r="I1140">
        <v>0</v>
      </c>
      <c r="J1140">
        <v>-248.45590000000001</v>
      </c>
      <c r="K1140">
        <v>1.1052139999999999</v>
      </c>
      <c r="L1140">
        <v>141.51310000000001</v>
      </c>
      <c r="M1140">
        <v>-0.99884720000000005</v>
      </c>
      <c r="N1140">
        <v>0</v>
      </c>
      <c r="O1140">
        <v>4.6745080000000001E-2</v>
      </c>
      <c r="P1140">
        <v>-0.99504210000000004</v>
      </c>
      <c r="Q1140">
        <v>9.5640139999999998E-2</v>
      </c>
      <c r="R1140">
        <v>2.7287840000000001E-2</v>
      </c>
      <c r="S1140">
        <v>-3.018097</v>
      </c>
      <c r="T1140">
        <v>1.0529760000000001E-2</v>
      </c>
      <c r="U1140">
        <v>-0.121933</v>
      </c>
      <c r="V1140">
        <v>-1.9576730000000001E-2</v>
      </c>
      <c r="W1140">
        <v>0.1064481</v>
      </c>
      <c r="X1140">
        <v>0.9941255</v>
      </c>
      <c r="Y1140">
        <v>-8.7032499999999999E-2</v>
      </c>
      <c r="Z1140">
        <v>3.1478460000000002E-4</v>
      </c>
      <c r="AA1140">
        <v>0.99620540000000002</v>
      </c>
      <c r="AB1140">
        <v>28</v>
      </c>
      <c r="AC1140">
        <v>-3.018097</v>
      </c>
      <c r="AD1140">
        <v>1.0529760000000001E-2</v>
      </c>
      <c r="AE1140">
        <v>-0.121933</v>
      </c>
      <c r="AF1140">
        <v>-0.26288609118573703</v>
      </c>
      <c r="AG1140">
        <v>1.0529760000000001E-2</v>
      </c>
      <c r="AH1140">
        <v>3.0090607028290202</v>
      </c>
      <c r="AI1140">
        <v>89.800263567455403</v>
      </c>
      <c r="AJ1140">
        <v>94.9929589540357</v>
      </c>
      <c r="AK1140">
        <v>3.0205407274351499</v>
      </c>
      <c r="AL1140">
        <v>83.889395653645295</v>
      </c>
      <c r="AM1140">
        <v>91.128146344643099</v>
      </c>
      <c r="AN1140">
        <v>0.99999997805067598</v>
      </c>
    </row>
    <row r="1141" spans="1:40" x14ac:dyDescent="0.3">
      <c r="A1141" t="str">
        <f>"20200111150335229"</f>
        <v>20200111150335229</v>
      </c>
      <c r="B1141" t="str">
        <f>"1578726215218940"</f>
        <v>1578726215218940</v>
      </c>
      <c r="C1141" t="s">
        <v>40</v>
      </c>
      <c r="D1141">
        <v>4.7723490000000002</v>
      </c>
      <c r="E1141">
        <v>0.47481810000000002</v>
      </c>
      <c r="F1141" t="s">
        <v>44</v>
      </c>
      <c r="G1141">
        <v>0</v>
      </c>
      <c r="H1141">
        <v>0</v>
      </c>
      <c r="I1141">
        <v>0</v>
      </c>
      <c r="J1141">
        <v>-248.75479999999999</v>
      </c>
      <c r="K1141">
        <v>1.1054330000000001</v>
      </c>
      <c r="L1141">
        <v>141.52500000000001</v>
      </c>
      <c r="M1141">
        <v>-0.99894229999999995</v>
      </c>
      <c r="N1141">
        <v>0</v>
      </c>
      <c r="O1141">
        <v>4.4663149999999999E-2</v>
      </c>
      <c r="P1141">
        <v>-0.99512449999999997</v>
      </c>
      <c r="Q1141">
        <v>9.5482440000000002E-2</v>
      </c>
      <c r="R1141">
        <v>2.470406E-2</v>
      </c>
      <c r="S1141">
        <v>-3.0168910000000002</v>
      </c>
      <c r="T1141">
        <v>1.38464E-2</v>
      </c>
      <c r="U1141">
        <v>-0.11935419999999999</v>
      </c>
      <c r="V1141">
        <v>-2.0141180000000002E-2</v>
      </c>
      <c r="W1141">
        <v>0.106285</v>
      </c>
      <c r="X1141">
        <v>0.99413169999999995</v>
      </c>
      <c r="Y1141">
        <v>-8.4121189999999998E-2</v>
      </c>
      <c r="Z1141">
        <v>3.9787809999999998E-4</v>
      </c>
      <c r="AA1141">
        <v>0.99645539999999999</v>
      </c>
      <c r="AB1141">
        <v>28</v>
      </c>
      <c r="AC1141">
        <v>-3.0168910000000002</v>
      </c>
      <c r="AD1141">
        <v>1.38464E-2</v>
      </c>
      <c r="AE1141">
        <v>-0.11935419999999999</v>
      </c>
      <c r="AF1141">
        <v>-0.253981646834534</v>
      </c>
      <c r="AG1141">
        <v>1.38464E-2</v>
      </c>
      <c r="AH1141">
        <v>3.0084857687083</v>
      </c>
      <c r="AI1141">
        <v>89.737235692206895</v>
      </c>
      <c r="AJ1141">
        <v>94.825567942569606</v>
      </c>
      <c r="AK1141">
        <v>3.0192192732960099</v>
      </c>
      <c r="AL1141">
        <v>83.898794062604495</v>
      </c>
      <c r="AM1141">
        <v>91.160657840736306</v>
      </c>
      <c r="AN1141">
        <v>1.00000000265084</v>
      </c>
    </row>
    <row r="1142" spans="1:40" x14ac:dyDescent="0.3">
      <c r="A1142" t="str">
        <f>"20200111150335252"</f>
        <v>20200111150335252</v>
      </c>
      <c r="B1142" t="str">
        <f>"1578726215249196"</f>
        <v>1578726215249196</v>
      </c>
      <c r="C1142" t="s">
        <v>40</v>
      </c>
      <c r="D1142">
        <v>5.601915</v>
      </c>
      <c r="E1142">
        <v>0.4766822</v>
      </c>
      <c r="F1142" t="s">
        <v>44</v>
      </c>
      <c r="G1142">
        <v>0</v>
      </c>
      <c r="H1142">
        <v>0</v>
      </c>
      <c r="I1142">
        <v>0</v>
      </c>
      <c r="J1142">
        <v>-249.03309999999999</v>
      </c>
      <c r="K1142">
        <v>1.1055729999999999</v>
      </c>
      <c r="L1142">
        <v>141.5352</v>
      </c>
      <c r="M1142">
        <v>-0.99903520000000001</v>
      </c>
      <c r="N1142">
        <v>0</v>
      </c>
      <c r="O1142">
        <v>4.2537440000000003E-2</v>
      </c>
      <c r="P1142">
        <v>-0.99508450000000004</v>
      </c>
      <c r="Q1142">
        <v>9.6438750000000004E-2</v>
      </c>
      <c r="R1142">
        <v>2.2511380000000001E-2</v>
      </c>
      <c r="S1142">
        <v>-3.0116269999999998</v>
      </c>
      <c r="T1142">
        <v>6.4814930000000007E-2</v>
      </c>
      <c r="U1142">
        <v>-0.12695310000000001</v>
      </c>
      <c r="V1142">
        <v>-2.025192E-2</v>
      </c>
      <c r="W1142">
        <v>0.1072375</v>
      </c>
      <c r="X1142">
        <v>0.99402710000000005</v>
      </c>
      <c r="Y1142">
        <v>-8.4551650000000006E-2</v>
      </c>
      <c r="Z1142">
        <v>1.8243459999999999E-3</v>
      </c>
      <c r="AA1142">
        <v>0.99641740000000001</v>
      </c>
      <c r="AB1142">
        <v>29</v>
      </c>
      <c r="AC1142">
        <v>-3.0116269999999998</v>
      </c>
      <c r="AD1142">
        <v>6.4814930000000007E-2</v>
      </c>
      <c r="AE1142">
        <v>-0.12695310000000001</v>
      </c>
      <c r="AF1142">
        <v>-0.25483489411006</v>
      </c>
      <c r="AG1142">
        <v>6.4814930000000007E-2</v>
      </c>
      <c r="AH1142">
        <v>3.0021121442446801</v>
      </c>
      <c r="AI1142">
        <v>88.767619686125997</v>
      </c>
      <c r="AJ1142">
        <v>94.851932564179194</v>
      </c>
      <c r="AK1142">
        <v>3.01360566846899</v>
      </c>
      <c r="AL1142">
        <v>83.843905794777697</v>
      </c>
      <c r="AM1142">
        <v>91.167160367672693</v>
      </c>
      <c r="AN1142">
        <v>0.99999994860217201</v>
      </c>
    </row>
    <row r="1143" spans="1:40" x14ac:dyDescent="0.3">
      <c r="A1143" t="str">
        <f>"20200111150335272"</f>
        <v>20200111150335272</v>
      </c>
      <c r="B1143" t="str">
        <f>"1578726215269692"</f>
        <v>1578726215269692</v>
      </c>
      <c r="C1143" t="s">
        <v>40</v>
      </c>
      <c r="D1143">
        <v>5.616104</v>
      </c>
      <c r="E1143">
        <v>0.47778419999999999</v>
      </c>
      <c r="F1143" t="s">
        <v>44</v>
      </c>
      <c r="G1143">
        <v>0</v>
      </c>
      <c r="H1143">
        <v>0</v>
      </c>
      <c r="I1143">
        <v>0</v>
      </c>
      <c r="J1143">
        <v>-249.30090000000001</v>
      </c>
      <c r="K1143">
        <v>1.1056619999999999</v>
      </c>
      <c r="L1143">
        <v>141.5444</v>
      </c>
      <c r="M1143">
        <v>-0.99912420000000002</v>
      </c>
      <c r="N1143">
        <v>0</v>
      </c>
      <c r="O1143">
        <v>4.0387760000000002E-2</v>
      </c>
      <c r="P1143">
        <v>-0.9950175</v>
      </c>
      <c r="Q1143">
        <v>9.7865549999999996E-2</v>
      </c>
      <c r="R1143">
        <v>1.904407E-2</v>
      </c>
      <c r="S1143">
        <v>-3.0172729999999999</v>
      </c>
      <c r="T1143">
        <v>2.565861E-3</v>
      </c>
      <c r="U1143">
        <v>-0.1194611</v>
      </c>
      <c r="V1143">
        <v>-2.160132E-2</v>
      </c>
      <c r="W1143">
        <v>0.1086563</v>
      </c>
      <c r="X1143">
        <v>0.99384459999999997</v>
      </c>
      <c r="Y1143">
        <v>-7.9887639999999996E-2</v>
      </c>
      <c r="Z1143" s="1">
        <v>6.8288379999999993E-5</v>
      </c>
      <c r="AA1143">
        <v>0.99680389999999996</v>
      </c>
      <c r="AB1143">
        <v>29</v>
      </c>
      <c r="AC1143">
        <v>-3.0172729999999999</v>
      </c>
      <c r="AD1143">
        <v>2.565861E-3</v>
      </c>
      <c r="AE1143">
        <v>-0.1194611</v>
      </c>
      <c r="AF1143">
        <v>-0.24123163311993701</v>
      </c>
      <c r="AG1143">
        <v>2.565861E-3</v>
      </c>
      <c r="AH1143">
        <v>3.0099836283364398</v>
      </c>
      <c r="AI1143">
        <v>89.951314320460398</v>
      </c>
      <c r="AJ1143">
        <v>94.582109931928699</v>
      </c>
      <c r="AK1143">
        <v>3.0196358600523001</v>
      </c>
      <c r="AL1143">
        <v>83.762136727999206</v>
      </c>
      <c r="AM1143">
        <v>91.245133923429904</v>
      </c>
      <c r="AN1143">
        <v>0.99999994875229403</v>
      </c>
    </row>
    <row r="1144" spans="1:40" x14ac:dyDescent="0.3">
      <c r="A1144" t="str">
        <f>"20200111150335429"</f>
        <v>20200111150335429</v>
      </c>
      <c r="B1144" t="str">
        <f>"1578726215419023"</f>
        <v>1578726215419023</v>
      </c>
      <c r="C1144" t="s">
        <v>40</v>
      </c>
      <c r="D1144">
        <v>5.1768890000000001</v>
      </c>
      <c r="E1144">
        <v>0.4887032</v>
      </c>
      <c r="F1144" t="s">
        <v>43</v>
      </c>
      <c r="G1144">
        <v>-542.27120000000002</v>
      </c>
      <c r="H1144">
        <v>-0.05</v>
      </c>
      <c r="I1144">
        <v>129.80009999999999</v>
      </c>
      <c r="J1144">
        <v>-251.30420000000001</v>
      </c>
      <c r="K1144">
        <v>1.1057539999999999</v>
      </c>
      <c r="L1144">
        <v>141.59379999999999</v>
      </c>
      <c r="M1144">
        <v>-0.99965179999999998</v>
      </c>
      <c r="N1144">
        <v>0</v>
      </c>
      <c r="O1144">
        <v>2.40054E-2</v>
      </c>
      <c r="P1144">
        <v>-0.99517580000000005</v>
      </c>
      <c r="Q1144">
        <v>9.7918199999999997E-2</v>
      </c>
      <c r="R1144">
        <v>6.1181830000000001E-3</v>
      </c>
      <c r="S1144">
        <v>-3.018494</v>
      </c>
      <c r="T1144">
        <v>-1.190686E-2</v>
      </c>
      <c r="U1144">
        <v>-0.1210022</v>
      </c>
      <c r="V1144">
        <v>-1.8242020000000001E-2</v>
      </c>
      <c r="W1144">
        <v>0.108737899999999</v>
      </c>
      <c r="X1144">
        <v>0.99390299999999998</v>
      </c>
      <c r="Y1144">
        <v>-6.4030130000000005E-2</v>
      </c>
      <c r="Z1144">
        <v>-2.209011E-4</v>
      </c>
      <c r="AA1144">
        <v>0.9979479</v>
      </c>
      <c r="AB1144">
        <v>29</v>
      </c>
      <c r="AC1144">
        <v>-290.96699999999998</v>
      </c>
      <c r="AD1144">
        <v>-1.1557539999999999</v>
      </c>
      <c r="AE1144">
        <v>-11.793699999999999</v>
      </c>
      <c r="AF1144">
        <v>-18.7752036591441</v>
      </c>
      <c r="AG1144">
        <v>-1.1557539999999999</v>
      </c>
      <c r="AH1144">
        <v>290.59543476240498</v>
      </c>
      <c r="AI1144">
        <v>90.227401016691701</v>
      </c>
      <c r="AJ1144">
        <v>93.696709205713702</v>
      </c>
      <c r="AK1144">
        <v>291.203624195342</v>
      </c>
      <c r="AL1144">
        <v>83.757433456635098</v>
      </c>
      <c r="AM1144">
        <v>91.051484316126306</v>
      </c>
      <c r="AN1144">
        <v>0.99999993779954299</v>
      </c>
    </row>
    <row r="1145" spans="1:40" x14ac:dyDescent="0.3">
      <c r="A1145" t="str">
        <f>"20200111150335451"</f>
        <v>20200111150335451</v>
      </c>
      <c r="B1145" t="str">
        <f>"1578726215449277"</f>
        <v>1578726215449277</v>
      </c>
      <c r="C1145" t="s">
        <v>40</v>
      </c>
      <c r="D1145">
        <v>5.6330080000000002</v>
      </c>
      <c r="E1145">
        <v>0.51157799999999998</v>
      </c>
      <c r="F1145" t="s">
        <v>44</v>
      </c>
      <c r="G1145">
        <v>0</v>
      </c>
      <c r="H1145">
        <v>0</v>
      </c>
      <c r="I1145">
        <v>0</v>
      </c>
      <c r="J1145">
        <v>-251.58269999999999</v>
      </c>
      <c r="K1145">
        <v>1.105753</v>
      </c>
      <c r="L1145">
        <v>141.59809999999999</v>
      </c>
      <c r="M1145">
        <v>-0.9997028</v>
      </c>
      <c r="N1145">
        <v>0</v>
      </c>
      <c r="O1145">
        <v>2.1779079999999999E-2</v>
      </c>
      <c r="P1145">
        <v>-0.99520839999999999</v>
      </c>
      <c r="Q1145">
        <v>9.7724119999999998E-2</v>
      </c>
      <c r="R1145">
        <v>3.216029E-3</v>
      </c>
      <c r="S1145">
        <v>-2.9432529999999999</v>
      </c>
      <c r="T1145">
        <v>0.72866249999999999</v>
      </c>
      <c r="U1145">
        <v>-6.8969730000000007E-2</v>
      </c>
      <c r="V1145">
        <v>-1.8927240000000001E-2</v>
      </c>
      <c r="W1145">
        <v>0.1085435</v>
      </c>
      <c r="X1145">
        <v>0.99391149999999995</v>
      </c>
      <c r="Y1145">
        <v>-4.3233710000000002E-2</v>
      </c>
      <c r="Z1145">
        <v>1.058274E-2</v>
      </c>
      <c r="AA1145">
        <v>0.99900900000000004</v>
      </c>
      <c r="AB1145">
        <v>29</v>
      </c>
      <c r="AC1145">
        <v>-2.9432529999999999</v>
      </c>
      <c r="AD1145">
        <v>0.72866249999999999</v>
      </c>
      <c r="AE1145">
        <v>-6.8969730000000007E-2</v>
      </c>
      <c r="AF1145">
        <v>-0.12537820269865299</v>
      </c>
      <c r="AG1145">
        <v>0.72866249999999999</v>
      </c>
      <c r="AH1145">
        <v>2.7712903082654501</v>
      </c>
      <c r="AI1145">
        <v>75.282911020665495</v>
      </c>
      <c r="AJ1145">
        <v>92.590398643884001</v>
      </c>
      <c r="AK1145">
        <v>2.8682257068271602</v>
      </c>
      <c r="AL1145">
        <v>83.768638470366099</v>
      </c>
      <c r="AM1145">
        <v>91.090962232427302</v>
      </c>
      <c r="AN1145">
        <v>1.00000000081925</v>
      </c>
    </row>
    <row r="1146" spans="1:40" x14ac:dyDescent="0.3">
      <c r="A1146" t="str">
        <f>"20200111150335472"</f>
        <v>20200111150335472</v>
      </c>
      <c r="B1146" t="str">
        <f>"1578726215469773"</f>
        <v>1578726215469773</v>
      </c>
      <c r="C1146" t="s">
        <v>40</v>
      </c>
      <c r="D1146">
        <v>5.6384879999999997</v>
      </c>
      <c r="E1146">
        <v>0.50844140000000004</v>
      </c>
      <c r="F1146" t="s">
        <v>42</v>
      </c>
      <c r="G1146">
        <v>-252.5342</v>
      </c>
      <c r="H1146">
        <v>1.0432760000000001</v>
      </c>
      <c r="I1146">
        <v>141.62950000000001</v>
      </c>
      <c r="J1146">
        <v>-251.8597</v>
      </c>
      <c r="K1146">
        <v>1.1057520000000001</v>
      </c>
      <c r="L1146">
        <v>141.60169999999999</v>
      </c>
      <c r="M1146">
        <v>-0.99974850000000004</v>
      </c>
      <c r="N1146">
        <v>0</v>
      </c>
      <c r="O1146">
        <v>1.9565590000000001E-2</v>
      </c>
      <c r="P1146">
        <v>-0.99519679999999999</v>
      </c>
      <c r="Q1146">
        <v>9.7894529999999993E-2</v>
      </c>
      <c r="R1146">
        <v>5.0882599999999998E-4</v>
      </c>
      <c r="S1146">
        <v>-3.033722</v>
      </c>
      <c r="T1146">
        <v>-0.19946820000000001</v>
      </c>
      <c r="U1146">
        <v>9.9136349999999998E-2</v>
      </c>
      <c r="V1146">
        <v>-1.943162E-2</v>
      </c>
      <c r="W1146">
        <v>0.1087132</v>
      </c>
      <c r="X1146">
        <v>0.99388319999999997</v>
      </c>
      <c r="Y1146">
        <v>1.311203E-2</v>
      </c>
      <c r="Z1146">
        <v>-8.5414699999999998E-4</v>
      </c>
      <c r="AA1146">
        <v>0.99991370000000002</v>
      </c>
      <c r="AB1146">
        <v>29</v>
      </c>
      <c r="AC1146">
        <v>-0.67449999999999399</v>
      </c>
      <c r="AD1146">
        <v>-6.24759999999999E-2</v>
      </c>
      <c r="AE1146">
        <v>2.78000000000133E-2</v>
      </c>
      <c r="AF1146">
        <v>1.4472934471257999E-2</v>
      </c>
      <c r="AG1146">
        <v>-6.24759999999999E-2</v>
      </c>
      <c r="AH1146">
        <v>0.66918329579791802</v>
      </c>
      <c r="AI1146">
        <v>95.332522650372994</v>
      </c>
      <c r="AJ1146">
        <v>88.761013896974205</v>
      </c>
      <c r="AK1146">
        <v>0.67224920958166501</v>
      </c>
      <c r="AL1146">
        <v>83.758857375800602</v>
      </c>
      <c r="AM1146">
        <v>91.120059166271801</v>
      </c>
      <c r="AN1146">
        <v>0.99999998147615199</v>
      </c>
    </row>
    <row r="1147" spans="1:40" x14ac:dyDescent="0.3">
      <c r="A1147" t="str">
        <f>"20200111150335495"</f>
        <v>20200111150335495</v>
      </c>
      <c r="B1147" t="str">
        <f>"1578726215488990"</f>
        <v>1578726215488990</v>
      </c>
      <c r="C1147" t="s">
        <v>40</v>
      </c>
      <c r="D1147">
        <v>5.686858</v>
      </c>
      <c r="E1147">
        <v>0.5077528</v>
      </c>
      <c r="F1147" t="s">
        <v>42</v>
      </c>
      <c r="G1147">
        <v>-252.79169999999999</v>
      </c>
      <c r="H1147">
        <v>1.043253</v>
      </c>
      <c r="I1147">
        <v>141.62209999999999</v>
      </c>
      <c r="J1147">
        <v>-252.1558</v>
      </c>
      <c r="K1147">
        <v>1.1057549999999901</v>
      </c>
      <c r="L1147">
        <v>141.60489999999999</v>
      </c>
      <c r="M1147">
        <v>-0.99979209999999996</v>
      </c>
      <c r="N1147">
        <v>0</v>
      </c>
      <c r="O1147">
        <v>1.7198919999999999E-2</v>
      </c>
      <c r="P1147">
        <v>-0.99512789999999995</v>
      </c>
      <c r="Q1147">
        <v>9.8567169999999996E-2</v>
      </c>
      <c r="R1147">
        <v>-2.3055580000000001E-3</v>
      </c>
      <c r="S1147">
        <v>-3.0344540000000002</v>
      </c>
      <c r="T1147">
        <v>-0.20360449999999999</v>
      </c>
      <c r="U1147">
        <v>6.6131590000000004E-2</v>
      </c>
      <c r="V1147">
        <v>-1.9891260000000001E-2</v>
      </c>
      <c r="W1147">
        <v>0.10938580000000001</v>
      </c>
      <c r="X1147">
        <v>0.99380029999999997</v>
      </c>
      <c r="Y1147">
        <v>4.6175749999999996E-3</v>
      </c>
      <c r="Z1147">
        <v>-9.9782410000000005E-4</v>
      </c>
      <c r="AA1147">
        <v>0.99998889999999996</v>
      </c>
      <c r="AB1147">
        <v>29</v>
      </c>
      <c r="AC1147">
        <v>-0.63589999999999203</v>
      </c>
      <c r="AD1147">
        <v>-6.2501999999999794E-2</v>
      </c>
      <c r="AE1147">
        <v>1.7200000000002501E-2</v>
      </c>
      <c r="AF1147">
        <v>6.20015212140113E-3</v>
      </c>
      <c r="AG1147">
        <v>-6.2501999999999794E-2</v>
      </c>
      <c r="AH1147">
        <v>0.63001976592165698</v>
      </c>
      <c r="AI1147">
        <v>95.665297966056201</v>
      </c>
      <c r="AJ1147">
        <v>89.436158831119798</v>
      </c>
      <c r="AK1147">
        <v>0.63314283328669896</v>
      </c>
      <c r="AL1147">
        <v>83.720088995706007</v>
      </c>
      <c r="AM1147">
        <v>91.146641928366904</v>
      </c>
      <c r="AN1147">
        <v>0.999999975873058</v>
      </c>
    </row>
    <row r="1148" spans="1:40" x14ac:dyDescent="0.3">
      <c r="A1148" t="str">
        <f>"20200111150335519"</f>
        <v>20200111150335519</v>
      </c>
      <c r="B1148" t="str">
        <f>"1578726215509474"</f>
        <v>1578726215509474</v>
      </c>
      <c r="C1148" t="s">
        <v>40</v>
      </c>
      <c r="D1148">
        <v>5.1284539999999996</v>
      </c>
      <c r="E1148">
        <v>0.49242069999999999</v>
      </c>
      <c r="F1148" t="s">
        <v>42</v>
      </c>
      <c r="G1148">
        <v>-253.05</v>
      </c>
      <c r="H1148">
        <v>1.0448459999999999</v>
      </c>
      <c r="I1148">
        <v>141.62029999999999</v>
      </c>
      <c r="J1148">
        <v>-252.45140000000001</v>
      </c>
      <c r="K1148">
        <v>1.1057619999999999</v>
      </c>
      <c r="L1148">
        <v>141.60740000000001</v>
      </c>
      <c r="M1148">
        <v>-0.99982990000000005</v>
      </c>
      <c r="N1148">
        <v>0</v>
      </c>
      <c r="O1148">
        <v>1.483606E-2</v>
      </c>
      <c r="P1148">
        <v>-0.99508300000000005</v>
      </c>
      <c r="Q1148">
        <v>9.8924269999999995E-2</v>
      </c>
      <c r="R1148">
        <v>-4.922895E-3</v>
      </c>
      <c r="S1148">
        <v>-3.0352939999999999</v>
      </c>
      <c r="T1148">
        <v>-0.2068487</v>
      </c>
      <c r="U1148">
        <v>5.1956179999999998E-2</v>
      </c>
      <c r="V1148">
        <v>-2.0157729999999999E-2</v>
      </c>
      <c r="W1148">
        <v>0.1097437</v>
      </c>
      <c r="X1148">
        <v>0.99375550000000001</v>
      </c>
      <c r="Y1148">
        <v>2.3072309999999999E-3</v>
      </c>
      <c r="Z1148">
        <v>-9.312821E-4</v>
      </c>
      <c r="AA1148">
        <v>0.99999689999999997</v>
      </c>
      <c r="AB1148">
        <v>29</v>
      </c>
      <c r="AC1148">
        <v>-0.59860000000000402</v>
      </c>
      <c r="AD1148">
        <v>-6.0916000000000102E-2</v>
      </c>
      <c r="AE1148">
        <v>1.28999999999734E-2</v>
      </c>
      <c r="AF1148">
        <v>3.9760250129958199E-3</v>
      </c>
      <c r="AG1148">
        <v>-6.0916000000000102E-2</v>
      </c>
      <c r="AH1148">
        <v>0.59259151588249304</v>
      </c>
      <c r="AI1148">
        <v>95.869026939289498</v>
      </c>
      <c r="AJ1148">
        <v>89.615576619050202</v>
      </c>
      <c r="AK1148">
        <v>0.59572751533466595</v>
      </c>
      <c r="AL1148">
        <v>83.699458810326107</v>
      </c>
      <c r="AM1148">
        <v>91.162050915228804</v>
      </c>
      <c r="AN1148">
        <v>1.00000000377434</v>
      </c>
    </row>
    <row r="1149" spans="1:40" x14ac:dyDescent="0.3">
      <c r="A1149" t="str">
        <f>"20200111150335540"</f>
        <v>20200111150335540</v>
      </c>
      <c r="B1149" t="str">
        <f>"1578726215528997"</f>
        <v>1578726215528997</v>
      </c>
      <c r="C1149" t="s">
        <v>40</v>
      </c>
      <c r="D1149">
        <v>5.676158</v>
      </c>
      <c r="E1149">
        <v>0.51137929999999998</v>
      </c>
      <c r="F1149" t="s">
        <v>44</v>
      </c>
      <c r="G1149">
        <v>0</v>
      </c>
      <c r="H1149">
        <v>0</v>
      </c>
      <c r="I1149">
        <v>0</v>
      </c>
      <c r="J1149">
        <v>-252.72559999999999</v>
      </c>
      <c r="K1149">
        <v>1.1057650000000001</v>
      </c>
      <c r="L1149">
        <v>141.60919999999999</v>
      </c>
      <c r="M1149">
        <v>-0.99985999999999997</v>
      </c>
      <c r="N1149">
        <v>0</v>
      </c>
      <c r="O1149">
        <v>1.2645200000000001E-2</v>
      </c>
      <c r="P1149">
        <v>-0.99496839999999998</v>
      </c>
      <c r="Q1149">
        <v>9.9915809999999994E-2</v>
      </c>
      <c r="R1149">
        <v>-7.4039900000000001E-3</v>
      </c>
      <c r="S1149">
        <v>-2.9636079999999998</v>
      </c>
      <c r="T1149">
        <v>0.51154529999999998</v>
      </c>
      <c r="U1149">
        <v>-7.4020390000000005E-2</v>
      </c>
      <c r="V1149">
        <v>-2.046158E-2</v>
      </c>
      <c r="W1149">
        <v>0.1107351</v>
      </c>
      <c r="X1149">
        <v>0.9936393</v>
      </c>
      <c r="Y1149">
        <v>-3.6876770000000003E-2</v>
      </c>
      <c r="Z1149">
        <v>5.3252880000000001E-3</v>
      </c>
      <c r="AA1149">
        <v>0.99930560000000002</v>
      </c>
      <c r="AB1149">
        <v>29</v>
      </c>
      <c r="AC1149">
        <v>-2.9636079999999998</v>
      </c>
      <c r="AD1149">
        <v>0.51154529999999998</v>
      </c>
      <c r="AE1149">
        <v>-7.4020390000000005E-2</v>
      </c>
      <c r="AF1149">
        <v>-0.108268414896858</v>
      </c>
      <c r="AG1149">
        <v>0.51154529999999998</v>
      </c>
      <c r="AH1149">
        <v>2.87677809036111</v>
      </c>
      <c r="AI1149">
        <v>79.924109232850498</v>
      </c>
      <c r="AJ1149">
        <v>92.155326789602398</v>
      </c>
      <c r="AK1149">
        <v>2.9239105363875502</v>
      </c>
      <c r="AL1149">
        <v>83.642307405044704</v>
      </c>
      <c r="AM1149">
        <v>91.179700222704</v>
      </c>
      <c r="AN1149">
        <v>0.99999999856629795</v>
      </c>
    </row>
    <row r="1150" spans="1:40" x14ac:dyDescent="0.3">
      <c r="A1150" t="str">
        <f>"20200111150335562"</f>
        <v>20200111150335562</v>
      </c>
      <c r="B1150" t="str">
        <f>"1578726215559251"</f>
        <v>1578726215559251</v>
      </c>
      <c r="C1150" t="s">
        <v>40</v>
      </c>
      <c r="D1150">
        <v>5.661619</v>
      </c>
      <c r="E1150">
        <v>0.51034670000000004</v>
      </c>
      <c r="F1150" t="s">
        <v>41</v>
      </c>
      <c r="G1150">
        <v>-272.048</v>
      </c>
      <c r="H1150" s="1">
        <v>-4.0070650000000002E-6</v>
      </c>
      <c r="I1150">
        <v>142.02889999999999</v>
      </c>
      <c r="J1150">
        <v>-253.00559999999999</v>
      </c>
      <c r="K1150">
        <v>1.105772</v>
      </c>
      <c r="L1150">
        <v>141.6103</v>
      </c>
      <c r="M1150">
        <v>-0.99988569999999999</v>
      </c>
      <c r="N1150">
        <v>0</v>
      </c>
      <c r="O1150">
        <v>1.040804E-2</v>
      </c>
      <c r="P1150">
        <v>-0.99488399999999999</v>
      </c>
      <c r="Q1150">
        <v>0.10057530000000001</v>
      </c>
      <c r="R1150">
        <v>-9.519039E-3</v>
      </c>
      <c r="S1150">
        <v>-3.0330810000000001</v>
      </c>
      <c r="T1150">
        <v>-0.17357520000000001</v>
      </c>
      <c r="U1150">
        <v>6.5902710000000003E-2</v>
      </c>
      <c r="V1150">
        <v>-2.0352510000000001E-2</v>
      </c>
      <c r="W1150">
        <v>0.1113962</v>
      </c>
      <c r="X1150">
        <v>0.9935676</v>
      </c>
      <c r="Y1150">
        <v>1.131398E-2</v>
      </c>
      <c r="Z1150">
        <v>-2.7164650000000002E-4</v>
      </c>
      <c r="AA1150">
        <v>0.99993600000000005</v>
      </c>
      <c r="AB1150">
        <v>29</v>
      </c>
      <c r="AC1150">
        <v>-19.042400000000001</v>
      </c>
      <c r="AD1150">
        <v>-1.105776007065</v>
      </c>
      <c r="AE1150">
        <v>0.41859999999999697</v>
      </c>
      <c r="AF1150">
        <v>0.21963110026666799</v>
      </c>
      <c r="AG1150">
        <v>-1.105776007065</v>
      </c>
      <c r="AH1150">
        <v>18.981749465841201</v>
      </c>
      <c r="AI1150">
        <v>93.333757451666401</v>
      </c>
      <c r="AJ1150">
        <v>89.337080410611307</v>
      </c>
      <c r="AK1150">
        <v>19.0151989519428</v>
      </c>
      <c r="AL1150">
        <v>83.604193087957796</v>
      </c>
      <c r="AM1150">
        <v>91.173498274405802</v>
      </c>
      <c r="AN1150">
        <v>0.99999995690374899</v>
      </c>
    </row>
    <row r="1151" spans="1:40" x14ac:dyDescent="0.3">
      <c r="A1151" t="str">
        <f>"20200111150335786"</f>
        <v>20200111150335786</v>
      </c>
      <c r="B1151" t="str">
        <f>"1578726215778993"</f>
        <v>1578726215778993</v>
      </c>
      <c r="C1151" t="s">
        <v>40</v>
      </c>
      <c r="D1151">
        <v>5.7614099999999997</v>
      </c>
      <c r="E1151">
        <v>0.47564669999999998</v>
      </c>
      <c r="F1151" t="s">
        <v>41</v>
      </c>
      <c r="G1151">
        <v>-271.74160000000001</v>
      </c>
      <c r="H1151" s="1">
        <v>-4.0928750000000002E-6</v>
      </c>
      <c r="I1151">
        <v>141.92500000000001</v>
      </c>
      <c r="J1151">
        <v>-255.9074</v>
      </c>
      <c r="K1151">
        <v>1.1057049999999999</v>
      </c>
      <c r="L1151">
        <v>141.58609999999999</v>
      </c>
      <c r="M1151">
        <v>-0.99986339999999996</v>
      </c>
      <c r="N1151">
        <v>0</v>
      </c>
      <c r="O1151">
        <v>-1.234236E-2</v>
      </c>
      <c r="P1151">
        <v>-0.99453190000000002</v>
      </c>
      <c r="Q1151">
        <v>0.1010162</v>
      </c>
      <c r="R1151">
        <v>-2.6497E-2</v>
      </c>
      <c r="S1151">
        <v>-3.034027</v>
      </c>
      <c r="T1151">
        <v>-0.179065</v>
      </c>
      <c r="U1151">
        <v>5.096436E-2</v>
      </c>
      <c r="V1151">
        <v>-1.468796E-2</v>
      </c>
      <c r="W1151">
        <v>0.11188190000000001</v>
      </c>
      <c r="X1151">
        <v>0.99361290000000002</v>
      </c>
      <c r="Y1151">
        <v>2.9063269999999999E-2</v>
      </c>
      <c r="Z1151">
        <v>1.5846320000000001E-3</v>
      </c>
      <c r="AA1151">
        <v>0.99957629999999997</v>
      </c>
      <c r="AB1151">
        <v>29</v>
      </c>
      <c r="AC1151">
        <v>-15.834199999999999</v>
      </c>
      <c r="AD1151">
        <v>-1.105709092875</v>
      </c>
      <c r="AE1151">
        <v>0.33890000000002302</v>
      </c>
      <c r="AF1151">
        <v>0.53172572786588101</v>
      </c>
      <c r="AG1151">
        <v>-1.105709092875</v>
      </c>
      <c r="AH1151">
        <v>15.752034373007399</v>
      </c>
      <c r="AI1151">
        <v>94.012994820704606</v>
      </c>
      <c r="AJ1151">
        <v>88.066657568760206</v>
      </c>
      <c r="AK1151">
        <v>15.7997440402098</v>
      </c>
      <c r="AL1151">
        <v>83.576189396440398</v>
      </c>
      <c r="AM1151">
        <v>90.846906100933793</v>
      </c>
      <c r="AN1151">
        <v>0.99999994538148895</v>
      </c>
    </row>
    <row r="1152" spans="1:40" x14ac:dyDescent="0.3">
      <c r="A1152" t="str">
        <f>"20200111150335809"</f>
        <v>20200111150335809</v>
      </c>
      <c r="B1152" t="str">
        <f>"1578726215799421"</f>
        <v>1578726215799421</v>
      </c>
      <c r="C1152" t="s">
        <v>40</v>
      </c>
      <c r="D1152">
        <v>5.4857800000000001</v>
      </c>
      <c r="E1152">
        <v>0.47092339999999999</v>
      </c>
      <c r="F1152" t="s">
        <v>41</v>
      </c>
      <c r="G1152">
        <v>-269.25349999999997</v>
      </c>
      <c r="H1152" s="1">
        <v>-4.9842349999999998E-7</v>
      </c>
      <c r="I1152">
        <v>140.35230000000001</v>
      </c>
      <c r="J1152">
        <v>-256.18860000000001</v>
      </c>
      <c r="K1152">
        <v>1.1056889999999999</v>
      </c>
      <c r="L1152">
        <v>141.5804</v>
      </c>
      <c r="M1152">
        <v>-0.99983489999999997</v>
      </c>
      <c r="N1152">
        <v>0</v>
      </c>
      <c r="O1152">
        <v>-1.447475E-2</v>
      </c>
      <c r="P1152">
        <v>-0.9945505</v>
      </c>
      <c r="Q1152">
        <v>0.1003686</v>
      </c>
      <c r="R1152">
        <v>-2.8207579999999999E-2</v>
      </c>
      <c r="S1152">
        <v>-3.0345460000000002</v>
      </c>
      <c r="T1152">
        <v>-0.25140940000000001</v>
      </c>
      <c r="U1152">
        <v>-0.28053280000000003</v>
      </c>
      <c r="V1152">
        <v>-1.427017E-2</v>
      </c>
      <c r="W1152">
        <v>0.1112384</v>
      </c>
      <c r="X1152">
        <v>0.99369130000000006</v>
      </c>
      <c r="Y1152">
        <v>-7.7416319999999997E-2</v>
      </c>
      <c r="Z1152">
        <v>-2.0001979999999999E-3</v>
      </c>
      <c r="AA1152">
        <v>0.99699680000000002</v>
      </c>
      <c r="AB1152">
        <v>29</v>
      </c>
      <c r="AC1152">
        <v>-13.0648999999999</v>
      </c>
      <c r="AD1152">
        <v>-1.1056894984235</v>
      </c>
      <c r="AE1152">
        <v>-1.22809999999998</v>
      </c>
      <c r="AF1152">
        <v>-1.0315253391849299</v>
      </c>
      <c r="AG1152">
        <v>-1.1056894984235</v>
      </c>
      <c r="AH1152">
        <v>12.989091310009901</v>
      </c>
      <c r="AI1152">
        <v>94.8503456221314</v>
      </c>
      <c r="AJ1152">
        <v>94.540600162844697</v>
      </c>
      <c r="AK1152">
        <v>13.0768148588285</v>
      </c>
      <c r="AL1152">
        <v>83.613291243654103</v>
      </c>
      <c r="AM1152">
        <v>90.822754827861104</v>
      </c>
      <c r="AN1152">
        <v>1.00000000954103</v>
      </c>
    </row>
    <row r="1153" spans="1:40" x14ac:dyDescent="0.3">
      <c r="A1153" t="str">
        <f>"20200111150335831"</f>
        <v>20200111150335831</v>
      </c>
      <c r="B1153" t="str">
        <f>"1578726215818941"</f>
        <v>1578726215818941</v>
      </c>
      <c r="C1153" t="s">
        <v>40</v>
      </c>
      <c r="D1153">
        <v>5.5714139999999999</v>
      </c>
      <c r="E1153">
        <v>0.47185630000000001</v>
      </c>
      <c r="F1153" t="s">
        <v>41</v>
      </c>
      <c r="G1153">
        <v>-272.33049999999997</v>
      </c>
      <c r="H1153" s="1">
        <v>-3.3375670000000002E-6</v>
      </c>
      <c r="I1153">
        <v>139.86080000000001</v>
      </c>
      <c r="J1153">
        <v>-256.47660000000002</v>
      </c>
      <c r="K1153">
        <v>1.1056649999999999</v>
      </c>
      <c r="L1153">
        <v>141.57380000000001</v>
      </c>
      <c r="M1153">
        <v>-0.99980139999999995</v>
      </c>
      <c r="N1153">
        <v>0</v>
      </c>
      <c r="O1153">
        <v>-1.6628730000000001E-2</v>
      </c>
      <c r="P1153">
        <v>-0.99457470000000003</v>
      </c>
      <c r="Q1153">
        <v>9.9528359999999996E-2</v>
      </c>
      <c r="R1153">
        <v>-3.0257309999999999E-2</v>
      </c>
      <c r="S1153">
        <v>-3.0282290000000001</v>
      </c>
      <c r="T1153">
        <v>-0.20742830000000001</v>
      </c>
      <c r="U1153">
        <v>-0.32258609999999999</v>
      </c>
      <c r="V1153">
        <v>-1.416773E-2</v>
      </c>
      <c r="W1153">
        <v>0.1104015</v>
      </c>
      <c r="X1153">
        <v>0.99378610000000001</v>
      </c>
      <c r="Y1153">
        <v>-8.9208090000000004E-2</v>
      </c>
      <c r="Z1153">
        <v>-1.9088569999999999E-3</v>
      </c>
      <c r="AA1153">
        <v>0.99601119999999999</v>
      </c>
      <c r="AB1153">
        <v>29</v>
      </c>
      <c r="AC1153">
        <v>-15.8538999999999</v>
      </c>
      <c r="AD1153">
        <v>-1.105668337567</v>
      </c>
      <c r="AE1153">
        <v>-1.7129999999999901</v>
      </c>
      <c r="AF1153">
        <v>-1.44218341916557</v>
      </c>
      <c r="AG1153">
        <v>-1.105668337567</v>
      </c>
      <c r="AH1153">
        <v>15.8042126075747</v>
      </c>
      <c r="AI1153">
        <v>93.985407161359504</v>
      </c>
      <c r="AJ1153">
        <v>95.213977102366897</v>
      </c>
      <c r="AK1153">
        <v>15.9083478599331</v>
      </c>
      <c r="AL1153">
        <v>83.661539295673805</v>
      </c>
      <c r="AM1153">
        <v>90.816771483172801</v>
      </c>
      <c r="AN1153">
        <v>1.0000000141644001</v>
      </c>
    </row>
    <row r="1154" spans="1:40" x14ac:dyDescent="0.3">
      <c r="A1154" t="str">
        <f>"20200111150335853"</f>
        <v>20200111150335853</v>
      </c>
      <c r="B1154" t="str">
        <f>"1578726215849198"</f>
        <v>1578726215849198</v>
      </c>
      <c r="C1154" t="s">
        <v>40</v>
      </c>
      <c r="D1154">
        <v>5.5251669999999997</v>
      </c>
      <c r="E1154">
        <v>0.4703367</v>
      </c>
      <c r="F1154" t="s">
        <v>41</v>
      </c>
      <c r="G1154">
        <v>-270.94349999999997</v>
      </c>
      <c r="H1154" s="1">
        <v>-3.9800370000000004E-6</v>
      </c>
      <c r="I1154">
        <v>140.03899999999999</v>
      </c>
      <c r="J1154">
        <v>-256.75830000000002</v>
      </c>
      <c r="K1154">
        <v>1.105642</v>
      </c>
      <c r="L1154">
        <v>141.5669</v>
      </c>
      <c r="M1154">
        <v>-0.9997646</v>
      </c>
      <c r="N1154">
        <v>0</v>
      </c>
      <c r="O1154">
        <v>-1.8710439999999998E-2</v>
      </c>
      <c r="P1154">
        <v>-0.99456710000000004</v>
      </c>
      <c r="Q1154">
        <v>9.899078E-2</v>
      </c>
      <c r="R1154">
        <v>-3.2211070000000001E-2</v>
      </c>
      <c r="S1154">
        <v>-3.0297550000000002</v>
      </c>
      <c r="T1154">
        <v>-0.23155729999999999</v>
      </c>
      <c r="U1154">
        <v>-0.3214264</v>
      </c>
      <c r="V1154">
        <v>-1.4042509999999999E-2</v>
      </c>
      <c r="W1154">
        <v>0.1098669</v>
      </c>
      <c r="X1154">
        <v>0.99384709999999998</v>
      </c>
      <c r="Y1154">
        <v>-8.6676340000000004E-2</v>
      </c>
      <c r="Z1154">
        <v>-1.874592E-3</v>
      </c>
      <c r="AA1154">
        <v>0.99623479999999998</v>
      </c>
      <c r="AB1154">
        <v>29</v>
      </c>
      <c r="AC1154">
        <v>-14.185199999999901</v>
      </c>
      <c r="AD1154">
        <v>-1.105645980037</v>
      </c>
      <c r="AE1154">
        <v>-1.52790000000001</v>
      </c>
      <c r="AF1154">
        <v>-1.25467018622205</v>
      </c>
      <c r="AG1154">
        <v>-1.105645980037</v>
      </c>
      <c r="AH1154">
        <v>14.1264688977408</v>
      </c>
      <c r="AI1154">
        <v>94.457807552166898</v>
      </c>
      <c r="AJ1154">
        <v>95.075519576500895</v>
      </c>
      <c r="AK1154">
        <v>14.225110678943899</v>
      </c>
      <c r="AL1154">
        <v>83.692356958351297</v>
      </c>
      <c r="AM1154">
        <v>90.809503816988595</v>
      </c>
      <c r="AN1154">
        <v>0.99999999299055997</v>
      </c>
    </row>
    <row r="1155" spans="1:40" x14ac:dyDescent="0.3">
      <c r="A1155" t="str">
        <f>"20200111150335875"</f>
        <v>20200111150335875</v>
      </c>
      <c r="B1155" t="str">
        <f>"1578726215869694"</f>
        <v>1578726215869694</v>
      </c>
      <c r="C1155" t="s">
        <v>40</v>
      </c>
      <c r="D1155">
        <v>5.7764110000000004</v>
      </c>
      <c r="E1155">
        <v>0.46835270000000001</v>
      </c>
      <c r="F1155" t="s">
        <v>63</v>
      </c>
      <c r="G1155">
        <v>-451.01139999999998</v>
      </c>
      <c r="H1155">
        <v>10.205679999999999</v>
      </c>
      <c r="I1155">
        <v>119.8177</v>
      </c>
      <c r="J1155">
        <v>-257.05160000000001</v>
      </c>
      <c r="K1155">
        <v>1.105615</v>
      </c>
      <c r="L1155">
        <v>141.5591</v>
      </c>
      <c r="M1155">
        <v>-0.99972269999999996</v>
      </c>
      <c r="N1155">
        <v>0</v>
      </c>
      <c r="O1155">
        <v>-2.0833250000000001E-2</v>
      </c>
      <c r="P1155">
        <v>-0.99449339999999997</v>
      </c>
      <c r="Q1155">
        <v>9.92421E-2</v>
      </c>
      <c r="R1155">
        <v>-3.368148E-2</v>
      </c>
      <c r="S1155">
        <v>-2.9915769999999999</v>
      </c>
      <c r="T1155">
        <v>0.14014460000000001</v>
      </c>
      <c r="U1155">
        <v>-0.33494570000000001</v>
      </c>
      <c r="V1155">
        <v>-1.339478E-2</v>
      </c>
      <c r="W1155">
        <v>0.11012280000000001</v>
      </c>
      <c r="X1155">
        <v>0.99382769999999998</v>
      </c>
      <c r="Y1155">
        <v>-9.0463009999999996E-2</v>
      </c>
      <c r="Z1155">
        <v>1.1390689999999999E-3</v>
      </c>
      <c r="AA1155">
        <v>0.99589910000000004</v>
      </c>
      <c r="AB1155">
        <v>29</v>
      </c>
      <c r="AC1155">
        <v>-193.9598</v>
      </c>
      <c r="AD1155">
        <v>9.1000649999999901</v>
      </c>
      <c r="AE1155">
        <v>-21.741399999999999</v>
      </c>
      <c r="AF1155">
        <v>-17.657238935166401</v>
      </c>
      <c r="AG1155">
        <v>9.1000649999999901</v>
      </c>
      <c r="AH1155">
        <v>193.94904111558</v>
      </c>
      <c r="AI1155">
        <v>87.324707152059901</v>
      </c>
      <c r="AJ1155">
        <v>95.201902519066493</v>
      </c>
      <c r="AK1155">
        <v>194.963637172348</v>
      </c>
      <c r="AL1155">
        <v>83.677605339470702</v>
      </c>
      <c r="AM1155">
        <v>90.772184046742893</v>
      </c>
      <c r="AN1155">
        <v>0.99999997424918796</v>
      </c>
    </row>
    <row r="1156" spans="1:40" x14ac:dyDescent="0.3">
      <c r="A1156" t="str">
        <f>"20200111150335898"</f>
        <v>20200111150335898</v>
      </c>
      <c r="B1156" t="str">
        <f>"1578726215889213"</f>
        <v>1578726215889213</v>
      </c>
      <c r="C1156" t="s">
        <v>40</v>
      </c>
      <c r="D1156">
        <v>5.8990349999999996</v>
      </c>
      <c r="E1156">
        <v>0.47018579999999999</v>
      </c>
      <c r="F1156" t="s">
        <v>63</v>
      </c>
      <c r="G1156">
        <v>-440.20710000000003</v>
      </c>
      <c r="H1156">
        <v>2.4894820000000002</v>
      </c>
      <c r="I1156">
        <v>119.79049999999999</v>
      </c>
      <c r="J1156">
        <v>-257.35669999999999</v>
      </c>
      <c r="K1156">
        <v>1.1055729999999999</v>
      </c>
      <c r="L1156">
        <v>141.5504</v>
      </c>
      <c r="M1156">
        <v>-0.9996758</v>
      </c>
      <c r="N1156">
        <v>0</v>
      </c>
      <c r="O1156">
        <v>-2.296575E-2</v>
      </c>
      <c r="P1156">
        <v>-0.99436270000000004</v>
      </c>
      <c r="Q1156">
        <v>0.10013</v>
      </c>
      <c r="R1156">
        <v>-3.4889389999999999E-2</v>
      </c>
      <c r="S1156">
        <v>-3.0022579999999999</v>
      </c>
      <c r="T1156">
        <v>2.2684570000000001E-2</v>
      </c>
      <c r="U1156">
        <v>-0.3568268</v>
      </c>
      <c r="V1156">
        <v>-1.247464E-2</v>
      </c>
      <c r="W1156">
        <v>0.11101569999999999</v>
      </c>
      <c r="X1156">
        <v>0.99374039999999997</v>
      </c>
      <c r="Y1156">
        <v>-9.5182349999999999E-2</v>
      </c>
      <c r="Z1156">
        <v>1.8547029999999999E-4</v>
      </c>
      <c r="AA1156">
        <v>0.99545989999999995</v>
      </c>
      <c r="AB1156">
        <v>29</v>
      </c>
      <c r="AC1156">
        <v>-182.85040000000001</v>
      </c>
      <c r="AD1156">
        <v>1.3839089999999901</v>
      </c>
      <c r="AE1156">
        <v>-21.759899999999998</v>
      </c>
      <c r="AF1156">
        <v>-17.553618327807001</v>
      </c>
      <c r="AG1156">
        <v>1.3839089999999901</v>
      </c>
      <c r="AH1156">
        <v>183.29157762438101</v>
      </c>
      <c r="AI1156">
        <v>89.5693772650868</v>
      </c>
      <c r="AJ1156">
        <v>95.470465543829505</v>
      </c>
      <c r="AK1156">
        <v>184.13540438642701</v>
      </c>
      <c r="AL1156">
        <v>83.6261307481427</v>
      </c>
      <c r="AM1156">
        <v>90.719208640989294</v>
      </c>
      <c r="AN1156">
        <v>1.0000000424408799</v>
      </c>
    </row>
    <row r="1157" spans="1:40" x14ac:dyDescent="0.3">
      <c r="A1157" t="str">
        <f>"20200111150335920"</f>
        <v>20200111150335920</v>
      </c>
      <c r="B1157" t="str">
        <f>"1578726215909709"</f>
        <v>1578726215909709</v>
      </c>
      <c r="C1157" t="s">
        <v>40</v>
      </c>
      <c r="D1157">
        <v>5.7648299999999999</v>
      </c>
      <c r="E1157">
        <v>0.47388439999999998</v>
      </c>
      <c r="F1157" t="s">
        <v>63</v>
      </c>
      <c r="G1157">
        <v>-449.81189999999998</v>
      </c>
      <c r="H1157">
        <v>4.078462</v>
      </c>
      <c r="I1157">
        <v>119.395</v>
      </c>
      <c r="J1157">
        <v>-257.63260000000002</v>
      </c>
      <c r="K1157">
        <v>1.1055120000000001</v>
      </c>
      <c r="L1157">
        <v>141.542</v>
      </c>
      <c r="M1157">
        <v>-0.99963239999999998</v>
      </c>
      <c r="N1157">
        <v>0</v>
      </c>
      <c r="O1157">
        <v>-2.4790429999999999E-2</v>
      </c>
      <c r="P1157">
        <v>-0.99420489999999995</v>
      </c>
      <c r="Q1157">
        <v>0.1009454</v>
      </c>
      <c r="R1157">
        <v>-3.6967750000000001E-2</v>
      </c>
      <c r="S1157">
        <v>-3.0002140000000002</v>
      </c>
      <c r="T1157">
        <v>4.6345110000000002E-2</v>
      </c>
      <c r="U1157">
        <v>-0.34538269999999999</v>
      </c>
      <c r="V1157">
        <v>-1.272556E-2</v>
      </c>
      <c r="W1157">
        <v>0.11183070000000001</v>
      </c>
      <c r="X1157">
        <v>0.99364580000000002</v>
      </c>
      <c r="Y1157">
        <v>-8.9692030000000006E-2</v>
      </c>
      <c r="Z1157">
        <v>3.089082E-4</v>
      </c>
      <c r="AA1157">
        <v>0.99596949999999995</v>
      </c>
      <c r="AB1157">
        <v>29</v>
      </c>
      <c r="AC1157">
        <v>-192.17930000000001</v>
      </c>
      <c r="AD1157">
        <v>2.97295</v>
      </c>
      <c r="AE1157">
        <v>-22.146999999999998</v>
      </c>
      <c r="AF1157">
        <v>-17.371595470229899</v>
      </c>
      <c r="AG1157">
        <v>2.97295</v>
      </c>
      <c r="AH1157">
        <v>192.62380440941999</v>
      </c>
      <c r="AI1157">
        <v>89.119342316922797</v>
      </c>
      <c r="AJ1157">
        <v>95.153225138967201</v>
      </c>
      <c r="AK1157">
        <v>193.428386712091</v>
      </c>
      <c r="AL1157">
        <v>83.579141887059905</v>
      </c>
      <c r="AM1157">
        <v>90.7337433731049</v>
      </c>
      <c r="AN1157">
        <v>1.0000000105987199</v>
      </c>
    </row>
    <row r="1158" spans="1:40" x14ac:dyDescent="0.3">
      <c r="A1158" t="str">
        <f>"20200111150335941"</f>
        <v>20200111150335941</v>
      </c>
      <c r="B1158" t="str">
        <f>"1578726215938990"</f>
        <v>1578726215938990</v>
      </c>
      <c r="C1158" t="s">
        <v>40</v>
      </c>
      <c r="D1158">
        <v>5.4521430000000004</v>
      </c>
      <c r="E1158">
        <v>0.46552149999999998</v>
      </c>
      <c r="F1158" t="s">
        <v>63</v>
      </c>
      <c r="G1158">
        <v>-459.28379999999999</v>
      </c>
      <c r="H1158">
        <v>59.958930000000002</v>
      </c>
      <c r="I1158">
        <v>119.9162</v>
      </c>
      <c r="J1158">
        <v>-257.91800000000001</v>
      </c>
      <c r="K1158">
        <v>1.1054090000000001</v>
      </c>
      <c r="L1158">
        <v>141.53299999999999</v>
      </c>
      <c r="M1158">
        <v>-0.99958769999999997</v>
      </c>
      <c r="N1158">
        <v>0</v>
      </c>
      <c r="O1158">
        <v>-2.6530789999999999E-2</v>
      </c>
      <c r="P1158">
        <v>-0.99408589999999997</v>
      </c>
      <c r="Q1158">
        <v>0.1011503</v>
      </c>
      <c r="R1158">
        <v>-3.9525369999999997E-2</v>
      </c>
      <c r="S1158">
        <v>-2.9193419999999999</v>
      </c>
      <c r="T1158">
        <v>0.852031599999999</v>
      </c>
      <c r="U1158">
        <v>-0.31307980000000002</v>
      </c>
      <c r="V1158">
        <v>-1.352598E-2</v>
      </c>
      <c r="W1158">
        <v>0.11203539999999999</v>
      </c>
      <c r="X1158">
        <v>0.99361219999999995</v>
      </c>
      <c r="Y1158">
        <v>-7.8087619999999996E-2</v>
      </c>
      <c r="Z1158">
        <v>3.570621E-3</v>
      </c>
      <c r="AA1158">
        <v>0.9969401</v>
      </c>
      <c r="AB1158">
        <v>29</v>
      </c>
      <c r="AC1158">
        <v>-201.36580000000001</v>
      </c>
      <c r="AD1158">
        <v>58.853520999999901</v>
      </c>
      <c r="AE1158">
        <v>-21.616799999999898</v>
      </c>
      <c r="AF1158">
        <v>-14.9997522132785</v>
      </c>
      <c r="AG1158">
        <v>58.853520999999901</v>
      </c>
      <c r="AH1158">
        <v>186.14831892374599</v>
      </c>
      <c r="AI1158">
        <v>72.508108962694095</v>
      </c>
      <c r="AJ1158">
        <v>94.606915697994907</v>
      </c>
      <c r="AK1158">
        <v>195.80583785651999</v>
      </c>
      <c r="AL1158">
        <v>83.567339482969999</v>
      </c>
      <c r="AM1158">
        <v>90.779915647131006</v>
      </c>
      <c r="AN1158">
        <v>1.0000000434884699</v>
      </c>
    </row>
    <row r="1159" spans="1:40" x14ac:dyDescent="0.3">
      <c r="A1159" t="str">
        <f>"20200111150335964"</f>
        <v>20200111150335964</v>
      </c>
      <c r="B1159" t="str">
        <f>"1578726215959485"</f>
        <v>1578726215959485</v>
      </c>
      <c r="C1159" t="s">
        <v>40</v>
      </c>
      <c r="D1159">
        <v>6.0141770000000001</v>
      </c>
      <c r="E1159">
        <v>0.46583809999999898</v>
      </c>
      <c r="F1159" t="s">
        <v>63</v>
      </c>
      <c r="G1159">
        <v>-440.20710000000003</v>
      </c>
      <c r="H1159">
        <v>3.411378</v>
      </c>
      <c r="I1159">
        <v>117.44750000000001</v>
      </c>
      <c r="J1159">
        <v>-258.20359999999999</v>
      </c>
      <c r="K1159">
        <v>1.1052690000000001</v>
      </c>
      <c r="L1159">
        <v>141.52359999999999</v>
      </c>
      <c r="M1159">
        <v>-0.99954529999999997</v>
      </c>
      <c r="N1159">
        <v>0</v>
      </c>
      <c r="O1159">
        <v>-2.8083159999999999E-2</v>
      </c>
      <c r="P1159">
        <v>-0.99393779999999998</v>
      </c>
      <c r="Q1159">
        <v>0.10070800000000001</v>
      </c>
      <c r="R1159">
        <v>-4.4112720000000001E-2</v>
      </c>
      <c r="S1159">
        <v>-2.99823</v>
      </c>
      <c r="T1159">
        <v>3.7928219999999999E-2</v>
      </c>
      <c r="U1159">
        <v>-0.39614870000000002</v>
      </c>
      <c r="V1159">
        <v>-1.6531529999999999E-2</v>
      </c>
      <c r="W1159">
        <v>0.1115876</v>
      </c>
      <c r="X1159">
        <v>0.99361710000000003</v>
      </c>
      <c r="Y1159">
        <v>-0.1030886</v>
      </c>
      <c r="Z1159">
        <v>2.9566930000000003E-4</v>
      </c>
      <c r="AA1159">
        <v>0.99467209999999995</v>
      </c>
      <c r="AB1159">
        <v>29</v>
      </c>
      <c r="AC1159">
        <v>-182.0035</v>
      </c>
      <c r="AD1159">
        <v>2.3061090000000002</v>
      </c>
      <c r="AE1159">
        <v>-24.076099999999901</v>
      </c>
      <c r="AF1159">
        <v>-18.952071185641898</v>
      </c>
      <c r="AG1159">
        <v>2.3061090000000002</v>
      </c>
      <c r="AH1159">
        <v>182.57907284416601</v>
      </c>
      <c r="AI1159">
        <v>89.280217300234199</v>
      </c>
      <c r="AJ1159">
        <v>95.926192158229796</v>
      </c>
      <c r="AK1159">
        <v>183.57455428675499</v>
      </c>
      <c r="AL1159">
        <v>83.593158233367703</v>
      </c>
      <c r="AM1159">
        <v>90.953183589757202</v>
      </c>
      <c r="AN1159">
        <v>1.00000001268515</v>
      </c>
    </row>
    <row r="1160" spans="1:40" x14ac:dyDescent="0.3">
      <c r="A1160" t="str">
        <f>"20200111150335999"</f>
        <v>20200111150335999</v>
      </c>
      <c r="B1160" t="str">
        <f>"1578726215989741"</f>
        <v>1578726215989741</v>
      </c>
      <c r="C1160" t="s">
        <v>40</v>
      </c>
      <c r="D1160">
        <v>6.6917</v>
      </c>
      <c r="E1160">
        <v>0.46990959999999898</v>
      </c>
      <c r="F1160" t="s">
        <v>63</v>
      </c>
      <c r="G1160">
        <v>-440.75</v>
      </c>
      <c r="H1160">
        <v>5.3395279999999996</v>
      </c>
      <c r="I1160">
        <v>116.7295</v>
      </c>
      <c r="J1160">
        <v>-258.65719999999999</v>
      </c>
      <c r="K1160">
        <v>1.1049800000000001</v>
      </c>
      <c r="L1160">
        <v>141.50839999999999</v>
      </c>
      <c r="M1160">
        <v>-0.99948769999999998</v>
      </c>
      <c r="N1160">
        <v>0</v>
      </c>
      <c r="O1160">
        <v>-3.0058560000000002E-2</v>
      </c>
      <c r="P1160">
        <v>-0.9939344</v>
      </c>
      <c r="Q1160">
        <v>9.8028539999999997E-2</v>
      </c>
      <c r="R1160">
        <v>-4.9848770000000001E-2</v>
      </c>
      <c r="S1160">
        <v>-2.9932560000000001</v>
      </c>
      <c r="T1160">
        <v>6.9430469999999994E-2</v>
      </c>
      <c r="U1160">
        <v>-0.40655520000000001</v>
      </c>
      <c r="V1160">
        <v>-2.0216939999999999E-2</v>
      </c>
      <c r="W1160">
        <v>0.1089104</v>
      </c>
      <c r="X1160">
        <v>0.99384589999999995</v>
      </c>
      <c r="Y1160">
        <v>-0.1047206</v>
      </c>
      <c r="Z1160">
        <v>5.1525910000000004E-4</v>
      </c>
      <c r="AA1160">
        <v>0.99450150000000004</v>
      </c>
      <c r="AB1160">
        <v>29</v>
      </c>
      <c r="AC1160">
        <v>-182.09280000000001</v>
      </c>
      <c r="AD1160">
        <v>4.2345480000000002</v>
      </c>
      <c r="AE1160">
        <v>-24.7789</v>
      </c>
      <c r="AF1160">
        <v>-19.283685174931499</v>
      </c>
      <c r="AG1160">
        <v>4.2345480000000002</v>
      </c>
      <c r="AH1160">
        <v>182.65838861613301</v>
      </c>
      <c r="AI1160">
        <v>88.679293519641703</v>
      </c>
      <c r="AJ1160">
        <v>96.026529707281497</v>
      </c>
      <c r="AK1160">
        <v>183.72228727765301</v>
      </c>
      <c r="AL1160">
        <v>83.747490876599599</v>
      </c>
      <c r="AM1160">
        <v>91.165357326586303</v>
      </c>
      <c r="AN1160">
        <v>0.99999993641896401</v>
      </c>
    </row>
    <row r="1161" spans="1:40" x14ac:dyDescent="0.3">
      <c r="A1161" t="str">
        <f>"20200111150336154"</f>
        <v>20200111150336154</v>
      </c>
      <c r="B1161" t="str">
        <f>"1578726216149806"</f>
        <v>1578726216149806</v>
      </c>
      <c r="C1161" t="s">
        <v>40</v>
      </c>
      <c r="D1161">
        <v>5.7409790000000003</v>
      </c>
      <c r="E1161">
        <v>0.46990959999999898</v>
      </c>
      <c r="F1161" t="s">
        <v>63</v>
      </c>
      <c r="G1161">
        <v>-440.20710000000003</v>
      </c>
      <c r="H1161">
        <v>4.9795379999999998</v>
      </c>
      <c r="I1161">
        <v>117.7655</v>
      </c>
      <c r="J1161">
        <v>-260.6918</v>
      </c>
      <c r="K1161">
        <v>1.103782</v>
      </c>
      <c r="L1161">
        <v>141.4409</v>
      </c>
      <c r="M1161">
        <v>-0.99943360000000003</v>
      </c>
      <c r="N1161">
        <v>0</v>
      </c>
      <c r="O1161">
        <v>-3.1809190000000001E-2</v>
      </c>
      <c r="P1161">
        <v>-0.99330839999999998</v>
      </c>
      <c r="Q1161">
        <v>0.1029308</v>
      </c>
      <c r="R1161">
        <v>-5.2386170000000003E-2</v>
      </c>
      <c r="S1161">
        <v>-2.9924010000000001</v>
      </c>
      <c r="T1161">
        <v>6.3862920000000004E-2</v>
      </c>
      <c r="U1161">
        <v>-0.39134219999999997</v>
      </c>
      <c r="V1161">
        <v>-2.0704380000000001E-2</v>
      </c>
      <c r="W1161">
        <v>0.1138676</v>
      </c>
      <c r="X1161">
        <v>0.99328019999999995</v>
      </c>
      <c r="Y1161">
        <v>-9.8051470000000002E-2</v>
      </c>
      <c r="Z1161">
        <v>3.6622590000000001E-4</v>
      </c>
      <c r="AA1161">
        <v>0.99518130000000005</v>
      </c>
      <c r="AB1161">
        <v>29</v>
      </c>
      <c r="AC1161">
        <v>-179.5153</v>
      </c>
      <c r="AD1161">
        <v>3.875756</v>
      </c>
      <c r="AE1161">
        <v>-23.6754</v>
      </c>
      <c r="AF1161">
        <v>-17.944615471672002</v>
      </c>
      <c r="AG1161">
        <v>3.875756</v>
      </c>
      <c r="AH1161">
        <v>180.09507472438401</v>
      </c>
      <c r="AI1161">
        <v>88.773222985159506</v>
      </c>
      <c r="AJ1161">
        <v>95.690151952775395</v>
      </c>
      <c r="AK1161">
        <v>181.02835868719299</v>
      </c>
      <c r="AL1161">
        <v>83.461685918689298</v>
      </c>
      <c r="AM1161">
        <v>91.194126116441495</v>
      </c>
      <c r="AN1161">
        <v>1.0000000286964901</v>
      </c>
    </row>
    <row r="1162" spans="1:40" x14ac:dyDescent="0.3">
      <c r="A1162" t="str">
        <f>"20200111150336178"</f>
        <v>20200111150336178</v>
      </c>
      <c r="B1162" t="str">
        <f>"1578726216169325"</f>
        <v>1578726216169325</v>
      </c>
      <c r="C1162" t="s">
        <v>40</v>
      </c>
      <c r="D1162">
        <v>5.8504649999999998</v>
      </c>
      <c r="E1162">
        <v>0.4768502</v>
      </c>
      <c r="F1162" t="s">
        <v>63</v>
      </c>
      <c r="G1162">
        <v>-440.20710000000003</v>
      </c>
      <c r="H1162">
        <v>5.7689320000000004</v>
      </c>
      <c r="I1162">
        <v>117.5476</v>
      </c>
      <c r="J1162">
        <v>-261.00020000000001</v>
      </c>
      <c r="K1162">
        <v>1.1036189999999999</v>
      </c>
      <c r="L1162">
        <v>141.4316</v>
      </c>
      <c r="M1162">
        <v>-0.99945289999999998</v>
      </c>
      <c r="N1162">
        <v>0</v>
      </c>
      <c r="O1162">
        <v>-3.119098E-2</v>
      </c>
      <c r="P1162">
        <v>-0.9930968</v>
      </c>
      <c r="Q1162">
        <v>0.1042894</v>
      </c>
      <c r="R1162">
        <v>-5.3689479999999998E-2</v>
      </c>
      <c r="S1162">
        <v>-2.9911500000000002</v>
      </c>
      <c r="T1162">
        <v>7.7732799999999894E-2</v>
      </c>
      <c r="U1162">
        <v>-0.3981171</v>
      </c>
      <c r="V1162">
        <v>-2.2582020000000001E-2</v>
      </c>
      <c r="W1162">
        <v>0.11523559999999999</v>
      </c>
      <c r="X1162">
        <v>0.99308149999999995</v>
      </c>
      <c r="Y1162">
        <v>-0.1009273</v>
      </c>
      <c r="Z1162">
        <v>4.9903489999999996E-4</v>
      </c>
      <c r="AA1162">
        <v>0.99489369999999999</v>
      </c>
      <c r="AB1162">
        <v>29</v>
      </c>
      <c r="AC1162">
        <v>-179.20689999999999</v>
      </c>
      <c r="AD1162">
        <v>4.6653129999999896</v>
      </c>
      <c r="AE1162">
        <v>-23.884</v>
      </c>
      <c r="AF1162">
        <v>-18.270234507635401</v>
      </c>
      <c r="AG1162">
        <v>4.6653129999999896</v>
      </c>
      <c r="AH1162">
        <v>179.74501424293601</v>
      </c>
      <c r="AI1162">
        <v>88.520830090906799</v>
      </c>
      <c r="AJ1162">
        <v>95.803912807036696</v>
      </c>
      <c r="AK1162">
        <v>180.73139395120401</v>
      </c>
      <c r="AL1162">
        <v>83.382785910999999</v>
      </c>
      <c r="AM1162">
        <v>91.302643841709795</v>
      </c>
      <c r="AN1162">
        <v>1.00000002838844</v>
      </c>
    </row>
    <row r="1163" spans="1:40" x14ac:dyDescent="0.3">
      <c r="A1163" t="str">
        <f>"20200111150336199"</f>
        <v>20200111150336199</v>
      </c>
      <c r="B1163" t="str">
        <f>"1578726216189821"</f>
        <v>1578726216189821</v>
      </c>
      <c r="C1163" t="s">
        <v>40</v>
      </c>
      <c r="D1163">
        <v>5.6930050000000003</v>
      </c>
      <c r="E1163">
        <v>0.48446729999999999</v>
      </c>
      <c r="F1163" t="s">
        <v>63</v>
      </c>
      <c r="G1163">
        <v>-450.29239999999999</v>
      </c>
      <c r="H1163">
        <v>7.6564119999999898</v>
      </c>
      <c r="I1163">
        <v>119.49720000000001</v>
      </c>
      <c r="J1163">
        <v>-261.28339999999997</v>
      </c>
      <c r="K1163">
        <v>1.1034679999999999</v>
      </c>
      <c r="L1163">
        <v>141.42339999999999</v>
      </c>
      <c r="M1163">
        <v>-0.99947609999999998</v>
      </c>
      <c r="N1163">
        <v>0</v>
      </c>
      <c r="O1163">
        <v>-3.0441409999999999E-2</v>
      </c>
      <c r="P1163">
        <v>-0.99299680000000001</v>
      </c>
      <c r="Q1163">
        <v>0.1044672</v>
      </c>
      <c r="R1163">
        <v>-5.5175219999999997E-2</v>
      </c>
      <c r="S1163">
        <v>-2.9913020000000001</v>
      </c>
      <c r="T1163">
        <v>0.1035513</v>
      </c>
      <c r="U1163">
        <v>-0.3466187</v>
      </c>
      <c r="V1163">
        <v>-2.477389E-2</v>
      </c>
      <c r="W1163">
        <v>0.1154251</v>
      </c>
      <c r="X1163">
        <v>0.99300719999999998</v>
      </c>
      <c r="Y1163">
        <v>-8.4778980000000004E-2</v>
      </c>
      <c r="Z1163">
        <v>4.126299E-4</v>
      </c>
      <c r="AA1163">
        <v>0.9963997</v>
      </c>
      <c r="AB1163">
        <v>29</v>
      </c>
      <c r="AC1163">
        <v>-189.00899999999999</v>
      </c>
      <c r="AD1163">
        <v>6.5529439999999903</v>
      </c>
      <c r="AE1163">
        <v>-21.926199999999898</v>
      </c>
      <c r="AF1163">
        <v>-16.142842793169901</v>
      </c>
      <c r="AG1163">
        <v>6.5529439999999903</v>
      </c>
      <c r="AH1163">
        <v>189.364303270666</v>
      </c>
      <c r="AI1163">
        <v>88.025229533479802</v>
      </c>
      <c r="AJ1163">
        <v>94.872544418100901</v>
      </c>
      <c r="AK1163">
        <v>190.164065484773</v>
      </c>
      <c r="AL1163">
        <v>83.371855230328194</v>
      </c>
      <c r="AM1163">
        <v>91.4291386338287</v>
      </c>
      <c r="AN1163">
        <v>0.99999999929379102</v>
      </c>
    </row>
    <row r="1164" spans="1:40" x14ac:dyDescent="0.3">
      <c r="A1164" t="str">
        <f>"20200111150336222"</f>
        <v>20200111150336222</v>
      </c>
      <c r="B1164" t="str">
        <f>"1578726216219103"</f>
        <v>1578726216219103</v>
      </c>
      <c r="C1164" t="s">
        <v>40</v>
      </c>
      <c r="D1164">
        <v>5.6757609999999996</v>
      </c>
      <c r="E1164">
        <v>0.48993560000000003</v>
      </c>
      <c r="F1164" t="s">
        <v>44</v>
      </c>
      <c r="G1164">
        <v>0</v>
      </c>
      <c r="H1164">
        <v>0</v>
      </c>
      <c r="I1164">
        <v>0</v>
      </c>
      <c r="J1164">
        <v>-261.57650000000001</v>
      </c>
      <c r="K1164">
        <v>1.1033120000000001</v>
      </c>
      <c r="L1164">
        <v>141.41540000000001</v>
      </c>
      <c r="M1164">
        <v>-0.99950479999999997</v>
      </c>
      <c r="N1164">
        <v>0</v>
      </c>
      <c r="O1164">
        <v>-2.9483700000000002E-2</v>
      </c>
      <c r="P1164">
        <v>-0.99287329999999996</v>
      </c>
      <c r="Q1164">
        <v>0.105209</v>
      </c>
      <c r="R1164">
        <v>-5.5981290000000003E-2</v>
      </c>
      <c r="S1164">
        <v>-2.991241</v>
      </c>
      <c r="T1164">
        <v>0.13103010000000001</v>
      </c>
      <c r="U1164">
        <v>-0.29016110000000001</v>
      </c>
      <c r="V1164">
        <v>-2.6490320000000001E-2</v>
      </c>
      <c r="W1164">
        <v>0.11618000000000001</v>
      </c>
      <c r="X1164">
        <v>0.9928749</v>
      </c>
      <c r="Y1164">
        <v>-6.7124950000000003E-2</v>
      </c>
      <c r="Z1164">
        <v>1.7868689999999901E-4</v>
      </c>
      <c r="AA1164">
        <v>0.99774459999999998</v>
      </c>
      <c r="AB1164">
        <v>29</v>
      </c>
      <c r="AC1164">
        <v>-2.991241</v>
      </c>
      <c r="AD1164">
        <v>0.13103010000000001</v>
      </c>
      <c r="AE1164">
        <v>-0.29016110000000001</v>
      </c>
      <c r="AF1164">
        <v>-0.20145380330381801</v>
      </c>
      <c r="AG1164">
        <v>0.13103010000000001</v>
      </c>
      <c r="AH1164">
        <v>2.9928067828091298</v>
      </c>
      <c r="AI1164">
        <v>87.498748603557502</v>
      </c>
      <c r="AJ1164">
        <v>93.850922508869303</v>
      </c>
      <c r="AK1164">
        <v>3.0024398347344001</v>
      </c>
      <c r="AL1164">
        <v>83.328310009961797</v>
      </c>
      <c r="AM1164">
        <v>91.528312928006201</v>
      </c>
      <c r="AN1164">
        <v>1.0000000482518501</v>
      </c>
    </row>
    <row r="1165" spans="1:40" x14ac:dyDescent="0.3">
      <c r="A1165" t="str">
        <f>"20200111150336244"</f>
        <v>20200111150336244</v>
      </c>
      <c r="B1165" t="str">
        <f>"1578726216239599"</f>
        <v>1578726216239599</v>
      </c>
      <c r="C1165" t="s">
        <v>40</v>
      </c>
      <c r="D1165">
        <v>5.689908</v>
      </c>
      <c r="E1165">
        <v>0.49377860000000001</v>
      </c>
      <c r="F1165" t="s">
        <v>44</v>
      </c>
      <c r="G1165">
        <v>0</v>
      </c>
      <c r="H1165">
        <v>0</v>
      </c>
      <c r="I1165">
        <v>0</v>
      </c>
      <c r="J1165">
        <v>-261.87259999999998</v>
      </c>
      <c r="K1165">
        <v>1.1031610000000001</v>
      </c>
      <c r="L1165">
        <v>141.40770000000001</v>
      </c>
      <c r="M1165">
        <v>-0.99953789999999998</v>
      </c>
      <c r="N1165">
        <v>0</v>
      </c>
      <c r="O1165">
        <v>-2.8343489999999999E-2</v>
      </c>
      <c r="P1165">
        <v>-0.99285270000000003</v>
      </c>
      <c r="Q1165">
        <v>0.1052273</v>
      </c>
      <c r="R1165">
        <v>-5.6313269999999999E-2</v>
      </c>
      <c r="S1165">
        <v>-2.9960629999999999</v>
      </c>
      <c r="T1165">
        <v>0.1078484</v>
      </c>
      <c r="U1165">
        <v>-0.24899289999999999</v>
      </c>
      <c r="V1165">
        <v>-2.7913819999999999E-2</v>
      </c>
      <c r="W1165">
        <v>0.1162132</v>
      </c>
      <c r="X1165">
        <v>0.99283189999999999</v>
      </c>
      <c r="Y1165">
        <v>-5.4523240000000001E-2</v>
      </c>
      <c r="Z1165" s="1">
        <v>-3.8524510000000001E-5</v>
      </c>
      <c r="AA1165">
        <v>0.99851250000000003</v>
      </c>
      <c r="AB1165">
        <v>29</v>
      </c>
      <c r="AC1165">
        <v>-2.9960629999999999</v>
      </c>
      <c r="AD1165">
        <v>0.1078484</v>
      </c>
      <c r="AE1165">
        <v>-0.24899289999999999</v>
      </c>
      <c r="AF1165">
        <v>-0.16375811284411901</v>
      </c>
      <c r="AG1165">
        <v>0.1078484</v>
      </c>
      <c r="AH1165">
        <v>2.9980587914516499</v>
      </c>
      <c r="AI1165">
        <v>87.942865769233606</v>
      </c>
      <c r="AJ1165">
        <v>93.126467830505206</v>
      </c>
      <c r="AK1165">
        <v>3.0044640976229702</v>
      </c>
      <c r="AL1165">
        <v>83.326394060748996</v>
      </c>
      <c r="AM1165">
        <v>91.610466850445505</v>
      </c>
      <c r="AN1165">
        <v>0.99999993542941901</v>
      </c>
    </row>
    <row r="1166" spans="1:40" x14ac:dyDescent="0.3">
      <c r="A1166" t="str">
        <f>"20200111150336266"</f>
        <v>20200111150336266</v>
      </c>
      <c r="B1166" t="str">
        <f>"1578726216259118"</f>
        <v>1578726216259118</v>
      </c>
      <c r="C1166" t="s">
        <v>40</v>
      </c>
      <c r="D1166">
        <v>5.8479150000000004</v>
      </c>
      <c r="E1166">
        <v>0.49577569999999999</v>
      </c>
      <c r="F1166" t="s">
        <v>44</v>
      </c>
      <c r="G1166">
        <v>0</v>
      </c>
      <c r="H1166">
        <v>0</v>
      </c>
      <c r="I1166">
        <v>0</v>
      </c>
      <c r="J1166">
        <v>-262.17399999999998</v>
      </c>
      <c r="K1166">
        <v>1.1030169999999999</v>
      </c>
      <c r="L1166">
        <v>141.40049999999999</v>
      </c>
      <c r="M1166">
        <v>-0.99957419999999997</v>
      </c>
      <c r="N1166">
        <v>0</v>
      </c>
      <c r="O1166">
        <v>-2.702792E-2</v>
      </c>
      <c r="P1166">
        <v>-0.99277380000000004</v>
      </c>
      <c r="Q1166">
        <v>0.1059181</v>
      </c>
      <c r="R1166">
        <v>-5.6408319999999998E-2</v>
      </c>
      <c r="S1166">
        <v>-2.9998170000000002</v>
      </c>
      <c r="T1166">
        <v>8.8211300000000006E-2</v>
      </c>
      <c r="U1166">
        <v>-0.21945190000000001</v>
      </c>
      <c r="V1166">
        <v>-2.9279059999999999E-2</v>
      </c>
      <c r="W1166">
        <v>0.1169183</v>
      </c>
      <c r="X1166">
        <v>0.99270990000000003</v>
      </c>
      <c r="Y1166">
        <v>-4.596782E-2</v>
      </c>
      <c r="Z1166">
        <v>-1.1851200000000001E-4</v>
      </c>
      <c r="AA1166">
        <v>0.99894289999999997</v>
      </c>
      <c r="AB1166">
        <v>29</v>
      </c>
      <c r="AC1166">
        <v>-2.9998170000000002</v>
      </c>
      <c r="AD1166">
        <v>8.8211300000000006E-2</v>
      </c>
      <c r="AE1166">
        <v>-0.21945190000000001</v>
      </c>
      <c r="AF1166">
        <v>-0.13816916685730499</v>
      </c>
      <c r="AG1166">
        <v>8.8211300000000006E-2</v>
      </c>
      <c r="AH1166">
        <v>3.0020706252323301</v>
      </c>
      <c r="AI1166">
        <v>88.318713278150199</v>
      </c>
      <c r="AJ1166">
        <v>92.635157011023693</v>
      </c>
      <c r="AK1166">
        <v>3.0065428636559601</v>
      </c>
      <c r="AL1166">
        <v>83.285718275445305</v>
      </c>
      <c r="AM1166">
        <v>91.689396248803504</v>
      </c>
      <c r="AN1166">
        <v>1.00000004889369</v>
      </c>
    </row>
    <row r="1167" spans="1:40" x14ac:dyDescent="0.3">
      <c r="A1167" t="str">
        <f>"20200111150336289"</f>
        <v>20200111150336289</v>
      </c>
      <c r="B1167" t="str">
        <f>"1578726216279613"</f>
        <v>1578726216279613</v>
      </c>
      <c r="C1167" t="s">
        <v>40</v>
      </c>
      <c r="D1167">
        <v>6.5534869999999996</v>
      </c>
      <c r="E1167">
        <v>0.49550050000000001</v>
      </c>
      <c r="F1167" t="s">
        <v>44</v>
      </c>
      <c r="G1167">
        <v>0</v>
      </c>
      <c r="H1167">
        <v>0</v>
      </c>
      <c r="I1167">
        <v>0</v>
      </c>
      <c r="J1167">
        <v>-262.4665</v>
      </c>
      <c r="K1167">
        <v>1.102916</v>
      </c>
      <c r="L1167">
        <v>141.39410000000001</v>
      </c>
      <c r="M1167">
        <v>-0.99961100000000003</v>
      </c>
      <c r="N1167">
        <v>0</v>
      </c>
      <c r="O1167">
        <v>-2.5628209999999998E-2</v>
      </c>
      <c r="P1167">
        <v>-0.99287979999999998</v>
      </c>
      <c r="Q1167">
        <v>0.1059156</v>
      </c>
      <c r="R1167">
        <v>-5.4514920000000001E-2</v>
      </c>
      <c r="S1167">
        <v>-2.9997560000000001</v>
      </c>
      <c r="T1167">
        <v>9.8317860000000007E-2</v>
      </c>
      <c r="U1167">
        <v>-0.20394899999999999</v>
      </c>
      <c r="V1167">
        <v>-2.8745550000000002E-2</v>
      </c>
      <c r="W1167">
        <v>0.116925399999999</v>
      </c>
      <c r="X1167">
        <v>0.99272459999999996</v>
      </c>
      <c r="Y1167">
        <v>-4.2230049999999998E-2</v>
      </c>
      <c r="Z1167">
        <v>-1.475103E-4</v>
      </c>
      <c r="AA1167">
        <v>0.99910790000000005</v>
      </c>
      <c r="AB1167">
        <v>29</v>
      </c>
      <c r="AC1167">
        <v>-2.9997560000000001</v>
      </c>
      <c r="AD1167">
        <v>9.8317860000000007E-2</v>
      </c>
      <c r="AE1167">
        <v>-0.20394899999999999</v>
      </c>
      <c r="AF1167">
        <v>-0.12686332156480401</v>
      </c>
      <c r="AG1167">
        <v>9.8317860000000007E-2</v>
      </c>
      <c r="AH1167">
        <v>3.0007890816604799</v>
      </c>
      <c r="AI1167">
        <v>88.125105817934596</v>
      </c>
      <c r="AJ1167">
        <v>92.420832266049104</v>
      </c>
      <c r="AK1167">
        <v>3.0050783378418302</v>
      </c>
      <c r="AL1167">
        <v>83.285308293164704</v>
      </c>
      <c r="AM1167">
        <v>91.658605630035495</v>
      </c>
      <c r="AN1167">
        <v>0.99999999362756098</v>
      </c>
    </row>
    <row r="1168" spans="1:40" x14ac:dyDescent="0.3">
      <c r="A1168" t="str">
        <f>"20200111150336309"</f>
        <v>20200111150336309</v>
      </c>
      <c r="B1168" t="str">
        <f>"1578726216299133"</f>
        <v>1578726216299133</v>
      </c>
      <c r="C1168" t="s">
        <v>40</v>
      </c>
      <c r="D1168">
        <v>7.8595629999999996</v>
      </c>
      <c r="E1168">
        <v>0.52584679999999995</v>
      </c>
      <c r="F1168" t="s">
        <v>44</v>
      </c>
      <c r="G1168">
        <v>0</v>
      </c>
      <c r="H1168">
        <v>0</v>
      </c>
      <c r="I1168">
        <v>0</v>
      </c>
      <c r="J1168">
        <v>-262.74270000000001</v>
      </c>
      <c r="K1168">
        <v>1.1028480000000001</v>
      </c>
      <c r="L1168">
        <v>141.38839999999999</v>
      </c>
      <c r="M1168">
        <v>-0.99964589999999998</v>
      </c>
      <c r="N1168">
        <v>0</v>
      </c>
      <c r="O1168">
        <v>-2.4225679999999999E-2</v>
      </c>
      <c r="P1168">
        <v>-0.99302279999999998</v>
      </c>
      <c r="Q1168">
        <v>0.1061029</v>
      </c>
      <c r="R1168">
        <v>-5.1456549999999997E-2</v>
      </c>
      <c r="S1168">
        <v>-2.9983520000000001</v>
      </c>
      <c r="T1168">
        <v>0.1137857</v>
      </c>
      <c r="U1168">
        <v>-0.20066829999999999</v>
      </c>
      <c r="V1168">
        <v>-2.7059239999999998E-2</v>
      </c>
      <c r="W1168">
        <v>0.11711539999999999</v>
      </c>
      <c r="X1168">
        <v>0.99274960000000001</v>
      </c>
      <c r="Y1168">
        <v>-4.2571009999999999E-2</v>
      </c>
      <c r="Z1168">
        <v>-1.1121570000000001E-4</v>
      </c>
      <c r="AA1168">
        <v>0.99909340000000002</v>
      </c>
      <c r="AB1168">
        <v>29</v>
      </c>
      <c r="AC1168">
        <v>-2.9983520000000001</v>
      </c>
      <c r="AD1168">
        <v>0.1137857</v>
      </c>
      <c r="AE1168">
        <v>-0.20066829999999999</v>
      </c>
      <c r="AF1168">
        <v>-0.127784672291022</v>
      </c>
      <c r="AG1168">
        <v>0.1137857</v>
      </c>
      <c r="AH1168">
        <v>2.9980351517758201</v>
      </c>
      <c r="AI1168">
        <v>87.828441954262999</v>
      </c>
      <c r="AJ1168">
        <v>92.440629674455707</v>
      </c>
      <c r="AK1168">
        <v>3.0029137315747998</v>
      </c>
      <c r="AL1168">
        <v>83.274346785501805</v>
      </c>
      <c r="AM1168">
        <v>91.561316645356101</v>
      </c>
      <c r="AN1168">
        <v>0.99999999384334803</v>
      </c>
    </row>
    <row r="1169" spans="1:40" x14ac:dyDescent="0.3">
      <c r="A1169" t="str">
        <f>"20200111150336333"</f>
        <v>20200111150336333</v>
      </c>
      <c r="B1169" t="str">
        <f>"1578726216329389"</f>
        <v>1578726216329389</v>
      </c>
      <c r="C1169" t="s">
        <v>40</v>
      </c>
      <c r="D1169">
        <v>6.5360009999999997</v>
      </c>
      <c r="E1169">
        <v>0.52076670000000003</v>
      </c>
      <c r="F1169" t="s">
        <v>44</v>
      </c>
      <c r="G1169">
        <v>0</v>
      </c>
      <c r="H1169">
        <v>0</v>
      </c>
      <c r="I1169">
        <v>0</v>
      </c>
      <c r="J1169">
        <v>-263.0378</v>
      </c>
      <c r="K1169">
        <v>1.102808</v>
      </c>
      <c r="L1169">
        <v>141.38290000000001</v>
      </c>
      <c r="M1169">
        <v>-0.99968219999999997</v>
      </c>
      <c r="N1169">
        <v>0</v>
      </c>
      <c r="O1169">
        <v>-2.268034E-2</v>
      </c>
      <c r="P1169">
        <v>-0.99321499999999996</v>
      </c>
      <c r="Q1169">
        <v>0.105918899999999</v>
      </c>
      <c r="R1169">
        <v>-4.8014179999999997E-2</v>
      </c>
      <c r="S1169">
        <v>-2.8966980000000002</v>
      </c>
      <c r="T1169">
        <v>1.1922919999999999</v>
      </c>
      <c r="U1169">
        <v>5.8837889999999997E-2</v>
      </c>
      <c r="V1169">
        <v>-2.5137820000000002E-2</v>
      </c>
      <c r="W1169">
        <v>0.1169311</v>
      </c>
      <c r="X1169">
        <v>0.99282179999999998</v>
      </c>
      <c r="Y1169">
        <v>3.8038870000000002E-2</v>
      </c>
      <c r="Z1169">
        <v>-1.6491499999999999E-2</v>
      </c>
      <c r="AA1169">
        <v>0.99914009999999998</v>
      </c>
      <c r="AB1169">
        <v>29</v>
      </c>
      <c r="AC1169">
        <v>-2.8966980000000002</v>
      </c>
      <c r="AD1169">
        <v>1.1922919999999999</v>
      </c>
      <c r="AE1169">
        <v>5.8837889999999997E-2</v>
      </c>
      <c r="AF1169">
        <v>0.106490833801479</v>
      </c>
      <c r="AG1169">
        <v>1.1922919999999999</v>
      </c>
      <c r="AH1169">
        <v>2.4754124722389199</v>
      </c>
      <c r="AI1169">
        <v>64.302730913652695</v>
      </c>
      <c r="AJ1169">
        <v>87.536687063623901</v>
      </c>
      <c r="AK1169">
        <v>2.7496485991238502</v>
      </c>
      <c r="AL1169">
        <v>83.284979220240501</v>
      </c>
      <c r="AM1169">
        <v>91.450394551807406</v>
      </c>
      <c r="AN1169">
        <v>0.99999995934840002</v>
      </c>
    </row>
    <row r="1170" spans="1:40" x14ac:dyDescent="0.3">
      <c r="A1170" t="str">
        <f>"20200111150336355"</f>
        <v>20200111150336355</v>
      </c>
      <c r="B1170" t="str">
        <f>"1578726216349886"</f>
        <v>1578726216349886</v>
      </c>
      <c r="C1170" t="s">
        <v>40</v>
      </c>
      <c r="D1170">
        <v>5.2091560000000001</v>
      </c>
      <c r="E1170">
        <v>0.51513050000000005</v>
      </c>
      <c r="F1170" t="s">
        <v>44</v>
      </c>
      <c r="G1170">
        <v>0</v>
      </c>
      <c r="H1170">
        <v>0</v>
      </c>
      <c r="I1170">
        <v>0</v>
      </c>
      <c r="J1170">
        <v>-263.3426</v>
      </c>
      <c r="K1170">
        <v>1.102787</v>
      </c>
      <c r="L1170">
        <v>141.3777</v>
      </c>
      <c r="M1170">
        <v>-0.99971750000000004</v>
      </c>
      <c r="N1170">
        <v>0</v>
      </c>
      <c r="O1170">
        <v>-2.106249E-2</v>
      </c>
      <c r="P1170">
        <v>-0.9932474</v>
      </c>
      <c r="Q1170">
        <v>0.10674019999999999</v>
      </c>
      <c r="R1170">
        <v>-4.5453430000000003E-2</v>
      </c>
      <c r="S1170">
        <v>-2.9013369999999998</v>
      </c>
      <c r="T1170">
        <v>1.1307160000000001</v>
      </c>
      <c r="U1170">
        <v>2.9266360000000002E-2</v>
      </c>
      <c r="V1170">
        <v>-2.4176309999999999E-2</v>
      </c>
      <c r="W1170">
        <v>0.1177523</v>
      </c>
      <c r="X1170">
        <v>0.99274870000000004</v>
      </c>
      <c r="Y1170">
        <v>2.758364E-2</v>
      </c>
      <c r="Z1170">
        <v>-1.3103470000000001E-2</v>
      </c>
      <c r="AA1170">
        <v>0.99953360000000002</v>
      </c>
      <c r="AB1170">
        <v>30</v>
      </c>
      <c r="AC1170">
        <v>-2.9013369999999998</v>
      </c>
      <c r="AD1170">
        <v>1.1307160000000001</v>
      </c>
      <c r="AE1170">
        <v>2.9266360000000002E-2</v>
      </c>
      <c r="AF1170">
        <v>7.8457729149226996E-2</v>
      </c>
      <c r="AG1170">
        <v>1.1307160000000001</v>
      </c>
      <c r="AH1170">
        <v>2.5177160953166098</v>
      </c>
      <c r="AI1170">
        <v>65.825358062216907</v>
      </c>
      <c r="AJ1170">
        <v>88.215111505794695</v>
      </c>
      <c r="AK1170">
        <v>2.7610810608411298</v>
      </c>
      <c r="AL1170">
        <v>83.237601158532598</v>
      </c>
      <c r="AM1170">
        <v>91.395042660035998</v>
      </c>
      <c r="AN1170">
        <v>1.00000003973609</v>
      </c>
    </row>
    <row r="1171" spans="1:40" x14ac:dyDescent="0.3">
      <c r="A1171" t="str">
        <f>"20200111150336378"</f>
        <v>20200111150336378</v>
      </c>
      <c r="B1171" t="str">
        <f>"1578726216369405"</f>
        <v>1578726216369405</v>
      </c>
      <c r="C1171" t="s">
        <v>40</v>
      </c>
      <c r="D1171">
        <v>5.529687</v>
      </c>
      <c r="E1171">
        <v>0.50961639999999997</v>
      </c>
      <c r="F1171" t="s">
        <v>44</v>
      </c>
      <c r="G1171">
        <v>0</v>
      </c>
      <c r="H1171">
        <v>0</v>
      </c>
      <c r="I1171">
        <v>0</v>
      </c>
      <c r="J1171">
        <v>-263.64400000000001</v>
      </c>
      <c r="K1171">
        <v>1.102784</v>
      </c>
      <c r="L1171">
        <v>141.37309999999999</v>
      </c>
      <c r="M1171">
        <v>-0.99974969999999996</v>
      </c>
      <c r="N1171">
        <v>0</v>
      </c>
      <c r="O1171">
        <v>-1.9470769999999998E-2</v>
      </c>
      <c r="P1171">
        <v>-0.99325560000000002</v>
      </c>
      <c r="Q1171">
        <v>0.1075203</v>
      </c>
      <c r="R1171">
        <v>-4.3391730000000003E-2</v>
      </c>
      <c r="S1171">
        <v>-2.9568180000000002</v>
      </c>
      <c r="T1171">
        <v>0.58589969999999902</v>
      </c>
      <c r="U1171">
        <v>-1.3229370000000001E-2</v>
      </c>
      <c r="V1171">
        <v>-2.3692660000000001E-2</v>
      </c>
      <c r="W1171">
        <v>0.1185321</v>
      </c>
      <c r="X1171">
        <v>0.99266750000000004</v>
      </c>
      <c r="Y1171">
        <v>1.4341090000000001E-2</v>
      </c>
      <c r="Z1171">
        <v>-5.2281899999999997E-3</v>
      </c>
      <c r="AA1171">
        <v>0.99988350000000004</v>
      </c>
      <c r="AB1171">
        <v>30</v>
      </c>
      <c r="AC1171">
        <v>-2.9568180000000002</v>
      </c>
      <c r="AD1171">
        <v>0.58589969999999902</v>
      </c>
      <c r="AE1171">
        <v>-1.3229370000000001E-2</v>
      </c>
      <c r="AF1171">
        <v>4.26726796755032E-2</v>
      </c>
      <c r="AG1171">
        <v>0.58589969999999902</v>
      </c>
      <c r="AH1171">
        <v>2.8448175914095799</v>
      </c>
      <c r="AI1171">
        <v>78.363737217285305</v>
      </c>
      <c r="AJ1171">
        <v>89.140619383770797</v>
      </c>
      <c r="AK1171">
        <v>2.9048384713171602</v>
      </c>
      <c r="AL1171">
        <v>83.192606414104404</v>
      </c>
      <c r="AM1171">
        <v>91.367257152881194</v>
      </c>
      <c r="AN1171">
        <v>0.99999998321226702</v>
      </c>
    </row>
    <row r="1172" spans="1:40" x14ac:dyDescent="0.3">
      <c r="A1172" t="str">
        <f>"20200111150336399"</f>
        <v>20200111150336399</v>
      </c>
      <c r="B1172" t="str">
        <f>"1578726216389904"</f>
        <v>1578726216389904</v>
      </c>
      <c r="C1172" t="s">
        <v>40</v>
      </c>
      <c r="D1172">
        <v>5.6507949999999996</v>
      </c>
      <c r="E1172">
        <v>0.50701679999999905</v>
      </c>
      <c r="F1172" t="s">
        <v>68</v>
      </c>
      <c r="G1172">
        <v>-285.49700000000001</v>
      </c>
      <c r="H1172" s="1">
        <v>-6.5847590000000004E-6</v>
      </c>
      <c r="I1172">
        <v>140.95429999999999</v>
      </c>
      <c r="J1172">
        <v>-263.9323</v>
      </c>
      <c r="K1172">
        <v>1.1027819999999999</v>
      </c>
      <c r="L1172">
        <v>141.369</v>
      </c>
      <c r="M1172">
        <v>-0.99977800000000006</v>
      </c>
      <c r="N1172">
        <v>0</v>
      </c>
      <c r="O1172">
        <v>-1.7971299999999999E-2</v>
      </c>
      <c r="P1172">
        <v>-0.9932474</v>
      </c>
      <c r="Q1172">
        <v>0.1080668</v>
      </c>
      <c r="R1172">
        <v>-4.2206889999999997E-2</v>
      </c>
      <c r="S1172">
        <v>-3.0343930000000001</v>
      </c>
      <c r="T1172">
        <v>-0.1531276</v>
      </c>
      <c r="U1172">
        <v>-5.8151250000000002E-2</v>
      </c>
      <c r="V1172">
        <v>-2.39978E-2</v>
      </c>
      <c r="W1172">
        <v>0.1190804</v>
      </c>
      <c r="X1172">
        <v>0.99259450000000005</v>
      </c>
      <c r="Y1172">
        <v>-1.2096629999999999E-3</v>
      </c>
      <c r="Z1172">
        <v>8.7572270000000002E-4</v>
      </c>
      <c r="AA1172">
        <v>0.99999890000000002</v>
      </c>
      <c r="AB1172">
        <v>30</v>
      </c>
      <c r="AC1172">
        <v>-21.564699999999998</v>
      </c>
      <c r="AD1172">
        <v>-1.102788584759</v>
      </c>
      <c r="AE1172">
        <v>-0.41470000000001001</v>
      </c>
      <c r="AF1172">
        <v>-2.6993315028510899E-2</v>
      </c>
      <c r="AG1172">
        <v>-1.102788584759</v>
      </c>
      <c r="AH1172">
        <v>21.5124325161628</v>
      </c>
      <c r="AI1172">
        <v>92.934573828707997</v>
      </c>
      <c r="AJ1172">
        <v>90.071893413882705</v>
      </c>
      <c r="AK1172">
        <v>21.540696926148598</v>
      </c>
      <c r="AL1172">
        <v>83.160966744532701</v>
      </c>
      <c r="AM1172">
        <v>91.384961182027595</v>
      </c>
      <c r="AN1172">
        <v>0.99999993874962301</v>
      </c>
    </row>
    <row r="1173" spans="1:40" x14ac:dyDescent="0.3">
      <c r="A1173" t="str">
        <f>"20200111150336422"</f>
        <v>20200111150336422</v>
      </c>
      <c r="B1173" t="str">
        <f>"1578726216419182"</f>
        <v>1578726216419182</v>
      </c>
      <c r="C1173" t="s">
        <v>40</v>
      </c>
      <c r="D1173">
        <v>6.1153919999999999</v>
      </c>
      <c r="E1173">
        <v>0.51686480000000001</v>
      </c>
      <c r="F1173" t="s">
        <v>44</v>
      </c>
      <c r="G1173">
        <v>0</v>
      </c>
      <c r="H1173">
        <v>0</v>
      </c>
      <c r="I1173">
        <v>0</v>
      </c>
      <c r="J1173">
        <v>-264.22309999999999</v>
      </c>
      <c r="K1173">
        <v>1.102784</v>
      </c>
      <c r="L1173">
        <v>141.36539999999999</v>
      </c>
      <c r="M1173">
        <v>-0.99980349999999996</v>
      </c>
      <c r="N1173">
        <v>0</v>
      </c>
      <c r="O1173">
        <v>-1.6484990000000001E-2</v>
      </c>
      <c r="P1173">
        <v>-0.99331910000000001</v>
      </c>
      <c r="Q1173">
        <v>0.1078793</v>
      </c>
      <c r="R1173">
        <v>-4.0983190000000003E-2</v>
      </c>
      <c r="S1173">
        <v>-3.0030519999999998</v>
      </c>
      <c r="T1173">
        <v>0.1310009</v>
      </c>
      <c r="U1173">
        <v>-7.2402949999999994E-2</v>
      </c>
      <c r="V1173">
        <v>-2.425298E-2</v>
      </c>
      <c r="W1173">
        <v>0.1188953</v>
      </c>
      <c r="X1173">
        <v>0.99261060000000001</v>
      </c>
      <c r="Y1173">
        <v>-7.6267330000000001E-3</v>
      </c>
      <c r="Z1173">
        <v>-5.5240940000000004E-4</v>
      </c>
      <c r="AA1173">
        <v>0.99997069999999999</v>
      </c>
      <c r="AB1173">
        <v>30</v>
      </c>
      <c r="AC1173">
        <v>-3.0030519999999998</v>
      </c>
      <c r="AD1173">
        <v>0.1310009</v>
      </c>
      <c r="AE1173">
        <v>-7.2402949999999994E-2</v>
      </c>
      <c r="AF1173">
        <v>-2.2841387253628699E-2</v>
      </c>
      <c r="AG1173">
        <v>0.1310009</v>
      </c>
      <c r="AH1173">
        <v>2.9981355817556601</v>
      </c>
      <c r="AI1173">
        <v>87.498175145865702</v>
      </c>
      <c r="AJ1173">
        <v>90.436501196460995</v>
      </c>
      <c r="AK1173">
        <v>3.0010831263665199</v>
      </c>
      <c r="AL1173">
        <v>83.171648849584798</v>
      </c>
      <c r="AM1173">
        <v>91.399659610494695</v>
      </c>
      <c r="AN1173">
        <v>1.00000005131666</v>
      </c>
    </row>
    <row r="1174" spans="1:40" x14ac:dyDescent="0.3">
      <c r="A1174" t="str">
        <f>"20200111150336445"</f>
        <v>20200111150336445</v>
      </c>
      <c r="B1174" t="str">
        <f>"1578726216439678"</f>
        <v>1578726216439678</v>
      </c>
      <c r="C1174" t="s">
        <v>40</v>
      </c>
      <c r="D1174">
        <v>5.6712119999999997</v>
      </c>
      <c r="E1174">
        <v>0.51562509999999995</v>
      </c>
      <c r="F1174" t="s">
        <v>42</v>
      </c>
      <c r="G1174">
        <v>-265.03829999999999</v>
      </c>
      <c r="H1174">
        <v>1.0372079999999999</v>
      </c>
      <c r="I1174">
        <v>141.3674</v>
      </c>
      <c r="J1174">
        <v>-264.5317</v>
      </c>
      <c r="K1174">
        <v>1.102792</v>
      </c>
      <c r="L1174">
        <v>141.36199999999999</v>
      </c>
      <c r="M1174">
        <v>-0.99982780000000004</v>
      </c>
      <c r="N1174">
        <v>0</v>
      </c>
      <c r="O1174">
        <v>-1.4936359999999999E-2</v>
      </c>
      <c r="P1174">
        <v>-0.99343939999999997</v>
      </c>
      <c r="Q1174">
        <v>0.1074046</v>
      </c>
      <c r="R1174">
        <v>-3.9279880000000003E-2</v>
      </c>
      <c r="S1174">
        <v>-3.0470280000000001</v>
      </c>
      <c r="T1174">
        <v>-0.2450891</v>
      </c>
      <c r="U1174">
        <v>6.6528319999999896E-3</v>
      </c>
      <c r="V1174">
        <v>-2.4091060000000001E-2</v>
      </c>
      <c r="W1174">
        <v>0.11842179999999999</v>
      </c>
      <c r="X1174">
        <v>0.99267110000000003</v>
      </c>
      <c r="Y1174">
        <v>1.701716E-2</v>
      </c>
      <c r="Z1174">
        <v>1.8828060000000001E-3</v>
      </c>
      <c r="AA1174">
        <v>0.9998534</v>
      </c>
      <c r="AB1174">
        <v>30</v>
      </c>
      <c r="AC1174">
        <v>-0.50659999999999095</v>
      </c>
      <c r="AD1174">
        <v>-6.5584000000000003E-2</v>
      </c>
      <c r="AE1174">
        <v>5.4000000000087303E-3</v>
      </c>
      <c r="AF1174">
        <v>1.27529061847243E-2</v>
      </c>
      <c r="AG1174">
        <v>-6.5584000000000003E-2</v>
      </c>
      <c r="AH1174">
        <v>0.49811551620021299</v>
      </c>
      <c r="AI1174">
        <v>97.498232139458395</v>
      </c>
      <c r="AJ1174">
        <v>88.533416265944297</v>
      </c>
      <c r="AK1174">
        <v>0.50257632768720994</v>
      </c>
      <c r="AL1174">
        <v>83.198971130294098</v>
      </c>
      <c r="AM1174">
        <v>91.390234050885198</v>
      </c>
      <c r="AN1174">
        <v>1.0000000073311801</v>
      </c>
    </row>
    <row r="1175" spans="1:40" x14ac:dyDescent="0.3">
      <c r="A1175" t="str">
        <f>"20200111150336467"</f>
        <v>20200111150336467</v>
      </c>
      <c r="B1175" t="str">
        <f>"1578726216459200"</f>
        <v>1578726216459200</v>
      </c>
      <c r="C1175" t="s">
        <v>40</v>
      </c>
      <c r="D1175">
        <v>5.0275999999999996</v>
      </c>
      <c r="E1175">
        <v>0.50497250000000005</v>
      </c>
      <c r="F1175" t="s">
        <v>44</v>
      </c>
      <c r="G1175">
        <v>0</v>
      </c>
      <c r="H1175">
        <v>0</v>
      </c>
      <c r="I1175">
        <v>0</v>
      </c>
      <c r="J1175">
        <v>-264.83170000000001</v>
      </c>
      <c r="K1175">
        <v>1.102803</v>
      </c>
      <c r="L1175">
        <v>141.35910000000001</v>
      </c>
      <c r="M1175">
        <v>-0.99984879999999998</v>
      </c>
      <c r="N1175">
        <v>0</v>
      </c>
      <c r="O1175">
        <v>-1.3457119999999999E-2</v>
      </c>
      <c r="P1175">
        <v>-0.99351730000000005</v>
      </c>
      <c r="Q1175">
        <v>0.10757070000000001</v>
      </c>
      <c r="R1175">
        <v>-3.6766159999999999E-2</v>
      </c>
      <c r="S1175">
        <v>-2.917999</v>
      </c>
      <c r="T1175">
        <v>0.94655750000000005</v>
      </c>
      <c r="U1175">
        <v>1.210022E-2</v>
      </c>
      <c r="V1175">
        <v>-2.3049239999999999E-2</v>
      </c>
      <c r="W1175">
        <v>0.1185856</v>
      </c>
      <c r="X1175">
        <v>0.99267629999999996</v>
      </c>
      <c r="Y1175">
        <v>1.6088539999999998E-2</v>
      </c>
      <c r="Z1175">
        <v>-6.8004869999999896E-3</v>
      </c>
      <c r="AA1175">
        <v>0.9998475</v>
      </c>
      <c r="AB1175">
        <v>30</v>
      </c>
      <c r="AC1175">
        <v>-2.917999</v>
      </c>
      <c r="AD1175">
        <v>0.94655750000000005</v>
      </c>
      <c r="AE1175">
        <v>1.210022E-2</v>
      </c>
      <c r="AF1175">
        <v>4.6478679469905401E-2</v>
      </c>
      <c r="AG1175">
        <v>0.94655750000000005</v>
      </c>
      <c r="AH1175">
        <v>2.6398005913396698</v>
      </c>
      <c r="AI1175">
        <v>70.276429638785004</v>
      </c>
      <c r="AJ1175">
        <v>88.9913037187019</v>
      </c>
      <c r="AK1175">
        <v>2.80475997734009</v>
      </c>
      <c r="AL1175">
        <v>83.189519597696105</v>
      </c>
      <c r="AM1175">
        <v>91.3301283791548</v>
      </c>
      <c r="AN1175">
        <v>1.0000000242868099</v>
      </c>
    </row>
    <row r="1176" spans="1:40" x14ac:dyDescent="0.3">
      <c r="A1176" t="str">
        <f>"20200111150336489"</f>
        <v>20200111150336489</v>
      </c>
      <c r="B1176" t="str">
        <f>"1578726216479693"</f>
        <v>1578726216479693</v>
      </c>
      <c r="C1176" t="s">
        <v>40</v>
      </c>
      <c r="D1176">
        <v>5.7508150000000002</v>
      </c>
      <c r="E1176">
        <v>0.50534020000000002</v>
      </c>
      <c r="F1176" t="s">
        <v>44</v>
      </c>
      <c r="G1176">
        <v>0</v>
      </c>
      <c r="H1176">
        <v>0</v>
      </c>
      <c r="I1176">
        <v>0</v>
      </c>
      <c r="J1176">
        <v>-265.11900000000003</v>
      </c>
      <c r="K1176">
        <v>1.1028180000000001</v>
      </c>
      <c r="L1176">
        <v>141.35669999999999</v>
      </c>
      <c r="M1176">
        <v>-0.99986649999999999</v>
      </c>
      <c r="N1176">
        <v>0</v>
      </c>
      <c r="O1176">
        <v>-1.206287E-2</v>
      </c>
      <c r="P1176">
        <v>-0.99353919999999996</v>
      </c>
      <c r="Q1176">
        <v>0.1079073</v>
      </c>
      <c r="R1176">
        <v>-3.5160490000000003E-2</v>
      </c>
      <c r="S1176">
        <v>-3.0068049999999999</v>
      </c>
      <c r="T1176">
        <v>9.2672229999999994E-2</v>
      </c>
      <c r="U1176">
        <v>-7.2891239999999996E-2</v>
      </c>
      <c r="V1176">
        <v>-2.283199E-2</v>
      </c>
      <c r="W1176">
        <v>0.11892220000000001</v>
      </c>
      <c r="X1176">
        <v>0.992641</v>
      </c>
      <c r="Y1176">
        <v>-1.2173089999999999E-2</v>
      </c>
      <c r="Z1176">
        <v>-1.8412680000000001E-4</v>
      </c>
      <c r="AA1176">
        <v>0.99992590000000003</v>
      </c>
      <c r="AB1176">
        <v>30</v>
      </c>
      <c r="AC1176">
        <v>-3.0068049999999999</v>
      </c>
      <c r="AD1176">
        <v>9.2672229999999994E-2</v>
      </c>
      <c r="AE1176">
        <v>-7.2891239999999996E-2</v>
      </c>
      <c r="AF1176">
        <v>-3.6578308744663703E-2</v>
      </c>
      <c r="AG1176">
        <v>9.2672229999999994E-2</v>
      </c>
      <c r="AH1176">
        <v>3.0046130554091799</v>
      </c>
      <c r="AI1176">
        <v>88.233499044997103</v>
      </c>
      <c r="AJ1176">
        <v>90.697487212648795</v>
      </c>
      <c r="AK1176">
        <v>3.0062644141224601</v>
      </c>
      <c r="AL1176">
        <v>83.170096036861395</v>
      </c>
      <c r="AM1176">
        <v>91.317642569406502</v>
      </c>
      <c r="AN1176">
        <v>0.99999997215059899</v>
      </c>
    </row>
    <row r="1177" spans="1:40" x14ac:dyDescent="0.3">
      <c r="A1177" t="str">
        <f>"20200111150336510"</f>
        <v>20200111150336510</v>
      </c>
      <c r="B1177" t="str">
        <f>"1578726216499214"</f>
        <v>1578726216499214</v>
      </c>
      <c r="C1177" t="s">
        <v>40</v>
      </c>
      <c r="D1177">
        <v>5.6913070000000001</v>
      </c>
      <c r="E1177">
        <v>0.50187700000000002</v>
      </c>
      <c r="F1177" t="s">
        <v>44</v>
      </c>
      <c r="G1177">
        <v>0</v>
      </c>
      <c r="H1177">
        <v>0</v>
      </c>
      <c r="I1177">
        <v>0</v>
      </c>
      <c r="J1177">
        <v>-265.40730000000002</v>
      </c>
      <c r="K1177">
        <v>1.1028290000000001</v>
      </c>
      <c r="L1177">
        <v>141.35480000000001</v>
      </c>
      <c r="M1177">
        <v>-0.99988220000000005</v>
      </c>
      <c r="N1177">
        <v>0</v>
      </c>
      <c r="O1177">
        <v>-1.0681029999999999E-2</v>
      </c>
      <c r="P1177">
        <v>-0.99358449999999998</v>
      </c>
      <c r="Q1177">
        <v>0.1079283</v>
      </c>
      <c r="R1177">
        <v>-3.3785129999999997E-2</v>
      </c>
      <c r="S1177">
        <v>-3.0084529999999998</v>
      </c>
      <c r="T1177">
        <v>8.0898399999999995E-2</v>
      </c>
      <c r="U1177">
        <v>-6.5444950000000002E-2</v>
      </c>
      <c r="V1177">
        <v>-2.2832399999999999E-2</v>
      </c>
      <c r="W1177">
        <v>0.11894449999999999</v>
      </c>
      <c r="X1177">
        <v>0.99263829999999997</v>
      </c>
      <c r="Y1177">
        <v>-1.106801E-2</v>
      </c>
      <c r="Z1177">
        <v>-1.3836910000000001E-4</v>
      </c>
      <c r="AA1177">
        <v>0.99993869999999896</v>
      </c>
      <c r="AB1177">
        <v>30</v>
      </c>
      <c r="AC1177">
        <v>-3.0084529999999998</v>
      </c>
      <c r="AD1177">
        <v>8.0898399999999995E-2</v>
      </c>
      <c r="AE1177">
        <v>-6.5444950000000002E-2</v>
      </c>
      <c r="AF1177">
        <v>-3.3281832825678398E-2</v>
      </c>
      <c r="AG1177">
        <v>8.0898399999999995E-2</v>
      </c>
      <c r="AH1177">
        <v>3.0068072583062802</v>
      </c>
      <c r="AI1177">
        <v>88.458918437685995</v>
      </c>
      <c r="AJ1177">
        <v>90.634171238727006</v>
      </c>
      <c r="AK1177">
        <v>3.00807947370446</v>
      </c>
      <c r="AL1177">
        <v>83.1688090799978</v>
      </c>
      <c r="AM1177">
        <v>91.317669805136106</v>
      </c>
      <c r="AN1177">
        <v>0.99999995359844795</v>
      </c>
    </row>
    <row r="1178" spans="1:40" x14ac:dyDescent="0.3">
      <c r="A1178" t="str">
        <f>"20200111150336556"</f>
        <v>20200111150336556</v>
      </c>
      <c r="B1178" t="str">
        <f>"1578726216549966"</f>
        <v>1578726216549966</v>
      </c>
      <c r="C1178" t="s">
        <v>40</v>
      </c>
      <c r="D1178">
        <v>5.6129769999999999</v>
      </c>
      <c r="E1178">
        <v>0.4039123</v>
      </c>
      <c r="F1178" t="s">
        <v>44</v>
      </c>
      <c r="G1178">
        <v>0</v>
      </c>
      <c r="H1178">
        <v>0</v>
      </c>
      <c r="I1178">
        <v>0</v>
      </c>
      <c r="J1178">
        <v>-266.01179999999999</v>
      </c>
      <c r="K1178">
        <v>1.1028469999999999</v>
      </c>
      <c r="L1178">
        <v>141.3519</v>
      </c>
      <c r="M1178">
        <v>-0.99990869999999998</v>
      </c>
      <c r="N1178">
        <v>0</v>
      </c>
      <c r="O1178">
        <v>-7.8207680000000005E-3</v>
      </c>
      <c r="P1178">
        <v>-0.99382009999999998</v>
      </c>
      <c r="Q1178">
        <v>0.10750999999999999</v>
      </c>
      <c r="R1178">
        <v>-2.763001E-2</v>
      </c>
      <c r="S1178">
        <v>-3.0067439999999999</v>
      </c>
      <c r="T1178">
        <v>8.8720080000000007E-2</v>
      </c>
      <c r="U1178">
        <v>-8.8867189999999999E-2</v>
      </c>
      <c r="V1178">
        <v>-1.952568E-2</v>
      </c>
      <c r="W1178">
        <v>0.11852070000000001</v>
      </c>
      <c r="X1178">
        <v>0.99275959999999996</v>
      </c>
      <c r="Y1178">
        <v>-2.171828E-2</v>
      </c>
      <c r="Z1178" s="1">
        <v>8.9608609999999894E-5</v>
      </c>
      <c r="AA1178">
        <v>0.99976410000000004</v>
      </c>
      <c r="AB1178">
        <v>30</v>
      </c>
      <c r="AC1178">
        <v>-3.0067439999999999</v>
      </c>
      <c r="AD1178">
        <v>8.8720080000000007E-2</v>
      </c>
      <c r="AE1178">
        <v>-8.8867189999999999E-2</v>
      </c>
      <c r="AF1178">
        <v>-6.5291199672199596E-2</v>
      </c>
      <c r="AG1178">
        <v>8.8720080000000007E-2</v>
      </c>
      <c r="AH1178">
        <v>3.0047332545453802</v>
      </c>
      <c r="AI1178">
        <v>88.309130756698806</v>
      </c>
      <c r="AJ1178">
        <v>91.244809854942105</v>
      </c>
      <c r="AK1178">
        <v>3.0067517563511399</v>
      </c>
      <c r="AL1178">
        <v>83.193264446853206</v>
      </c>
      <c r="AM1178">
        <v>91.126752976576498</v>
      </c>
      <c r="AN1178">
        <v>1.0000000159500499</v>
      </c>
    </row>
    <row r="1179" spans="1:40" x14ac:dyDescent="0.3">
      <c r="A1179" t="str">
        <f>"20200111150336580"</f>
        <v>20200111150336580</v>
      </c>
      <c r="B1179" t="str">
        <f>"1578726216569485"</f>
        <v>1578726216569485</v>
      </c>
      <c r="C1179" t="s">
        <v>40</v>
      </c>
      <c r="D1179">
        <v>5.5983549999999997</v>
      </c>
      <c r="E1179">
        <v>0.40058870000000002</v>
      </c>
      <c r="F1179" t="s">
        <v>68</v>
      </c>
      <c r="G1179">
        <v>-284.20429999999999</v>
      </c>
      <c r="H1179" s="1">
        <v>-4.1793599999999999E-6</v>
      </c>
      <c r="I1179">
        <v>136.18369999999999</v>
      </c>
      <c r="J1179">
        <v>-266.32600000000002</v>
      </c>
      <c r="K1179">
        <v>1.1028560000000001</v>
      </c>
      <c r="L1179">
        <v>141.351</v>
      </c>
      <c r="M1179">
        <v>-0.99991909999999895</v>
      </c>
      <c r="N1179">
        <v>0</v>
      </c>
      <c r="O1179">
        <v>-6.3532049999999998E-3</v>
      </c>
      <c r="P1179">
        <v>-0.99388609999999999</v>
      </c>
      <c r="Q1179">
        <v>0.1075502</v>
      </c>
      <c r="R1179">
        <v>-2.497357E-2</v>
      </c>
      <c r="S1179">
        <v>-3.014618</v>
      </c>
      <c r="T1179">
        <v>-0.18275040000000001</v>
      </c>
      <c r="U1179">
        <v>-0.85639949999999998</v>
      </c>
      <c r="V1179">
        <v>-1.8329809999999998E-2</v>
      </c>
      <c r="W1179">
        <v>0.1185586</v>
      </c>
      <c r="X1179">
        <v>0.99277789999999999</v>
      </c>
      <c r="Y1179">
        <v>-0.26671</v>
      </c>
      <c r="Z1179">
        <v>-7.5431959999999899E-3</v>
      </c>
      <c r="AA1179">
        <v>0.96374729999999997</v>
      </c>
      <c r="AB1179">
        <v>30</v>
      </c>
      <c r="AC1179">
        <v>-17.878299999999999</v>
      </c>
      <c r="AD1179">
        <v>-1.1028601793599999</v>
      </c>
      <c r="AE1179">
        <v>-5.1673000000000098</v>
      </c>
      <c r="AF1179">
        <v>-5.0359185399932098</v>
      </c>
      <c r="AG1179">
        <v>-1.1028601793599999</v>
      </c>
      <c r="AH1179">
        <v>17.848088928738999</v>
      </c>
      <c r="AI1179">
        <v>93.403349007199196</v>
      </c>
      <c r="AJ1179">
        <v>105.75665146452501</v>
      </c>
      <c r="AK1179">
        <v>18.577703155256899</v>
      </c>
      <c r="AL1179">
        <v>83.191077689891401</v>
      </c>
      <c r="AM1179">
        <v>91.057740548809306</v>
      </c>
      <c r="AN1179">
        <v>1.0000000411484999</v>
      </c>
    </row>
    <row r="1180" spans="1:40" x14ac:dyDescent="0.3">
      <c r="A1180" t="str">
        <f>"20200111150336600"</f>
        <v>20200111150336600</v>
      </c>
      <c r="B1180" t="str">
        <f>"1578726216589987"</f>
        <v>1578726216589987</v>
      </c>
      <c r="C1180" t="s">
        <v>40</v>
      </c>
      <c r="D1180">
        <v>5.5911970000000002</v>
      </c>
      <c r="E1180">
        <v>0.39764579999999999</v>
      </c>
      <c r="F1180" t="s">
        <v>68</v>
      </c>
      <c r="G1180">
        <v>-285.45249999999999</v>
      </c>
      <c r="H1180" s="1">
        <v>-4.7081839999999996E-6</v>
      </c>
      <c r="I1180">
        <v>135.8074</v>
      </c>
      <c r="J1180">
        <v>-266.59800000000001</v>
      </c>
      <c r="K1180">
        <v>1.102859</v>
      </c>
      <c r="L1180">
        <v>141.35069999999999</v>
      </c>
      <c r="M1180">
        <v>-0.99992619999999999</v>
      </c>
      <c r="N1180">
        <v>0</v>
      </c>
      <c r="O1180">
        <v>-5.0935249999999998E-3</v>
      </c>
      <c r="P1180">
        <v>-0.99395639999999996</v>
      </c>
      <c r="Q1180">
        <v>0.1072294</v>
      </c>
      <c r="R1180">
        <v>-2.3512970000000001E-2</v>
      </c>
      <c r="S1180">
        <v>-3.0152890000000001</v>
      </c>
      <c r="T1180">
        <v>-0.17386579999999999</v>
      </c>
      <c r="U1180">
        <v>-0.87396240000000003</v>
      </c>
      <c r="V1180">
        <v>-1.8124100000000001E-2</v>
      </c>
      <c r="W1180">
        <v>0.1182395</v>
      </c>
      <c r="X1180">
        <v>0.99281969999999997</v>
      </c>
      <c r="Y1180">
        <v>-0.27307930000000002</v>
      </c>
      <c r="Z1180">
        <v>-7.420772E-3</v>
      </c>
      <c r="AA1180">
        <v>0.96196289999999995</v>
      </c>
      <c r="AB1180">
        <v>30</v>
      </c>
      <c r="AC1180">
        <v>-18.854499999999899</v>
      </c>
      <c r="AD1180">
        <v>-1.102863708184</v>
      </c>
      <c r="AE1180">
        <v>-5.5432999999999799</v>
      </c>
      <c r="AF1180">
        <v>-5.4300856215571596</v>
      </c>
      <c r="AG1180">
        <v>-1.102863708184</v>
      </c>
      <c r="AH1180">
        <v>18.823212847864699</v>
      </c>
      <c r="AI1180">
        <v>93.222065109729101</v>
      </c>
      <c r="AJ1180">
        <v>106.09169500887501</v>
      </c>
      <c r="AK1180">
        <v>19.621811336680601</v>
      </c>
      <c r="AL1180">
        <v>83.209490069219697</v>
      </c>
      <c r="AM1180">
        <v>91.045828469409599</v>
      </c>
      <c r="AN1180">
        <v>1.00000000953457</v>
      </c>
    </row>
    <row r="1181" spans="1:40" x14ac:dyDescent="0.3">
      <c r="A1181" t="str">
        <f>"20200111150336623"</f>
        <v>20200111150336623</v>
      </c>
      <c r="B1181" t="str">
        <f>"1578726216619261"</f>
        <v>1578726216619261</v>
      </c>
      <c r="C1181" t="s">
        <v>40</v>
      </c>
      <c r="D1181">
        <v>5.57395</v>
      </c>
      <c r="E1181">
        <v>0.39599440000000002</v>
      </c>
      <c r="F1181" t="s">
        <v>68</v>
      </c>
      <c r="G1181">
        <v>-285.28809999999999</v>
      </c>
      <c r="H1181" s="1">
        <v>-4.599561E-6</v>
      </c>
      <c r="I1181">
        <v>135.8167</v>
      </c>
      <c r="J1181">
        <v>-266.89550000000003</v>
      </c>
      <c r="K1181">
        <v>1.102865</v>
      </c>
      <c r="L1181">
        <v>141.35059999999999</v>
      </c>
      <c r="M1181">
        <v>-0.99993220000000005</v>
      </c>
      <c r="N1181">
        <v>0</v>
      </c>
      <c r="O1181">
        <v>-3.7272899999999999E-3</v>
      </c>
      <c r="P1181">
        <v>-0.99407610000000002</v>
      </c>
      <c r="Q1181">
        <v>0.106509199999999</v>
      </c>
      <c r="R1181">
        <v>-2.1655669999999998E-2</v>
      </c>
      <c r="S1181">
        <v>-3.0163570000000002</v>
      </c>
      <c r="T1181">
        <v>-0.1779886</v>
      </c>
      <c r="U1181">
        <v>-0.89311219999999902</v>
      </c>
      <c r="V1181">
        <v>-1.7629479999999999E-2</v>
      </c>
      <c r="W1181">
        <v>0.11752020000000001</v>
      </c>
      <c r="X1181">
        <v>0.99291399999999996</v>
      </c>
      <c r="Y1181">
        <v>-0.27988849999999998</v>
      </c>
      <c r="Z1181">
        <v>-7.8626140000000004E-3</v>
      </c>
      <c r="AA1181">
        <v>0.96000030000000003</v>
      </c>
      <c r="AB1181">
        <v>30</v>
      </c>
      <c r="AC1181">
        <v>-18.392599999999899</v>
      </c>
      <c r="AD1181">
        <v>-1.1028695995610001</v>
      </c>
      <c r="AE1181">
        <v>-5.5338999999999796</v>
      </c>
      <c r="AF1181">
        <v>-5.4473426564615597</v>
      </c>
      <c r="AG1181">
        <v>-1.1028695995610001</v>
      </c>
      <c r="AH1181">
        <v>18.3525904819736</v>
      </c>
      <c r="AI1181">
        <v>93.297124223825094</v>
      </c>
      <c r="AJ1181">
        <v>106.531731618949</v>
      </c>
      <c r="AK1181">
        <v>19.175699225049598</v>
      </c>
      <c r="AL1181">
        <v>83.250992243329605</v>
      </c>
      <c r="AM1181">
        <v>91.017196529405098</v>
      </c>
      <c r="AN1181">
        <v>1.00000000368455</v>
      </c>
    </row>
    <row r="1182" spans="1:40" x14ac:dyDescent="0.3">
      <c r="A1182" t="str">
        <f>"20200111150336646"</f>
        <v>20200111150336646</v>
      </c>
      <c r="B1182" t="str">
        <f>"1578726216639758"</f>
        <v>1578726216639758</v>
      </c>
      <c r="C1182" t="s">
        <v>40</v>
      </c>
      <c r="D1182">
        <v>5.6187829999999996</v>
      </c>
      <c r="E1182">
        <v>0.39512969999999997</v>
      </c>
      <c r="F1182" t="s">
        <v>68</v>
      </c>
      <c r="G1182">
        <v>-284.27499999999998</v>
      </c>
      <c r="H1182" s="1">
        <v>-4.2024230000000002E-6</v>
      </c>
      <c r="I1182">
        <v>136.1618</v>
      </c>
      <c r="J1182">
        <v>-267.21140000000003</v>
      </c>
      <c r="K1182">
        <v>1.102873</v>
      </c>
      <c r="L1182">
        <v>141.351</v>
      </c>
      <c r="M1182">
        <v>-0.99993650000000001</v>
      </c>
      <c r="N1182">
        <v>0</v>
      </c>
      <c r="O1182">
        <v>-2.2903789999999999E-3</v>
      </c>
      <c r="P1182">
        <v>-0.99410580000000004</v>
      </c>
      <c r="Q1182">
        <v>0.10644140000000001</v>
      </c>
      <c r="R1182">
        <v>-2.0581639999999998E-2</v>
      </c>
      <c r="S1182">
        <v>-3.018799</v>
      </c>
      <c r="T1182">
        <v>-0.1915664</v>
      </c>
      <c r="U1182">
        <v>-0.90129090000000001</v>
      </c>
      <c r="V1182">
        <v>-1.7987550000000001E-2</v>
      </c>
      <c r="W1182">
        <v>0.1174544</v>
      </c>
      <c r="X1182">
        <v>0.99291529999999995</v>
      </c>
      <c r="Y1182">
        <v>-0.28336670000000003</v>
      </c>
      <c r="Z1182">
        <v>-8.6486259999999995E-3</v>
      </c>
      <c r="AA1182">
        <v>0.95897259999999995</v>
      </c>
      <c r="AB1182">
        <v>30</v>
      </c>
      <c r="AC1182">
        <v>-17.063599999999902</v>
      </c>
      <c r="AD1182">
        <v>-1.102877202423</v>
      </c>
      <c r="AE1182">
        <v>-5.1891999999999996</v>
      </c>
      <c r="AF1182">
        <v>-5.13048380206118</v>
      </c>
      <c r="AG1182">
        <v>-1.102877202423</v>
      </c>
      <c r="AH1182">
        <v>17.010396342148599</v>
      </c>
      <c r="AI1182">
        <v>93.551996433113999</v>
      </c>
      <c r="AJ1182">
        <v>106.783768808761</v>
      </c>
      <c r="AK1182">
        <v>17.801454600223501</v>
      </c>
      <c r="AL1182">
        <v>83.2547881695521</v>
      </c>
      <c r="AM1182">
        <v>91.037850838924598</v>
      </c>
      <c r="AN1182">
        <v>0.99999994050422403</v>
      </c>
    </row>
    <row r="1183" spans="1:40" x14ac:dyDescent="0.3">
      <c r="A1183" t="str">
        <f>"20200111150336669"</f>
        <v>20200111150336669</v>
      </c>
      <c r="B1183" t="str">
        <f>"1578726216659293"</f>
        <v>1578726216659293</v>
      </c>
      <c r="C1183" t="s">
        <v>40</v>
      </c>
      <c r="D1183">
        <v>5.6544270000000001</v>
      </c>
      <c r="E1183">
        <v>0.39587349999999999</v>
      </c>
      <c r="F1183" t="s">
        <v>68</v>
      </c>
      <c r="G1183">
        <v>-284.0951</v>
      </c>
      <c r="H1183" s="1">
        <v>-4.1712860000000002E-6</v>
      </c>
      <c r="I1183">
        <v>136.2901</v>
      </c>
      <c r="J1183">
        <v>-267.5095</v>
      </c>
      <c r="K1183">
        <v>1.102884</v>
      </c>
      <c r="L1183">
        <v>141.35169999999999</v>
      </c>
      <c r="M1183">
        <v>-0.99993860000000001</v>
      </c>
      <c r="N1183">
        <v>0</v>
      </c>
      <c r="O1183">
        <v>-9.5026349999999997E-4</v>
      </c>
      <c r="P1183">
        <v>-0.99409700000000001</v>
      </c>
      <c r="Q1183">
        <v>0.1066614</v>
      </c>
      <c r="R1183">
        <v>-1.9861029999999998E-2</v>
      </c>
      <c r="S1183">
        <v>-3.0201720000000001</v>
      </c>
      <c r="T1183">
        <v>-0.1972845</v>
      </c>
      <c r="U1183">
        <v>-0.905304</v>
      </c>
      <c r="V1183">
        <v>-1.8601610000000001E-2</v>
      </c>
      <c r="W1183">
        <v>0.1176765</v>
      </c>
      <c r="X1183">
        <v>0.99287769999999997</v>
      </c>
      <c r="Y1183">
        <v>-0.2856631</v>
      </c>
      <c r="Z1183">
        <v>-9.0596310000000003E-3</v>
      </c>
      <c r="AA1183">
        <v>0.95828729999999995</v>
      </c>
      <c r="AB1183">
        <v>30</v>
      </c>
      <c r="AC1183">
        <v>-16.585599999999999</v>
      </c>
      <c r="AD1183">
        <v>-1.1028881712859999</v>
      </c>
      <c r="AE1183">
        <v>-5.0615999999999897</v>
      </c>
      <c r="AF1183">
        <v>-5.0255075004848901</v>
      </c>
      <c r="AG1183">
        <v>-1.1028881712859999</v>
      </c>
      <c r="AH1183">
        <v>16.5235635766382</v>
      </c>
      <c r="AI1183">
        <v>93.653843390887204</v>
      </c>
      <c r="AJ1183">
        <v>106.916712332632</v>
      </c>
      <c r="AK1183">
        <v>17.306075269309201</v>
      </c>
      <c r="AL1183">
        <v>83.241973994826694</v>
      </c>
      <c r="AM1183">
        <v>91.073313533816503</v>
      </c>
      <c r="AN1183">
        <v>0.999999952852065</v>
      </c>
    </row>
    <row r="1184" spans="1:40" x14ac:dyDescent="0.3">
      <c r="A1184" t="str">
        <f>"20200111150336690"</f>
        <v>20200111150336690</v>
      </c>
      <c r="B1184" t="str">
        <f>"1578726216679773"</f>
        <v>1578726216679773</v>
      </c>
      <c r="C1184" t="s">
        <v>40</v>
      </c>
      <c r="D1184">
        <v>5.6617980000000001</v>
      </c>
      <c r="E1184">
        <v>0.39689540000000001</v>
      </c>
      <c r="F1184" t="s">
        <v>68</v>
      </c>
      <c r="G1184">
        <v>-283.36959999999999</v>
      </c>
      <c r="H1184" s="1">
        <v>-3.9838129999999996E-6</v>
      </c>
      <c r="I1184">
        <v>136.6438</v>
      </c>
      <c r="J1184">
        <v>-267.7944</v>
      </c>
      <c r="K1184">
        <v>1.102895</v>
      </c>
      <c r="L1184">
        <v>141.3528</v>
      </c>
      <c r="M1184">
        <v>-0.99993900000000002</v>
      </c>
      <c r="N1184">
        <v>0</v>
      </c>
      <c r="O1184">
        <v>3.123008E-4</v>
      </c>
      <c r="P1184">
        <v>-0.99411579999999999</v>
      </c>
      <c r="Q1184">
        <v>0.1066074</v>
      </c>
      <c r="R1184">
        <v>-1.9207109999999999E-2</v>
      </c>
      <c r="S1184">
        <v>-3.0224000000000002</v>
      </c>
      <c r="T1184">
        <v>-0.2101731</v>
      </c>
      <c r="U1184">
        <v>-0.89717099999999905</v>
      </c>
      <c r="V1184">
        <v>-1.920678E-2</v>
      </c>
      <c r="W1184">
        <v>0.1176253</v>
      </c>
      <c r="X1184">
        <v>0.99287230000000004</v>
      </c>
      <c r="Y1184">
        <v>-0.28423579999999998</v>
      </c>
      <c r="Z1184">
        <v>-9.6843450000000005E-3</v>
      </c>
      <c r="AA1184">
        <v>0.95870549999999999</v>
      </c>
      <c r="AB1184">
        <v>30</v>
      </c>
      <c r="AC1184">
        <v>-15.575199999999899</v>
      </c>
      <c r="AD1184">
        <v>-1.1028989838129999</v>
      </c>
      <c r="AE1184">
        <v>-4.7089999999999996</v>
      </c>
      <c r="AF1184">
        <v>-4.6923064880167198</v>
      </c>
      <c r="AG1184">
        <v>-1.1028989838129999</v>
      </c>
      <c r="AH1184">
        <v>15.5025058179464</v>
      </c>
      <c r="AI1184">
        <v>93.895397226539998</v>
      </c>
      <c r="AJ1184">
        <v>106.84004132059501</v>
      </c>
      <c r="AK1184">
        <v>16.234586935966099</v>
      </c>
      <c r="AL1184">
        <v>83.244928428040197</v>
      </c>
      <c r="AM1184">
        <v>91.108229318125595</v>
      </c>
      <c r="AN1184">
        <v>1.0000000078526701</v>
      </c>
    </row>
    <row r="1185" spans="1:40" x14ac:dyDescent="0.3">
      <c r="A1185" t="str">
        <f>"20200111150336712"</f>
        <v>20200111150336712</v>
      </c>
      <c r="B1185" t="str">
        <f>"1578726216709054"</f>
        <v>1578726216709054</v>
      </c>
      <c r="C1185" t="s">
        <v>40</v>
      </c>
      <c r="D1185">
        <v>5.6442649999999999</v>
      </c>
      <c r="E1185">
        <v>0.39700289999999999</v>
      </c>
      <c r="F1185" t="s">
        <v>68</v>
      </c>
      <c r="G1185">
        <v>-282.63189999999997</v>
      </c>
      <c r="H1185" s="1">
        <v>-3.792052E-6</v>
      </c>
      <c r="I1185">
        <v>137.00049999999999</v>
      </c>
      <c r="J1185">
        <v>-268.09070000000003</v>
      </c>
      <c r="K1185">
        <v>1.1029070000000001</v>
      </c>
      <c r="L1185">
        <v>141.35429999999999</v>
      </c>
      <c r="M1185">
        <v>-0.99993779999999999</v>
      </c>
      <c r="N1185">
        <v>0</v>
      </c>
      <c r="O1185">
        <v>1.6072720000000001E-3</v>
      </c>
      <c r="P1185">
        <v>-0.99415500000000001</v>
      </c>
      <c r="Q1185">
        <v>0.1064377</v>
      </c>
      <c r="R1185">
        <v>-1.808421E-2</v>
      </c>
      <c r="S1185">
        <v>-3.024689</v>
      </c>
      <c r="T1185">
        <v>-0.22483020000000001</v>
      </c>
      <c r="U1185">
        <v>-0.88723750000000001</v>
      </c>
      <c r="V1185">
        <v>-1.9375239999999998E-2</v>
      </c>
      <c r="W1185">
        <v>0.1174573</v>
      </c>
      <c r="X1185">
        <v>0.99288889999999996</v>
      </c>
      <c r="Y1185">
        <v>-0.28229300000000002</v>
      </c>
      <c r="Z1185">
        <v>-1.0378750000000001E-2</v>
      </c>
      <c r="AA1185">
        <v>0.95927209999999996</v>
      </c>
      <c r="AB1185">
        <v>30</v>
      </c>
      <c r="AC1185">
        <v>-14.5411999999999</v>
      </c>
      <c r="AD1185">
        <v>-1.102910792052</v>
      </c>
      <c r="AE1185">
        <v>-4.3537999999999997</v>
      </c>
      <c r="AF1185">
        <v>-4.3541794876878797</v>
      </c>
      <c r="AG1185">
        <v>-1.102910792052</v>
      </c>
      <c r="AH1185">
        <v>14.457852534933901</v>
      </c>
      <c r="AI1185">
        <v>94.177688582180593</v>
      </c>
      <c r="AJ1185">
        <v>106.760391258468</v>
      </c>
      <c r="AK1185">
        <v>15.139510928300201</v>
      </c>
      <c r="AL1185">
        <v>83.254621205970395</v>
      </c>
      <c r="AM1185">
        <v>91.117928301337102</v>
      </c>
      <c r="AN1185">
        <v>0.99999999249577798</v>
      </c>
    </row>
    <row r="1186" spans="1:40" x14ac:dyDescent="0.3">
      <c r="A1186" t="str">
        <f>"20200111150336735"</f>
        <v>20200111150336735</v>
      </c>
      <c r="B1186" t="str">
        <f>"1578726216729549"</f>
        <v>1578726216729549</v>
      </c>
      <c r="C1186" t="s">
        <v>40</v>
      </c>
      <c r="D1186">
        <v>5.59335</v>
      </c>
      <c r="E1186">
        <v>0.39707100000000001</v>
      </c>
      <c r="F1186" t="s">
        <v>68</v>
      </c>
      <c r="G1186">
        <v>-282.3981</v>
      </c>
      <c r="H1186" s="1">
        <v>-3.756362E-6</v>
      </c>
      <c r="I1186">
        <v>137.1798</v>
      </c>
      <c r="J1186">
        <v>-268.40170000000001</v>
      </c>
      <c r="K1186">
        <v>1.102919</v>
      </c>
      <c r="L1186">
        <v>141.3563</v>
      </c>
      <c r="M1186">
        <v>-0.99993469999999995</v>
      </c>
      <c r="N1186">
        <v>0</v>
      </c>
      <c r="O1186">
        <v>2.9502259999999998E-3</v>
      </c>
      <c r="P1186">
        <v>-0.99418019999999996</v>
      </c>
      <c r="Q1186">
        <v>0.106341</v>
      </c>
      <c r="R1186">
        <v>-1.7246480000000002E-2</v>
      </c>
      <c r="S1186">
        <v>-3.0265200000000001</v>
      </c>
      <c r="T1186">
        <v>-0.23330500000000001</v>
      </c>
      <c r="U1186">
        <v>-0.88307190000000002</v>
      </c>
      <c r="V1186">
        <v>-1.987684E-2</v>
      </c>
      <c r="W1186">
        <v>0.117363</v>
      </c>
      <c r="X1186">
        <v>0.9928901</v>
      </c>
      <c r="Y1186">
        <v>-0.28214990000000001</v>
      </c>
      <c r="Z1186">
        <v>-1.086059E-2</v>
      </c>
      <c r="AA1186">
        <v>0.95930890000000002</v>
      </c>
      <c r="AB1186">
        <v>30</v>
      </c>
      <c r="AC1186">
        <v>-13.9963999999999</v>
      </c>
      <c r="AD1186">
        <v>-1.1029227563620001</v>
      </c>
      <c r="AE1186">
        <v>-4.1764999999999999</v>
      </c>
      <c r="AF1186">
        <v>-4.1938642457304702</v>
      </c>
      <c r="AG1186">
        <v>-1.1029227563620001</v>
      </c>
      <c r="AH1186">
        <v>13.904734493626799</v>
      </c>
      <c r="AI1186">
        <v>94.342757990314595</v>
      </c>
      <c r="AJ1186">
        <v>106.784052562227</v>
      </c>
      <c r="AK1186">
        <v>14.565252392470599</v>
      </c>
      <c r="AL1186">
        <v>83.260061585027501</v>
      </c>
      <c r="AM1186">
        <v>91.146861006530202</v>
      </c>
      <c r="AN1186">
        <v>0.99999995660769603</v>
      </c>
    </row>
    <row r="1187" spans="1:40" x14ac:dyDescent="0.3">
      <c r="A1187" t="str">
        <f>"20200111150336758"</f>
        <v>20200111150336758</v>
      </c>
      <c r="B1187" t="str">
        <f>"1578726216749069"</f>
        <v>1578726216749069</v>
      </c>
      <c r="C1187" t="s">
        <v>40</v>
      </c>
      <c r="D1187">
        <v>5.6926519999999998</v>
      </c>
      <c r="E1187">
        <v>0.39552179999999998</v>
      </c>
      <c r="F1187" t="s">
        <v>68</v>
      </c>
      <c r="G1187">
        <v>-282.41699999999997</v>
      </c>
      <c r="H1187" s="1">
        <v>-3.8041690000000001E-6</v>
      </c>
      <c r="I1187">
        <v>137.28360000000001</v>
      </c>
      <c r="J1187">
        <v>-268.71019999999999</v>
      </c>
      <c r="K1187">
        <v>1.1029359999999999</v>
      </c>
      <c r="L1187">
        <v>141.3586</v>
      </c>
      <c r="M1187">
        <v>-0.99992999999999999</v>
      </c>
      <c r="N1187">
        <v>0</v>
      </c>
      <c r="O1187">
        <v>4.2654750000000003E-3</v>
      </c>
      <c r="P1187">
        <v>-0.9941432</v>
      </c>
      <c r="Q1187">
        <v>0.1068195</v>
      </c>
      <c r="R1187">
        <v>-1.6406980000000002E-2</v>
      </c>
      <c r="S1187">
        <v>-3.027771</v>
      </c>
      <c r="T1187">
        <v>-0.23826700000000001</v>
      </c>
      <c r="U1187">
        <v>-0.87983699999999998</v>
      </c>
      <c r="V1187">
        <v>-2.034675E-2</v>
      </c>
      <c r="W1187">
        <v>0.11784269999999999</v>
      </c>
      <c r="X1187">
        <v>0.99282380000000003</v>
      </c>
      <c r="Y1187">
        <v>-0.28232259999999998</v>
      </c>
      <c r="Z1187">
        <v>-1.1196080000000001E-2</v>
      </c>
      <c r="AA1187">
        <v>0.95925419999999995</v>
      </c>
      <c r="AB1187">
        <v>30</v>
      </c>
      <c r="AC1187">
        <v>-13.706799999999999</v>
      </c>
      <c r="AD1187">
        <v>-1.1029398041689999</v>
      </c>
      <c r="AE1187">
        <v>-4.0749999999999797</v>
      </c>
      <c r="AF1187">
        <v>-4.1089878711600401</v>
      </c>
      <c r="AG1187">
        <v>-1.1029398041689999</v>
      </c>
      <c r="AH1187">
        <v>13.608335579057099</v>
      </c>
      <c r="AI1187">
        <v>94.436634714293007</v>
      </c>
      <c r="AJ1187">
        <v>106.801501477249</v>
      </c>
      <c r="AK1187">
        <v>14.2578769376507</v>
      </c>
      <c r="AL1187">
        <v>83.232385001524804</v>
      </c>
      <c r="AM1187">
        <v>91.174044915776605</v>
      </c>
      <c r="AN1187">
        <v>0.99999999501264603</v>
      </c>
    </row>
    <row r="1188" spans="1:40" x14ac:dyDescent="0.3">
      <c r="A1188" t="str">
        <f>"20200111150336780"</f>
        <v>20200111150336780</v>
      </c>
      <c r="B1188" t="str">
        <f>"1578726216769565"</f>
        <v>1578726216769565</v>
      </c>
      <c r="C1188" t="s">
        <v>40</v>
      </c>
      <c r="D1188">
        <v>5.6504899999999996</v>
      </c>
      <c r="E1188">
        <v>0.39565319999999998</v>
      </c>
      <c r="F1188" t="s">
        <v>68</v>
      </c>
      <c r="G1188">
        <v>-283.4579</v>
      </c>
      <c r="H1188" s="1">
        <v>-4.1687179999999996E-6</v>
      </c>
      <c r="I1188">
        <v>137.02780000000001</v>
      </c>
      <c r="J1188">
        <v>-268.9973</v>
      </c>
      <c r="K1188">
        <v>1.1029500000000001</v>
      </c>
      <c r="L1188">
        <v>141.3612</v>
      </c>
      <c r="M1188">
        <v>-0.99992420000000004</v>
      </c>
      <c r="N1188">
        <v>0</v>
      </c>
      <c r="O1188">
        <v>5.4738699999999996E-3</v>
      </c>
      <c r="P1188">
        <v>-0.99407420000000002</v>
      </c>
      <c r="Q1188">
        <v>0.10764120000000001</v>
      </c>
      <c r="R1188">
        <v>-1.517583E-2</v>
      </c>
      <c r="S1188">
        <v>-3.0273439999999998</v>
      </c>
      <c r="T1188">
        <v>-0.22640660000000001</v>
      </c>
      <c r="U1188">
        <v>-0.88900759999999901</v>
      </c>
      <c r="V1188">
        <v>-2.0317289999999998E-2</v>
      </c>
      <c r="W1188">
        <v>0.1186642</v>
      </c>
      <c r="X1188">
        <v>0.99272660000000001</v>
      </c>
      <c r="Y1188">
        <v>-0.28625929999999999</v>
      </c>
      <c r="Z1188">
        <v>-1.086969E-2</v>
      </c>
      <c r="AA1188">
        <v>0.95809049999999996</v>
      </c>
      <c r="AB1188">
        <v>30</v>
      </c>
      <c r="AC1188">
        <v>-14.460599999999999</v>
      </c>
      <c r="AD1188">
        <v>-1.102954168718</v>
      </c>
      <c r="AE1188">
        <v>-4.3333999999999797</v>
      </c>
      <c r="AF1188">
        <v>-4.3890656214566102</v>
      </c>
      <c r="AG1188">
        <v>-1.102954168718</v>
      </c>
      <c r="AH1188">
        <v>14.3600048479941</v>
      </c>
      <c r="AI1188">
        <v>94.201002872197293</v>
      </c>
      <c r="AJ1188">
        <v>106.99551742772201</v>
      </c>
      <c r="AK1188">
        <v>15.056232734723499</v>
      </c>
      <c r="AL1188">
        <v>83.184984256691706</v>
      </c>
      <c r="AM1188">
        <v>91.172460249160295</v>
      </c>
      <c r="AN1188">
        <v>1.0000000434910701</v>
      </c>
    </row>
    <row r="1189" spans="1:40" x14ac:dyDescent="0.3">
      <c r="A1189" t="str">
        <f>"20200111150336801"</f>
        <v>20200111150336801</v>
      </c>
      <c r="B1189" t="str">
        <f>"1578726216799821"</f>
        <v>1578726216799821</v>
      </c>
      <c r="C1189" t="s">
        <v>40</v>
      </c>
      <c r="D1189">
        <v>5.1744279999999998</v>
      </c>
      <c r="E1189">
        <v>0.39514490000000002</v>
      </c>
      <c r="F1189" t="s">
        <v>68</v>
      </c>
      <c r="G1189">
        <v>-283.5317</v>
      </c>
      <c r="H1189" s="1">
        <v>-4.236015E-6</v>
      </c>
      <c r="I1189">
        <v>137.119</v>
      </c>
      <c r="J1189">
        <v>-269.28660000000002</v>
      </c>
      <c r="K1189">
        <v>1.102965</v>
      </c>
      <c r="L1189">
        <v>141.364</v>
      </c>
      <c r="M1189">
        <v>-0.99991669999999999</v>
      </c>
      <c r="N1189">
        <v>0</v>
      </c>
      <c r="O1189">
        <v>6.6786359999999999E-3</v>
      </c>
      <c r="P1189">
        <v>-0.99402250000000003</v>
      </c>
      <c r="Q1189">
        <v>0.1083641</v>
      </c>
      <c r="R1189">
        <v>-1.329139E-2</v>
      </c>
      <c r="S1189">
        <v>-3.0292659999999998</v>
      </c>
      <c r="T1189">
        <v>-0.22987759999999999</v>
      </c>
      <c r="U1189">
        <v>-0.88415529999999998</v>
      </c>
      <c r="V1189">
        <v>-1.9631079999999999E-2</v>
      </c>
      <c r="W1189">
        <v>0.1193853</v>
      </c>
      <c r="X1189">
        <v>0.99265389999999998</v>
      </c>
      <c r="Y1189">
        <v>-0.28581069999999997</v>
      </c>
      <c r="Z1189">
        <v>-1.110443E-2</v>
      </c>
      <c r="AA1189">
        <v>0.95822169999999895</v>
      </c>
      <c r="AB1189">
        <v>30</v>
      </c>
      <c r="AC1189">
        <v>-14.2450999999999</v>
      </c>
      <c r="AD1189">
        <v>-1.1029692360150001</v>
      </c>
      <c r="AE1189">
        <v>-4.2450000000000001</v>
      </c>
      <c r="AF1189">
        <v>-4.3162829253691903</v>
      </c>
      <c r="AG1189">
        <v>-1.1029692360150001</v>
      </c>
      <c r="AH1189">
        <v>14.1385808071408</v>
      </c>
      <c r="AI1189">
        <v>94.267040577548698</v>
      </c>
      <c r="AJ1189">
        <v>106.97659339819501</v>
      </c>
      <c r="AK1189">
        <v>14.823842506836099</v>
      </c>
      <c r="AL1189">
        <v>83.143372145576393</v>
      </c>
      <c r="AM1189">
        <v>91.132954225515107</v>
      </c>
      <c r="AN1189">
        <v>0.99999999717163301</v>
      </c>
    </row>
    <row r="1190" spans="1:40" x14ac:dyDescent="0.3">
      <c r="A1190" t="str">
        <f>"20200111150336825"</f>
        <v>20200111150336825</v>
      </c>
      <c r="B1190" t="str">
        <f>"1578726216819341"</f>
        <v>1578726216819341</v>
      </c>
      <c r="C1190" t="s">
        <v>40</v>
      </c>
      <c r="D1190">
        <v>6.0529769999999896</v>
      </c>
      <c r="E1190">
        <v>0.39711000000000002</v>
      </c>
      <c r="F1190" t="s">
        <v>68</v>
      </c>
      <c r="G1190">
        <v>-284.0068</v>
      </c>
      <c r="H1190" s="1">
        <v>-4.4298950000000002E-6</v>
      </c>
      <c r="I1190">
        <v>137.07470000000001</v>
      </c>
      <c r="J1190">
        <v>-269.5881</v>
      </c>
      <c r="K1190">
        <v>1.1029719999999901</v>
      </c>
      <c r="L1190">
        <v>141.3674</v>
      </c>
      <c r="M1190">
        <v>-0.99990760000000001</v>
      </c>
      <c r="N1190">
        <v>0</v>
      </c>
      <c r="O1190">
        <v>7.9217869999999996E-3</v>
      </c>
      <c r="P1190">
        <v>-0.99403929999999996</v>
      </c>
      <c r="Q1190">
        <v>0.1084373</v>
      </c>
      <c r="R1190">
        <v>-1.127775E-2</v>
      </c>
      <c r="S1190">
        <v>-3.0310060000000001</v>
      </c>
      <c r="T1190">
        <v>-0.22710910000000001</v>
      </c>
      <c r="U1190">
        <v>-0.88320919999999903</v>
      </c>
      <c r="V1190">
        <v>-1.8855589999999998E-2</v>
      </c>
      <c r="W1190">
        <v>0.1194582</v>
      </c>
      <c r="X1190">
        <v>0.99266019999999999</v>
      </c>
      <c r="Y1190">
        <v>-0.28659220000000002</v>
      </c>
      <c r="Z1190">
        <v>-1.1085309999999999E-2</v>
      </c>
      <c r="AA1190">
        <v>0.95798859999999997</v>
      </c>
      <c r="AB1190">
        <v>30</v>
      </c>
      <c r="AC1190">
        <v>-14.418699999999999</v>
      </c>
      <c r="AD1190">
        <v>-1.10297642989499</v>
      </c>
      <c r="AE1190">
        <v>-4.2926999999999902</v>
      </c>
      <c r="AF1190">
        <v>-4.3832332084845103</v>
      </c>
      <c r="AG1190">
        <v>-1.10297642989499</v>
      </c>
      <c r="AH1190">
        <v>14.3073342659241</v>
      </c>
      <c r="AI1190">
        <v>94.215654024812196</v>
      </c>
      <c r="AJ1190">
        <v>107.033109424553</v>
      </c>
      <c r="AK1190">
        <v>15.0043028549063</v>
      </c>
      <c r="AL1190">
        <v>83.139165428665393</v>
      </c>
      <c r="AM1190">
        <v>91.088203014515997</v>
      </c>
      <c r="AN1190">
        <v>1.0000000337427599</v>
      </c>
    </row>
    <row r="1191" spans="1:40" x14ac:dyDescent="0.3">
      <c r="A1191" t="str">
        <f>"20200111150336846"</f>
        <v>20200111150336846</v>
      </c>
      <c r="B1191" t="str">
        <f>"1578726216839837"</f>
        <v>1578726216839837</v>
      </c>
      <c r="C1191" t="s">
        <v>40</v>
      </c>
      <c r="D1191">
        <v>5.45594</v>
      </c>
      <c r="E1191">
        <v>0.4689757</v>
      </c>
      <c r="F1191" t="s">
        <v>65</v>
      </c>
      <c r="G1191">
        <v>-345.36520000000002</v>
      </c>
      <c r="H1191">
        <v>3.502135</v>
      </c>
      <c r="I1191">
        <v>119.7009</v>
      </c>
      <c r="J1191">
        <v>-269.89030000000002</v>
      </c>
      <c r="K1191">
        <v>1.1029789999999999</v>
      </c>
      <c r="L1191">
        <v>141.37110000000001</v>
      </c>
      <c r="M1191">
        <v>-0.99989700000000004</v>
      </c>
      <c r="N1191">
        <v>0</v>
      </c>
      <c r="O1191">
        <v>9.1569670000000002E-3</v>
      </c>
      <c r="P1191">
        <v>-0.99408799999999997</v>
      </c>
      <c r="Q1191">
        <v>0.108135</v>
      </c>
      <c r="R1191">
        <v>-9.7981470000000001E-3</v>
      </c>
      <c r="S1191">
        <v>-2.997925</v>
      </c>
      <c r="T1191">
        <v>9.4917180000000004E-2</v>
      </c>
      <c r="U1191">
        <v>-0.85717770000000004</v>
      </c>
      <c r="V1191">
        <v>-1.8607769999999999E-2</v>
      </c>
      <c r="W1191">
        <v>0.1191575</v>
      </c>
      <c r="X1191">
        <v>0.99270099999999994</v>
      </c>
      <c r="Y1191">
        <v>-0.28356479999999901</v>
      </c>
      <c r="Z1191">
        <v>4.6840129999999999E-3</v>
      </c>
      <c r="AA1191">
        <v>0.95894159999999995</v>
      </c>
      <c r="AB1191">
        <v>30</v>
      </c>
      <c r="AC1191">
        <v>-75.474899999999906</v>
      </c>
      <c r="AD1191">
        <v>2.3991560000000001</v>
      </c>
      <c r="AE1191">
        <v>-21.670200000000001</v>
      </c>
      <c r="AF1191">
        <v>-22.339600946017899</v>
      </c>
      <c r="AG1191">
        <v>2.3991560000000001</v>
      </c>
      <c r="AH1191">
        <v>75.203088553003894</v>
      </c>
      <c r="AI1191">
        <v>88.248350536868301</v>
      </c>
      <c r="AJ1191">
        <v>106.544418547201</v>
      </c>
      <c r="AK1191">
        <v>78.487694881749505</v>
      </c>
      <c r="AL1191">
        <v>83.156518100568803</v>
      </c>
      <c r="AM1191">
        <v>91.073859950311103</v>
      </c>
      <c r="AN1191">
        <v>1.0000000171558101</v>
      </c>
    </row>
    <row r="1192" spans="1:40" x14ac:dyDescent="0.3">
      <c r="A1192" t="str">
        <f>"20200111150336869"</f>
        <v>20200111150336869</v>
      </c>
      <c r="B1192" t="str">
        <f>"1578726216859357"</f>
        <v>1578726216859357</v>
      </c>
      <c r="C1192" t="s">
        <v>40</v>
      </c>
      <c r="D1192">
        <v>5.6283919999999998</v>
      </c>
      <c r="E1192">
        <v>0.49015710000000001</v>
      </c>
      <c r="F1192" t="s">
        <v>68</v>
      </c>
      <c r="G1192">
        <v>-296.7045</v>
      </c>
      <c r="H1192" s="1">
        <v>-8.0766339999999996E-6</v>
      </c>
      <c r="I1192">
        <v>138.8742</v>
      </c>
      <c r="J1192">
        <v>-270.19409999999999</v>
      </c>
      <c r="K1192">
        <v>1.102983</v>
      </c>
      <c r="L1192">
        <v>141.37520000000001</v>
      </c>
      <c r="M1192">
        <v>-0.99988500000000002</v>
      </c>
      <c r="N1192">
        <v>0</v>
      </c>
      <c r="O1192">
        <v>1.039091E-2</v>
      </c>
      <c r="P1192">
        <v>-0.99412540000000005</v>
      </c>
      <c r="Q1192">
        <v>0.1079024</v>
      </c>
      <c r="R1192">
        <v>-8.4778219999999994E-3</v>
      </c>
      <c r="S1192">
        <v>-3.0286559999999998</v>
      </c>
      <c r="T1192">
        <v>-0.1245819</v>
      </c>
      <c r="U1192">
        <v>-0.28202820000000001</v>
      </c>
      <c r="V1192">
        <v>-1.8516919999999999E-2</v>
      </c>
      <c r="W1192">
        <v>0.1189265</v>
      </c>
      <c r="X1192">
        <v>0.99273040000000001</v>
      </c>
      <c r="Y1192">
        <v>-0.1029655</v>
      </c>
      <c r="Z1192">
        <v>-2.5386470000000002E-3</v>
      </c>
      <c r="AA1192">
        <v>0.9946817</v>
      </c>
      <c r="AB1192">
        <v>30</v>
      </c>
      <c r="AC1192">
        <v>-26.510400000000001</v>
      </c>
      <c r="AD1192">
        <v>-1.1029910766339901</v>
      </c>
      <c r="AE1192">
        <v>-2.5009999999999999</v>
      </c>
      <c r="AF1192">
        <v>-2.7715934868305201</v>
      </c>
      <c r="AG1192">
        <v>-1.1029910766339901</v>
      </c>
      <c r="AH1192">
        <v>26.437618047034899</v>
      </c>
      <c r="AI1192">
        <v>92.376018040080396</v>
      </c>
      <c r="AJ1192">
        <v>95.984754507664206</v>
      </c>
      <c r="AK1192">
        <v>26.605374791050799</v>
      </c>
      <c r="AL1192">
        <v>83.169848218090706</v>
      </c>
      <c r="AM1192">
        <v>91.068586548410494</v>
      </c>
      <c r="AN1192">
        <v>1.00000001790634</v>
      </c>
    </row>
    <row r="1193" spans="1:40" x14ac:dyDescent="0.3">
      <c r="A1193" t="str">
        <f>"20200111150336891"</f>
        <v>20200111150336891</v>
      </c>
      <c r="B1193" t="str">
        <f>"1578726216889615"</f>
        <v>1578726216889615</v>
      </c>
      <c r="C1193" t="s">
        <v>40</v>
      </c>
      <c r="D1193">
        <v>5.1810159999999996</v>
      </c>
      <c r="E1193">
        <v>0.49340240000000002</v>
      </c>
      <c r="F1193" t="s">
        <v>68</v>
      </c>
      <c r="G1193">
        <v>-303.75940000000003</v>
      </c>
      <c r="H1193" s="1">
        <v>-8.7607400000000001E-6</v>
      </c>
      <c r="I1193">
        <v>140.16899999999899</v>
      </c>
      <c r="J1193">
        <v>-270.49239999999998</v>
      </c>
      <c r="K1193">
        <v>1.102989</v>
      </c>
      <c r="L1193">
        <v>141.37960000000001</v>
      </c>
      <c r="M1193">
        <v>-0.99987179999999998</v>
      </c>
      <c r="N1193">
        <v>0</v>
      </c>
      <c r="O1193">
        <v>1.1596270000000001E-2</v>
      </c>
      <c r="P1193">
        <v>-0.99406459999999996</v>
      </c>
      <c r="Q1193">
        <v>0.1085144</v>
      </c>
      <c r="R1193">
        <v>-7.7861199999999997E-3</v>
      </c>
      <c r="S1193">
        <v>-3.0275880000000002</v>
      </c>
      <c r="T1193">
        <v>-9.9489809999999998E-2</v>
      </c>
      <c r="U1193">
        <v>-0.10879519999999999</v>
      </c>
      <c r="V1193">
        <v>-1.902249E-2</v>
      </c>
      <c r="W1193">
        <v>0.1195401</v>
      </c>
      <c r="X1193">
        <v>0.9926471</v>
      </c>
      <c r="Y1193">
        <v>-4.7466649999999999E-2</v>
      </c>
      <c r="Z1193">
        <v>-1.160318E-3</v>
      </c>
      <c r="AA1193">
        <v>0.99887219999999999</v>
      </c>
      <c r="AB1193">
        <v>30</v>
      </c>
      <c r="AC1193">
        <v>-33.267000000000003</v>
      </c>
      <c r="AD1193">
        <v>-1.1029977607400001</v>
      </c>
      <c r="AE1193">
        <v>-1.2106000000000201</v>
      </c>
      <c r="AF1193">
        <v>-1.5945646117513601</v>
      </c>
      <c r="AG1193">
        <v>-1.1029977607400001</v>
      </c>
      <c r="AH1193">
        <v>33.214258957058298</v>
      </c>
      <c r="AI1193">
        <v>91.899824936105404</v>
      </c>
      <c r="AJ1193">
        <v>92.748570392445501</v>
      </c>
      <c r="AK1193">
        <v>33.270801589799099</v>
      </c>
      <c r="AL1193">
        <v>83.134438651255493</v>
      </c>
      <c r="AM1193">
        <v>91.097847366338002</v>
      </c>
      <c r="AN1193">
        <v>0.99999997788610895</v>
      </c>
    </row>
    <row r="1194" spans="1:40" x14ac:dyDescent="0.3">
      <c r="A1194" t="str">
        <f>"20200111150336914"</f>
        <v>20200111150336914</v>
      </c>
      <c r="B1194" t="str">
        <f>"1578726216909134"</f>
        <v>1578726216909134</v>
      </c>
      <c r="C1194" t="s">
        <v>40</v>
      </c>
      <c r="D1194">
        <v>5.5395000000000003</v>
      </c>
      <c r="E1194">
        <v>0.49688749999999998</v>
      </c>
      <c r="F1194" t="s">
        <v>41</v>
      </c>
      <c r="G1194">
        <v>-320.85129999999998</v>
      </c>
      <c r="H1194" s="1">
        <v>-4.0199189999999997E-6</v>
      </c>
      <c r="I1194">
        <v>140.04060000000001</v>
      </c>
      <c r="J1194">
        <v>-270.78930000000003</v>
      </c>
      <c r="K1194">
        <v>1.102992</v>
      </c>
      <c r="L1194">
        <v>141.3843</v>
      </c>
      <c r="M1194">
        <v>-0.9998572</v>
      </c>
      <c r="N1194">
        <v>0</v>
      </c>
      <c r="O1194">
        <v>1.279186E-2</v>
      </c>
      <c r="P1194">
        <v>-0.9940928</v>
      </c>
      <c r="Q1194">
        <v>0.1083055</v>
      </c>
      <c r="R1194">
        <v>-7.0685399999999999E-3</v>
      </c>
      <c r="S1194">
        <v>-3.0244749999999998</v>
      </c>
      <c r="T1194">
        <v>-6.6244010000000006E-2</v>
      </c>
      <c r="U1194">
        <v>-8.0413819999999997E-2</v>
      </c>
      <c r="V1194">
        <v>-1.9494890000000001E-2</v>
      </c>
      <c r="W1194">
        <v>0.1193346</v>
      </c>
      <c r="X1194">
        <v>0.99266270000000001</v>
      </c>
      <c r="Y1194">
        <v>-3.935176E-2</v>
      </c>
      <c r="Z1194">
        <v>-7.10942E-4</v>
      </c>
      <c r="AA1194">
        <v>0.99922509999999998</v>
      </c>
      <c r="AB1194">
        <v>30</v>
      </c>
      <c r="AC1194">
        <v>-50.061999999999898</v>
      </c>
      <c r="AD1194">
        <v>-1.1029960199190001</v>
      </c>
      <c r="AE1194">
        <v>-1.3436999999999799</v>
      </c>
      <c r="AF1194">
        <v>-1.9830532405648</v>
      </c>
      <c r="AG1194">
        <v>-1.1029960199190001</v>
      </c>
      <c r="AH1194">
        <v>50.016451717589199</v>
      </c>
      <c r="AI1194">
        <v>91.262328368825806</v>
      </c>
      <c r="AJ1194">
        <v>92.270474964718403</v>
      </c>
      <c r="AK1194">
        <v>50.067899324745099</v>
      </c>
      <c r="AL1194">
        <v>83.146298092807399</v>
      </c>
      <c r="AM1194">
        <v>91.125086447132304</v>
      </c>
      <c r="AN1194">
        <v>1.00000001673228</v>
      </c>
    </row>
    <row r="1195" spans="1:40" x14ac:dyDescent="0.3">
      <c r="A1195" t="str">
        <f>"20200111150336936"</f>
        <v>20200111150336936</v>
      </c>
      <c r="B1195" t="str">
        <f>"1578726216929630"</f>
        <v>1578726216929630</v>
      </c>
      <c r="C1195" t="s">
        <v>40</v>
      </c>
      <c r="D1195">
        <v>5.237082</v>
      </c>
      <c r="E1195">
        <v>0.49706060000000002</v>
      </c>
      <c r="F1195" t="s">
        <v>68</v>
      </c>
      <c r="G1195">
        <v>-299.79939999999999</v>
      </c>
      <c r="H1195" s="1">
        <v>-8.4015450000000006E-6</v>
      </c>
      <c r="I1195">
        <v>140.89519999999999</v>
      </c>
      <c r="J1195">
        <v>-271.09730000000002</v>
      </c>
      <c r="K1195">
        <v>1.1029929999999999</v>
      </c>
      <c r="L1195">
        <v>141.3896</v>
      </c>
      <c r="M1195">
        <v>-0.99984059999999997</v>
      </c>
      <c r="N1195">
        <v>0</v>
      </c>
      <c r="O1195">
        <v>1.403044E-2</v>
      </c>
      <c r="P1195">
        <v>-0.9941624</v>
      </c>
      <c r="Q1195">
        <v>0.10769339999999999</v>
      </c>
      <c r="R1195">
        <v>-6.6172469999999997E-3</v>
      </c>
      <c r="S1195">
        <v>-3.0300289999999999</v>
      </c>
      <c r="T1195">
        <v>-0.1152054</v>
      </c>
      <c r="U1195">
        <v>-5.1086430000000002E-2</v>
      </c>
      <c r="V1195">
        <v>-2.027785E-2</v>
      </c>
      <c r="W1195">
        <v>0.1187262</v>
      </c>
      <c r="X1195">
        <v>0.99271989999999999</v>
      </c>
      <c r="Y1195">
        <v>-3.0852870000000001E-2</v>
      </c>
      <c r="Z1195">
        <v>-1.119538E-3</v>
      </c>
      <c r="AA1195">
        <v>0.9995233</v>
      </c>
      <c r="AB1195">
        <v>30</v>
      </c>
      <c r="AC1195">
        <v>-28.702099999999898</v>
      </c>
      <c r="AD1195">
        <v>-1.103001401545</v>
      </c>
      <c r="AE1195">
        <v>-0.494400000000013</v>
      </c>
      <c r="AF1195">
        <v>-0.895756502515482</v>
      </c>
      <c r="AG1195">
        <v>-1.103001401545</v>
      </c>
      <c r="AH1195">
        <v>28.650039263580201</v>
      </c>
      <c r="AI1195">
        <v>92.203672694041998</v>
      </c>
      <c r="AJ1195">
        <v>91.7907952285493</v>
      </c>
      <c r="AK1195">
        <v>28.6852530337157</v>
      </c>
      <c r="AL1195">
        <v>83.181405992372405</v>
      </c>
      <c r="AM1195">
        <v>91.170192793912307</v>
      </c>
      <c r="AN1195">
        <v>0.99999995081153503</v>
      </c>
    </row>
    <row r="1196" spans="1:40" x14ac:dyDescent="0.3">
      <c r="A1196" t="str">
        <f>"20200111150336958"</f>
        <v>20200111150336958</v>
      </c>
      <c r="B1196" t="str">
        <f>"1578726216949153"</f>
        <v>1578726216949153</v>
      </c>
      <c r="C1196" t="s">
        <v>40</v>
      </c>
      <c r="D1196">
        <v>7.7858899999999904</v>
      </c>
      <c r="E1196">
        <v>0.49854500000000002</v>
      </c>
      <c r="F1196" t="s">
        <v>68</v>
      </c>
      <c r="G1196">
        <v>-305.8331</v>
      </c>
      <c r="H1196" s="1">
        <v>-9.2576010000000003E-6</v>
      </c>
      <c r="I1196">
        <v>140.8382</v>
      </c>
      <c r="J1196">
        <v>-271.4024</v>
      </c>
      <c r="K1196">
        <v>1.102994</v>
      </c>
      <c r="L1196">
        <v>141.39519999999999</v>
      </c>
      <c r="M1196">
        <v>-0.99982249999999995</v>
      </c>
      <c r="N1196">
        <v>0</v>
      </c>
      <c r="O1196">
        <v>1.525604E-2</v>
      </c>
      <c r="P1196">
        <v>-0.99419780000000002</v>
      </c>
      <c r="Q1196">
        <v>0.1074203</v>
      </c>
      <c r="R1196">
        <v>-5.6366319999999999E-3</v>
      </c>
      <c r="S1196">
        <v>-3.0277400000000001</v>
      </c>
      <c r="T1196">
        <v>-9.6143010000000001E-2</v>
      </c>
      <c r="U1196">
        <v>-4.8065190000000001E-2</v>
      </c>
      <c r="V1196">
        <v>-2.0517090000000002E-2</v>
      </c>
      <c r="W1196">
        <v>0.1184564</v>
      </c>
      <c r="X1196">
        <v>0.99274720000000005</v>
      </c>
      <c r="Y1196">
        <v>-3.110278E-2</v>
      </c>
      <c r="Z1196">
        <v>-9.7798279999999991E-4</v>
      </c>
      <c r="AA1196">
        <v>0.99951570000000001</v>
      </c>
      <c r="AB1196">
        <v>30</v>
      </c>
      <c r="AC1196">
        <v>-34.430700000000002</v>
      </c>
      <c r="AD1196">
        <v>-1.103003257601</v>
      </c>
      <c r="AE1196">
        <v>-0.55699999999998795</v>
      </c>
      <c r="AF1196">
        <v>-1.08113416188371</v>
      </c>
      <c r="AG1196">
        <v>-1.103003257601</v>
      </c>
      <c r="AH1196">
        <v>34.382917381708502</v>
      </c>
      <c r="AI1196">
        <v>91.836510197442294</v>
      </c>
      <c r="AJ1196">
        <v>91.801011261737003</v>
      </c>
      <c r="AK1196">
        <v>34.417589615480999</v>
      </c>
      <c r="AL1196">
        <v>83.196974158845407</v>
      </c>
      <c r="AM1196">
        <v>91.183962382561106</v>
      </c>
      <c r="AN1196">
        <v>0.99999993639543205</v>
      </c>
    </row>
    <row r="1197" spans="1:40" x14ac:dyDescent="0.3">
      <c r="A1197" t="str">
        <f>"20200111150336981"</f>
        <v>20200111150336981</v>
      </c>
      <c r="B1197" t="str">
        <f>"1578726216969646"</f>
        <v>1578726216969646</v>
      </c>
      <c r="C1197" t="s">
        <v>40</v>
      </c>
      <c r="D1197">
        <v>5.476553</v>
      </c>
      <c r="E1197">
        <v>0.49929879999999999</v>
      </c>
      <c r="F1197" t="s">
        <v>68</v>
      </c>
      <c r="G1197">
        <v>-300.49799999999999</v>
      </c>
      <c r="H1197" s="1">
        <v>-8.5304199999999901E-6</v>
      </c>
      <c r="I1197">
        <v>141.07329999999999</v>
      </c>
      <c r="J1197">
        <v>-271.69920000000002</v>
      </c>
      <c r="K1197">
        <v>1.102994</v>
      </c>
      <c r="L1197">
        <v>141.40100000000001</v>
      </c>
      <c r="M1197">
        <v>-0.99980369999999996</v>
      </c>
      <c r="N1197">
        <v>0</v>
      </c>
      <c r="O1197">
        <v>1.644779E-2</v>
      </c>
      <c r="P1197">
        <v>-0.99424109999999999</v>
      </c>
      <c r="Q1197">
        <v>0.10707220000000001</v>
      </c>
      <c r="R1197">
        <v>-4.4977929999999999E-3</v>
      </c>
      <c r="S1197">
        <v>-3.0297550000000002</v>
      </c>
      <c r="T1197">
        <v>-0.1148568</v>
      </c>
      <c r="U1197">
        <v>-3.3523560000000001E-2</v>
      </c>
      <c r="V1197">
        <v>-2.0564809999999999E-2</v>
      </c>
      <c r="W1197">
        <v>0.118110199999999</v>
      </c>
      <c r="X1197">
        <v>0.99278750000000004</v>
      </c>
      <c r="Y1197">
        <v>-2.7478840000000001E-2</v>
      </c>
      <c r="Z1197">
        <v>-1.1439709999999999E-3</v>
      </c>
      <c r="AA1197">
        <v>0.99962169999999895</v>
      </c>
      <c r="AB1197">
        <v>30</v>
      </c>
      <c r="AC1197">
        <v>-28.7987999999999</v>
      </c>
      <c r="AD1197">
        <v>-1.10300253042</v>
      </c>
      <c r="AE1197">
        <v>-0.32770000000002097</v>
      </c>
      <c r="AF1197">
        <v>-0.80018753116252594</v>
      </c>
      <c r="AG1197">
        <v>-1.10300253042</v>
      </c>
      <c r="AH1197">
        <v>28.747349135866099</v>
      </c>
      <c r="AI1197">
        <v>92.196445037562398</v>
      </c>
      <c r="AJ1197">
        <v>91.594426423031507</v>
      </c>
      <c r="AK1197">
        <v>28.779628159629201</v>
      </c>
      <c r="AL1197">
        <v>83.216950459254704</v>
      </c>
      <c r="AM1197">
        <v>91.186667175428497</v>
      </c>
      <c r="AN1197">
        <v>0.99999997545531205</v>
      </c>
    </row>
    <row r="1198" spans="1:40" x14ac:dyDescent="0.3">
      <c r="A1198" t="str">
        <f>"20200111150337003"</f>
        <v>20200111150337003</v>
      </c>
      <c r="B1198" t="str">
        <f>"1578726216999902"</f>
        <v>1578726216999902</v>
      </c>
      <c r="C1198" t="s">
        <v>40</v>
      </c>
      <c r="D1198">
        <v>5.1104560000000001</v>
      </c>
      <c r="E1198">
        <v>0.50007360000000001</v>
      </c>
      <c r="F1198" t="s">
        <v>68</v>
      </c>
      <c r="G1198">
        <v>-299.67129999999997</v>
      </c>
      <c r="H1198" s="1">
        <v>-8.4876770000000005E-6</v>
      </c>
      <c r="I1198">
        <v>141.17910000000001</v>
      </c>
      <c r="J1198">
        <v>-271.99369999999999</v>
      </c>
      <c r="K1198">
        <v>1.1029990000000001</v>
      </c>
      <c r="L1198">
        <v>141.40710000000001</v>
      </c>
      <c r="M1198">
        <v>-0.99978339999999999</v>
      </c>
      <c r="N1198">
        <v>0</v>
      </c>
      <c r="O1198">
        <v>1.762857E-2</v>
      </c>
      <c r="P1198">
        <v>-0.99427540000000003</v>
      </c>
      <c r="Q1198">
        <v>0.1067974</v>
      </c>
      <c r="R1198">
        <v>-3.3056359999999998E-3</v>
      </c>
      <c r="S1198">
        <v>-3.0301209999999998</v>
      </c>
      <c r="T1198">
        <v>-0.1194848</v>
      </c>
      <c r="U1198">
        <v>-2.403259E-2</v>
      </c>
      <c r="V1198">
        <v>-2.0548429999999999E-2</v>
      </c>
      <c r="W1198">
        <v>0.1178375</v>
      </c>
      <c r="X1198">
        <v>0.99282029999999999</v>
      </c>
      <c r="Y1198">
        <v>-2.5525320000000001E-2</v>
      </c>
      <c r="Z1198">
        <v>-1.197942E-3</v>
      </c>
      <c r="AA1198">
        <v>0.99967349999999999</v>
      </c>
      <c r="AB1198">
        <v>30</v>
      </c>
      <c r="AC1198">
        <v>-27.677599999999899</v>
      </c>
      <c r="AD1198">
        <v>-1.103007487677</v>
      </c>
      <c r="AE1198">
        <v>-0.228000000000008</v>
      </c>
      <c r="AF1198">
        <v>-0.71477581800416901</v>
      </c>
      <c r="AG1198">
        <v>-1.103007487677</v>
      </c>
      <c r="AH1198">
        <v>27.625407766719501</v>
      </c>
      <c r="AI1198">
        <v>92.285686193558803</v>
      </c>
      <c r="AJ1198">
        <v>91.482132057295601</v>
      </c>
      <c r="AK1198">
        <v>27.656657141914401</v>
      </c>
      <c r="AL1198">
        <v>83.232685276290596</v>
      </c>
      <c r="AM1198">
        <v>91.185683095781997</v>
      </c>
      <c r="AN1198">
        <v>1.0000000312369</v>
      </c>
    </row>
    <row r="1199" spans="1:40" x14ac:dyDescent="0.3">
      <c r="A1199" t="str">
        <f>"20200111150337036"</f>
        <v>20200111150337036</v>
      </c>
      <c r="B1199" t="str">
        <f>"1578726217029183"</f>
        <v>1578726217029183</v>
      </c>
      <c r="C1199" t="s">
        <v>40</v>
      </c>
      <c r="D1199">
        <v>5.1188880000000001</v>
      </c>
      <c r="E1199">
        <v>0.50000900000000004</v>
      </c>
      <c r="F1199" t="s">
        <v>68</v>
      </c>
      <c r="G1199">
        <v>-298.37020000000001</v>
      </c>
      <c r="H1199" s="1">
        <v>-8.6298350000000007E-6</v>
      </c>
      <c r="I1199">
        <v>141.28479999999999</v>
      </c>
      <c r="J1199">
        <v>-272.44869999999997</v>
      </c>
      <c r="K1199">
        <v>1.103008</v>
      </c>
      <c r="L1199">
        <v>141.41720000000001</v>
      </c>
      <c r="M1199">
        <v>-0.99975000000000003</v>
      </c>
      <c r="N1199">
        <v>0</v>
      </c>
      <c r="O1199">
        <v>1.9438939999999998E-2</v>
      </c>
      <c r="P1199">
        <v>-0.99424599999999996</v>
      </c>
      <c r="Q1199">
        <v>0.1071044</v>
      </c>
      <c r="R1199">
        <v>-1.9733839999999999E-3</v>
      </c>
      <c r="S1199">
        <v>-3.030853</v>
      </c>
      <c r="T1199">
        <v>-0.12674389999999999</v>
      </c>
      <c r="U1199">
        <v>-1.4053339999999999E-2</v>
      </c>
      <c r="V1199">
        <v>-2.1016340000000001E-2</v>
      </c>
      <c r="W1199">
        <v>0.11814719999999999</v>
      </c>
      <c r="X1199">
        <v>0.99277369999999998</v>
      </c>
      <c r="Y1199">
        <v>-2.4037759999999998E-2</v>
      </c>
      <c r="Z1199">
        <v>-1.314939E-3</v>
      </c>
      <c r="AA1199">
        <v>0.99971019999999999</v>
      </c>
      <c r="AB1199">
        <v>30</v>
      </c>
      <c r="AC1199">
        <v>-25.921500000000002</v>
      </c>
      <c r="AD1199">
        <v>-1.1030166298349999</v>
      </c>
      <c r="AE1199">
        <v>-0.132400000000018</v>
      </c>
      <c r="AF1199">
        <v>-0.63514220393959497</v>
      </c>
      <c r="AG1199">
        <v>-1.1030166298349999</v>
      </c>
      <c r="AH1199">
        <v>25.867191340173498</v>
      </c>
      <c r="AI1199">
        <v>92.440965709989001</v>
      </c>
      <c r="AJ1199">
        <v>91.406556146844906</v>
      </c>
      <c r="AK1199">
        <v>25.8984871977895</v>
      </c>
      <c r="AL1199">
        <v>83.214815962577504</v>
      </c>
      <c r="AM1199">
        <v>91.212731315931606</v>
      </c>
      <c r="AN1199">
        <v>1.0000000334132599</v>
      </c>
    </row>
    <row r="1200" spans="1:40" x14ac:dyDescent="0.3">
      <c r="A1200" t="str">
        <f>"20200111150337059"</f>
        <v>20200111150337059</v>
      </c>
      <c r="B1200" t="str">
        <f>"1578726217049677"</f>
        <v>1578726217049677</v>
      </c>
      <c r="C1200" t="s">
        <v>40</v>
      </c>
      <c r="D1200">
        <v>6.5041699999999896</v>
      </c>
      <c r="E1200">
        <v>0.49186590000000002</v>
      </c>
      <c r="F1200" t="s">
        <v>42</v>
      </c>
      <c r="G1200">
        <v>-273.23869999999999</v>
      </c>
      <c r="H1200">
        <v>0.82528069999999898</v>
      </c>
      <c r="I1200">
        <v>141.41220000000001</v>
      </c>
      <c r="J1200">
        <v>-272.7516</v>
      </c>
      <c r="K1200">
        <v>1.10302099999999</v>
      </c>
      <c r="L1200">
        <v>141.42439999999999</v>
      </c>
      <c r="M1200">
        <v>-0.99972609999999995</v>
      </c>
      <c r="N1200">
        <v>0</v>
      </c>
      <c r="O1200">
        <v>2.0627860000000001E-2</v>
      </c>
      <c r="P1200">
        <v>-0.99420090000000005</v>
      </c>
      <c r="Q1200">
        <v>0.107528399999999</v>
      </c>
      <c r="R1200">
        <v>-1.5873389999999999E-3</v>
      </c>
      <c r="S1200">
        <v>-3.1361080000000001</v>
      </c>
      <c r="T1200">
        <v>-1.1024860000000001</v>
      </c>
      <c r="U1200">
        <v>-2.003479E-2</v>
      </c>
      <c r="V1200">
        <v>-2.1813349999999999E-2</v>
      </c>
      <c r="W1200">
        <v>0.11857379999999999</v>
      </c>
      <c r="X1200">
        <v>0.99270559999999997</v>
      </c>
      <c r="Y1200">
        <v>-2.4319210000000001E-2</v>
      </c>
      <c r="Z1200">
        <v>-1.119067E-2</v>
      </c>
      <c r="AA1200">
        <v>0.99964160000000002</v>
      </c>
      <c r="AB1200">
        <v>30</v>
      </c>
      <c r="AC1200">
        <v>-0.48709999999999798</v>
      </c>
      <c r="AD1200">
        <v>-0.277740299999999</v>
      </c>
      <c r="AE1200">
        <v>-1.2199999999978599E-2</v>
      </c>
      <c r="AF1200">
        <v>-1.6790402149589701E-2</v>
      </c>
      <c r="AG1200">
        <v>-0.277740299999999</v>
      </c>
      <c r="AH1200">
        <v>0.36737815316193601</v>
      </c>
      <c r="AI1200">
        <v>127.060768086225</v>
      </c>
      <c r="AJ1200">
        <v>92.616786517068405</v>
      </c>
      <c r="AK1200">
        <v>0.46085605048551698</v>
      </c>
      <c r="AL1200">
        <v>83.190200245527194</v>
      </c>
      <c r="AM1200">
        <v>91.258793943363102</v>
      </c>
      <c r="AN1200">
        <v>0.99999998827801095</v>
      </c>
    </row>
    <row r="1201" spans="1:40" x14ac:dyDescent="0.3">
      <c r="A1201" t="str">
        <f>"20200111150337080"</f>
        <v>20200111150337080</v>
      </c>
      <c r="B1201" t="str">
        <f>"1578726217069197"</f>
        <v>1578726217069197</v>
      </c>
      <c r="C1201" t="s">
        <v>40</v>
      </c>
      <c r="D1201">
        <v>5.1521059999999999</v>
      </c>
      <c r="E1201">
        <v>0.50686149999999996</v>
      </c>
      <c r="F1201" t="s">
        <v>42</v>
      </c>
      <c r="G1201">
        <v>-273.51889999999997</v>
      </c>
      <c r="H1201">
        <v>0.84679649999999995</v>
      </c>
      <c r="I1201">
        <v>141.40379999999999</v>
      </c>
      <c r="J1201">
        <v>-273.03859999999997</v>
      </c>
      <c r="K1201">
        <v>1.103037</v>
      </c>
      <c r="L1201">
        <v>141.4315</v>
      </c>
      <c r="M1201">
        <v>-0.99970250000000005</v>
      </c>
      <c r="N1201">
        <v>0</v>
      </c>
      <c r="O1201">
        <v>2.1733990000000002E-2</v>
      </c>
      <c r="P1201">
        <v>-0.99425669999999999</v>
      </c>
      <c r="Q1201">
        <v>0.1070064</v>
      </c>
      <c r="R1201">
        <v>-1.8462210000000001E-3</v>
      </c>
      <c r="S1201">
        <v>-3.1304020000000001</v>
      </c>
      <c r="T1201">
        <v>-1.045223</v>
      </c>
      <c r="U1201">
        <v>-8.4899899999999903E-2</v>
      </c>
      <c r="V1201">
        <v>-2.3178520000000001E-2</v>
      </c>
      <c r="W1201">
        <v>0.1180558</v>
      </c>
      <c r="X1201">
        <v>0.99273639999999996</v>
      </c>
      <c r="Y1201">
        <v>-4.5201579999999998E-2</v>
      </c>
      <c r="Z1201">
        <v>-1.441013E-2</v>
      </c>
      <c r="AA1201">
        <v>0.99887389999999998</v>
      </c>
      <c r="AB1201">
        <v>30</v>
      </c>
      <c r="AC1201">
        <v>-0.48029999999999901</v>
      </c>
      <c r="AD1201">
        <v>-0.25624049999999998</v>
      </c>
      <c r="AE1201">
        <v>-2.7700000000010001E-2</v>
      </c>
      <c r="AF1201">
        <v>-2.9705954751405299E-2</v>
      </c>
      <c r="AG1201">
        <v>-0.25624049999999998</v>
      </c>
      <c r="AH1201">
        <v>0.37360134601102701</v>
      </c>
      <c r="AI1201">
        <v>124.36073754247499</v>
      </c>
      <c r="AJ1201">
        <v>94.546162725628605</v>
      </c>
      <c r="AK1201">
        <v>0.45400396840687901</v>
      </c>
      <c r="AL1201">
        <v>83.220089394037501</v>
      </c>
      <c r="AM1201">
        <v>91.337505234797405</v>
      </c>
      <c r="AN1201">
        <v>0.99999998779399502</v>
      </c>
    </row>
    <row r="1202" spans="1:40" x14ac:dyDescent="0.3">
      <c r="A1202" t="str">
        <f>"20200111150337103"</f>
        <v>20200111150337103</v>
      </c>
      <c r="B1202" t="str">
        <f>"1578726217099454"</f>
        <v>1578726217099454</v>
      </c>
      <c r="C1202" t="s">
        <v>40</v>
      </c>
      <c r="D1202">
        <v>6.0159840000000004</v>
      </c>
      <c r="E1202">
        <v>0.50262109999999904</v>
      </c>
      <c r="F1202" t="s">
        <v>42</v>
      </c>
      <c r="G1202">
        <v>-273.85570000000001</v>
      </c>
      <c r="H1202">
        <v>1.000059</v>
      </c>
      <c r="I1202">
        <v>141.4425</v>
      </c>
      <c r="J1202">
        <v>-273.34199999999998</v>
      </c>
      <c r="K1202">
        <v>1.103059</v>
      </c>
      <c r="L1202">
        <v>141.4393</v>
      </c>
      <c r="M1202">
        <v>-0.99967740000000005</v>
      </c>
      <c r="N1202">
        <v>0</v>
      </c>
      <c r="O1202">
        <v>2.285972E-2</v>
      </c>
      <c r="P1202">
        <v>-0.99426219999999998</v>
      </c>
      <c r="Q1202">
        <v>0.1069576</v>
      </c>
      <c r="R1202">
        <v>-1.6569499999999999E-3</v>
      </c>
      <c r="S1202">
        <v>-3.0588989999999998</v>
      </c>
      <c r="T1202">
        <v>-0.38549640000000002</v>
      </c>
      <c r="U1202">
        <v>4.0954589999999999E-2</v>
      </c>
      <c r="V1202">
        <v>-2.41164E-2</v>
      </c>
      <c r="W1202">
        <v>0.1180089</v>
      </c>
      <c r="X1202">
        <v>0.99271969999999998</v>
      </c>
      <c r="Y1202">
        <v>-9.2214259999999996E-3</v>
      </c>
      <c r="Z1202">
        <v>-3.4480370000000002E-3</v>
      </c>
      <c r="AA1202">
        <v>0.99995149999999999</v>
      </c>
      <c r="AB1202">
        <v>30</v>
      </c>
      <c r="AC1202">
        <v>-0.51370000000002802</v>
      </c>
      <c r="AD1202">
        <v>-0.102999999999999</v>
      </c>
      <c r="AE1202">
        <v>3.19999999999254E-3</v>
      </c>
      <c r="AF1202">
        <v>-8.2143669897331503E-3</v>
      </c>
      <c r="AG1202">
        <v>-0.102999999999999</v>
      </c>
      <c r="AH1202">
        <v>0.49378805321897101</v>
      </c>
      <c r="AI1202">
        <v>101.780881367338</v>
      </c>
      <c r="AJ1202">
        <v>90.953050906660806</v>
      </c>
      <c r="AK1202">
        <v>0.50448301985975996</v>
      </c>
      <c r="AL1202">
        <v>83.222795919528295</v>
      </c>
      <c r="AM1202">
        <v>91.391627677660495</v>
      </c>
      <c r="AN1202">
        <v>1.00000005199812</v>
      </c>
    </row>
    <row r="1203" spans="1:40" x14ac:dyDescent="0.3">
      <c r="A1203" t="str">
        <f>"20200111150337125"</f>
        <v>20200111150337125</v>
      </c>
      <c r="B1203" t="str">
        <f>"1578726217119950"</f>
        <v>1578726217119950</v>
      </c>
      <c r="C1203" t="s">
        <v>40</v>
      </c>
      <c r="D1203">
        <v>7.7827299999999999</v>
      </c>
      <c r="E1203">
        <v>0.43802980000000002</v>
      </c>
      <c r="F1203" t="s">
        <v>42</v>
      </c>
      <c r="G1203">
        <v>-274.14920000000001</v>
      </c>
      <c r="H1203">
        <v>1.0345850000000001</v>
      </c>
      <c r="I1203">
        <v>141.4419</v>
      </c>
      <c r="J1203">
        <v>-273.6551</v>
      </c>
      <c r="K1203">
        <v>1.1031029999999999</v>
      </c>
      <c r="L1203">
        <v>141.44759999999999</v>
      </c>
      <c r="M1203">
        <v>-0.99965190000000004</v>
      </c>
      <c r="N1203">
        <v>0</v>
      </c>
      <c r="O1203">
        <v>2.3947920000000001E-2</v>
      </c>
      <c r="P1203">
        <v>-0.99428119999999998</v>
      </c>
      <c r="Q1203">
        <v>0.10679130000000001</v>
      </c>
      <c r="R1203">
        <v>-7.1346690000000004E-4</v>
      </c>
      <c r="S1203">
        <v>-3.045105</v>
      </c>
      <c r="T1203">
        <v>-0.2583317</v>
      </c>
      <c r="U1203">
        <v>9.0942379999999993E-3</v>
      </c>
      <c r="V1203">
        <v>-2.4269300000000001E-2</v>
      </c>
      <c r="W1203">
        <v>0.1178418</v>
      </c>
      <c r="X1203">
        <v>0.99273579999999995</v>
      </c>
      <c r="Y1203">
        <v>-2.0802899999999999E-2</v>
      </c>
      <c r="Z1203">
        <v>-2.9087610000000002E-3</v>
      </c>
      <c r="AA1203">
        <v>0.99977930000000004</v>
      </c>
      <c r="AB1203">
        <v>30</v>
      </c>
      <c r="AC1203">
        <v>-0.49410000000000298</v>
      </c>
      <c r="AD1203">
        <v>-6.8517999999999996E-2</v>
      </c>
      <c r="AE1203">
        <v>-5.6999999999902597E-3</v>
      </c>
      <c r="AF1203">
        <v>-1.72010256357117E-2</v>
      </c>
      <c r="AG1203">
        <v>-6.8517999999999996E-2</v>
      </c>
      <c r="AH1203">
        <v>0.48450594947689901</v>
      </c>
      <c r="AI1203">
        <v>98.044292863116993</v>
      </c>
      <c r="AJ1203">
        <v>92.0332720854542</v>
      </c>
      <c r="AK1203">
        <v>0.48962905008325602</v>
      </c>
      <c r="AL1203">
        <v>83.232437158426194</v>
      </c>
      <c r="AM1203">
        <v>91.400424508163596</v>
      </c>
      <c r="AN1203">
        <v>1.0000000286756801</v>
      </c>
    </row>
    <row r="1204" spans="1:40" x14ac:dyDescent="0.3">
      <c r="A1204" t="str">
        <f>"20200111150337149"</f>
        <v>20200111150337149</v>
      </c>
      <c r="B1204" t="str">
        <f>"1578726217139470"</f>
        <v>1578726217139470</v>
      </c>
      <c r="C1204" t="s">
        <v>40</v>
      </c>
      <c r="D1204">
        <v>5.9719790000000001</v>
      </c>
      <c r="E1204">
        <v>0.49342649999999999</v>
      </c>
      <c r="F1204" t="s">
        <v>63</v>
      </c>
      <c r="G1204">
        <v>-440.75</v>
      </c>
      <c r="H1204">
        <v>15.6838</v>
      </c>
      <c r="I1204">
        <v>113.65819999999999</v>
      </c>
      <c r="J1204">
        <v>-273.96159999999998</v>
      </c>
      <c r="K1204">
        <v>1.103172</v>
      </c>
      <c r="L1204">
        <v>141.45599999999999</v>
      </c>
      <c r="M1204">
        <v>-0.99962850000000003</v>
      </c>
      <c r="N1204">
        <v>0</v>
      </c>
      <c r="O1204">
        <v>2.4910379999999999E-2</v>
      </c>
      <c r="P1204">
        <v>-0.99417639999999996</v>
      </c>
      <c r="Q1204">
        <v>0.10775460000000001</v>
      </c>
      <c r="R1204">
        <v>1.617985E-3</v>
      </c>
      <c r="S1204">
        <v>-2.9889220000000001</v>
      </c>
      <c r="T1204">
        <v>0.26081339999999997</v>
      </c>
      <c r="U1204">
        <v>-0.49708560000000002</v>
      </c>
      <c r="V1204">
        <v>-2.291091E-2</v>
      </c>
      <c r="W1204">
        <v>0.11879770000000001</v>
      </c>
      <c r="X1204">
        <v>0.99265409999999998</v>
      </c>
      <c r="Y1204">
        <v>-0.18779209999999999</v>
      </c>
      <c r="Z1204">
        <v>1.0278280000000001E-2</v>
      </c>
      <c r="AA1204">
        <v>0.982155</v>
      </c>
      <c r="AB1204">
        <v>30</v>
      </c>
      <c r="AC1204">
        <v>-166.7884</v>
      </c>
      <c r="AD1204">
        <v>14.580628000000001</v>
      </c>
      <c r="AE1204">
        <v>-27.797799999999999</v>
      </c>
      <c r="AF1204">
        <v>-31.708415327352899</v>
      </c>
      <c r="AG1204">
        <v>14.580628000000001</v>
      </c>
      <c r="AH1204">
        <v>164.818599732298</v>
      </c>
      <c r="AI1204">
        <v>85.035083854999797</v>
      </c>
      <c r="AJ1204">
        <v>100.889727704663</v>
      </c>
      <c r="AK1204">
        <v>168.47311100932899</v>
      </c>
      <c r="AL1204">
        <v>83.177280363478104</v>
      </c>
      <c r="AM1204">
        <v>91.322178014996993</v>
      </c>
      <c r="AN1204">
        <v>0.99999998278456304</v>
      </c>
    </row>
    <row r="1205" spans="1:40" x14ac:dyDescent="0.3">
      <c r="A1205" t="str">
        <f>"20200111150337170"</f>
        <v>20200111150337170</v>
      </c>
      <c r="B1205" t="str">
        <f>"1578726217159966"</f>
        <v>1578726217159966</v>
      </c>
      <c r="C1205" t="s">
        <v>40</v>
      </c>
      <c r="D1205">
        <v>5.4554589999999896</v>
      </c>
      <c r="E1205">
        <v>0.49908330000000001</v>
      </c>
      <c r="F1205" t="s">
        <v>68</v>
      </c>
      <c r="G1205">
        <v>-289.2912</v>
      </c>
      <c r="H1205" s="1">
        <v>-9.0103290000000001E-6</v>
      </c>
      <c r="I1205">
        <v>141.18719999999999</v>
      </c>
      <c r="J1205">
        <v>-274.24860000000001</v>
      </c>
      <c r="K1205">
        <v>1.103267</v>
      </c>
      <c r="L1205">
        <v>141.4641</v>
      </c>
      <c r="M1205">
        <v>-0.99960910000000003</v>
      </c>
      <c r="N1205">
        <v>0</v>
      </c>
      <c r="O1205">
        <v>2.567877E-2</v>
      </c>
      <c r="P1205">
        <v>-0.99415310000000001</v>
      </c>
      <c r="Q1205">
        <v>0.10786030000000001</v>
      </c>
      <c r="R1205">
        <v>5.1110060000000004E-3</v>
      </c>
      <c r="S1205">
        <v>-3.041382</v>
      </c>
      <c r="T1205">
        <v>-0.21887000000000001</v>
      </c>
      <c r="U1205">
        <v>-5.334473E-2</v>
      </c>
      <c r="V1205">
        <v>-2.0208799999999999E-2</v>
      </c>
      <c r="W1205">
        <v>0.11889479999999999</v>
      </c>
      <c r="X1205">
        <v>0.99270119999999895</v>
      </c>
      <c r="Y1205">
        <v>-4.3029900000000003E-2</v>
      </c>
      <c r="Z1205">
        <v>-3.3916660000000002E-3</v>
      </c>
      <c r="AA1205">
        <v>0.99906799999999996</v>
      </c>
      <c r="AB1205">
        <v>30</v>
      </c>
      <c r="AC1205">
        <v>-15.042599999999901</v>
      </c>
      <c r="AD1205">
        <v>-1.103276010329</v>
      </c>
      <c r="AE1205">
        <v>-0.27690000000001103</v>
      </c>
      <c r="AF1205">
        <v>-0.65956101005926304</v>
      </c>
      <c r="AG1205">
        <v>-1.103276010329</v>
      </c>
      <c r="AH1205">
        <v>14.950134729286599</v>
      </c>
      <c r="AI1205">
        <v>94.216522836654406</v>
      </c>
      <c r="AJ1205">
        <v>92.526102539475602</v>
      </c>
      <c r="AK1205">
        <v>15.005291303562901</v>
      </c>
      <c r="AL1205">
        <v>83.171677492573906</v>
      </c>
      <c r="AM1205">
        <v>91.166231125930906</v>
      </c>
      <c r="AN1205">
        <v>1.00000002077295</v>
      </c>
    </row>
    <row r="1206" spans="1:40" x14ac:dyDescent="0.3">
      <c r="A1206" t="str">
        <f>"20200111150337192"</f>
        <v>20200111150337192</v>
      </c>
      <c r="B1206" t="str">
        <f>"1578726217189246"</f>
        <v>1578726217189246</v>
      </c>
      <c r="C1206" t="s">
        <v>40</v>
      </c>
      <c r="D1206">
        <v>5.397303</v>
      </c>
      <c r="E1206">
        <v>0.50009820000000005</v>
      </c>
      <c r="F1206" t="s">
        <v>68</v>
      </c>
      <c r="G1206">
        <v>-290.30059999999997</v>
      </c>
      <c r="H1206" s="1">
        <v>-9.4030410000000001E-6</v>
      </c>
      <c r="I1206">
        <v>141.47110000000001</v>
      </c>
      <c r="J1206">
        <v>-274.55160000000001</v>
      </c>
      <c r="K1206">
        <v>1.1033820000000001</v>
      </c>
      <c r="L1206">
        <v>141.4726</v>
      </c>
      <c r="M1206">
        <v>-0.99959180000000003</v>
      </c>
      <c r="N1206">
        <v>0</v>
      </c>
      <c r="O1206">
        <v>2.6339640000000001E-2</v>
      </c>
      <c r="P1206">
        <v>-0.99412769999999995</v>
      </c>
      <c r="Q1206">
        <v>0.10794380000000001</v>
      </c>
      <c r="R1206">
        <v>7.6555240000000004E-3</v>
      </c>
      <c r="S1206">
        <v>-3.040314</v>
      </c>
      <c r="T1206">
        <v>-0.20896500000000001</v>
      </c>
      <c r="U1206">
        <v>1.327515E-3</v>
      </c>
      <c r="V1206">
        <v>-1.835446E-2</v>
      </c>
      <c r="W1206">
        <v>0.11897050000000001</v>
      </c>
      <c r="X1206">
        <v>0.9927281</v>
      </c>
      <c r="Y1206">
        <v>-2.5781809999999999E-2</v>
      </c>
      <c r="Z1206">
        <v>-2.6931440000000002E-3</v>
      </c>
      <c r="AA1206">
        <v>0.99966390000000005</v>
      </c>
      <c r="AB1206">
        <v>30</v>
      </c>
      <c r="AC1206">
        <v>-15.748999999999899</v>
      </c>
      <c r="AD1206">
        <v>-1.1033914030409999</v>
      </c>
      <c r="AE1206">
        <v>-1.4999999999929499E-3</v>
      </c>
      <c r="AF1206">
        <v>-0.41431418921576102</v>
      </c>
      <c r="AG1206">
        <v>-1.1033914030409999</v>
      </c>
      <c r="AH1206">
        <v>15.6665954592109</v>
      </c>
      <c r="AI1206">
        <v>94.027260689373094</v>
      </c>
      <c r="AJ1206">
        <v>91.514874293326798</v>
      </c>
      <c r="AK1206">
        <v>15.7108670072106</v>
      </c>
      <c r="AL1206">
        <v>83.1673088715023</v>
      </c>
      <c r="AM1206">
        <v>91.059215799176798</v>
      </c>
      <c r="AN1206">
        <v>0.99999997330087498</v>
      </c>
    </row>
    <row r="1207" spans="1:40" x14ac:dyDescent="0.3">
      <c r="A1207" t="str">
        <f>"20200111150337216"</f>
        <v>20200111150337216</v>
      </c>
      <c r="B1207" t="str">
        <f>"1578726217209742"</f>
        <v>1578726217209742</v>
      </c>
      <c r="C1207" t="s">
        <v>40</v>
      </c>
      <c r="D1207">
        <v>5.5212110000000001</v>
      </c>
      <c r="E1207">
        <v>0.50209519999999996</v>
      </c>
      <c r="F1207" t="s">
        <v>41</v>
      </c>
      <c r="G1207">
        <v>-321.88510000000002</v>
      </c>
      <c r="H1207" s="1">
        <v>-4.0184929999999997E-6</v>
      </c>
      <c r="I1207">
        <v>141.78100000000001</v>
      </c>
      <c r="J1207">
        <v>-274.87759999999997</v>
      </c>
      <c r="K1207">
        <v>1.103505</v>
      </c>
      <c r="L1207">
        <v>141.4819</v>
      </c>
      <c r="M1207">
        <v>-0.99957680000000004</v>
      </c>
      <c r="N1207">
        <v>0</v>
      </c>
      <c r="O1207">
        <v>2.6902740000000001E-2</v>
      </c>
      <c r="P1207">
        <v>-0.99408180000000002</v>
      </c>
      <c r="Q1207">
        <v>0.1082288</v>
      </c>
      <c r="R1207">
        <v>9.3760159999999992E-3</v>
      </c>
      <c r="S1207">
        <v>-3.0252379999999999</v>
      </c>
      <c r="T1207">
        <v>-7.0521120000000007E-2</v>
      </c>
      <c r="U1207">
        <v>1.971436E-2</v>
      </c>
      <c r="V1207">
        <v>-1.7226769999999999E-2</v>
      </c>
      <c r="W1207">
        <v>0.1192503</v>
      </c>
      <c r="X1207">
        <v>0.99271480000000001</v>
      </c>
      <c r="Y1207">
        <v>-2.037684E-2</v>
      </c>
      <c r="Z1207">
        <v>-8.6447100000000001E-4</v>
      </c>
      <c r="AA1207">
        <v>0.99979200000000001</v>
      </c>
      <c r="AB1207">
        <v>30</v>
      </c>
      <c r="AC1207">
        <v>-47.0075</v>
      </c>
      <c r="AD1207">
        <v>-1.1035090184930001</v>
      </c>
      <c r="AE1207">
        <v>0.29910000000000903</v>
      </c>
      <c r="AF1207">
        <v>-0.96518438824235098</v>
      </c>
      <c r="AG1207">
        <v>-1.1035090184930001</v>
      </c>
      <c r="AH1207">
        <v>46.972646119905001</v>
      </c>
      <c r="AI1207">
        <v>91.345494686982505</v>
      </c>
      <c r="AJ1207">
        <v>91.177136387309403</v>
      </c>
      <c r="AK1207">
        <v>46.995518898752699</v>
      </c>
      <c r="AL1207">
        <v>83.151162990506194</v>
      </c>
      <c r="AM1207">
        <v>90.994164848322299</v>
      </c>
      <c r="AN1207">
        <v>1.0000000348968801</v>
      </c>
    </row>
    <row r="1208" spans="1:40" x14ac:dyDescent="0.3">
      <c r="A1208" t="str">
        <f>"20200111150337239"</f>
        <v>20200111150337239</v>
      </c>
      <c r="B1208" t="str">
        <f>"1578726217229261"</f>
        <v>1578726217229261</v>
      </c>
      <c r="C1208" t="s">
        <v>40</v>
      </c>
      <c r="D1208">
        <v>5.3750650000000002</v>
      </c>
      <c r="E1208">
        <v>0.50307190000000002</v>
      </c>
      <c r="F1208" t="s">
        <v>41</v>
      </c>
      <c r="G1208">
        <v>-332.8107</v>
      </c>
      <c r="H1208" s="1">
        <v>-4.0883479999999999E-6</v>
      </c>
      <c r="I1208">
        <v>142.28270000000001</v>
      </c>
      <c r="J1208">
        <v>-275.17720000000003</v>
      </c>
      <c r="K1208">
        <v>1.1036029999999999</v>
      </c>
      <c r="L1208">
        <v>141.49039999999999</v>
      </c>
      <c r="M1208">
        <v>-0.99956639999999997</v>
      </c>
      <c r="N1208">
        <v>0</v>
      </c>
      <c r="O1208">
        <v>2.728297E-2</v>
      </c>
      <c r="P1208">
        <v>-0.9940698</v>
      </c>
      <c r="Q1208">
        <v>0.1082296</v>
      </c>
      <c r="R1208">
        <v>1.056673E-2</v>
      </c>
      <c r="S1208">
        <v>-3.0237120000000002</v>
      </c>
      <c r="T1208">
        <v>-5.7595609999999998E-2</v>
      </c>
      <c r="U1208">
        <v>4.1793820000000002E-2</v>
      </c>
      <c r="V1208">
        <v>-1.644383E-2</v>
      </c>
      <c r="W1208">
        <v>0.11924750000000001</v>
      </c>
      <c r="X1208">
        <v>0.99272839999999996</v>
      </c>
      <c r="Y1208">
        <v>-1.345909E-2</v>
      </c>
      <c r="Z1208">
        <v>-6.4773930000000003E-4</v>
      </c>
      <c r="AA1208">
        <v>0.99990919999999905</v>
      </c>
      <c r="AB1208">
        <v>30</v>
      </c>
      <c r="AC1208">
        <v>-57.633499999999898</v>
      </c>
      <c r="AD1208">
        <v>-1.103607088348</v>
      </c>
      <c r="AE1208">
        <v>0.792300000000011</v>
      </c>
      <c r="AF1208">
        <v>-0.78021842827590404</v>
      </c>
      <c r="AG1208">
        <v>-1.103607088348</v>
      </c>
      <c r="AH1208">
        <v>57.612539975185904</v>
      </c>
      <c r="AI1208">
        <v>91.0973045204165</v>
      </c>
      <c r="AJ1208">
        <v>90.775881266604998</v>
      </c>
      <c r="AK1208">
        <v>57.6283910220792</v>
      </c>
      <c r="AL1208">
        <v>83.151324475921399</v>
      </c>
      <c r="AM1208">
        <v>90.948976480916002</v>
      </c>
      <c r="AN1208">
        <v>1.0000000209839299</v>
      </c>
    </row>
    <row r="1209" spans="1:40" x14ac:dyDescent="0.3">
      <c r="A1209" t="str">
        <f>"20200111150337259"</f>
        <v>20200111150337259</v>
      </c>
      <c r="B1209" t="str">
        <f>"1578726217249757"</f>
        <v>1578726217249757</v>
      </c>
      <c r="C1209" t="s">
        <v>40</v>
      </c>
      <c r="D1209">
        <v>5.3265029999999998</v>
      </c>
      <c r="E1209">
        <v>0.50376430000000005</v>
      </c>
      <c r="F1209" t="s">
        <v>41</v>
      </c>
      <c r="G1209">
        <v>-322.22919999999999</v>
      </c>
      <c r="H1209" s="1">
        <v>-3.99533399999999E-6</v>
      </c>
      <c r="I1209">
        <v>142.31059999999999</v>
      </c>
      <c r="J1209">
        <v>-275.46589999999998</v>
      </c>
      <c r="K1209">
        <v>1.103701</v>
      </c>
      <c r="L1209">
        <v>141.49860000000001</v>
      </c>
      <c r="M1209">
        <v>-0.9995598</v>
      </c>
      <c r="N1209">
        <v>0</v>
      </c>
      <c r="O1209">
        <v>2.7525549999999999E-2</v>
      </c>
      <c r="P1209">
        <v>-0.99402250000000003</v>
      </c>
      <c r="Q1209">
        <v>0.10858810000000001</v>
      </c>
      <c r="R1209">
        <v>1.1305559999999999E-2</v>
      </c>
      <c r="S1209">
        <v>-3.025055</v>
      </c>
      <c r="T1209">
        <v>-7.0952890000000005E-2</v>
      </c>
      <c r="U1209">
        <v>5.2734379999999997E-2</v>
      </c>
      <c r="V1209">
        <v>-1.597119E-2</v>
      </c>
      <c r="W1209">
        <v>0.1196026</v>
      </c>
      <c r="X1209">
        <v>0.99269339999999995</v>
      </c>
      <c r="Y1209">
        <v>-1.008943E-2</v>
      </c>
      <c r="Z1209">
        <v>-7.6371489999999995E-4</v>
      </c>
      <c r="AA1209">
        <v>0.99994879999999997</v>
      </c>
      <c r="AB1209">
        <v>30</v>
      </c>
      <c r="AC1209">
        <v>-46.763300000000001</v>
      </c>
      <c r="AD1209">
        <v>-1.1037049953339999</v>
      </c>
      <c r="AE1209">
        <v>0.81199999999998296</v>
      </c>
      <c r="AF1209">
        <v>-0.47530744522520502</v>
      </c>
      <c r="AG1209">
        <v>-1.1037049953339999</v>
      </c>
      <c r="AH1209">
        <v>46.7419015221734</v>
      </c>
      <c r="AI1209">
        <v>91.352589850438903</v>
      </c>
      <c r="AJ1209">
        <v>90.582607277088599</v>
      </c>
      <c r="AK1209">
        <v>46.757346372444701</v>
      </c>
      <c r="AL1209">
        <v>83.130832103580204</v>
      </c>
      <c r="AM1209">
        <v>90.921737605449806</v>
      </c>
      <c r="AN1209">
        <v>1.0000000236201601</v>
      </c>
    </row>
    <row r="1210" spans="1:40" x14ac:dyDescent="0.3">
      <c r="A1210" t="str">
        <f>"20200111150337305"</f>
        <v>20200111150337305</v>
      </c>
      <c r="B1210" t="str">
        <f>"1578726217299534"</f>
        <v>1578726217299534</v>
      </c>
      <c r="C1210" t="s">
        <v>40</v>
      </c>
      <c r="D1210">
        <v>5.5390680000000003</v>
      </c>
      <c r="E1210">
        <v>0.50352419999999998</v>
      </c>
      <c r="F1210" t="s">
        <v>68</v>
      </c>
      <c r="G1210">
        <v>-308.30189999999999</v>
      </c>
      <c r="H1210" s="1">
        <v>-1.0002640000000001E-5</v>
      </c>
      <c r="I1210">
        <v>142.1508</v>
      </c>
      <c r="J1210">
        <v>-276.07780000000002</v>
      </c>
      <c r="K1210">
        <v>1.103869</v>
      </c>
      <c r="L1210">
        <v>141.51589999999999</v>
      </c>
      <c r="M1210">
        <v>-0.9995539</v>
      </c>
      <c r="N1210">
        <v>0</v>
      </c>
      <c r="O1210">
        <v>2.7736589999999998E-2</v>
      </c>
      <c r="P1210">
        <v>-0.99382820000000005</v>
      </c>
      <c r="Q1210">
        <v>0.1104397</v>
      </c>
      <c r="R1210">
        <v>1.042102E-2</v>
      </c>
      <c r="S1210">
        <v>-3.028473</v>
      </c>
      <c r="T1210">
        <v>-0.10179580000000001</v>
      </c>
      <c r="U1210">
        <v>6.0150149999999999E-2</v>
      </c>
      <c r="V1210">
        <v>-1.7106679999999999E-2</v>
      </c>
      <c r="W1210">
        <v>0.12144820000000001</v>
      </c>
      <c r="X1210">
        <v>0.99245039999999995</v>
      </c>
      <c r="Y1210">
        <v>-7.8627409999999995E-3</v>
      </c>
      <c r="Z1210">
        <v>-1.0639499999999999E-3</v>
      </c>
      <c r="AA1210">
        <v>0.99996850000000004</v>
      </c>
      <c r="AB1210">
        <v>30</v>
      </c>
      <c r="AC1210">
        <v>-32.2240999999999</v>
      </c>
      <c r="AD1210">
        <v>-1.1038790026400001</v>
      </c>
      <c r="AE1210">
        <v>0.63490000000001601</v>
      </c>
      <c r="AF1210">
        <v>-0.25888209894728198</v>
      </c>
      <c r="AG1210">
        <v>-1.1038790026400001</v>
      </c>
      <c r="AH1210">
        <v>32.191549864771702</v>
      </c>
      <c r="AI1210">
        <v>91.963894024343404</v>
      </c>
      <c r="AJ1210">
        <v>90.460758552360005</v>
      </c>
      <c r="AK1210">
        <v>32.211511164329202</v>
      </c>
      <c r="AL1210">
        <v>83.024310668675</v>
      </c>
      <c r="AM1210">
        <v>90.987498734136196</v>
      </c>
      <c r="AN1210">
        <v>1.0000000501220001</v>
      </c>
    </row>
    <row r="1211" spans="1:40" x14ac:dyDescent="0.3">
      <c r="A1211" t="str">
        <f>"20200111150337326"</f>
        <v>20200111150337326</v>
      </c>
      <c r="B1211" t="str">
        <f>"1578726217320030"</f>
        <v>1578726217320030</v>
      </c>
      <c r="C1211" t="s">
        <v>40</v>
      </c>
      <c r="D1211">
        <v>5.4451510000000001</v>
      </c>
      <c r="E1211">
        <v>0.50379470000000004</v>
      </c>
      <c r="F1211" t="s">
        <v>68</v>
      </c>
      <c r="G1211">
        <v>-306.86900000000003</v>
      </c>
      <c r="H1211" s="1">
        <v>-9.7764100000000008E-6</v>
      </c>
      <c r="I1211">
        <v>142.08199999999999</v>
      </c>
      <c r="J1211">
        <v>-276.37799999999999</v>
      </c>
      <c r="K1211">
        <v>1.1039270000000001</v>
      </c>
      <c r="L1211">
        <v>141.52430000000001</v>
      </c>
      <c r="M1211">
        <v>-0.99955340000000004</v>
      </c>
      <c r="N1211">
        <v>0</v>
      </c>
      <c r="O1211">
        <v>2.7752619999999999E-2</v>
      </c>
      <c r="P1211">
        <v>-0.99377389999999999</v>
      </c>
      <c r="Q1211">
        <v>0.11097849999999999</v>
      </c>
      <c r="R1211">
        <v>9.8629219999999997E-3</v>
      </c>
      <c r="S1211">
        <v>-3.030151</v>
      </c>
      <c r="T1211">
        <v>-0.10863200000000001</v>
      </c>
      <c r="U1211">
        <v>5.5709839999999997E-2</v>
      </c>
      <c r="V1211">
        <v>-1.7694689999999999E-2</v>
      </c>
      <c r="W1211">
        <v>0.12198440000000001</v>
      </c>
      <c r="X1211">
        <v>0.99237430000000004</v>
      </c>
      <c r="Y1211">
        <v>-9.3508310000000004E-3</v>
      </c>
      <c r="Z1211">
        <v>-1.161987E-3</v>
      </c>
      <c r="AA1211">
        <v>0.99995560000000006</v>
      </c>
      <c r="AB1211">
        <v>30</v>
      </c>
      <c r="AC1211">
        <v>-30.491</v>
      </c>
      <c r="AD1211">
        <v>-1.1039367764100001</v>
      </c>
      <c r="AE1211">
        <v>0.55769999999998199</v>
      </c>
      <c r="AF1211">
        <v>-0.28839402733846897</v>
      </c>
      <c r="AG1211">
        <v>-1.1039367764100001</v>
      </c>
      <c r="AH1211">
        <v>30.454825049920299</v>
      </c>
      <c r="AI1211">
        <v>92.075874845631304</v>
      </c>
      <c r="AJ1211">
        <v>90.542550045604202</v>
      </c>
      <c r="AK1211">
        <v>30.476190974965501</v>
      </c>
      <c r="AL1211">
        <v>82.9933583549047</v>
      </c>
      <c r="AM1211">
        <v>91.0215133886568</v>
      </c>
      <c r="AN1211">
        <v>1.0000000235990201</v>
      </c>
    </row>
    <row r="1212" spans="1:40" x14ac:dyDescent="0.3">
      <c r="A1212" t="str">
        <f>"20200111150337350"</f>
        <v>20200111150337350</v>
      </c>
      <c r="B1212" t="str">
        <f>"1578726217339550"</f>
        <v>1578726217339550</v>
      </c>
      <c r="C1212" t="s">
        <v>40</v>
      </c>
      <c r="D1212">
        <v>5.6107230000000001</v>
      </c>
      <c r="E1212">
        <v>0.50336000000000003</v>
      </c>
      <c r="F1212" t="s">
        <v>68</v>
      </c>
      <c r="G1212">
        <v>-309.88600000000002</v>
      </c>
      <c r="H1212" s="1">
        <v>-1.022702E-5</v>
      </c>
      <c r="I1212">
        <v>142.1404</v>
      </c>
      <c r="J1212">
        <v>-276.68119999999999</v>
      </c>
      <c r="K1212">
        <v>1.1039589999999999</v>
      </c>
      <c r="L1212">
        <v>141.53280000000001</v>
      </c>
      <c r="M1212">
        <v>-0.99955369999999999</v>
      </c>
      <c r="N1212">
        <v>0</v>
      </c>
      <c r="O1212">
        <v>2.7740520000000001E-2</v>
      </c>
      <c r="P1212">
        <v>-0.99375869999999999</v>
      </c>
      <c r="Q1212">
        <v>0.1111893</v>
      </c>
      <c r="R1212">
        <v>8.9857229999999993E-3</v>
      </c>
      <c r="S1212">
        <v>-3.029388</v>
      </c>
      <c r="T1212">
        <v>-9.980464E-2</v>
      </c>
      <c r="U1212">
        <v>5.569458E-2</v>
      </c>
      <c r="V1212">
        <v>-1.8569619999999998E-2</v>
      </c>
      <c r="W1212">
        <v>0.1221951</v>
      </c>
      <c r="X1212">
        <v>0.9923324</v>
      </c>
      <c r="Y1212">
        <v>-9.3428460000000001E-3</v>
      </c>
      <c r="Z1212">
        <v>-1.0673569999999999E-3</v>
      </c>
      <c r="AA1212">
        <v>0.99995579999999995</v>
      </c>
      <c r="AB1212">
        <v>30</v>
      </c>
      <c r="AC1212">
        <v>-33.204799999999899</v>
      </c>
      <c r="AD1212">
        <v>-1.1039692270200001</v>
      </c>
      <c r="AE1212">
        <v>0.60759999999999004</v>
      </c>
      <c r="AF1212">
        <v>-0.31346248927152598</v>
      </c>
      <c r="AG1212">
        <v>-1.1039692270200001</v>
      </c>
      <c r="AH1212">
        <v>33.172220308669502</v>
      </c>
      <c r="AI1212">
        <v>91.906011103666103</v>
      </c>
      <c r="AJ1212">
        <v>90.541403106483997</v>
      </c>
      <c r="AK1212">
        <v>33.192065422225397</v>
      </c>
      <c r="AL1212">
        <v>82.981195206204703</v>
      </c>
      <c r="AM1212">
        <v>91.072056789181303</v>
      </c>
      <c r="AN1212">
        <v>1.00000003267035</v>
      </c>
    </row>
    <row r="1213" spans="1:40" x14ac:dyDescent="0.3">
      <c r="A1213" t="str">
        <f>"20200111150337371"</f>
        <v>20200111150337371</v>
      </c>
      <c r="B1213" t="str">
        <f>"1578726217369808"</f>
        <v>1578726217369808</v>
      </c>
      <c r="C1213" t="s">
        <v>40</v>
      </c>
      <c r="D1213">
        <v>5.8196879999999904</v>
      </c>
      <c r="E1213">
        <v>0.49675760000000002</v>
      </c>
      <c r="F1213" t="s">
        <v>68</v>
      </c>
      <c r="G1213">
        <v>-311.28530000000001</v>
      </c>
      <c r="H1213" s="1">
        <v>-9.6402729999999993E-6</v>
      </c>
      <c r="I1213">
        <v>142.09209999999999</v>
      </c>
      <c r="J1213">
        <v>-276.98180000000002</v>
      </c>
      <c r="K1213">
        <v>1.10398</v>
      </c>
      <c r="L1213">
        <v>141.5411</v>
      </c>
      <c r="M1213">
        <v>-0.99955459999999996</v>
      </c>
      <c r="N1213">
        <v>0</v>
      </c>
      <c r="O1213">
        <v>2.7714989999999998E-2</v>
      </c>
      <c r="P1213">
        <v>-0.99382440000000005</v>
      </c>
      <c r="Q1213">
        <v>0.1106704</v>
      </c>
      <c r="R1213">
        <v>8.0927759999999994E-3</v>
      </c>
      <c r="S1213">
        <v>-3.029236</v>
      </c>
      <c r="T1213">
        <v>-9.6641060000000001E-2</v>
      </c>
      <c r="U1213">
        <v>4.8965450000000001E-2</v>
      </c>
      <c r="V1213">
        <v>-1.9444349999999999E-2</v>
      </c>
      <c r="W1213">
        <v>0.1216768</v>
      </c>
      <c r="X1213">
        <v>0.99237929999999996</v>
      </c>
      <c r="Y1213">
        <v>-1.153713E-2</v>
      </c>
      <c r="Z1213">
        <v>-1.0677970000000001E-3</v>
      </c>
      <c r="AA1213">
        <v>0.99993290000000001</v>
      </c>
      <c r="AB1213">
        <v>30</v>
      </c>
      <c r="AC1213">
        <v>-34.3034999999999</v>
      </c>
      <c r="AD1213">
        <v>-1.1039896402730001</v>
      </c>
      <c r="AE1213">
        <v>0.55099999999998694</v>
      </c>
      <c r="AF1213">
        <v>-0.39957731752909498</v>
      </c>
      <c r="AG1213">
        <v>-1.1039896402730001</v>
      </c>
      <c r="AH1213">
        <v>34.270107175897103</v>
      </c>
      <c r="AI1213">
        <v>91.844983579480797</v>
      </c>
      <c r="AJ1213">
        <v>90.668018234869606</v>
      </c>
      <c r="AK1213">
        <v>34.290212904063303</v>
      </c>
      <c r="AL1213">
        <v>83.011114645192706</v>
      </c>
      <c r="AM1213">
        <v>91.1224908196115</v>
      </c>
      <c r="AN1213">
        <v>1.0000000007368199</v>
      </c>
    </row>
    <row r="1214" spans="1:40" x14ac:dyDescent="0.3">
      <c r="A1214" t="str">
        <f>"20200111150337506"</f>
        <v>20200111150337506</v>
      </c>
      <c r="B1214" t="str">
        <f>"1578726217499361"</f>
        <v>1578726217499361</v>
      </c>
      <c r="C1214" t="s">
        <v>40</v>
      </c>
      <c r="D1214">
        <v>5.4342769999999998</v>
      </c>
      <c r="E1214">
        <v>0.47177760000000002</v>
      </c>
      <c r="F1214" t="s">
        <v>42</v>
      </c>
      <c r="G1214">
        <v>-279.24939999999998</v>
      </c>
      <c r="H1214">
        <v>0.92940699999999998</v>
      </c>
      <c r="I1214">
        <v>141.5804</v>
      </c>
      <c r="J1214">
        <v>-278.80259999999998</v>
      </c>
      <c r="K1214">
        <v>1.103974</v>
      </c>
      <c r="L1214">
        <v>141.5917</v>
      </c>
      <c r="M1214">
        <v>-0.99955329999999998</v>
      </c>
      <c r="N1214">
        <v>0</v>
      </c>
      <c r="O1214">
        <v>2.7756260000000001E-2</v>
      </c>
      <c r="P1214">
        <v>-0.99370780000000003</v>
      </c>
      <c r="Q1214">
        <v>0.11165650000000001</v>
      </c>
      <c r="R1214">
        <v>8.8142009999999903E-3</v>
      </c>
      <c r="S1214">
        <v>-3.0997919999999999</v>
      </c>
      <c r="T1214">
        <v>-0.71930459999999996</v>
      </c>
      <c r="U1214">
        <v>-1.147461E-2</v>
      </c>
      <c r="V1214">
        <v>-1.87592E-2</v>
      </c>
      <c r="W1214">
        <v>0.12267019999999999</v>
      </c>
      <c r="X1214">
        <v>0.99227019999999999</v>
      </c>
      <c r="Y1214">
        <v>-2.9925509999999999E-2</v>
      </c>
      <c r="Z1214">
        <v>-9.7827639999999993E-3</v>
      </c>
      <c r="AA1214">
        <v>0.99950430000000001</v>
      </c>
      <c r="AB1214">
        <v>30</v>
      </c>
      <c r="AC1214">
        <v>-0.44679999999999598</v>
      </c>
      <c r="AD1214">
        <v>-0.174567</v>
      </c>
      <c r="AE1214">
        <v>-1.1300000000005601E-2</v>
      </c>
      <c r="AF1214">
        <v>-2.0561230365631501E-2</v>
      </c>
      <c r="AG1214">
        <v>-0.174567</v>
      </c>
      <c r="AH1214">
        <v>0.387239664495937</v>
      </c>
      <c r="AI1214">
        <v>114.235569558441</v>
      </c>
      <c r="AJ1214">
        <v>93.039374818621496</v>
      </c>
      <c r="AK1214">
        <v>0.42526575155080898</v>
      </c>
      <c r="AL1214">
        <v>82.953767533420006</v>
      </c>
      <c r="AM1214">
        <v>91.083066853230605</v>
      </c>
      <c r="AN1214">
        <v>1.0000000176803501</v>
      </c>
    </row>
    <row r="1215" spans="1:40" x14ac:dyDescent="0.3">
      <c r="A1215" t="str">
        <f>"20200111150337528"</f>
        <v>20200111150337528</v>
      </c>
      <c r="B1215" t="str">
        <f>"1578726217519856"</f>
        <v>1578726217519856</v>
      </c>
      <c r="C1215" t="s">
        <v>40</v>
      </c>
      <c r="D1215">
        <v>7.2931629999999998</v>
      </c>
      <c r="E1215">
        <v>0.46740739999999997</v>
      </c>
      <c r="F1215" t="s">
        <v>42</v>
      </c>
      <c r="G1215">
        <v>-279.53399999999999</v>
      </c>
      <c r="H1215">
        <v>0.94808020000000004</v>
      </c>
      <c r="I1215">
        <v>141.5421</v>
      </c>
      <c r="J1215">
        <v>-279.1223</v>
      </c>
      <c r="K1215">
        <v>1.103969</v>
      </c>
      <c r="L1215">
        <v>141.60059999999999</v>
      </c>
      <c r="M1215">
        <v>-0.99955179999999999</v>
      </c>
      <c r="N1215">
        <v>0</v>
      </c>
      <c r="O1215">
        <v>2.7806520000000001E-2</v>
      </c>
      <c r="P1215">
        <v>-0.99373080000000003</v>
      </c>
      <c r="Q1215">
        <v>0.1115066</v>
      </c>
      <c r="R1215">
        <v>8.0924280000000005E-3</v>
      </c>
      <c r="S1215">
        <v>-3.0950009999999999</v>
      </c>
      <c r="T1215">
        <v>-0.65970430000000002</v>
      </c>
      <c r="U1215">
        <v>-0.2106171</v>
      </c>
      <c r="V1215">
        <v>-1.952984E-2</v>
      </c>
      <c r="W1215">
        <v>0.12252300000000001</v>
      </c>
      <c r="X1215">
        <v>0.99227350000000003</v>
      </c>
      <c r="Y1215">
        <v>-9.2910809999999996E-2</v>
      </c>
      <c r="Z1215">
        <v>-1.5636890000000001E-2</v>
      </c>
      <c r="AA1215">
        <v>0.99555159999999998</v>
      </c>
      <c r="AB1215">
        <v>30</v>
      </c>
      <c r="AC1215">
        <v>-0.41169999999999601</v>
      </c>
      <c r="AD1215">
        <v>-0.15588879999999999</v>
      </c>
      <c r="AE1215">
        <v>-5.8499999999980901E-2</v>
      </c>
      <c r="AF1215">
        <v>-6.1309806494768297E-2</v>
      </c>
      <c r="AG1215">
        <v>-0.15588879999999999</v>
      </c>
      <c r="AH1215">
        <v>0.35940478918778501</v>
      </c>
      <c r="AI1215">
        <v>113.14986270575299</v>
      </c>
      <c r="AJ1215">
        <v>99.680733448534895</v>
      </c>
      <c r="AK1215">
        <v>0.39652492081706803</v>
      </c>
      <c r="AL1215">
        <v>82.962265447621903</v>
      </c>
      <c r="AM1215">
        <v>91.127544927064406</v>
      </c>
      <c r="AN1215">
        <v>0.99999999949083695</v>
      </c>
    </row>
    <row r="1216" spans="1:40" x14ac:dyDescent="0.3">
      <c r="A1216" t="str">
        <f>"20200111150337551"</f>
        <v>20200111150337551</v>
      </c>
      <c r="B1216" t="str">
        <f>"1578726217539380"</f>
        <v>1578726217539380</v>
      </c>
      <c r="C1216" t="s">
        <v>40</v>
      </c>
      <c r="D1216">
        <v>5.8253219999999999</v>
      </c>
      <c r="E1216">
        <v>0.46813709999999997</v>
      </c>
      <c r="F1216" t="s">
        <v>42</v>
      </c>
      <c r="G1216">
        <v>-279.82459999999998</v>
      </c>
      <c r="H1216">
        <v>0.98153599999999996</v>
      </c>
      <c r="I1216">
        <v>141.54470000000001</v>
      </c>
      <c r="J1216">
        <v>-279.41559999999998</v>
      </c>
      <c r="K1216">
        <v>1.1039650000000001</v>
      </c>
      <c r="L1216">
        <v>141.6088</v>
      </c>
      <c r="M1216">
        <v>-0.99955050000000001</v>
      </c>
      <c r="N1216">
        <v>0</v>
      </c>
      <c r="O1216">
        <v>2.7857949999999999E-2</v>
      </c>
      <c r="P1216">
        <v>-0.9937319</v>
      </c>
      <c r="Q1216">
        <v>0.1115448</v>
      </c>
      <c r="R1216">
        <v>7.4332419999999996E-3</v>
      </c>
      <c r="S1216">
        <v>-3.081207</v>
      </c>
      <c r="T1216">
        <v>-0.5373019</v>
      </c>
      <c r="U1216">
        <v>-0.2458649</v>
      </c>
      <c r="V1216">
        <v>-2.0238519999999999E-2</v>
      </c>
      <c r="W1216">
        <v>0.1225623</v>
      </c>
      <c r="X1216">
        <v>0.99225439999999998</v>
      </c>
      <c r="Y1216">
        <v>-0.105285</v>
      </c>
      <c r="Z1216">
        <v>-1.391211E-2</v>
      </c>
      <c r="AA1216">
        <v>0.99434480000000003</v>
      </c>
      <c r="AB1216">
        <v>31</v>
      </c>
      <c r="AC1216">
        <v>-0.40899999999999098</v>
      </c>
      <c r="AD1216">
        <v>-0.122428999999999</v>
      </c>
      <c r="AE1216">
        <v>-6.4099999999996202E-2</v>
      </c>
      <c r="AF1216">
        <v>-6.9400328778549403E-2</v>
      </c>
      <c r="AG1216">
        <v>-0.122428999999999</v>
      </c>
      <c r="AH1216">
        <v>0.37431941397458401</v>
      </c>
      <c r="AI1216">
        <v>107.827290001648</v>
      </c>
      <c r="AJ1216">
        <v>100.503599812109</v>
      </c>
      <c r="AK1216">
        <v>0.39990034927947599</v>
      </c>
      <c r="AL1216">
        <v>82.959996306973594</v>
      </c>
      <c r="AM1216">
        <v>91.168471530762801</v>
      </c>
      <c r="AN1216">
        <v>0.99999995469621905</v>
      </c>
    </row>
    <row r="1217" spans="1:40" x14ac:dyDescent="0.3">
      <c r="A1217" t="str">
        <f>"20200111150337572"</f>
        <v>20200111150337572</v>
      </c>
      <c r="B1217" t="str">
        <f>"1578726217569632"</f>
        <v>1578726217569632</v>
      </c>
      <c r="C1217" t="s">
        <v>40</v>
      </c>
      <c r="D1217">
        <v>5.5848690000000003</v>
      </c>
      <c r="E1217">
        <v>0.48079820000000001</v>
      </c>
      <c r="F1217" t="s">
        <v>68</v>
      </c>
      <c r="G1217">
        <v>-286.58019999999999</v>
      </c>
      <c r="H1217" s="1">
        <v>-7.289336E-6</v>
      </c>
      <c r="I1217">
        <v>141.0478</v>
      </c>
      <c r="J1217">
        <v>-279.71080000000001</v>
      </c>
      <c r="K1217">
        <v>1.103963</v>
      </c>
      <c r="L1217">
        <v>141.61709999999999</v>
      </c>
      <c r="M1217">
        <v>-0.99954900000000002</v>
      </c>
      <c r="N1217">
        <v>0</v>
      </c>
      <c r="O1217">
        <v>2.7912159999999998E-2</v>
      </c>
      <c r="P1217">
        <v>-0.99369470000000004</v>
      </c>
      <c r="Q1217">
        <v>0.1119248</v>
      </c>
      <c r="R1217">
        <v>6.6372489999999996E-3</v>
      </c>
      <c r="S1217">
        <v>-3.0738829999999999</v>
      </c>
      <c r="T1217">
        <v>-0.4736457</v>
      </c>
      <c r="U1217">
        <v>-0.24070739999999999</v>
      </c>
      <c r="V1217">
        <v>-2.1085860000000001E-2</v>
      </c>
      <c r="W1217">
        <v>0.1229442</v>
      </c>
      <c r="X1217">
        <v>0.99218949999999995</v>
      </c>
      <c r="Y1217">
        <v>-0.1043147</v>
      </c>
      <c r="Z1217">
        <v>-1.2247879999999999E-2</v>
      </c>
      <c r="AA1217">
        <v>0.99446889999999999</v>
      </c>
      <c r="AB1217">
        <v>31</v>
      </c>
      <c r="AC1217">
        <v>-6.8693999999999802</v>
      </c>
      <c r="AD1217">
        <v>-1.1039702893359999</v>
      </c>
      <c r="AE1217">
        <v>-0.56929999999999803</v>
      </c>
      <c r="AF1217">
        <v>-0.74180175248199398</v>
      </c>
      <c r="AG1217">
        <v>-1.1039702893359999</v>
      </c>
      <c r="AH1217">
        <v>6.6794960068983897</v>
      </c>
      <c r="AI1217">
        <v>99.328528253716996</v>
      </c>
      <c r="AJ1217">
        <v>96.337103477098793</v>
      </c>
      <c r="AK1217">
        <v>6.81063045142617</v>
      </c>
      <c r="AL1217">
        <v>82.937948247837497</v>
      </c>
      <c r="AM1217">
        <v>91.217457909199197</v>
      </c>
      <c r="AN1217">
        <v>0.99999994685791305</v>
      </c>
    </row>
    <row r="1218" spans="1:40" x14ac:dyDescent="0.3">
      <c r="A1218" t="str">
        <f>"20200111150337595"</f>
        <v>20200111150337595</v>
      </c>
      <c r="B1218" t="str">
        <f>"1578726217589154"</f>
        <v>1578726217589154</v>
      </c>
      <c r="C1218" t="s">
        <v>40</v>
      </c>
      <c r="D1218">
        <v>5.5677440000000002</v>
      </c>
      <c r="E1218">
        <v>0.47459479999999998</v>
      </c>
      <c r="F1218" t="s">
        <v>44</v>
      </c>
      <c r="G1218">
        <v>0</v>
      </c>
      <c r="H1218">
        <v>0</v>
      </c>
      <c r="I1218">
        <v>0</v>
      </c>
      <c r="J1218">
        <v>-280.0265</v>
      </c>
      <c r="K1218">
        <v>1.103963</v>
      </c>
      <c r="L1218">
        <v>141.626</v>
      </c>
      <c r="M1218">
        <v>-0.99954710000000002</v>
      </c>
      <c r="N1218">
        <v>0</v>
      </c>
      <c r="O1218">
        <v>2.7971179999999998E-2</v>
      </c>
      <c r="P1218">
        <v>-0.99364540000000001</v>
      </c>
      <c r="Q1218">
        <v>0.1123976</v>
      </c>
      <c r="R1218">
        <v>5.9770639999999998E-3</v>
      </c>
      <c r="S1218">
        <v>-3.0011290000000002</v>
      </c>
      <c r="T1218">
        <v>0.16707520000000001</v>
      </c>
      <c r="U1218">
        <v>-0.13514709999999999</v>
      </c>
      <c r="V1218">
        <v>-2.1802269999999999E-2</v>
      </c>
      <c r="W1218">
        <v>0.12341829999999999</v>
      </c>
      <c r="X1218">
        <v>0.99211519999999997</v>
      </c>
      <c r="Y1218">
        <v>-7.2757779999999994E-2</v>
      </c>
      <c r="Z1218">
        <v>3.5780260000000002E-3</v>
      </c>
      <c r="AA1218">
        <v>0.99734319999999999</v>
      </c>
      <c r="AB1218">
        <v>31</v>
      </c>
      <c r="AC1218">
        <v>-3.0011290000000002</v>
      </c>
      <c r="AD1218">
        <v>0.16707520000000001</v>
      </c>
      <c r="AE1218">
        <v>-0.13514709999999999</v>
      </c>
      <c r="AF1218">
        <v>-0.21836909804587201</v>
      </c>
      <c r="AG1218">
        <v>0.16707520000000001</v>
      </c>
      <c r="AH1218">
        <v>2.98693566275931</v>
      </c>
      <c r="AI1218">
        <v>86.806982357808593</v>
      </c>
      <c r="AJ1218">
        <v>94.1813449108936</v>
      </c>
      <c r="AK1218">
        <v>2.9995639414587898</v>
      </c>
      <c r="AL1218">
        <v>82.910576182241698</v>
      </c>
      <c r="AM1218">
        <v>91.258903226993795</v>
      </c>
      <c r="AN1218">
        <v>0.99999999291154096</v>
      </c>
    </row>
    <row r="1219" spans="1:40" x14ac:dyDescent="0.3">
      <c r="A1219" t="str">
        <f>"20200111150337617"</f>
        <v>20200111150337617</v>
      </c>
      <c r="B1219" t="str">
        <f>"1578726217609648"</f>
        <v>1578726217609648</v>
      </c>
      <c r="C1219" t="s">
        <v>40</v>
      </c>
      <c r="D1219">
        <v>5.645079</v>
      </c>
      <c r="E1219">
        <v>0.47414869999999998</v>
      </c>
      <c r="F1219" t="s">
        <v>68</v>
      </c>
      <c r="G1219">
        <v>-290.6703</v>
      </c>
      <c r="H1219" s="1">
        <v>-9.2260329999999997E-6</v>
      </c>
      <c r="I1219">
        <v>140.95679999999999</v>
      </c>
      <c r="J1219">
        <v>-280.33589999999998</v>
      </c>
      <c r="K1219">
        <v>1.1039650000000001</v>
      </c>
      <c r="L1219">
        <v>141.63470000000001</v>
      </c>
      <c r="M1219">
        <v>-0.99954549999999998</v>
      </c>
      <c r="N1219">
        <v>0</v>
      </c>
      <c r="O1219">
        <v>2.8028999999999998E-2</v>
      </c>
      <c r="P1219">
        <v>-0.9937106</v>
      </c>
      <c r="Q1219">
        <v>0.11183120000000001</v>
      </c>
      <c r="R1219">
        <v>5.7709900000000001E-3</v>
      </c>
      <c r="S1219">
        <v>-3.056152</v>
      </c>
      <c r="T1219">
        <v>-0.3169825</v>
      </c>
      <c r="U1219">
        <v>-0.1921387</v>
      </c>
      <c r="V1219">
        <v>-2.206733E-2</v>
      </c>
      <c r="W1219">
        <v>0.1228543</v>
      </c>
      <c r="X1219">
        <v>0.99217929999999999</v>
      </c>
      <c r="Y1219">
        <v>-9.0065140000000002E-2</v>
      </c>
      <c r="Z1219">
        <v>-7.5507719999999999E-3</v>
      </c>
      <c r="AA1219">
        <v>0.99590719999999999</v>
      </c>
      <c r="AB1219">
        <v>31</v>
      </c>
      <c r="AC1219">
        <v>-10.3344</v>
      </c>
      <c r="AD1219">
        <v>-1.1039742260330001</v>
      </c>
      <c r="AE1219">
        <v>-0.67790000000002204</v>
      </c>
      <c r="AF1219">
        <v>-0.95644652334400004</v>
      </c>
      <c r="AG1219">
        <v>-1.1039742260330001</v>
      </c>
      <c r="AH1219">
        <v>10.1954886256354</v>
      </c>
      <c r="AI1219">
        <v>96.153139811657596</v>
      </c>
      <c r="AJ1219">
        <v>95.359275910694194</v>
      </c>
      <c r="AK1219">
        <v>10.2995891840025</v>
      </c>
      <c r="AL1219">
        <v>82.943138540821906</v>
      </c>
      <c r="AM1219">
        <v>91.274120970965001</v>
      </c>
      <c r="AN1219">
        <v>0.99999995471515302</v>
      </c>
    </row>
    <row r="1220" spans="1:40" x14ac:dyDescent="0.3">
      <c r="A1220" t="str">
        <f>"20200111150337638"</f>
        <v>20200111150337638</v>
      </c>
      <c r="B1220" t="str">
        <f>"1578726217629171"</f>
        <v>1578726217629171</v>
      </c>
      <c r="C1220" t="s">
        <v>40</v>
      </c>
      <c r="D1220">
        <v>5.6623049999999999</v>
      </c>
      <c r="E1220">
        <v>0.4739025</v>
      </c>
      <c r="F1220" t="s">
        <v>68</v>
      </c>
      <c r="G1220">
        <v>-290.94670000000002</v>
      </c>
      <c r="H1220" s="1">
        <v>-9.1980840000000005E-6</v>
      </c>
      <c r="I1220">
        <v>140.95359999999999</v>
      </c>
      <c r="J1220">
        <v>-280.63319999999999</v>
      </c>
      <c r="K1220">
        <v>1.103961</v>
      </c>
      <c r="L1220">
        <v>141.6431</v>
      </c>
      <c r="M1220">
        <v>-0.99954390000000004</v>
      </c>
      <c r="N1220">
        <v>0</v>
      </c>
      <c r="O1220">
        <v>2.8084189999999998E-2</v>
      </c>
      <c r="P1220">
        <v>-0.99377009999999999</v>
      </c>
      <c r="Q1220">
        <v>0.11130619999999999</v>
      </c>
      <c r="R1220">
        <v>5.6530909999999998E-3</v>
      </c>
      <c r="S1220">
        <v>-3.0559080000000001</v>
      </c>
      <c r="T1220">
        <v>-0.31794309999999998</v>
      </c>
      <c r="U1220">
        <v>-0.19616700000000001</v>
      </c>
      <c r="V1220">
        <v>-2.2241460000000001E-2</v>
      </c>
      <c r="W1220">
        <v>0.1223318</v>
      </c>
      <c r="X1220">
        <v>0.99224000000000001</v>
      </c>
      <c r="Y1220">
        <v>-9.1421100000000005E-2</v>
      </c>
      <c r="Z1220">
        <v>-7.6498299999999998E-3</v>
      </c>
      <c r="AA1220">
        <v>0.99578290000000003</v>
      </c>
      <c r="AB1220">
        <v>31</v>
      </c>
      <c r="AC1220">
        <v>-10.313499999999999</v>
      </c>
      <c r="AD1220">
        <v>-1.103970198084</v>
      </c>
      <c r="AE1220">
        <v>-0.68950000000000899</v>
      </c>
      <c r="AF1220">
        <v>-0.96785200394733695</v>
      </c>
      <c r="AG1220">
        <v>-1.103970198084</v>
      </c>
      <c r="AH1220">
        <v>10.174012753926</v>
      </c>
      <c r="AI1220">
        <v>96.165250279656306</v>
      </c>
      <c r="AJ1220">
        <v>95.434184028854105</v>
      </c>
      <c r="AK1220">
        <v>10.2793979987571</v>
      </c>
      <c r="AL1220">
        <v>82.973303329921293</v>
      </c>
      <c r="AM1220">
        <v>91.284092982932094</v>
      </c>
      <c r="AN1220">
        <v>0.99999998471708496</v>
      </c>
    </row>
    <row r="1221" spans="1:40" x14ac:dyDescent="0.3">
      <c r="A1221" t="str">
        <f>"20200111150337661"</f>
        <v>20200111150337661</v>
      </c>
      <c r="B1221" t="str">
        <f>"1578726217649664"</f>
        <v>1578726217649664</v>
      </c>
      <c r="C1221" t="s">
        <v>40</v>
      </c>
      <c r="D1221">
        <v>5.6655179999999996</v>
      </c>
      <c r="E1221">
        <v>0.47466540000000002</v>
      </c>
      <c r="F1221" t="s">
        <v>68</v>
      </c>
      <c r="G1221">
        <v>-291.47719999999998</v>
      </c>
      <c r="H1221" s="1">
        <v>-9.1444520000000007E-6</v>
      </c>
      <c r="I1221">
        <v>140.9402</v>
      </c>
      <c r="J1221">
        <v>-280.9348</v>
      </c>
      <c r="K1221">
        <v>1.103955</v>
      </c>
      <c r="L1221">
        <v>141.6516</v>
      </c>
      <c r="M1221">
        <v>-0.9995425</v>
      </c>
      <c r="N1221">
        <v>0</v>
      </c>
      <c r="O1221">
        <v>2.8139020000000001E-2</v>
      </c>
      <c r="P1221">
        <v>-0.99379930000000005</v>
      </c>
      <c r="Q1221">
        <v>0.1110638</v>
      </c>
      <c r="R1221">
        <v>5.3137799999999997E-3</v>
      </c>
      <c r="S1221">
        <v>-3.0547789999999999</v>
      </c>
      <c r="T1221">
        <v>-0.31099310000000002</v>
      </c>
      <c r="U1221">
        <v>-0.1980133</v>
      </c>
      <c r="V1221">
        <v>-2.2635780000000001E-2</v>
      </c>
      <c r="W1221">
        <v>0.1220919</v>
      </c>
      <c r="X1221">
        <v>0.99226060000000005</v>
      </c>
      <c r="Y1221">
        <v>-9.2121990000000001E-2</v>
      </c>
      <c r="Z1221">
        <v>-7.5271950000000004E-3</v>
      </c>
      <c r="AA1221">
        <v>0.99571929999999997</v>
      </c>
      <c r="AB1221">
        <v>31</v>
      </c>
      <c r="AC1221">
        <v>-10.542399999999899</v>
      </c>
      <c r="AD1221">
        <v>-1.1039641444519901</v>
      </c>
      <c r="AE1221">
        <v>-0.71139999999999703</v>
      </c>
      <c r="AF1221">
        <v>-0.99690721556260298</v>
      </c>
      <c r="AG1221">
        <v>-1.1039641444519901</v>
      </c>
      <c r="AH1221">
        <v>10.404630107670201</v>
      </c>
      <c r="AI1221">
        <v>96.029196109100397</v>
      </c>
      <c r="AJ1221">
        <v>95.473019573529598</v>
      </c>
      <c r="AK1221">
        <v>10.5104180937827</v>
      </c>
      <c r="AL1221">
        <v>82.987152186442898</v>
      </c>
      <c r="AM1221">
        <v>91.306823786173695</v>
      </c>
      <c r="AN1221">
        <v>0.999999954447088</v>
      </c>
    </row>
    <row r="1222" spans="1:40" x14ac:dyDescent="0.3">
      <c r="A1222" t="str">
        <f>"20200111150337684"</f>
        <v>20200111150337684</v>
      </c>
      <c r="B1222" t="str">
        <f>"1578726217679921"</f>
        <v>1578726217679921</v>
      </c>
      <c r="C1222" t="s">
        <v>40</v>
      </c>
      <c r="D1222">
        <v>5.8304019999999896</v>
      </c>
      <c r="E1222">
        <v>0.4745084</v>
      </c>
      <c r="F1222" t="s">
        <v>68</v>
      </c>
      <c r="G1222">
        <v>-291.74439999999998</v>
      </c>
      <c r="H1222" s="1">
        <v>-9.1286840000000008E-6</v>
      </c>
      <c r="I1222">
        <v>140.96940000000001</v>
      </c>
      <c r="J1222">
        <v>-281.25009999999997</v>
      </c>
      <c r="K1222">
        <v>1.103955</v>
      </c>
      <c r="L1222">
        <v>141.66050000000001</v>
      </c>
      <c r="M1222">
        <v>-0.99954080000000001</v>
      </c>
      <c r="N1222">
        <v>0</v>
      </c>
      <c r="O1222">
        <v>2.8195870000000001E-2</v>
      </c>
      <c r="P1222">
        <v>-0.9937916</v>
      </c>
      <c r="Q1222">
        <v>0.11114789999999999</v>
      </c>
      <c r="R1222">
        <v>4.9450220000000003E-3</v>
      </c>
      <c r="S1222">
        <v>-3.0546259999999998</v>
      </c>
      <c r="T1222">
        <v>-0.31196079999999998</v>
      </c>
      <c r="U1222">
        <v>-0.19277949999999999</v>
      </c>
      <c r="V1222">
        <v>-2.3060890000000001E-2</v>
      </c>
      <c r="W1222">
        <v>0.12217749999999999</v>
      </c>
      <c r="X1222">
        <v>0.99224029999999996</v>
      </c>
      <c r="Y1222">
        <v>-9.0486819999999996E-2</v>
      </c>
      <c r="Z1222">
        <v>-7.4738519999999996E-3</v>
      </c>
      <c r="AA1222">
        <v>0.99586960000000002</v>
      </c>
      <c r="AB1222">
        <v>31</v>
      </c>
      <c r="AC1222">
        <v>-10.494300000000001</v>
      </c>
      <c r="AD1222">
        <v>-1.1039641286839901</v>
      </c>
      <c r="AE1222">
        <v>-0.69110000000000504</v>
      </c>
      <c r="AF1222">
        <v>-0.97598541904887703</v>
      </c>
      <c r="AG1222">
        <v>-1.1039641286839901</v>
      </c>
      <c r="AH1222">
        <v>10.356526097634699</v>
      </c>
      <c r="AI1222">
        <v>96.057884610363999</v>
      </c>
      <c r="AJ1222">
        <v>95.383579523272999</v>
      </c>
      <c r="AK1222">
        <v>10.460827746722799</v>
      </c>
      <c r="AL1222">
        <v>82.982210850061506</v>
      </c>
      <c r="AM1222">
        <v>91.331384993250495</v>
      </c>
      <c r="AN1222">
        <v>0.99999997954896502</v>
      </c>
    </row>
    <row r="1223" spans="1:40" x14ac:dyDescent="0.3">
      <c r="A1223" t="str">
        <f>"20200111150337706"</f>
        <v>20200111150337706</v>
      </c>
      <c r="B1223" t="str">
        <f>"1578726217699994"</f>
        <v>1578726217699994</v>
      </c>
      <c r="C1223" t="s">
        <v>40</v>
      </c>
      <c r="D1223">
        <v>5.6891429999999996</v>
      </c>
      <c r="E1223">
        <v>0.47447729999999999</v>
      </c>
      <c r="F1223" t="s">
        <v>68</v>
      </c>
      <c r="G1223">
        <v>-292.18549999999999</v>
      </c>
      <c r="H1223" s="1">
        <v>-9.0880599999999992E-6</v>
      </c>
      <c r="I1223">
        <v>140.9623</v>
      </c>
      <c r="J1223">
        <v>-281.56200000000001</v>
      </c>
      <c r="K1223">
        <v>1.1039559999999999</v>
      </c>
      <c r="L1223">
        <v>141.6694</v>
      </c>
      <c r="M1223">
        <v>-0.99953910000000001</v>
      </c>
      <c r="N1223">
        <v>0</v>
      </c>
      <c r="O1223">
        <v>2.825153E-2</v>
      </c>
      <c r="P1223">
        <v>-0.99375800000000003</v>
      </c>
      <c r="Q1223">
        <v>0.1114686</v>
      </c>
      <c r="R1223">
        <v>4.4717139999999999E-3</v>
      </c>
      <c r="S1223">
        <v>-3.0541689999999999</v>
      </c>
      <c r="T1223">
        <v>-0.30832589999999999</v>
      </c>
      <c r="U1223">
        <v>-0.19500729999999999</v>
      </c>
      <c r="V1223">
        <v>-2.358797E-2</v>
      </c>
      <c r="W1223">
        <v>0.12250030000000001</v>
      </c>
      <c r="X1223">
        <v>0.99218819999999996</v>
      </c>
      <c r="Y1223">
        <v>-9.1284870000000004E-2</v>
      </c>
      <c r="Z1223">
        <v>-7.4338889999999999E-3</v>
      </c>
      <c r="AA1223">
        <v>0.99579709999999999</v>
      </c>
      <c r="AB1223">
        <v>31</v>
      </c>
      <c r="AC1223">
        <v>-10.6234999999999</v>
      </c>
      <c r="AD1223">
        <v>-1.10396508806</v>
      </c>
      <c r="AE1223">
        <v>-0.70709999999999695</v>
      </c>
      <c r="AF1223">
        <v>-0.99625546759663897</v>
      </c>
      <c r="AG1223">
        <v>-1.10396508806</v>
      </c>
      <c r="AH1223">
        <v>10.486538631266299</v>
      </c>
      <c r="AI1223">
        <v>95.982906200418299</v>
      </c>
      <c r="AJ1223">
        <v>95.4269982159216</v>
      </c>
      <c r="AK1223">
        <v>10.5914473202397</v>
      </c>
      <c r="AL1223">
        <v>82.963576432421306</v>
      </c>
      <c r="AM1223">
        <v>91.361875296457796</v>
      </c>
      <c r="AN1223">
        <v>1.0000000700240199</v>
      </c>
    </row>
    <row r="1224" spans="1:40" x14ac:dyDescent="0.3">
      <c r="A1224" t="str">
        <f>"20200111150337730"</f>
        <v>20200111150337730</v>
      </c>
      <c r="B1224" t="str">
        <f>"1578726217719514"</f>
        <v>1578726217719514</v>
      </c>
      <c r="C1224" t="s">
        <v>40</v>
      </c>
      <c r="D1224">
        <v>5.6654410000000004</v>
      </c>
      <c r="E1224">
        <v>0.47371210000000002</v>
      </c>
      <c r="F1224" t="s">
        <v>68</v>
      </c>
      <c r="G1224">
        <v>-292.53489999999999</v>
      </c>
      <c r="H1224" s="1">
        <v>-9.0574689999999995E-6</v>
      </c>
      <c r="I1224">
        <v>140.96270000000001</v>
      </c>
      <c r="J1224">
        <v>-281.87150000000003</v>
      </c>
      <c r="K1224">
        <v>1.1039509999999999</v>
      </c>
      <c r="L1224">
        <v>141.6782</v>
      </c>
      <c r="M1224">
        <v>-0.99953769999999997</v>
      </c>
      <c r="N1224">
        <v>0</v>
      </c>
      <c r="O1224">
        <v>2.8306359999999999E-2</v>
      </c>
      <c r="P1224">
        <v>-0.99378619999999995</v>
      </c>
      <c r="Q1224">
        <v>0.1112418</v>
      </c>
      <c r="R1224">
        <v>3.79167E-3</v>
      </c>
      <c r="S1224">
        <v>-3.0541689999999999</v>
      </c>
      <c r="T1224">
        <v>-0.30727349999999998</v>
      </c>
      <c r="U1224">
        <v>-0.19670099999999999</v>
      </c>
      <c r="V1224">
        <v>-2.4323379999999999E-2</v>
      </c>
      <c r="W1224">
        <v>0.12227499999999999</v>
      </c>
      <c r="X1224">
        <v>0.99219820000000003</v>
      </c>
      <c r="Y1224">
        <v>-9.1890269999999996E-2</v>
      </c>
      <c r="Z1224">
        <v>-7.44436199999999E-3</v>
      </c>
      <c r="AA1224">
        <v>0.99574130000000005</v>
      </c>
      <c r="AB1224">
        <v>31</v>
      </c>
      <c r="AC1224">
        <v>-10.6633999999999</v>
      </c>
      <c r="AD1224">
        <v>-1.1039600574690001</v>
      </c>
      <c r="AE1224">
        <v>-0.71549999999999103</v>
      </c>
      <c r="AF1224">
        <v>-1.0063362769089601</v>
      </c>
      <c r="AG1224">
        <v>-1.1039600574690001</v>
      </c>
      <c r="AH1224">
        <v>10.526553817508599</v>
      </c>
      <c r="AI1224">
        <v>95.959966749454196</v>
      </c>
      <c r="AJ1224">
        <v>95.460868323019398</v>
      </c>
      <c r="AK1224">
        <v>10.632016543610799</v>
      </c>
      <c r="AL1224">
        <v>82.976582703397199</v>
      </c>
      <c r="AM1224">
        <v>91.404304042549697</v>
      </c>
      <c r="AN1224">
        <v>1.00000003526143</v>
      </c>
    </row>
    <row r="1225" spans="1:40" x14ac:dyDescent="0.3">
      <c r="A1225" t="str">
        <f>"20200111150337750"</f>
        <v>20200111150337750</v>
      </c>
      <c r="B1225" t="str">
        <f>"1578726217740011"</f>
        <v>1578726217740011</v>
      </c>
      <c r="C1225" t="s">
        <v>40</v>
      </c>
      <c r="D1225">
        <v>5.6763519999999996</v>
      </c>
      <c r="E1225">
        <v>0.47328049999999999</v>
      </c>
      <c r="F1225" t="s">
        <v>68</v>
      </c>
      <c r="G1225">
        <v>-293.05079999999998</v>
      </c>
      <c r="H1225" s="1">
        <v>-9.0030769999999905E-6</v>
      </c>
      <c r="I1225">
        <v>140.9282</v>
      </c>
      <c r="J1225">
        <v>-282.15859999999998</v>
      </c>
      <c r="K1225">
        <v>1.103953</v>
      </c>
      <c r="L1225">
        <v>141.68639999999999</v>
      </c>
      <c r="M1225">
        <v>-0.99953619999999999</v>
      </c>
      <c r="N1225">
        <v>0</v>
      </c>
      <c r="O1225">
        <v>2.835737E-2</v>
      </c>
      <c r="P1225">
        <v>-0.99377009999999999</v>
      </c>
      <c r="Q1225">
        <v>0.11140839999999901</v>
      </c>
      <c r="R1225">
        <v>3.0651860000000001E-3</v>
      </c>
      <c r="S1225">
        <v>-3.0532840000000001</v>
      </c>
      <c r="T1225">
        <v>-0.30151359999999999</v>
      </c>
      <c r="U1225">
        <v>-0.20481869999999999</v>
      </c>
      <c r="V1225">
        <v>-2.5099710000000001E-2</v>
      </c>
      <c r="W1225">
        <v>0.122443</v>
      </c>
      <c r="X1225">
        <v>0.99215810000000004</v>
      </c>
      <c r="Y1225">
        <v>-9.4603960000000001E-2</v>
      </c>
      <c r="Z1225">
        <v>-7.44552699999999E-3</v>
      </c>
      <c r="AA1225">
        <v>0.99548720000000002</v>
      </c>
      <c r="AB1225">
        <v>31</v>
      </c>
      <c r="AC1225">
        <v>-10.892200000000001</v>
      </c>
      <c r="AD1225">
        <v>-1.1039620030770001</v>
      </c>
      <c r="AE1225">
        <v>-0.758199999999987</v>
      </c>
      <c r="AF1225">
        <v>-1.0559928325485599</v>
      </c>
      <c r="AG1225">
        <v>-1.1039620030770001</v>
      </c>
      <c r="AH1225">
        <v>10.7563552008803</v>
      </c>
      <c r="AI1225">
        <v>95.832103186284996</v>
      </c>
      <c r="AJ1225">
        <v>95.606979937028996</v>
      </c>
      <c r="AK1225">
        <v>10.8643007218199</v>
      </c>
      <c r="AL1225">
        <v>82.966883813672794</v>
      </c>
      <c r="AM1225">
        <v>91.449164981427401</v>
      </c>
      <c r="AN1225">
        <v>0.99999998954334701</v>
      </c>
    </row>
    <row r="1226" spans="1:40" x14ac:dyDescent="0.3">
      <c r="A1226" t="str">
        <f>"20200111150337773"</f>
        <v>20200111150337773</v>
      </c>
      <c r="B1226" t="str">
        <f>"1578726217769291"</f>
        <v>1578726217769291</v>
      </c>
      <c r="C1226" t="s">
        <v>40</v>
      </c>
      <c r="D1226">
        <v>5.7234819999999997</v>
      </c>
      <c r="E1226">
        <v>0.47293220000000002</v>
      </c>
      <c r="F1226" t="s">
        <v>68</v>
      </c>
      <c r="G1226">
        <v>-293.49189999999999</v>
      </c>
      <c r="H1226" s="1">
        <v>-8.9586409999999997E-6</v>
      </c>
      <c r="I1226">
        <v>140.9067</v>
      </c>
      <c r="J1226">
        <v>-282.46890000000002</v>
      </c>
      <c r="K1226">
        <v>1.1039509999999999</v>
      </c>
      <c r="L1226">
        <v>141.6952</v>
      </c>
      <c r="M1226">
        <v>-0.99953460000000005</v>
      </c>
      <c r="N1226">
        <v>0</v>
      </c>
      <c r="O1226">
        <v>2.8412670000000001E-2</v>
      </c>
      <c r="P1226">
        <v>-0.99378599999999995</v>
      </c>
      <c r="Q1226">
        <v>0.11129989999999999</v>
      </c>
      <c r="R1226">
        <v>1.3782130000000001E-3</v>
      </c>
      <c r="S1226">
        <v>-3.0527950000000001</v>
      </c>
      <c r="T1226">
        <v>-0.2973691</v>
      </c>
      <c r="U1226">
        <v>-0.21002199999999999</v>
      </c>
      <c r="V1226">
        <v>-2.6841029999999998E-2</v>
      </c>
      <c r="W1226">
        <v>0.1223361</v>
      </c>
      <c r="X1226">
        <v>0.9921257</v>
      </c>
      <c r="Y1226">
        <v>-9.6366010000000002E-2</v>
      </c>
      <c r="Z1226">
        <v>-7.4353149999999996E-3</v>
      </c>
      <c r="AA1226">
        <v>0.99531820000000004</v>
      </c>
      <c r="AB1226">
        <v>31</v>
      </c>
      <c r="AC1226">
        <v>-11.0229999999999</v>
      </c>
      <c r="AD1226">
        <v>-1.103959958641</v>
      </c>
      <c r="AE1226">
        <v>-0.78849999999999898</v>
      </c>
      <c r="AF1226">
        <v>-1.09051149791128</v>
      </c>
      <c r="AG1226">
        <v>-1.103959958641</v>
      </c>
      <c r="AH1226">
        <v>10.8874972610845</v>
      </c>
      <c r="AI1226">
        <v>95.761202083175206</v>
      </c>
      <c r="AJ1226">
        <v>95.719772571275698</v>
      </c>
      <c r="AK1226">
        <v>10.997524245369201</v>
      </c>
      <c r="AL1226">
        <v>82.973055084453904</v>
      </c>
      <c r="AM1226">
        <v>91.549705545530301</v>
      </c>
      <c r="AN1226">
        <v>0.99999998342758001</v>
      </c>
    </row>
    <row r="1227" spans="1:40" x14ac:dyDescent="0.3">
      <c r="A1227" t="str">
        <f>"20200111150337798"</f>
        <v>20200111150337798</v>
      </c>
      <c r="B1227" t="str">
        <f>"1578726217789787"</f>
        <v>1578726217789787</v>
      </c>
      <c r="C1227" t="s">
        <v>40</v>
      </c>
      <c r="D1227">
        <v>5.5996779999999999</v>
      </c>
      <c r="E1227">
        <v>0.47279660000000001</v>
      </c>
      <c r="F1227" t="s">
        <v>68</v>
      </c>
      <c r="G1227">
        <v>-293.81470000000002</v>
      </c>
      <c r="H1227" s="1">
        <v>-8.9253680000000001E-6</v>
      </c>
      <c r="I1227">
        <v>140.88800000000001</v>
      </c>
      <c r="J1227">
        <v>-282.8039</v>
      </c>
      <c r="K1227">
        <v>1.10395</v>
      </c>
      <c r="L1227">
        <v>141.70480000000001</v>
      </c>
      <c r="M1227">
        <v>-0.999533</v>
      </c>
      <c r="N1227">
        <v>0</v>
      </c>
      <c r="O1227">
        <v>2.8472319999999999E-2</v>
      </c>
      <c r="P1227">
        <v>-0.99379519999999999</v>
      </c>
      <c r="Q1227">
        <v>0.1112244</v>
      </c>
      <c r="R1227">
        <v>7.5009019999999998E-4</v>
      </c>
      <c r="S1227">
        <v>-3.0523069999999999</v>
      </c>
      <c r="T1227">
        <v>-0.29699300000000001</v>
      </c>
      <c r="U1227">
        <v>-0.2171478</v>
      </c>
      <c r="V1227">
        <v>-2.7529129999999999E-2</v>
      </c>
      <c r="W1227">
        <v>0.1222627</v>
      </c>
      <c r="X1227">
        <v>0.99211590000000005</v>
      </c>
      <c r="Y1227">
        <v>-9.8738339999999994E-2</v>
      </c>
      <c r="Z1227">
        <v>-7.5473409999999999E-3</v>
      </c>
      <c r="AA1227">
        <v>0.99508479999999999</v>
      </c>
      <c r="AB1227">
        <v>31</v>
      </c>
      <c r="AC1227">
        <v>-11.0108</v>
      </c>
      <c r="AD1227">
        <v>-1.103958925368</v>
      </c>
      <c r="AE1227">
        <v>-0.81679999999999997</v>
      </c>
      <c r="AF1227">
        <v>-1.1188060419632</v>
      </c>
      <c r="AG1227">
        <v>-1.103958925368</v>
      </c>
      <c r="AH1227">
        <v>10.874363068485501</v>
      </c>
      <c r="AI1227">
        <v>95.766540864797307</v>
      </c>
      <c r="AJ1227">
        <v>95.874193053486593</v>
      </c>
      <c r="AK1227">
        <v>10.987366582292401</v>
      </c>
      <c r="AL1227">
        <v>82.977292449056407</v>
      </c>
      <c r="AM1227">
        <v>91.589429558560497</v>
      </c>
      <c r="AN1227">
        <v>0.99999998992132799</v>
      </c>
    </row>
    <row r="1228" spans="1:40" x14ac:dyDescent="0.3">
      <c r="A1228" t="str">
        <f>"20200111150337820"</f>
        <v>20200111150337820</v>
      </c>
      <c r="B1228" t="str">
        <f>"1578726217809307"</f>
        <v>1578726217809307</v>
      </c>
      <c r="C1228" t="s">
        <v>40</v>
      </c>
      <c r="D1228">
        <v>5.6280760000000001</v>
      </c>
      <c r="E1228">
        <v>0.47278049999999999</v>
      </c>
      <c r="F1228" t="s">
        <v>68</v>
      </c>
      <c r="G1228">
        <v>-294.08749999999998</v>
      </c>
      <c r="H1228" s="1">
        <v>-8.901315E-6</v>
      </c>
      <c r="I1228">
        <v>140.8877</v>
      </c>
      <c r="J1228">
        <v>-283.10660000000001</v>
      </c>
      <c r="K1228">
        <v>1.103952</v>
      </c>
      <c r="L1228">
        <v>141.71350000000001</v>
      </c>
      <c r="M1228">
        <v>-0.99953139999999996</v>
      </c>
      <c r="N1228">
        <v>0</v>
      </c>
      <c r="O1228">
        <v>2.852613E-2</v>
      </c>
      <c r="P1228">
        <v>-0.9937435</v>
      </c>
      <c r="Q1228">
        <v>0.111684199999999</v>
      </c>
      <c r="R1228">
        <v>9.417157E-4</v>
      </c>
      <c r="S1228">
        <v>-3.0523069999999999</v>
      </c>
      <c r="T1228">
        <v>-0.2986298</v>
      </c>
      <c r="U1228">
        <v>-0.22103880000000001</v>
      </c>
      <c r="V1228">
        <v>-2.7388949999999999E-2</v>
      </c>
      <c r="W1228">
        <v>0.12272370000000001</v>
      </c>
      <c r="X1228">
        <v>0.99206289999999997</v>
      </c>
      <c r="Y1228">
        <v>-0.1000408</v>
      </c>
      <c r="Z1228">
        <v>-7.6571369999999996E-3</v>
      </c>
      <c r="AA1228">
        <v>0.99495389999999995</v>
      </c>
      <c r="AB1228">
        <v>31</v>
      </c>
      <c r="AC1228">
        <v>-10.980899999999901</v>
      </c>
      <c r="AD1228">
        <v>-1.103960901315</v>
      </c>
      <c r="AE1228">
        <v>-0.82580000000001497</v>
      </c>
      <c r="AF1228">
        <v>-1.1273950388595499</v>
      </c>
      <c r="AG1228">
        <v>-1.103960901315</v>
      </c>
      <c r="AH1228">
        <v>10.8438872781008</v>
      </c>
      <c r="AI1228">
        <v>95.782012397716898</v>
      </c>
      <c r="AJ1228">
        <v>95.935486027458396</v>
      </c>
      <c r="AK1228">
        <v>10.958085624114901</v>
      </c>
      <c r="AL1228">
        <v>82.950678954523298</v>
      </c>
      <c r="AM1228">
        <v>91.581424645446404</v>
      </c>
      <c r="AN1228">
        <v>1.0000000293400999</v>
      </c>
    </row>
    <row r="1229" spans="1:40" x14ac:dyDescent="0.3">
      <c r="A1229" t="str">
        <f>"20200111150337841"</f>
        <v>20200111150337841</v>
      </c>
      <c r="B1229" t="str">
        <f>"1578726217829803"</f>
        <v>1578726217829803</v>
      </c>
      <c r="C1229" t="s">
        <v>40</v>
      </c>
      <c r="D1229">
        <v>5.625311</v>
      </c>
      <c r="E1229">
        <v>0.47264620000000002</v>
      </c>
      <c r="F1229" t="s">
        <v>68</v>
      </c>
      <c r="G1229">
        <v>-294.40780000000001</v>
      </c>
      <c r="H1229" s="1">
        <v>-8.8750909999999995E-6</v>
      </c>
      <c r="I1229">
        <v>140.89490000000001</v>
      </c>
      <c r="J1229">
        <v>-283.4006</v>
      </c>
      <c r="K1229">
        <v>1.1039559999999999</v>
      </c>
      <c r="L1229">
        <v>141.72190000000001</v>
      </c>
      <c r="M1229">
        <v>-0.99952969999999997</v>
      </c>
      <c r="N1229">
        <v>0</v>
      </c>
      <c r="O1229">
        <v>2.857846E-2</v>
      </c>
      <c r="P1229">
        <v>-0.99371169999999998</v>
      </c>
      <c r="Q1229">
        <v>0.1119665</v>
      </c>
      <c r="R1229">
        <v>8.0663179999999998E-4</v>
      </c>
      <c r="S1229">
        <v>-3.0526119999999999</v>
      </c>
      <c r="T1229">
        <v>-0.29819519999999999</v>
      </c>
      <c r="U1229">
        <v>-0.22109989999999999</v>
      </c>
      <c r="V1229">
        <v>-2.7575780000000001E-2</v>
      </c>
      <c r="W1229">
        <v>0.12300709999999999</v>
      </c>
      <c r="X1229">
        <v>0.99202259999999998</v>
      </c>
      <c r="Y1229">
        <v>-0.1001069</v>
      </c>
      <c r="Z1229">
        <v>-7.6535919999999999E-3</v>
      </c>
      <c r="AA1229">
        <v>0.99494729999999998</v>
      </c>
      <c r="AB1229">
        <v>31</v>
      </c>
      <c r="AC1229">
        <v>-11.007199999999999</v>
      </c>
      <c r="AD1229">
        <v>-1.1039648750909901</v>
      </c>
      <c r="AE1229">
        <v>-0.82699999999999796</v>
      </c>
      <c r="AF1229">
        <v>-1.1299480486707401</v>
      </c>
      <c r="AG1229">
        <v>-1.1039648750909901</v>
      </c>
      <c r="AH1229">
        <v>10.8703362979358</v>
      </c>
      <c r="AI1229">
        <v>95.768070232184101</v>
      </c>
      <c r="AJ1229">
        <v>95.934459881254497</v>
      </c>
      <c r="AK1229">
        <v>10.9845223960056</v>
      </c>
      <c r="AL1229">
        <v>82.934317189213303</v>
      </c>
      <c r="AM1229">
        <v>91.592271233314094</v>
      </c>
      <c r="AN1229">
        <v>1.00000000460188</v>
      </c>
    </row>
    <row r="1230" spans="1:40" x14ac:dyDescent="0.3">
      <c r="A1230" t="str">
        <f>"20200111150337862"</f>
        <v>20200111150337862</v>
      </c>
      <c r="B1230" t="str">
        <f>"1578726217860059"</f>
        <v>1578726217860059</v>
      </c>
      <c r="C1230" t="s">
        <v>40</v>
      </c>
      <c r="D1230">
        <v>6.0023439999999999</v>
      </c>
      <c r="E1230">
        <v>0.47258860000000003</v>
      </c>
      <c r="F1230" t="s">
        <v>68</v>
      </c>
      <c r="G1230">
        <v>-294.69549999999998</v>
      </c>
      <c r="H1230" s="1">
        <v>-8.8515350000000006E-6</v>
      </c>
      <c r="I1230">
        <v>140.9014</v>
      </c>
      <c r="J1230">
        <v>-283.69850000000002</v>
      </c>
      <c r="K1230">
        <v>1.1039600000000001</v>
      </c>
      <c r="L1230">
        <v>141.73050000000001</v>
      </c>
      <c r="M1230">
        <v>-0.99952819999999998</v>
      </c>
      <c r="N1230">
        <v>0</v>
      </c>
      <c r="O1230">
        <v>2.8631319999999998E-2</v>
      </c>
      <c r="P1230">
        <v>-0.99366319999999997</v>
      </c>
      <c r="Q1230">
        <v>0.1123962</v>
      </c>
      <c r="R1230">
        <v>8.3513490000000005E-4</v>
      </c>
      <c r="S1230">
        <v>-3.0527950000000001</v>
      </c>
      <c r="T1230">
        <v>-0.29838120000000001</v>
      </c>
      <c r="U1230">
        <v>-0.22175600000000001</v>
      </c>
      <c r="V1230">
        <v>-2.7597940000000001E-2</v>
      </c>
      <c r="W1230">
        <v>0.1234377</v>
      </c>
      <c r="X1230">
        <v>0.99196850000000003</v>
      </c>
      <c r="Y1230">
        <v>-0.10036580000000001</v>
      </c>
      <c r="Z1230">
        <v>-7.6755840000000001E-3</v>
      </c>
      <c r="AA1230">
        <v>0.99492100000000006</v>
      </c>
      <c r="AB1230">
        <v>31</v>
      </c>
      <c r="AC1230">
        <v>-10.9969999999999</v>
      </c>
      <c r="AD1230">
        <v>-1.1039688515349999</v>
      </c>
      <c r="AE1230">
        <v>-0.82910000000001105</v>
      </c>
      <c r="AF1230">
        <v>-1.1322916506491101</v>
      </c>
      <c r="AG1230">
        <v>-1.1039688515349999</v>
      </c>
      <c r="AH1230">
        <v>10.8599259699096</v>
      </c>
      <c r="AI1230">
        <v>95.7733965249286</v>
      </c>
      <c r="AJ1230">
        <v>95.952339890898202</v>
      </c>
      <c r="AK1230">
        <v>10.974462341235901</v>
      </c>
      <c r="AL1230">
        <v>82.909456190610399</v>
      </c>
      <c r="AM1230">
        <v>91.593636993195801</v>
      </c>
      <c r="AN1230">
        <v>1.00000000853289</v>
      </c>
    </row>
    <row r="1231" spans="1:40" x14ac:dyDescent="0.3">
      <c r="A1231" t="str">
        <f>"20200111150337885"</f>
        <v>20200111150337885</v>
      </c>
      <c r="B1231" t="str">
        <f>"1578726217879579"</f>
        <v>1578726217879579</v>
      </c>
      <c r="C1231" t="s">
        <v>40</v>
      </c>
      <c r="D1231">
        <v>5.6459599999999996</v>
      </c>
      <c r="E1231">
        <v>0.4725413</v>
      </c>
      <c r="F1231" t="s">
        <v>68</v>
      </c>
      <c r="G1231">
        <v>-295.01209999999998</v>
      </c>
      <c r="H1231" s="1">
        <v>-8.8255259999999999E-6</v>
      </c>
      <c r="I1231">
        <v>140.9083</v>
      </c>
      <c r="J1231">
        <v>-284.01319999999998</v>
      </c>
      <c r="K1231">
        <v>1.1039600000000001</v>
      </c>
      <c r="L1231">
        <v>141.7396</v>
      </c>
      <c r="M1231">
        <v>-0.99952660000000004</v>
      </c>
      <c r="N1231">
        <v>0</v>
      </c>
      <c r="O1231">
        <v>2.8687270000000001E-2</v>
      </c>
      <c r="P1231">
        <v>-0.99366259999999995</v>
      </c>
      <c r="Q1231">
        <v>0.11239540000000001</v>
      </c>
      <c r="R1231">
        <v>1.3317909999999999E-3</v>
      </c>
      <c r="S1231">
        <v>-3.0530089999999999</v>
      </c>
      <c r="T1231">
        <v>-0.29791030000000002</v>
      </c>
      <c r="U1231">
        <v>-0.22187809999999999</v>
      </c>
      <c r="V1231">
        <v>-2.7157089999999998E-2</v>
      </c>
      <c r="W1231">
        <v>0.1234387</v>
      </c>
      <c r="X1231">
        <v>0.99198059999999999</v>
      </c>
      <c r="Y1231">
        <v>-0.1004573</v>
      </c>
      <c r="Z1231">
        <v>-7.6728769999999998E-3</v>
      </c>
      <c r="AA1231">
        <v>0.99491180000000001</v>
      </c>
      <c r="AB1231">
        <v>31</v>
      </c>
      <c r="AC1231">
        <v>-10.9988999999999</v>
      </c>
      <c r="AD1231">
        <v>-1.1039688255260001</v>
      </c>
      <c r="AE1231">
        <v>-0.83129999999999804</v>
      </c>
      <c r="AF1231">
        <v>-1.1351349995862701</v>
      </c>
      <c r="AG1231">
        <v>-1.1039688255260001</v>
      </c>
      <c r="AH1231">
        <v>10.8617207136733</v>
      </c>
      <c r="AI1231">
        <v>95.772304080508206</v>
      </c>
      <c r="AJ1231">
        <v>95.966200487092095</v>
      </c>
      <c r="AK1231">
        <v>10.9765320341562</v>
      </c>
      <c r="AL1231">
        <v>82.909398859174999</v>
      </c>
      <c r="AM1231">
        <v>91.568173902354602</v>
      </c>
      <c r="AN1231">
        <v>1.00000006548565</v>
      </c>
    </row>
    <row r="1232" spans="1:40" x14ac:dyDescent="0.3">
      <c r="A1232" t="str">
        <f>"20200111150337908"</f>
        <v>20200111150337908</v>
      </c>
      <c r="B1232" t="str">
        <f>"1578726217899636"</f>
        <v>1578726217899636</v>
      </c>
      <c r="C1232" t="s">
        <v>40</v>
      </c>
      <c r="D1232">
        <v>5.5651190000000001</v>
      </c>
      <c r="E1232">
        <v>0.47253070000000003</v>
      </c>
      <c r="F1232" t="s">
        <v>68</v>
      </c>
      <c r="G1232">
        <v>-295.3716</v>
      </c>
      <c r="H1232" s="1">
        <v>-8.7962730000000003E-6</v>
      </c>
      <c r="I1232">
        <v>140.9171</v>
      </c>
      <c r="J1232">
        <v>-284.32929999999999</v>
      </c>
      <c r="K1232">
        <v>1.103963</v>
      </c>
      <c r="L1232">
        <v>141.74870000000001</v>
      </c>
      <c r="M1232">
        <v>-0.99952510000000006</v>
      </c>
      <c r="N1232">
        <v>0</v>
      </c>
      <c r="O1232">
        <v>2.8743589999999999E-2</v>
      </c>
      <c r="P1232">
        <v>-0.99363820000000003</v>
      </c>
      <c r="Q1232">
        <v>0.1126105</v>
      </c>
      <c r="R1232">
        <v>1.50286E-3</v>
      </c>
      <c r="S1232">
        <v>-3.0529480000000002</v>
      </c>
      <c r="T1232">
        <v>-0.29672870000000001</v>
      </c>
      <c r="U1232">
        <v>-0.2210693</v>
      </c>
      <c r="V1232">
        <v>-2.7041409999999998E-2</v>
      </c>
      <c r="W1232">
        <v>0.123655399999999</v>
      </c>
      <c r="X1232">
        <v>0.99195670000000002</v>
      </c>
      <c r="Y1232">
        <v>-0.1002581</v>
      </c>
      <c r="Z1232">
        <v>-7.6386179999999998E-3</v>
      </c>
      <c r="AA1232">
        <v>0.99493209999999999</v>
      </c>
      <c r="AB1232">
        <v>31</v>
      </c>
      <c r="AC1232">
        <v>-11.042299999999999</v>
      </c>
      <c r="AD1232">
        <v>-1.103971796273</v>
      </c>
      <c r="AE1232">
        <v>-0.831600000000008</v>
      </c>
      <c r="AF1232">
        <v>-1.13736704276831</v>
      </c>
      <c r="AG1232">
        <v>-1.103971796273</v>
      </c>
      <c r="AH1232">
        <v>10.9054436113798</v>
      </c>
      <c r="AI1232">
        <v>95.749458461492296</v>
      </c>
      <c r="AJ1232">
        <v>95.954052797835402</v>
      </c>
      <c r="AK1232">
        <v>11.0200298492302</v>
      </c>
      <c r="AL1232">
        <v>82.896886506162502</v>
      </c>
      <c r="AM1232">
        <v>91.561534930937995</v>
      </c>
      <c r="AN1232">
        <v>0.99999999523941896</v>
      </c>
    </row>
    <row r="1233" spans="1:40" x14ac:dyDescent="0.3">
      <c r="A1233" t="str">
        <f>"20200111150337930"</f>
        <v>20200111150337930</v>
      </c>
      <c r="B1233" t="str">
        <f>"1578726217919149"</f>
        <v>1578726217919149</v>
      </c>
      <c r="C1233" t="s">
        <v>40</v>
      </c>
      <c r="D1233">
        <v>5.9931409999999996</v>
      </c>
      <c r="E1233">
        <v>0.47818690000000003</v>
      </c>
      <c r="F1233" t="s">
        <v>68</v>
      </c>
      <c r="G1233">
        <v>-295.6302</v>
      </c>
      <c r="H1233" s="1">
        <v>-8.7775289999999996E-6</v>
      </c>
      <c r="I1233">
        <v>140.93219999999999</v>
      </c>
      <c r="J1233">
        <v>-284.63049999999998</v>
      </c>
      <c r="K1233">
        <v>1.1039589999999999</v>
      </c>
      <c r="L1233">
        <v>141.75739999999999</v>
      </c>
      <c r="M1233">
        <v>-0.99952350000000001</v>
      </c>
      <c r="N1233">
        <v>0</v>
      </c>
      <c r="O1233">
        <v>2.8797400000000001E-2</v>
      </c>
      <c r="P1233">
        <v>-0.99360899999999996</v>
      </c>
      <c r="Q1233">
        <v>0.1128678</v>
      </c>
      <c r="R1233">
        <v>1.5118460000000001E-3</v>
      </c>
      <c r="S1233">
        <v>-3.0533139999999999</v>
      </c>
      <c r="T1233">
        <v>-0.29827369999999997</v>
      </c>
      <c r="U1233">
        <v>-0.22061159999999999</v>
      </c>
      <c r="V1233">
        <v>-2.7085000000000001E-2</v>
      </c>
      <c r="W1233">
        <v>0.1239142</v>
      </c>
      <c r="X1233">
        <v>0.9919232</v>
      </c>
      <c r="Y1233">
        <v>-0.1001488</v>
      </c>
      <c r="Z1233">
        <v>-7.6772450000000001E-3</v>
      </c>
      <c r="AA1233">
        <v>0.99494280000000002</v>
      </c>
      <c r="AB1233">
        <v>31</v>
      </c>
      <c r="AC1233">
        <v>-10.999700000000001</v>
      </c>
      <c r="AD1233">
        <v>-1.103967777529</v>
      </c>
      <c r="AE1233">
        <v>-0.82519999999999505</v>
      </c>
      <c r="AF1233">
        <v>-1.1303182673800201</v>
      </c>
      <c r="AG1233">
        <v>-1.103967777529</v>
      </c>
      <c r="AH1233">
        <v>10.862568088089199</v>
      </c>
      <c r="AI1233">
        <v>95.772118460198001</v>
      </c>
      <c r="AJ1233">
        <v>95.940605353060306</v>
      </c>
      <c r="AK1233">
        <v>10.9768734031039</v>
      </c>
      <c r="AL1233">
        <v>82.881943326551394</v>
      </c>
      <c r="AM1233">
        <v>91.564103628586594</v>
      </c>
      <c r="AN1233">
        <v>0.99999998044243898</v>
      </c>
    </row>
    <row r="1234" spans="1:40" x14ac:dyDescent="0.3">
      <c r="A1234" t="str">
        <f>"20200111150337951"</f>
        <v>20200111150337951</v>
      </c>
      <c r="B1234" t="str">
        <f>"1578726217939643"</f>
        <v>1578726217939643</v>
      </c>
      <c r="C1234" t="s">
        <v>40</v>
      </c>
      <c r="D1234">
        <v>5.5668980000000001</v>
      </c>
      <c r="E1234">
        <v>0.47809360000000001</v>
      </c>
      <c r="F1234" t="s">
        <v>44</v>
      </c>
      <c r="G1234">
        <v>0</v>
      </c>
      <c r="H1234">
        <v>0</v>
      </c>
      <c r="I1234">
        <v>0</v>
      </c>
      <c r="J1234">
        <v>-284.923</v>
      </c>
      <c r="K1234">
        <v>1.1039559999999999</v>
      </c>
      <c r="L1234">
        <v>141.76589999999999</v>
      </c>
      <c r="M1234">
        <v>-0.99952200000000002</v>
      </c>
      <c r="N1234">
        <v>0</v>
      </c>
      <c r="O1234">
        <v>2.8849719999999999E-2</v>
      </c>
      <c r="P1234">
        <v>-0.99357459999999997</v>
      </c>
      <c r="Q1234">
        <v>0.1131732</v>
      </c>
      <c r="R1234">
        <v>1.298011E-3</v>
      </c>
      <c r="S1234">
        <v>-2.9960939999999998</v>
      </c>
      <c r="T1234">
        <v>0.20650540000000001</v>
      </c>
      <c r="U1234">
        <v>-0.17071529999999999</v>
      </c>
      <c r="V1234">
        <v>-2.734928E-2</v>
      </c>
      <c r="W1234">
        <v>0.12422039999999999</v>
      </c>
      <c r="X1234">
        <v>0.99187769999999997</v>
      </c>
      <c r="Y1234">
        <v>-8.5397849999999997E-2</v>
      </c>
      <c r="Z1234">
        <v>4.9219850000000002E-3</v>
      </c>
      <c r="AA1234">
        <v>0.99633479999999996</v>
      </c>
      <c r="AB1234">
        <v>31</v>
      </c>
      <c r="AC1234">
        <v>-2.9960939999999998</v>
      </c>
      <c r="AD1234">
        <v>0.20650540000000001</v>
      </c>
      <c r="AE1234">
        <v>-0.17071529999999999</v>
      </c>
      <c r="AF1234">
        <v>-0.25587440915167398</v>
      </c>
      <c r="AG1234">
        <v>0.20650540000000001</v>
      </c>
      <c r="AH1234">
        <v>2.9758300175146499</v>
      </c>
      <c r="AI1234">
        <v>86.044915003782407</v>
      </c>
      <c r="AJ1234">
        <v>94.914445133453498</v>
      </c>
      <c r="AK1234">
        <v>2.9939406284409</v>
      </c>
      <c r="AL1234">
        <v>82.864263119881002</v>
      </c>
      <c r="AM1234">
        <v>91.579429980944795</v>
      </c>
      <c r="AN1234">
        <v>1.0000000313249799</v>
      </c>
    </row>
    <row r="1235" spans="1:40" x14ac:dyDescent="0.3">
      <c r="A1235" t="str">
        <f>"20200111150337974"</f>
        <v>20200111150337974</v>
      </c>
      <c r="B1235" t="str">
        <f>"1578726217969899"</f>
        <v>1578726217969899</v>
      </c>
      <c r="C1235" t="s">
        <v>40</v>
      </c>
      <c r="D1235">
        <v>5.5252270000000001</v>
      </c>
      <c r="E1235">
        <v>0.47686770000000001</v>
      </c>
      <c r="F1235" t="s">
        <v>44</v>
      </c>
      <c r="G1235">
        <v>0</v>
      </c>
      <c r="H1235">
        <v>0</v>
      </c>
      <c r="I1235">
        <v>0</v>
      </c>
      <c r="J1235">
        <v>-285.2396</v>
      </c>
      <c r="K1235">
        <v>1.1039559999999999</v>
      </c>
      <c r="L1235">
        <v>141.77510000000001</v>
      </c>
      <c r="M1235">
        <v>-0.99952030000000003</v>
      </c>
      <c r="N1235">
        <v>0</v>
      </c>
      <c r="O1235">
        <v>2.8905859999999998E-2</v>
      </c>
      <c r="P1235">
        <v>-0.99361149999999998</v>
      </c>
      <c r="Q1235">
        <v>0.1128489</v>
      </c>
      <c r="R1235">
        <v>1.226703E-3</v>
      </c>
      <c r="S1235">
        <v>-2.982666</v>
      </c>
      <c r="T1235">
        <v>0.32440829999999998</v>
      </c>
      <c r="U1235">
        <v>-0.1710052</v>
      </c>
      <c r="V1235">
        <v>-2.7478099999999998E-2</v>
      </c>
      <c r="W1235">
        <v>0.1238986</v>
      </c>
      <c r="X1235">
        <v>0.99191430000000003</v>
      </c>
      <c r="Y1235">
        <v>-8.540317E-2</v>
      </c>
      <c r="Z1235">
        <v>7.7596490000000004E-3</v>
      </c>
      <c r="AA1235">
        <v>0.99631630000000004</v>
      </c>
      <c r="AB1235">
        <v>31</v>
      </c>
      <c r="AC1235">
        <v>-2.982666</v>
      </c>
      <c r="AD1235">
        <v>0.32440829999999998</v>
      </c>
      <c r="AE1235">
        <v>-0.1710052</v>
      </c>
      <c r="AF1235">
        <v>-0.25415881170996402</v>
      </c>
      <c r="AG1235">
        <v>0.32440829999999998</v>
      </c>
      <c r="AH1235">
        <v>2.9417895999271999</v>
      </c>
      <c r="AI1235">
        <v>83.730255811927904</v>
      </c>
      <c r="AJ1235">
        <v>94.937863853638405</v>
      </c>
      <c r="AK1235">
        <v>2.9705156954506302</v>
      </c>
      <c r="AL1235">
        <v>82.882843819914299</v>
      </c>
      <c r="AM1235">
        <v>91.586807060973001</v>
      </c>
      <c r="AN1235">
        <v>0.99999994380302804</v>
      </c>
    </row>
    <row r="1236" spans="1:40" x14ac:dyDescent="0.3">
      <c r="A1236" t="str">
        <f>"20200111150337998"</f>
        <v>20200111150337998</v>
      </c>
      <c r="B1236" t="str">
        <f>"1578726217989422"</f>
        <v>1578726217989422</v>
      </c>
      <c r="C1236" t="s">
        <v>40</v>
      </c>
      <c r="D1236">
        <v>6.0563449999999897</v>
      </c>
      <c r="E1236">
        <v>0.4867861</v>
      </c>
      <c r="F1236" t="s">
        <v>68</v>
      </c>
      <c r="G1236">
        <v>-297.22719999999998</v>
      </c>
      <c r="H1236" s="1">
        <v>-8.6653619999999995E-6</v>
      </c>
      <c r="I1236">
        <v>141.03880000000001</v>
      </c>
      <c r="J1236">
        <v>-285.56459999999998</v>
      </c>
      <c r="K1236">
        <v>1.103953</v>
      </c>
      <c r="L1236">
        <v>141.78460000000001</v>
      </c>
      <c r="M1236">
        <v>-0.99951849999999998</v>
      </c>
      <c r="N1236">
        <v>0</v>
      </c>
      <c r="O1236">
        <v>2.8963659999999999E-2</v>
      </c>
      <c r="P1236">
        <v>-0.99357770000000001</v>
      </c>
      <c r="Q1236">
        <v>0.1131499</v>
      </c>
      <c r="R1236">
        <v>6.6501759999999896E-4</v>
      </c>
      <c r="S1236">
        <v>-3.0514220000000001</v>
      </c>
      <c r="T1236">
        <v>-0.28101090000000001</v>
      </c>
      <c r="U1236">
        <v>-0.1874237</v>
      </c>
      <c r="V1236">
        <v>-2.8095680000000001E-2</v>
      </c>
      <c r="W1236">
        <v>0.12420100000000001</v>
      </c>
      <c r="X1236">
        <v>0.9918593</v>
      </c>
      <c r="Y1236">
        <v>-8.9691069999999998E-2</v>
      </c>
      <c r="Z1236">
        <v>-6.7769989999999997E-3</v>
      </c>
      <c r="AA1236">
        <v>0.99594660000000002</v>
      </c>
      <c r="AB1236">
        <v>31</v>
      </c>
      <c r="AC1236">
        <v>-11.6625999999999</v>
      </c>
      <c r="AD1236">
        <v>-1.1039616653619999</v>
      </c>
      <c r="AE1236">
        <v>-0.74580000000000202</v>
      </c>
      <c r="AF1236">
        <v>-1.0737180415615599</v>
      </c>
      <c r="AG1236">
        <v>-1.1039616653619999</v>
      </c>
      <c r="AH1236">
        <v>11.5331854274647</v>
      </c>
      <c r="AI1236">
        <v>95.444318688884806</v>
      </c>
      <c r="AJ1236">
        <v>95.318799034566297</v>
      </c>
      <c r="AK1236">
        <v>11.6355475975842</v>
      </c>
      <c r="AL1236">
        <v>82.865383562481298</v>
      </c>
      <c r="AM1236">
        <v>91.622542176484004</v>
      </c>
      <c r="AN1236">
        <v>1.0000000633160699</v>
      </c>
    </row>
    <row r="1237" spans="1:40" x14ac:dyDescent="0.3">
      <c r="A1237" t="str">
        <f>"20200111150338019"</f>
        <v>20200111150338019</v>
      </c>
      <c r="B1237" t="str">
        <f>"1578726218009662"</f>
        <v>1578726218009662</v>
      </c>
      <c r="C1237" t="s">
        <v>40</v>
      </c>
      <c r="D1237">
        <v>5.4088209999999997</v>
      </c>
      <c r="E1237">
        <v>0.48848229999999998</v>
      </c>
      <c r="F1237" t="s">
        <v>44</v>
      </c>
      <c r="G1237">
        <v>0</v>
      </c>
      <c r="H1237">
        <v>0</v>
      </c>
      <c r="I1237">
        <v>0</v>
      </c>
      <c r="J1237">
        <v>-285.858</v>
      </c>
      <c r="K1237">
        <v>1.103958</v>
      </c>
      <c r="L1237">
        <v>141.79310000000001</v>
      </c>
      <c r="M1237">
        <v>-0.99951699999999999</v>
      </c>
      <c r="N1237">
        <v>0</v>
      </c>
      <c r="O1237">
        <v>2.901581E-2</v>
      </c>
      <c r="P1237">
        <v>-0.99355020000000005</v>
      </c>
      <c r="Q1237">
        <v>0.1133923</v>
      </c>
      <c r="R1237">
        <v>5.9623809999999897E-4</v>
      </c>
      <c r="S1237">
        <v>-2.9300839999999999</v>
      </c>
      <c r="T1237">
        <v>0.78460220000000003</v>
      </c>
      <c r="U1237">
        <v>-9.8617549999999998E-2</v>
      </c>
      <c r="V1237">
        <v>-2.8214949999999999E-2</v>
      </c>
      <c r="W1237">
        <v>0.1244446</v>
      </c>
      <c r="X1237">
        <v>0.99182530000000002</v>
      </c>
      <c r="Y1237">
        <v>-5.950892E-2</v>
      </c>
      <c r="Z1237">
        <v>1.546118E-2</v>
      </c>
      <c r="AA1237">
        <v>0.998108</v>
      </c>
      <c r="AB1237">
        <v>31</v>
      </c>
      <c r="AC1237">
        <v>-2.9300839999999999</v>
      </c>
      <c r="AD1237">
        <v>0.78460220000000003</v>
      </c>
      <c r="AE1237">
        <v>-9.8617549999999998E-2</v>
      </c>
      <c r="AF1237">
        <v>-0.17132909390582901</v>
      </c>
      <c r="AG1237">
        <v>0.78460220000000003</v>
      </c>
      <c r="AH1237">
        <v>2.73042934009939</v>
      </c>
      <c r="AI1237">
        <v>73.997593392603903</v>
      </c>
      <c r="AJ1237">
        <v>93.590490596168806</v>
      </c>
      <c r="AK1237">
        <v>2.84608479352584</v>
      </c>
      <c r="AL1237">
        <v>82.851316610597294</v>
      </c>
      <c r="AM1237">
        <v>91.629482211315604</v>
      </c>
      <c r="AN1237">
        <v>0.999999983796376</v>
      </c>
    </row>
    <row r="1238" spans="1:40" x14ac:dyDescent="0.3">
      <c r="A1238" t="str">
        <f>"20200111150338040"</f>
        <v>20200111150338040</v>
      </c>
      <c r="B1238" t="str">
        <f>"1578726218029182"</f>
        <v>1578726218029182</v>
      </c>
      <c r="C1238" t="s">
        <v>40</v>
      </c>
      <c r="D1238">
        <v>5.5033770000000004</v>
      </c>
      <c r="E1238">
        <v>0.494201</v>
      </c>
      <c r="F1238" t="s">
        <v>44</v>
      </c>
      <c r="G1238">
        <v>0</v>
      </c>
      <c r="H1238">
        <v>0</v>
      </c>
      <c r="I1238">
        <v>0</v>
      </c>
      <c r="J1238">
        <v>-286.16070000000002</v>
      </c>
      <c r="K1238">
        <v>1.103963</v>
      </c>
      <c r="L1238">
        <v>141.80199999999999</v>
      </c>
      <c r="M1238">
        <v>-0.9995155</v>
      </c>
      <c r="N1238">
        <v>0</v>
      </c>
      <c r="O1238">
        <v>2.90698E-2</v>
      </c>
      <c r="P1238">
        <v>-0.99350919999999998</v>
      </c>
      <c r="Q1238">
        <v>0.1137497</v>
      </c>
      <c r="R1238">
        <v>7.9273759999999897E-4</v>
      </c>
      <c r="S1238">
        <v>-2.9342350000000001</v>
      </c>
      <c r="T1238">
        <v>0.74727319999999997</v>
      </c>
      <c r="U1238">
        <v>-8.6135859999999995E-2</v>
      </c>
      <c r="V1238">
        <v>-2.807132E-2</v>
      </c>
      <c r="W1238">
        <v>0.1248032</v>
      </c>
      <c r="X1238">
        <v>0.99178429999999995</v>
      </c>
      <c r="Y1238">
        <v>-5.5685970000000001E-2</v>
      </c>
      <c r="Z1238">
        <v>1.4264020000000001E-2</v>
      </c>
      <c r="AA1238">
        <v>0.99834639999999997</v>
      </c>
      <c r="AB1238">
        <v>31</v>
      </c>
      <c r="AC1238">
        <v>-2.9342350000000001</v>
      </c>
      <c r="AD1238">
        <v>0.74727319999999997</v>
      </c>
      <c r="AE1238">
        <v>-8.6135859999999995E-2</v>
      </c>
      <c r="AF1238">
        <v>-0.16097095756392399</v>
      </c>
      <c r="AG1238">
        <v>0.74727319999999997</v>
      </c>
      <c r="AH1238">
        <v>2.7521435946519599</v>
      </c>
      <c r="AI1238">
        <v>74.833790107011794</v>
      </c>
      <c r="AJ1238">
        <v>93.347376497958706</v>
      </c>
      <c r="AK1238">
        <v>2.8563303818363002</v>
      </c>
      <c r="AL1238">
        <v>82.830608791681001</v>
      </c>
      <c r="AM1238">
        <v>91.621258650034306</v>
      </c>
      <c r="AN1238">
        <v>0.99999996773163502</v>
      </c>
    </row>
    <row r="1239" spans="1:40" x14ac:dyDescent="0.3">
      <c r="A1239" t="str">
        <f>"20200111150338076"</f>
        <v>20200111150338076</v>
      </c>
      <c r="B1239" t="str">
        <f>"1578726218069199"</f>
        <v>1578726218069199</v>
      </c>
      <c r="C1239" t="s">
        <v>40</v>
      </c>
      <c r="D1239">
        <v>5.4795099999999897</v>
      </c>
      <c r="E1239">
        <v>0.50229420000000002</v>
      </c>
      <c r="F1239" t="s">
        <v>44</v>
      </c>
      <c r="G1239">
        <v>0</v>
      </c>
      <c r="H1239">
        <v>0</v>
      </c>
      <c r="I1239">
        <v>0</v>
      </c>
      <c r="J1239">
        <v>-286.6386</v>
      </c>
      <c r="K1239">
        <v>1.1039570000000001</v>
      </c>
      <c r="L1239">
        <v>141.816</v>
      </c>
      <c r="M1239">
        <v>-0.99951299999999998</v>
      </c>
      <c r="N1239">
        <v>0</v>
      </c>
      <c r="O1239">
        <v>2.9155190000000001E-2</v>
      </c>
      <c r="P1239">
        <v>-0.99340989999999996</v>
      </c>
      <c r="Q1239">
        <v>0.1145877</v>
      </c>
      <c r="R1239">
        <v>2.6009570000000001E-3</v>
      </c>
      <c r="S1239">
        <v>-2.9325869999999998</v>
      </c>
      <c r="T1239">
        <v>0.75996219999999903</v>
      </c>
      <c r="U1239">
        <v>-3.9596560000000003E-2</v>
      </c>
      <c r="V1239">
        <v>-2.6345609999999998E-2</v>
      </c>
      <c r="W1239">
        <v>0.125643</v>
      </c>
      <c r="X1239">
        <v>0.99172559999999998</v>
      </c>
      <c r="Y1239">
        <v>-4.0353930000000003E-2</v>
      </c>
      <c r="Z1239">
        <v>1.2575889999999999E-2</v>
      </c>
      <c r="AA1239">
        <v>0.9991063</v>
      </c>
      <c r="AB1239">
        <v>31</v>
      </c>
      <c r="AC1239">
        <v>-2.9325869999999998</v>
      </c>
      <c r="AD1239">
        <v>0.75996219999999903</v>
      </c>
      <c r="AE1239">
        <v>-3.9596560000000003E-2</v>
      </c>
      <c r="AF1239">
        <v>-0.117214942881972</v>
      </c>
      <c r="AG1239">
        <v>0.75996219999999903</v>
      </c>
      <c r="AH1239">
        <v>2.7458219918992102</v>
      </c>
      <c r="AI1239">
        <v>74.542891183219197</v>
      </c>
      <c r="AJ1239">
        <v>92.444385146009694</v>
      </c>
      <c r="AK1239">
        <v>2.8514593280390699</v>
      </c>
      <c r="AL1239">
        <v>82.782109985313696</v>
      </c>
      <c r="AM1239">
        <v>91.521728710207199</v>
      </c>
      <c r="AN1239">
        <v>0.999999960155315</v>
      </c>
    </row>
    <row r="1240" spans="1:40" x14ac:dyDescent="0.3">
      <c r="A1240" t="str">
        <f>"20200111150338098"</f>
        <v>20200111150338098</v>
      </c>
      <c r="B1240" t="str">
        <f>"1578726218089694"</f>
        <v>1578726218089694</v>
      </c>
      <c r="C1240" t="s">
        <v>40</v>
      </c>
      <c r="D1240">
        <v>5.4836309999999999</v>
      </c>
      <c r="E1240">
        <v>0.49844260000000001</v>
      </c>
      <c r="F1240" t="s">
        <v>68</v>
      </c>
      <c r="G1240">
        <v>-311.28410000000002</v>
      </c>
      <c r="H1240" s="1">
        <v>-9.6119739999999993E-6</v>
      </c>
      <c r="I1240">
        <v>141.98320000000001</v>
      </c>
      <c r="J1240">
        <v>-286.95580000000001</v>
      </c>
      <c r="K1240">
        <v>1.1039559999999999</v>
      </c>
      <c r="L1240">
        <v>141.8253</v>
      </c>
      <c r="M1240">
        <v>-0.99951129999999999</v>
      </c>
      <c r="N1240">
        <v>0</v>
      </c>
      <c r="O1240">
        <v>2.9211330000000001E-2</v>
      </c>
      <c r="P1240">
        <v>-0.99329190000000001</v>
      </c>
      <c r="Q1240">
        <v>0.1155891</v>
      </c>
      <c r="R1240">
        <v>3.2439830000000002E-3</v>
      </c>
      <c r="S1240">
        <v>-3.0355530000000002</v>
      </c>
      <c r="T1240">
        <v>-0.13597390000000001</v>
      </c>
      <c r="U1240">
        <v>2.0599369999999999E-2</v>
      </c>
      <c r="V1240">
        <v>-2.5754969999999999E-2</v>
      </c>
      <c r="W1240">
        <v>0.12664489999999901</v>
      </c>
      <c r="X1240">
        <v>0.99161370000000004</v>
      </c>
      <c r="Y1240">
        <v>-2.2377770000000002E-2</v>
      </c>
      <c r="Z1240">
        <v>-1.8086599999999999E-3</v>
      </c>
      <c r="AA1240">
        <v>0.99974790000000002</v>
      </c>
      <c r="AB1240">
        <v>31</v>
      </c>
      <c r="AC1240">
        <v>-24.328299999999999</v>
      </c>
      <c r="AD1240">
        <v>-1.103965611974</v>
      </c>
      <c r="AE1240">
        <v>0.157900000000012</v>
      </c>
      <c r="AF1240">
        <v>-0.55173734470334201</v>
      </c>
      <c r="AG1240">
        <v>-1.103965611974</v>
      </c>
      <c r="AH1240">
        <v>24.272550892389201</v>
      </c>
      <c r="AI1240">
        <v>92.603463822518606</v>
      </c>
      <c r="AJ1240">
        <v>91.3021613779852</v>
      </c>
      <c r="AK1240">
        <v>24.3039067022894</v>
      </c>
      <c r="AL1240">
        <v>82.7242433105815</v>
      </c>
      <c r="AM1240">
        <v>91.487796506918698</v>
      </c>
      <c r="AN1240">
        <v>0.9999999896017</v>
      </c>
    </row>
    <row r="1241" spans="1:40" x14ac:dyDescent="0.3">
      <c r="A1241" t="str">
        <f>"20200111150338121"</f>
        <v>20200111150338121</v>
      </c>
      <c r="B1241" t="str">
        <f>"1578726218109617"</f>
        <v>1578726218109617</v>
      </c>
      <c r="C1241" t="s">
        <v>40</v>
      </c>
      <c r="D1241">
        <v>6.0251109999999999</v>
      </c>
      <c r="E1241">
        <v>0.4987144</v>
      </c>
      <c r="F1241" t="s">
        <v>68</v>
      </c>
      <c r="G1241">
        <v>-301.99099999999999</v>
      </c>
      <c r="H1241" s="1">
        <v>-8.9814580000000004E-6</v>
      </c>
      <c r="I1241">
        <v>141.77930000000001</v>
      </c>
      <c r="J1241">
        <v>-287.26499999999999</v>
      </c>
      <c r="K1241">
        <v>1.1039559999999999</v>
      </c>
      <c r="L1241">
        <v>141.83439999999999</v>
      </c>
      <c r="M1241">
        <v>-0.9995096</v>
      </c>
      <c r="N1241">
        <v>0</v>
      </c>
      <c r="O1241">
        <v>2.9265619999999999E-2</v>
      </c>
      <c r="P1241">
        <v>-0.99328170000000005</v>
      </c>
      <c r="Q1241">
        <v>0.11565309999999999</v>
      </c>
      <c r="R1241">
        <v>4.031621E-3</v>
      </c>
      <c r="S1241">
        <v>-3.0463260000000001</v>
      </c>
      <c r="T1241">
        <v>-0.2236776</v>
      </c>
      <c r="U1241">
        <v>-9.3231200000000007E-3</v>
      </c>
      <c r="V1241">
        <v>-2.5020899999999999E-2</v>
      </c>
      <c r="W1241">
        <v>0.12671109999999999</v>
      </c>
      <c r="X1241">
        <v>0.99162410000000001</v>
      </c>
      <c r="Y1241">
        <v>-3.216107E-2</v>
      </c>
      <c r="Z1241">
        <v>-3.325003E-3</v>
      </c>
      <c r="AA1241">
        <v>0.99947710000000001</v>
      </c>
      <c r="AB1241">
        <v>31</v>
      </c>
      <c r="AC1241">
        <v>-14.726000000000001</v>
      </c>
      <c r="AD1241">
        <v>-1.1039649814579999</v>
      </c>
      <c r="AE1241">
        <v>-5.5099999999981698E-2</v>
      </c>
      <c r="AF1241">
        <v>-0.48335222564761898</v>
      </c>
      <c r="AG1241">
        <v>-1.1039649814579999</v>
      </c>
      <c r="AH1241">
        <v>14.6358259161038</v>
      </c>
      <c r="AI1241">
        <v>94.311250534646405</v>
      </c>
      <c r="AJ1241">
        <v>91.891521595396895</v>
      </c>
      <c r="AK1241">
        <v>14.685358977594699</v>
      </c>
      <c r="AL1241">
        <v>82.720419981803502</v>
      </c>
      <c r="AM1241">
        <v>91.445394324316297</v>
      </c>
      <c r="AN1241">
        <v>1.00000005200041</v>
      </c>
    </row>
    <row r="1242" spans="1:40" x14ac:dyDescent="0.3">
      <c r="A1242" t="str">
        <f>"20200111150338141"</f>
        <v>20200111150338141</v>
      </c>
      <c r="B1242" t="str">
        <f>"1578726218129138"</f>
        <v>1578726218129138</v>
      </c>
      <c r="C1242" t="s">
        <v>40</v>
      </c>
      <c r="D1242">
        <v>5.1326790000000004</v>
      </c>
      <c r="E1242">
        <v>0.49660120000000002</v>
      </c>
      <c r="F1242" t="s">
        <v>68</v>
      </c>
      <c r="G1242">
        <v>-304.65980000000002</v>
      </c>
      <c r="H1242" s="1">
        <v>-9.3773120000000003E-6</v>
      </c>
      <c r="I1242">
        <v>141.80690000000001</v>
      </c>
      <c r="J1242">
        <v>-287.55919999999998</v>
      </c>
      <c r="K1242">
        <v>1.10395</v>
      </c>
      <c r="L1242">
        <v>141.84309999999999</v>
      </c>
      <c r="M1242">
        <v>-0.99950810000000001</v>
      </c>
      <c r="N1242">
        <v>0</v>
      </c>
      <c r="O1242">
        <v>2.9316559999999998E-2</v>
      </c>
      <c r="P1242">
        <v>-0.99336610000000003</v>
      </c>
      <c r="Q1242">
        <v>0.11491319999999999</v>
      </c>
      <c r="R1242">
        <v>4.3545989999999998E-3</v>
      </c>
      <c r="S1242">
        <v>-3.0428160000000002</v>
      </c>
      <c r="T1242">
        <v>-0.19311339999999999</v>
      </c>
      <c r="U1242">
        <v>-4.8065190000000004E-3</v>
      </c>
      <c r="V1242">
        <v>-2.4751829999999999E-2</v>
      </c>
      <c r="W1242">
        <v>0.12597359999999999</v>
      </c>
      <c r="X1242">
        <v>0.99172470000000001</v>
      </c>
      <c r="Y1242">
        <v>-3.0776399999999999E-2</v>
      </c>
      <c r="Z1242">
        <v>-2.834278E-3</v>
      </c>
      <c r="AA1242">
        <v>0.99952229999999997</v>
      </c>
      <c r="AB1242">
        <v>31</v>
      </c>
      <c r="AC1242">
        <v>-17.1006</v>
      </c>
      <c r="AD1242">
        <v>-1.103959377312</v>
      </c>
      <c r="AE1242">
        <v>-3.6199999999979499E-2</v>
      </c>
      <c r="AF1242">
        <v>-0.53531535699316901</v>
      </c>
      <c r="AG1242">
        <v>-1.103959377312</v>
      </c>
      <c r="AH1242">
        <v>17.0212505051141</v>
      </c>
      <c r="AI1242">
        <v>93.709047026135195</v>
      </c>
      <c r="AJ1242">
        <v>91.801348520635102</v>
      </c>
      <c r="AK1242">
        <v>17.0654111464106</v>
      </c>
      <c r="AL1242">
        <v>82.763016151249403</v>
      </c>
      <c r="AM1242">
        <v>91.429712332700504</v>
      </c>
      <c r="AN1242">
        <v>0.99999994078769705</v>
      </c>
    </row>
    <row r="1243" spans="1:40" x14ac:dyDescent="0.3">
      <c r="A1243" t="str">
        <f>"20200111150338186"</f>
        <v>20200111150338186</v>
      </c>
      <c r="B1243" t="str">
        <f>"1578726218179889"</f>
        <v>1578726218179889</v>
      </c>
      <c r="C1243" t="s">
        <v>40</v>
      </c>
      <c r="D1243">
        <v>5.4749249999999998</v>
      </c>
      <c r="E1243">
        <v>0.49660759999999998</v>
      </c>
      <c r="F1243" t="s">
        <v>68</v>
      </c>
      <c r="G1243">
        <v>-304.40910000000002</v>
      </c>
      <c r="H1243" s="1">
        <v>-9.3179840000000008E-6</v>
      </c>
      <c r="I1243">
        <v>141.7286</v>
      </c>
      <c r="J1243">
        <v>-288.1798</v>
      </c>
      <c r="K1243">
        <v>1.1039509999999999</v>
      </c>
      <c r="L1243">
        <v>141.86150000000001</v>
      </c>
      <c r="M1243">
        <v>-0.99950519999999998</v>
      </c>
      <c r="N1243">
        <v>0</v>
      </c>
      <c r="O1243">
        <v>2.9422199999999999E-2</v>
      </c>
      <c r="P1243">
        <v>-0.99340419999999996</v>
      </c>
      <c r="Q1243">
        <v>0.1145448</v>
      </c>
      <c r="R1243">
        <v>5.3025379999999999E-3</v>
      </c>
      <c r="S1243">
        <v>-3.0431819999999998</v>
      </c>
      <c r="T1243">
        <v>-0.199382</v>
      </c>
      <c r="U1243">
        <v>-2.0690920000000002E-2</v>
      </c>
      <c r="V1243">
        <v>-2.3911189999999999E-2</v>
      </c>
      <c r="W1243">
        <v>0.12560839999999901</v>
      </c>
      <c r="X1243">
        <v>0.99179170000000005</v>
      </c>
      <c r="Y1243">
        <v>-3.6078930000000002E-2</v>
      </c>
      <c r="Z1243">
        <v>-3.1061679999999999E-3</v>
      </c>
      <c r="AA1243">
        <v>0.99934409999999896</v>
      </c>
      <c r="AB1243">
        <v>31</v>
      </c>
      <c r="AC1243">
        <v>-16.229299999999999</v>
      </c>
      <c r="AD1243">
        <v>-1.1039603179840001</v>
      </c>
      <c r="AE1243">
        <v>-0.13290000000000601</v>
      </c>
      <c r="AF1243">
        <v>-0.60756264638857704</v>
      </c>
      <c r="AG1243">
        <v>-1.1039603179840001</v>
      </c>
      <c r="AH1243">
        <v>16.1436694820671</v>
      </c>
      <c r="AI1243">
        <v>93.909235659194707</v>
      </c>
      <c r="AJ1243">
        <v>92.155294024449006</v>
      </c>
      <c r="AK1243">
        <v>16.192773854383098</v>
      </c>
      <c r="AL1243">
        <v>82.784108507856104</v>
      </c>
      <c r="AM1243">
        <v>91.381081253361998</v>
      </c>
      <c r="AN1243">
        <v>0.99999999567333298</v>
      </c>
    </row>
    <row r="1244" spans="1:40" x14ac:dyDescent="0.3">
      <c r="A1244" t="str">
        <f>"20200111150338211"</f>
        <v>20200111150338211</v>
      </c>
      <c r="B1244" t="str">
        <f>"1578726218199408"</f>
        <v>1578726218199408</v>
      </c>
      <c r="C1244" t="s">
        <v>40</v>
      </c>
      <c r="D1244">
        <v>5.4392779999999998</v>
      </c>
      <c r="E1244">
        <v>0.49621100000000001</v>
      </c>
      <c r="F1244" t="s">
        <v>68</v>
      </c>
      <c r="G1244">
        <v>-305.33359999999999</v>
      </c>
      <c r="H1244" s="1">
        <v>-9.4598649999999999E-6</v>
      </c>
      <c r="I1244">
        <v>141.75919999999999</v>
      </c>
      <c r="J1244">
        <v>-288.49680000000001</v>
      </c>
      <c r="K1244">
        <v>1.10395</v>
      </c>
      <c r="L1244">
        <v>141.87090000000001</v>
      </c>
      <c r="M1244">
        <v>-0.99950340000000004</v>
      </c>
      <c r="N1244">
        <v>0</v>
      </c>
      <c r="O1244">
        <v>2.9475109999999999E-2</v>
      </c>
      <c r="P1244">
        <v>-0.99338419999999905</v>
      </c>
      <c r="Q1244">
        <v>0.1146833</v>
      </c>
      <c r="R1244">
        <v>5.9938350000000003E-3</v>
      </c>
      <c r="S1244">
        <v>-3.0426030000000002</v>
      </c>
      <c r="T1244">
        <v>-0.1958114</v>
      </c>
      <c r="U1244">
        <v>-1.8142700000000001E-2</v>
      </c>
      <c r="V1244">
        <v>-2.3271859999999998E-2</v>
      </c>
      <c r="W1244">
        <v>0.12574850000000001</v>
      </c>
      <c r="X1244">
        <v>0.99178920000000004</v>
      </c>
      <c r="Y1244">
        <v>-3.5302609999999998E-2</v>
      </c>
      <c r="Z1244">
        <v>-3.0296860000000002E-3</v>
      </c>
      <c r="AA1244">
        <v>0.99937209999999999</v>
      </c>
      <c r="AB1244">
        <v>31</v>
      </c>
      <c r="AC1244">
        <v>-16.836799999999901</v>
      </c>
      <c r="AD1244">
        <v>-1.103959459865</v>
      </c>
      <c r="AE1244">
        <v>-0.111700000000013</v>
      </c>
      <c r="AF1244">
        <v>-0.605346420125072</v>
      </c>
      <c r="AG1244">
        <v>-1.103959459865</v>
      </c>
      <c r="AH1244">
        <v>16.754164920598701</v>
      </c>
      <c r="AI1244">
        <v>93.767412281793099</v>
      </c>
      <c r="AJ1244">
        <v>92.069259450632501</v>
      </c>
      <c r="AK1244">
        <v>16.801405088980001</v>
      </c>
      <c r="AL1244">
        <v>82.776017542496206</v>
      </c>
      <c r="AM1244">
        <v>91.344171450811203</v>
      </c>
      <c r="AN1244">
        <v>1.00000004097837</v>
      </c>
    </row>
    <row r="1245" spans="1:40" x14ac:dyDescent="0.3">
      <c r="A1245" t="str">
        <f>"20200111150338231"</f>
        <v>20200111150338231</v>
      </c>
      <c r="B1245" t="str">
        <f>"1578726218219905"</f>
        <v>1578726218219905</v>
      </c>
      <c r="C1245" t="s">
        <v>40</v>
      </c>
      <c r="D1245">
        <v>5.4241780000000004</v>
      </c>
      <c r="E1245">
        <v>0.49528519999999998</v>
      </c>
      <c r="F1245" t="s">
        <v>68</v>
      </c>
      <c r="G1245">
        <v>-304.03620000000001</v>
      </c>
      <c r="H1245" s="1">
        <v>-9.2770109999999995E-6</v>
      </c>
      <c r="I1245">
        <v>141.77080000000001</v>
      </c>
      <c r="J1245">
        <v>-288.8032</v>
      </c>
      <c r="K1245">
        <v>1.1039490000000001</v>
      </c>
      <c r="L1245">
        <v>141.88</v>
      </c>
      <c r="M1245">
        <v>-0.99950190000000005</v>
      </c>
      <c r="N1245">
        <v>0</v>
      </c>
      <c r="O1245">
        <v>2.952426E-2</v>
      </c>
      <c r="P1245">
        <v>-0.99343800000000004</v>
      </c>
      <c r="Q1245">
        <v>0.11419269999999999</v>
      </c>
      <c r="R1245">
        <v>6.4111580000000001E-3</v>
      </c>
      <c r="S1245">
        <v>-3.0450740000000001</v>
      </c>
      <c r="T1245">
        <v>-0.21632950000000001</v>
      </c>
      <c r="U1245">
        <v>-1.960754E-2</v>
      </c>
      <c r="V1245">
        <v>-2.290582E-2</v>
      </c>
      <c r="W1245">
        <v>0.12526029999999999</v>
      </c>
      <c r="X1245">
        <v>0.99185939999999995</v>
      </c>
      <c r="Y1245">
        <v>-3.5797030000000001E-2</v>
      </c>
      <c r="Z1245">
        <v>-3.364705E-3</v>
      </c>
      <c r="AA1245">
        <v>0.99935339999999995</v>
      </c>
      <c r="AB1245">
        <v>31</v>
      </c>
      <c r="AC1245">
        <v>-15.233000000000001</v>
      </c>
      <c r="AD1245">
        <v>-1.1039582770109999</v>
      </c>
      <c r="AE1245">
        <v>-0.109199999999987</v>
      </c>
      <c r="AF1245">
        <v>-0.55600334498102599</v>
      </c>
      <c r="AG1245">
        <v>-1.1039582770109999</v>
      </c>
      <c r="AH1245">
        <v>15.1436024195112</v>
      </c>
      <c r="AI1245">
        <v>94.166650211032007</v>
      </c>
      <c r="AJ1245">
        <v>92.102692693566993</v>
      </c>
      <c r="AK1245">
        <v>15.193964520072999</v>
      </c>
      <c r="AL1245">
        <v>82.804211576217199</v>
      </c>
      <c r="AM1245">
        <v>91.322943124856806</v>
      </c>
      <c r="AN1245">
        <v>0.999999944357159</v>
      </c>
    </row>
    <row r="1246" spans="1:40" x14ac:dyDescent="0.3">
      <c r="A1246" t="str">
        <f>"20200111150338255"</f>
        <v>20200111150338255</v>
      </c>
      <c r="B1246" t="str">
        <f>"1578726218249187"</f>
        <v>1578726218249187</v>
      </c>
      <c r="C1246" t="s">
        <v>40</v>
      </c>
      <c r="D1246">
        <v>4.2757300000000003</v>
      </c>
      <c r="E1246">
        <v>0.4958284</v>
      </c>
      <c r="F1246" t="s">
        <v>68</v>
      </c>
      <c r="G1246">
        <v>-304.94209999999998</v>
      </c>
      <c r="H1246" s="1">
        <v>-9.3998859999999996E-6</v>
      </c>
      <c r="I1246">
        <v>141.7466</v>
      </c>
      <c r="J1246">
        <v>-289.11630000000002</v>
      </c>
      <c r="K1246">
        <v>1.103953</v>
      </c>
      <c r="L1246">
        <v>141.88929999999999</v>
      </c>
      <c r="M1246">
        <v>-0.99950050000000001</v>
      </c>
      <c r="N1246">
        <v>0</v>
      </c>
      <c r="O1246">
        <v>2.9572749999999998E-2</v>
      </c>
      <c r="P1246">
        <v>-0.99344670000000002</v>
      </c>
      <c r="Q1246">
        <v>0.11406910000000001</v>
      </c>
      <c r="R1246">
        <v>7.2164280000000004E-3</v>
      </c>
      <c r="S1246">
        <v>-3.0439449999999999</v>
      </c>
      <c r="T1246">
        <v>-0.20821629999999999</v>
      </c>
      <c r="U1246">
        <v>-2.5161739999999998E-2</v>
      </c>
      <c r="V1246">
        <v>-2.2149430000000001E-2</v>
      </c>
      <c r="W1246">
        <v>0.1251382</v>
      </c>
      <c r="X1246">
        <v>0.991892</v>
      </c>
      <c r="Y1246">
        <v>-3.7678700000000002E-2</v>
      </c>
      <c r="Z1246">
        <v>-3.307599E-3</v>
      </c>
      <c r="AA1246">
        <v>0.99928439999999996</v>
      </c>
      <c r="AB1246">
        <v>31</v>
      </c>
      <c r="AC1246">
        <v>-15.8257999999999</v>
      </c>
      <c r="AD1246">
        <v>-1.103962399886</v>
      </c>
      <c r="AE1246">
        <v>-0.14269999999999</v>
      </c>
      <c r="AF1246">
        <v>-0.60772210339500099</v>
      </c>
      <c r="AG1246">
        <v>-1.103962399886</v>
      </c>
      <c r="AH1246">
        <v>15.738080948035901</v>
      </c>
      <c r="AI1246">
        <v>94.009515110418903</v>
      </c>
      <c r="AJ1246">
        <v>92.211363671133498</v>
      </c>
      <c r="AK1246">
        <v>15.7884530927589</v>
      </c>
      <c r="AL1246">
        <v>82.811262936100505</v>
      </c>
      <c r="AM1246">
        <v>91.279229976717303</v>
      </c>
      <c r="AN1246">
        <v>0.99999995300628097</v>
      </c>
    </row>
    <row r="1247" spans="1:40" x14ac:dyDescent="0.3">
      <c r="A1247" t="str">
        <f>"20200111150338276"</f>
        <v>20200111150338276</v>
      </c>
      <c r="B1247" t="str">
        <f>"1578726218269681"</f>
        <v>1578726218269681</v>
      </c>
      <c r="C1247" t="s">
        <v>40</v>
      </c>
      <c r="D1247">
        <v>5.9902499999999996</v>
      </c>
      <c r="E1247">
        <v>0.49585319999999999</v>
      </c>
      <c r="F1247" t="s">
        <v>68</v>
      </c>
      <c r="G1247">
        <v>-307.5693</v>
      </c>
      <c r="H1247" s="1">
        <v>-9.786651E-6</v>
      </c>
      <c r="I1247">
        <v>141.7784</v>
      </c>
      <c r="J1247">
        <v>-289.42680000000001</v>
      </c>
      <c r="K1247">
        <v>1.1039540000000001</v>
      </c>
      <c r="L1247">
        <v>141.89850000000001</v>
      </c>
      <c r="M1247">
        <v>-0.99949920000000003</v>
      </c>
      <c r="N1247">
        <v>0</v>
      </c>
      <c r="O1247">
        <v>2.9616400000000001E-2</v>
      </c>
      <c r="P1247">
        <v>-0.99338130000000002</v>
      </c>
      <c r="Q1247">
        <v>0.11460770000000001</v>
      </c>
      <c r="R1247">
        <v>7.6797499999999999E-3</v>
      </c>
      <c r="S1247">
        <v>-3.0408629999999999</v>
      </c>
      <c r="T1247">
        <v>-0.1819219</v>
      </c>
      <c r="U1247">
        <v>-1.826477E-2</v>
      </c>
      <c r="V1247">
        <v>-2.172841E-2</v>
      </c>
      <c r="W1247">
        <v>0.1256775</v>
      </c>
      <c r="X1247">
        <v>0.99183319999999997</v>
      </c>
      <c r="Y1247">
        <v>-3.5504979999999998E-2</v>
      </c>
      <c r="Z1247">
        <v>-2.8312770000000001E-3</v>
      </c>
      <c r="AA1247">
        <v>0.99936550000000002</v>
      </c>
      <c r="AB1247">
        <v>31</v>
      </c>
      <c r="AC1247">
        <v>-18.142499999999899</v>
      </c>
      <c r="AD1247">
        <v>-1.1039637866509999</v>
      </c>
      <c r="AE1247">
        <v>-0.12010000000000701</v>
      </c>
      <c r="AF1247">
        <v>-0.65497118439648705</v>
      </c>
      <c r="AG1247">
        <v>-1.1039637866509999</v>
      </c>
      <c r="AH1247">
        <v>18.064100906309999</v>
      </c>
      <c r="AI1247">
        <v>93.494915856708502</v>
      </c>
      <c r="AJ1247">
        <v>92.0765302779526</v>
      </c>
      <c r="AK1247">
        <v>18.109651152023201</v>
      </c>
      <c r="AL1247">
        <v>82.780117973713701</v>
      </c>
      <c r="AM1247">
        <v>91.254996387690895</v>
      </c>
      <c r="AN1247">
        <v>1.0000000272148</v>
      </c>
    </row>
    <row r="1248" spans="1:40" x14ac:dyDescent="0.3">
      <c r="A1248" t="str">
        <f>"20200111150338299"</f>
        <v>20200111150338299</v>
      </c>
      <c r="B1248" t="str">
        <f>"1578726218289201"</f>
        <v>1578726218289201</v>
      </c>
      <c r="C1248" t="s">
        <v>40</v>
      </c>
      <c r="D1248">
        <v>6.5204639999999996</v>
      </c>
      <c r="E1248">
        <v>0.49618240000000002</v>
      </c>
      <c r="F1248" t="s">
        <v>68</v>
      </c>
      <c r="G1248">
        <v>-308.17259999999999</v>
      </c>
      <c r="H1248" s="1">
        <v>-9.8781210000000003E-6</v>
      </c>
      <c r="I1248">
        <v>141.79470000000001</v>
      </c>
      <c r="J1248">
        <v>-289.75099999999998</v>
      </c>
      <c r="K1248">
        <v>1.103963</v>
      </c>
      <c r="L1248">
        <v>141.90819999999999</v>
      </c>
      <c r="M1248">
        <v>-0.99949809999999994</v>
      </c>
      <c r="N1248">
        <v>0</v>
      </c>
      <c r="O1248">
        <v>2.965284E-2</v>
      </c>
      <c r="P1248">
        <v>-0.99338179999999998</v>
      </c>
      <c r="Q1248">
        <v>0.1146165</v>
      </c>
      <c r="R1248">
        <v>7.48183099999999E-3</v>
      </c>
      <c r="S1248">
        <v>-3.0407709999999999</v>
      </c>
      <c r="T1248">
        <v>-0.1790745</v>
      </c>
      <c r="U1248">
        <v>-1.6845699999999901E-2</v>
      </c>
      <c r="V1248">
        <v>-2.1964850000000001E-2</v>
      </c>
      <c r="W1248">
        <v>0.12568699999999999</v>
      </c>
      <c r="X1248">
        <v>0.99182680000000001</v>
      </c>
      <c r="Y1248">
        <v>-3.5079510000000001E-2</v>
      </c>
      <c r="Z1248">
        <v>-2.776751E-3</v>
      </c>
      <c r="AA1248">
        <v>0.99938059999999995</v>
      </c>
      <c r="AB1248">
        <v>31</v>
      </c>
      <c r="AC1248">
        <v>-18.421600000000002</v>
      </c>
      <c r="AD1248">
        <v>-1.1039728781209901</v>
      </c>
      <c r="AE1248">
        <v>-0.113499999999987</v>
      </c>
      <c r="AF1248">
        <v>-0.65737598006363696</v>
      </c>
      <c r="AG1248">
        <v>-1.1039728781209901</v>
      </c>
      <c r="AH1248">
        <v>18.344253633777601</v>
      </c>
      <c r="AI1248">
        <v>93.441751442239706</v>
      </c>
      <c r="AJ1248">
        <v>92.052346172713399</v>
      </c>
      <c r="AK1248">
        <v>18.389196303132898</v>
      </c>
      <c r="AL1248">
        <v>82.779569398078095</v>
      </c>
      <c r="AM1248">
        <v>91.268656508575802</v>
      </c>
      <c r="AN1248">
        <v>1.0000000389013799</v>
      </c>
    </row>
    <row r="1249" spans="1:40" x14ac:dyDescent="0.3">
      <c r="A1249" t="str">
        <f>"20200111150338321"</f>
        <v>20200111150338321</v>
      </c>
      <c r="B1249" t="str">
        <f>"1578726218309697"</f>
        <v>1578726218309697</v>
      </c>
      <c r="C1249" t="s">
        <v>40</v>
      </c>
      <c r="D1249">
        <v>4.6814470000000004</v>
      </c>
      <c r="E1249">
        <v>0.49563849999999998</v>
      </c>
      <c r="F1249" t="s">
        <v>68</v>
      </c>
      <c r="G1249">
        <v>-310.04950000000002</v>
      </c>
      <c r="H1249" s="1">
        <v>-1.00983E-5</v>
      </c>
      <c r="I1249">
        <v>141.80969999999999</v>
      </c>
      <c r="J1249">
        <v>-290.04770000000002</v>
      </c>
      <c r="K1249">
        <v>1.10397099999999</v>
      </c>
      <c r="L1249">
        <v>141.917</v>
      </c>
      <c r="M1249">
        <v>-0.99949739999999998</v>
      </c>
      <c r="N1249">
        <v>0</v>
      </c>
      <c r="O1249">
        <v>2.9675790000000001E-2</v>
      </c>
      <c r="P1249">
        <v>-0.99346210000000001</v>
      </c>
      <c r="Q1249">
        <v>0.1139307</v>
      </c>
      <c r="R1249">
        <v>7.2606490000000001E-3</v>
      </c>
      <c r="S1249">
        <v>-3.0391849999999998</v>
      </c>
      <c r="T1249">
        <v>-0.16529260000000001</v>
      </c>
      <c r="U1249">
        <v>-1.473999E-2</v>
      </c>
      <c r="V1249">
        <v>-2.221366E-2</v>
      </c>
      <c r="W1249">
        <v>0.12500339999999999</v>
      </c>
      <c r="X1249">
        <v>0.9919076</v>
      </c>
      <c r="Y1249">
        <v>-3.4430339999999997E-2</v>
      </c>
      <c r="Z1249">
        <v>-2.5483200000000002E-3</v>
      </c>
      <c r="AA1249">
        <v>0.99940379999999995</v>
      </c>
      <c r="AB1249">
        <v>31</v>
      </c>
      <c r="AC1249">
        <v>-20.001799999999999</v>
      </c>
      <c r="AD1249">
        <v>-1.10398109829999</v>
      </c>
      <c r="AE1249">
        <v>-0.107300000000009</v>
      </c>
      <c r="AF1249">
        <v>-0.69873030351909904</v>
      </c>
      <c r="AG1249">
        <v>-1.10398109829999</v>
      </c>
      <c r="AH1249">
        <v>19.9290952415788</v>
      </c>
      <c r="AI1249">
        <v>93.168741568167803</v>
      </c>
      <c r="AJ1249">
        <v>92.008014153020596</v>
      </c>
      <c r="AK1249">
        <v>19.971876112433101</v>
      </c>
      <c r="AL1249">
        <v>82.819047813809405</v>
      </c>
      <c r="AM1249">
        <v>91.282918141950404</v>
      </c>
      <c r="AN1249">
        <v>0.99999999181995702</v>
      </c>
    </row>
    <row r="1250" spans="1:40" x14ac:dyDescent="0.3">
      <c r="A1250" t="str">
        <f>"20200111150338342"</f>
        <v>20200111150338342</v>
      </c>
      <c r="B1250" t="str">
        <f>"1578726218339953"</f>
        <v>1578726218339953</v>
      </c>
      <c r="C1250" t="s">
        <v>40</v>
      </c>
      <c r="D1250">
        <v>5.5775350000000001</v>
      </c>
      <c r="E1250">
        <v>0.49588660000000001</v>
      </c>
      <c r="F1250" t="s">
        <v>68</v>
      </c>
      <c r="G1250">
        <v>-311.51560000000001</v>
      </c>
      <c r="H1250" s="1">
        <v>-9.4705649999999997E-6</v>
      </c>
      <c r="I1250">
        <v>141.77760000000001</v>
      </c>
      <c r="J1250">
        <v>-290.34550000000002</v>
      </c>
      <c r="K1250">
        <v>1.10398</v>
      </c>
      <c r="L1250">
        <v>141.92590000000001</v>
      </c>
      <c r="M1250">
        <v>-0.99949690000000002</v>
      </c>
      <c r="N1250">
        <v>0</v>
      </c>
      <c r="O1250">
        <v>2.9690749999999998E-2</v>
      </c>
      <c r="P1250">
        <v>-0.99345700000000003</v>
      </c>
      <c r="Q1250">
        <v>0.11393490000000001</v>
      </c>
      <c r="R1250">
        <v>7.8706639999999994E-3</v>
      </c>
      <c r="S1250">
        <v>-3.037811</v>
      </c>
      <c r="T1250">
        <v>-0.156219</v>
      </c>
      <c r="U1250">
        <v>-1.9729610000000002E-2</v>
      </c>
      <c r="V1250">
        <v>-2.1621000000000001E-2</v>
      </c>
      <c r="W1250">
        <v>0.1250086</v>
      </c>
      <c r="X1250">
        <v>0.99192009999999997</v>
      </c>
      <c r="Y1250">
        <v>-3.609673E-2</v>
      </c>
      <c r="Z1250">
        <v>-2.453294E-3</v>
      </c>
      <c r="AA1250">
        <v>0.99934529999999999</v>
      </c>
      <c r="AB1250">
        <v>31</v>
      </c>
      <c r="AC1250">
        <v>-21.170099999999898</v>
      </c>
      <c r="AD1250">
        <v>-1.103989470565</v>
      </c>
      <c r="AE1250">
        <v>-0.14830000000000601</v>
      </c>
      <c r="AF1250">
        <v>-0.77472312778171704</v>
      </c>
      <c r="AG1250">
        <v>-1.103989470565</v>
      </c>
      <c r="AH1250">
        <v>21.098987000853</v>
      </c>
      <c r="AI1250">
        <v>92.993215931524105</v>
      </c>
      <c r="AJ1250">
        <v>92.102870284220003</v>
      </c>
      <c r="AK1250">
        <v>21.1420491234412</v>
      </c>
      <c r="AL1250">
        <v>82.818747949273799</v>
      </c>
      <c r="AM1250">
        <v>91.248685166735498</v>
      </c>
      <c r="AN1250">
        <v>1.00000005124948</v>
      </c>
    </row>
    <row r="1251" spans="1:40" x14ac:dyDescent="0.3">
      <c r="A1251" t="str">
        <f>"20200111150338365"</f>
        <v>20200111150338365</v>
      </c>
      <c r="B1251" t="str">
        <f>"1578726218359473"</f>
        <v>1578726218359473</v>
      </c>
      <c r="C1251" t="s">
        <v>40</v>
      </c>
      <c r="D1251">
        <v>5.993112</v>
      </c>
      <c r="E1251">
        <v>0.49662040000000002</v>
      </c>
      <c r="F1251" t="s">
        <v>68</v>
      </c>
      <c r="G1251">
        <v>-310.52730000000003</v>
      </c>
      <c r="H1251" s="1">
        <v>-9.8885459999999994E-6</v>
      </c>
      <c r="I1251">
        <v>141.81700000000001</v>
      </c>
      <c r="J1251">
        <v>-290.67110000000002</v>
      </c>
      <c r="K1251">
        <v>1.103993</v>
      </c>
      <c r="L1251">
        <v>141.93549999999999</v>
      </c>
      <c r="M1251">
        <v>-0.99949670000000002</v>
      </c>
      <c r="N1251">
        <v>0</v>
      </c>
      <c r="O1251">
        <v>2.9699110000000001E-2</v>
      </c>
      <c r="P1251">
        <v>-0.99348259999999999</v>
      </c>
      <c r="Q1251">
        <v>0.1136969</v>
      </c>
      <c r="R1251">
        <v>8.0854229999999996E-3</v>
      </c>
      <c r="S1251">
        <v>-3.0388790000000001</v>
      </c>
      <c r="T1251">
        <v>-0.16623289999999999</v>
      </c>
      <c r="U1251">
        <v>-1.638794E-2</v>
      </c>
      <c r="V1251">
        <v>-2.1417780000000001E-2</v>
      </c>
      <c r="W1251">
        <v>0.12477249999999999</v>
      </c>
      <c r="X1251">
        <v>0.99195420000000001</v>
      </c>
      <c r="Y1251">
        <v>-3.4994110000000002E-2</v>
      </c>
      <c r="Z1251">
        <v>-2.5797340000000002E-3</v>
      </c>
      <c r="AA1251">
        <v>0.99938419999999895</v>
      </c>
      <c r="AB1251">
        <v>31</v>
      </c>
      <c r="AC1251">
        <v>-19.856200000000001</v>
      </c>
      <c r="AD1251">
        <v>-1.104002888546</v>
      </c>
      <c r="AE1251">
        <v>-0.11849999999998299</v>
      </c>
      <c r="AF1251">
        <v>-0.70601338947489101</v>
      </c>
      <c r="AG1251">
        <v>-1.104002888546</v>
      </c>
      <c r="AH1251">
        <v>19.7827671885521</v>
      </c>
      <c r="AI1251">
        <v>93.192123896492404</v>
      </c>
      <c r="AJ1251">
        <v>92.043921683701697</v>
      </c>
      <c r="AK1251">
        <v>19.826123043108801</v>
      </c>
      <c r="AL1251">
        <v>82.832381980874104</v>
      </c>
      <c r="AM1251">
        <v>91.236909685851302</v>
      </c>
      <c r="AN1251">
        <v>1.000000016477</v>
      </c>
    </row>
    <row r="1252" spans="1:40" x14ac:dyDescent="0.3">
      <c r="A1252" t="str">
        <f>"20200111150338388"</f>
        <v>20200111150338388</v>
      </c>
      <c r="B1252" t="str">
        <f>"1578726218378996"</f>
        <v>1578726218378996</v>
      </c>
      <c r="C1252" t="s">
        <v>40</v>
      </c>
      <c r="D1252">
        <v>6.0242009999999997</v>
      </c>
      <c r="E1252">
        <v>0.51940399999999998</v>
      </c>
      <c r="F1252" t="s">
        <v>68</v>
      </c>
      <c r="G1252">
        <v>-312.0686</v>
      </c>
      <c r="H1252" s="1">
        <v>-9.2861170000000006E-6</v>
      </c>
      <c r="I1252">
        <v>141.86750000000001</v>
      </c>
      <c r="J1252">
        <v>-290.98820000000001</v>
      </c>
      <c r="K1252">
        <v>1.104004</v>
      </c>
      <c r="L1252">
        <v>141.94499999999999</v>
      </c>
      <c r="M1252">
        <v>-0.99949690000000002</v>
      </c>
      <c r="N1252">
        <v>0</v>
      </c>
      <c r="O1252">
        <v>2.969171E-2</v>
      </c>
      <c r="P1252">
        <v>-0.993448</v>
      </c>
      <c r="Q1252">
        <v>0.1139749</v>
      </c>
      <c r="R1252">
        <v>8.4206319999999904E-3</v>
      </c>
      <c r="S1252">
        <v>-3.0376889999999999</v>
      </c>
      <c r="T1252">
        <v>-0.15672929999999999</v>
      </c>
      <c r="U1252">
        <v>-9.6588130000000005E-3</v>
      </c>
      <c r="V1252">
        <v>-2.1076950000000001E-2</v>
      </c>
      <c r="W1252">
        <v>0.12505069999999999</v>
      </c>
      <c r="X1252">
        <v>0.99192639999999999</v>
      </c>
      <c r="Y1252">
        <v>-3.278855E-2</v>
      </c>
      <c r="Z1252">
        <v>-2.3761609999999999E-3</v>
      </c>
      <c r="AA1252">
        <v>0.99945949999999995</v>
      </c>
      <c r="AB1252">
        <v>31</v>
      </c>
      <c r="AC1252">
        <v>-21.080400000000001</v>
      </c>
      <c r="AD1252">
        <v>-1.104013286117</v>
      </c>
      <c r="AE1252">
        <v>-7.7499999999986302E-2</v>
      </c>
      <c r="AF1252">
        <v>-0.70149385233686001</v>
      </c>
      <c r="AG1252">
        <v>-1.104013286117</v>
      </c>
      <c r="AH1252">
        <v>21.011175086119799</v>
      </c>
      <c r="AI1252">
        <v>93.006117280086698</v>
      </c>
      <c r="AJ1252">
        <v>91.912206863284595</v>
      </c>
      <c r="AK1252">
        <v>21.051850689675</v>
      </c>
      <c r="AL1252">
        <v>82.816315982307998</v>
      </c>
      <c r="AM1252">
        <v>91.217266304077498</v>
      </c>
      <c r="AN1252">
        <v>0.99999994920437496</v>
      </c>
    </row>
    <row r="1253" spans="1:40" x14ac:dyDescent="0.3">
      <c r="A1253" t="str">
        <f>"20200111150338410"</f>
        <v>20200111150338410</v>
      </c>
      <c r="B1253" t="str">
        <f>"1578726218399489"</f>
        <v>1578726218399489</v>
      </c>
      <c r="C1253" t="s">
        <v>40</v>
      </c>
      <c r="D1253">
        <v>5.6591500000000003</v>
      </c>
      <c r="E1253">
        <v>0.51886019999999999</v>
      </c>
      <c r="F1253" t="s">
        <v>69</v>
      </c>
      <c r="G1253">
        <v>-511.93770000000001</v>
      </c>
      <c r="H1253">
        <v>37.570509999999999</v>
      </c>
      <c r="I1253">
        <v>155.51660000000001</v>
      </c>
      <c r="J1253">
        <v>-291.28199999999998</v>
      </c>
      <c r="K1253">
        <v>1.1040190000000001</v>
      </c>
      <c r="L1253">
        <v>141.9537</v>
      </c>
      <c r="M1253">
        <v>-0.99949809999999994</v>
      </c>
      <c r="N1253">
        <v>0</v>
      </c>
      <c r="O1253">
        <v>2.9650570000000001E-2</v>
      </c>
      <c r="P1253">
        <v>-0.99334429999999996</v>
      </c>
      <c r="Q1253">
        <v>0.1148517</v>
      </c>
      <c r="R1253">
        <v>8.7459029999999993E-3</v>
      </c>
      <c r="S1253">
        <v>-2.9621279999999999</v>
      </c>
      <c r="T1253">
        <v>0.48888310000000001</v>
      </c>
      <c r="U1253">
        <v>0.18194579999999999</v>
      </c>
      <c r="V1253">
        <v>-2.0713269999999999E-2</v>
      </c>
      <c r="W1253">
        <v>0.12592729999999999</v>
      </c>
      <c r="X1253">
        <v>0.99182320000000002</v>
      </c>
      <c r="Y1253">
        <v>3.1657780000000003E-2</v>
      </c>
      <c r="Z1253">
        <v>2.2624440000000002E-3</v>
      </c>
      <c r="AA1253">
        <v>0.99949619999999995</v>
      </c>
      <c r="AB1253">
        <v>31</v>
      </c>
      <c r="AC1253">
        <v>-220.6557</v>
      </c>
      <c r="AD1253">
        <v>36.466490999999998</v>
      </c>
      <c r="AE1253">
        <v>13.562900000000001</v>
      </c>
      <c r="AF1253">
        <v>6.8281709096338101</v>
      </c>
      <c r="AG1253">
        <v>36.466490999999998</v>
      </c>
      <c r="AH1253">
        <v>215.10787472677899</v>
      </c>
      <c r="AI1253">
        <v>80.383076097335902</v>
      </c>
      <c r="AJ1253">
        <v>88.181870129961695</v>
      </c>
      <c r="AK1253">
        <v>218.28382132740799</v>
      </c>
      <c r="AL1253">
        <v>82.765690615301295</v>
      </c>
      <c r="AM1253">
        <v>91.196393127725102</v>
      </c>
      <c r="AN1253">
        <v>0.99999999224881098</v>
      </c>
    </row>
    <row r="1254" spans="1:40" x14ac:dyDescent="0.3">
      <c r="A1254" t="str">
        <f>"20200111150338431"</f>
        <v>20200111150338431</v>
      </c>
      <c r="B1254" t="str">
        <f>"1578726218419009"</f>
        <v>1578726218419009</v>
      </c>
      <c r="C1254" t="s">
        <v>40</v>
      </c>
      <c r="D1254">
        <v>5.6371330000000004</v>
      </c>
      <c r="E1254">
        <v>0.51897870000000002</v>
      </c>
      <c r="F1254" t="s">
        <v>42</v>
      </c>
      <c r="G1254">
        <v>-292.2724</v>
      </c>
      <c r="H1254">
        <v>1.037771</v>
      </c>
      <c r="I1254">
        <v>142.00909999999999</v>
      </c>
      <c r="J1254">
        <v>-291.58890000000002</v>
      </c>
      <c r="K1254">
        <v>1.104053</v>
      </c>
      <c r="L1254">
        <v>141.96270000000001</v>
      </c>
      <c r="M1254">
        <v>-0.99950090000000003</v>
      </c>
      <c r="N1254">
        <v>0</v>
      </c>
      <c r="O1254">
        <v>2.9557300000000002E-2</v>
      </c>
      <c r="P1254">
        <v>-0.99335530000000005</v>
      </c>
      <c r="Q1254">
        <v>0.1147006</v>
      </c>
      <c r="R1254">
        <v>9.4476579999999994E-3</v>
      </c>
      <c r="S1254">
        <v>-3.0421450000000001</v>
      </c>
      <c r="T1254">
        <v>-0.20359869999999999</v>
      </c>
      <c r="U1254">
        <v>0.16950989999999999</v>
      </c>
      <c r="V1254">
        <v>-1.9929990000000002E-2</v>
      </c>
      <c r="W1254">
        <v>0.12577639999999901</v>
      </c>
      <c r="X1254">
        <v>0.99185840000000003</v>
      </c>
      <c r="Y1254">
        <v>2.6104249999999999E-2</v>
      </c>
      <c r="Z1254">
        <v>-1.102041E-3</v>
      </c>
      <c r="AA1254">
        <v>0.99965859999999995</v>
      </c>
      <c r="AB1254">
        <v>31</v>
      </c>
      <c r="AC1254">
        <v>-0.68349999999998001</v>
      </c>
      <c r="AD1254">
        <v>-6.6282000000000105E-2</v>
      </c>
      <c r="AE1254">
        <v>4.6399999999977098E-2</v>
      </c>
      <c r="AF1254">
        <v>2.5933295494538901E-2</v>
      </c>
      <c r="AG1254">
        <v>-6.6282000000000105E-2</v>
      </c>
      <c r="AH1254">
        <v>0.67822409336718903</v>
      </c>
      <c r="AI1254">
        <v>95.577670118209497</v>
      </c>
      <c r="AJ1254">
        <v>87.810244607077806</v>
      </c>
      <c r="AK1254">
        <v>0.68194850257402295</v>
      </c>
      <c r="AL1254">
        <v>82.774405873566295</v>
      </c>
      <c r="AM1254">
        <v>91.151122648014194</v>
      </c>
      <c r="AN1254">
        <v>0.99999999647446003</v>
      </c>
    </row>
    <row r="1255" spans="1:40" x14ac:dyDescent="0.3">
      <c r="A1255" t="str">
        <f>"20200111150338455"</f>
        <v>20200111150338455</v>
      </c>
      <c r="B1255" t="str">
        <f>"1578726218449265"</f>
        <v>1578726218449265</v>
      </c>
      <c r="C1255" t="s">
        <v>40</v>
      </c>
      <c r="D1255">
        <v>5.471711</v>
      </c>
      <c r="E1255">
        <v>0.5176655</v>
      </c>
      <c r="F1255" t="s">
        <v>42</v>
      </c>
      <c r="G1255">
        <v>-292.55149999999998</v>
      </c>
      <c r="H1255">
        <v>1.0374570000000001</v>
      </c>
      <c r="I1255">
        <v>142.0171</v>
      </c>
      <c r="J1255">
        <v>-291.90910000000002</v>
      </c>
      <c r="K1255">
        <v>1.1040920000000001</v>
      </c>
      <c r="L1255">
        <v>141.97210000000001</v>
      </c>
      <c r="M1255">
        <v>-0.99950519999999998</v>
      </c>
      <c r="N1255">
        <v>0</v>
      </c>
      <c r="O1255">
        <v>2.9409879999999999E-2</v>
      </c>
      <c r="P1255">
        <v>-0.99336590000000002</v>
      </c>
      <c r="Q1255">
        <v>0.11448759999999999</v>
      </c>
      <c r="R1255">
        <v>1.082323E-2</v>
      </c>
      <c r="S1255">
        <v>-3.0427249999999999</v>
      </c>
      <c r="T1255">
        <v>-0.21057419999999999</v>
      </c>
      <c r="U1255">
        <v>0.17161560000000001</v>
      </c>
      <c r="V1255">
        <v>-1.842222E-2</v>
      </c>
      <c r="W1255">
        <v>0.12556400000000001</v>
      </c>
      <c r="X1255">
        <v>0.99191450000000003</v>
      </c>
      <c r="Y1255">
        <v>2.6928959999999998E-2</v>
      </c>
      <c r="Z1255">
        <v>-1.10081E-3</v>
      </c>
      <c r="AA1255">
        <v>0.99963679999999999</v>
      </c>
      <c r="AB1255">
        <v>31</v>
      </c>
      <c r="AC1255">
        <v>-0.64239999999995201</v>
      </c>
      <c r="AD1255">
        <v>-6.6635E-2</v>
      </c>
      <c r="AE1255">
        <v>4.4999999999987397E-2</v>
      </c>
      <c r="AF1255">
        <v>2.5810101099344999E-2</v>
      </c>
      <c r="AG1255">
        <v>-6.6635E-2</v>
      </c>
      <c r="AH1255">
        <v>0.63662922291110102</v>
      </c>
      <c r="AI1255">
        <v>95.970434441410802</v>
      </c>
      <c r="AJ1255">
        <v>87.678396785535796</v>
      </c>
      <c r="AK1255">
        <v>0.640627155222248</v>
      </c>
      <c r="AL1255">
        <v>82.786673033232802</v>
      </c>
      <c r="AM1255">
        <v>91.063997067762301</v>
      </c>
      <c r="AN1255">
        <v>1.0000000357979799</v>
      </c>
    </row>
    <row r="1256" spans="1:40" x14ac:dyDescent="0.3">
      <c r="A1256" t="str">
        <f>"20200111150338478"</f>
        <v>20200111150338478</v>
      </c>
      <c r="B1256" t="str">
        <f>"1578726218469761"</f>
        <v>1578726218469761</v>
      </c>
      <c r="C1256" t="s">
        <v>40</v>
      </c>
      <c r="D1256">
        <v>5.4367349999999997</v>
      </c>
      <c r="E1256">
        <v>0.514652</v>
      </c>
      <c r="F1256" t="s">
        <v>42</v>
      </c>
      <c r="G1256">
        <v>-292.83600000000001</v>
      </c>
      <c r="H1256">
        <v>1.0441769999999999</v>
      </c>
      <c r="I1256">
        <v>142.0222</v>
      </c>
      <c r="J1256">
        <v>-292.24259999999998</v>
      </c>
      <c r="K1256">
        <v>1.104144</v>
      </c>
      <c r="L1256">
        <v>141.98169999999999</v>
      </c>
      <c r="M1256">
        <v>-0.99951179999999995</v>
      </c>
      <c r="N1256">
        <v>0</v>
      </c>
      <c r="O1256">
        <v>2.918285E-2</v>
      </c>
      <c r="P1256">
        <v>-0.99327779999999999</v>
      </c>
      <c r="Q1256">
        <v>0.1152514</v>
      </c>
      <c r="R1256">
        <v>1.07863E-2</v>
      </c>
      <c r="S1256">
        <v>-3.0409549999999999</v>
      </c>
      <c r="T1256">
        <v>-0.19661690000000001</v>
      </c>
      <c r="U1256">
        <v>0.1635895</v>
      </c>
      <c r="V1256">
        <v>-1.824827E-2</v>
      </c>
      <c r="W1256">
        <v>0.12632650000000001</v>
      </c>
      <c r="X1256">
        <v>0.99182090000000001</v>
      </c>
      <c r="Y1256">
        <v>2.4561960000000001E-2</v>
      </c>
      <c r="Z1256">
        <v>-1.0904339999999999E-3</v>
      </c>
      <c r="AA1256">
        <v>0.99969770000000002</v>
      </c>
      <c r="AB1256">
        <v>31</v>
      </c>
      <c r="AC1256">
        <v>-0.59340000000003101</v>
      </c>
      <c r="AD1256">
        <v>-5.9966999999999798E-2</v>
      </c>
      <c r="AE1256">
        <v>4.0500000000008599E-2</v>
      </c>
      <c r="AF1256">
        <v>2.29314665851954E-2</v>
      </c>
      <c r="AG1256">
        <v>-5.9966999999999798E-2</v>
      </c>
      <c r="AH1256">
        <v>0.58834859587285504</v>
      </c>
      <c r="AI1256">
        <v>95.815347887201995</v>
      </c>
      <c r="AJ1256">
        <v>87.767970293160005</v>
      </c>
      <c r="AK1256">
        <v>0.59184116409245102</v>
      </c>
      <c r="AL1256">
        <v>82.742634366792601</v>
      </c>
      <c r="AM1256">
        <v>91.054052098178204</v>
      </c>
      <c r="AN1256">
        <v>1.0000000408185199</v>
      </c>
    </row>
    <row r="1257" spans="1:40" x14ac:dyDescent="0.3">
      <c r="A1257" t="str">
        <f>"20200111150338500"</f>
        <v>20200111150338500</v>
      </c>
      <c r="B1257" t="str">
        <f>"1578726218489284"</f>
        <v>1578726218489284</v>
      </c>
      <c r="C1257" t="s">
        <v>40</v>
      </c>
      <c r="D1257">
        <v>5.0908480000000003</v>
      </c>
      <c r="E1257">
        <v>0.5159473</v>
      </c>
      <c r="F1257" t="s">
        <v>42</v>
      </c>
      <c r="G1257">
        <v>-293.0829</v>
      </c>
      <c r="H1257">
        <v>0.97912250000000001</v>
      </c>
      <c r="I1257">
        <v>142.0188</v>
      </c>
      <c r="J1257">
        <v>-292.54079999999999</v>
      </c>
      <c r="K1257">
        <v>1.1042050000000001</v>
      </c>
      <c r="L1257">
        <v>141.99010000000001</v>
      </c>
      <c r="M1257">
        <v>-0.99952010000000002</v>
      </c>
      <c r="N1257">
        <v>0</v>
      </c>
      <c r="O1257">
        <v>2.8896149999999999E-2</v>
      </c>
      <c r="P1257">
        <v>-0.99325620000000003</v>
      </c>
      <c r="Q1257">
        <v>0.115453399999999</v>
      </c>
      <c r="R1257">
        <v>1.0617329999999999E-2</v>
      </c>
      <c r="S1257">
        <v>-3.071869</v>
      </c>
      <c r="T1257">
        <v>-0.4571404</v>
      </c>
      <c r="U1257">
        <v>0.13522339999999999</v>
      </c>
      <c r="V1257">
        <v>-1.81499E-2</v>
      </c>
      <c r="W1257">
        <v>0.12652759999999999</v>
      </c>
      <c r="X1257">
        <v>0.99179700000000004</v>
      </c>
      <c r="Y1257">
        <v>1.5238979999999999E-2</v>
      </c>
      <c r="Z1257">
        <v>-3.1465920000000001E-3</v>
      </c>
      <c r="AA1257">
        <v>0.99987890000000001</v>
      </c>
      <c r="AB1257">
        <v>31</v>
      </c>
      <c r="AC1257">
        <v>-0.54210000000000402</v>
      </c>
      <c r="AD1257">
        <v>-0.12508249999999899</v>
      </c>
      <c r="AE1257">
        <v>2.86999999999864E-2</v>
      </c>
      <c r="AF1257">
        <v>1.23659194412832E-2</v>
      </c>
      <c r="AG1257">
        <v>-0.12508249999999899</v>
      </c>
      <c r="AH1257">
        <v>0.51534303322670205</v>
      </c>
      <c r="AI1257">
        <v>103.63905561810201</v>
      </c>
      <c r="AJ1257">
        <v>88.625422270070203</v>
      </c>
      <c r="AK1257">
        <v>0.53044979938272796</v>
      </c>
      <c r="AL1257">
        <v>82.731018471513494</v>
      </c>
      <c r="AM1257">
        <v>91.048396603602001</v>
      </c>
      <c r="AN1257">
        <v>0.99999997082038405</v>
      </c>
    </row>
    <row r="1258" spans="1:40" x14ac:dyDescent="0.3">
      <c r="A1258" t="str">
        <f>"20200111150338521"</f>
        <v>20200111150338521</v>
      </c>
      <c r="B1258" t="str">
        <f>"1578726218509777"</f>
        <v>1578726218509777</v>
      </c>
      <c r="C1258" t="s">
        <v>40</v>
      </c>
      <c r="D1258">
        <v>5.4561099999999998</v>
      </c>
      <c r="E1258">
        <v>0.53217479999999995</v>
      </c>
      <c r="F1258" t="s">
        <v>42</v>
      </c>
      <c r="G1258">
        <v>-293.37490000000003</v>
      </c>
      <c r="H1258">
        <v>1.0048999999999999</v>
      </c>
      <c r="I1258">
        <v>142.03059999999999</v>
      </c>
      <c r="J1258">
        <v>-292.84660000000002</v>
      </c>
      <c r="K1258">
        <v>1.1042799999999999</v>
      </c>
      <c r="L1258">
        <v>141.99860000000001</v>
      </c>
      <c r="M1258">
        <v>-0.99953139999999996</v>
      </c>
      <c r="N1258">
        <v>0</v>
      </c>
      <c r="O1258">
        <v>2.850165E-2</v>
      </c>
      <c r="P1258">
        <v>-0.99333229999999995</v>
      </c>
      <c r="Q1258">
        <v>0.1147764</v>
      </c>
      <c r="R1258">
        <v>1.084625E-2</v>
      </c>
      <c r="S1258">
        <v>-3.0612180000000002</v>
      </c>
      <c r="T1258">
        <v>-0.36460419999999999</v>
      </c>
      <c r="U1258">
        <v>0.1472321</v>
      </c>
      <c r="V1258">
        <v>-1.7553650000000001E-2</v>
      </c>
      <c r="W1258">
        <v>0.12585070000000001</v>
      </c>
      <c r="X1258">
        <v>0.9918939</v>
      </c>
      <c r="Y1258">
        <v>1.9612979999999999E-2</v>
      </c>
      <c r="Z1258">
        <v>-2.216853E-3</v>
      </c>
      <c r="AA1258">
        <v>0.99980519999999995</v>
      </c>
      <c r="AB1258">
        <v>31</v>
      </c>
      <c r="AC1258">
        <v>-0.52830000000000099</v>
      </c>
      <c r="AD1258">
        <v>-9.9379999999999996E-2</v>
      </c>
      <c r="AE1258">
        <v>3.1999999999982202E-2</v>
      </c>
      <c r="AF1258">
        <v>1.63521105049034E-2</v>
      </c>
      <c r="AG1258">
        <v>-9.9379999999999996E-2</v>
      </c>
      <c r="AH1258">
        <v>0.51098173692167903</v>
      </c>
      <c r="AI1258">
        <v>101.00047153324699</v>
      </c>
      <c r="AJ1258">
        <v>88.167082652828398</v>
      </c>
      <c r="AK1258">
        <v>0.52081293319719002</v>
      </c>
      <c r="AL1258">
        <v>82.770114863418996</v>
      </c>
      <c r="AM1258">
        <v>91.013863563086005</v>
      </c>
      <c r="AN1258">
        <v>1.0000000190880101</v>
      </c>
    </row>
    <row r="1259" spans="1:40" x14ac:dyDescent="0.3">
      <c r="A1259" t="str">
        <f>"20200111150338543"</f>
        <v>20200111150338543</v>
      </c>
      <c r="B1259" t="str">
        <f>"1578726218539057"</f>
        <v>1578726218539057</v>
      </c>
      <c r="C1259" t="s">
        <v>40</v>
      </c>
      <c r="D1259">
        <v>6.960248</v>
      </c>
      <c r="E1259">
        <v>0.52656719999999901</v>
      </c>
      <c r="F1259" t="s">
        <v>69</v>
      </c>
      <c r="G1259">
        <v>-511.94200000000001</v>
      </c>
      <c r="H1259">
        <v>50.58455</v>
      </c>
      <c r="I1259">
        <v>163.96209999999999</v>
      </c>
      <c r="J1259">
        <v>-293.15600000000001</v>
      </c>
      <c r="K1259">
        <v>1.1043689999999999</v>
      </c>
      <c r="L1259">
        <v>142.00700000000001</v>
      </c>
      <c r="M1259">
        <v>-0.99954589999999999</v>
      </c>
      <c r="N1259">
        <v>0</v>
      </c>
      <c r="O1259">
        <v>2.798753E-2</v>
      </c>
      <c r="P1259">
        <v>-0.9933128</v>
      </c>
      <c r="Q1259">
        <v>0.1149703</v>
      </c>
      <c r="R1259">
        <v>1.0572969999999999E-2</v>
      </c>
      <c r="S1259">
        <v>-2.9401549999999999</v>
      </c>
      <c r="T1259">
        <v>0.66400150000000002</v>
      </c>
      <c r="U1259">
        <v>0.29473880000000002</v>
      </c>
      <c r="V1259">
        <v>-1.7342280000000002E-2</v>
      </c>
      <c r="W1259">
        <v>0.12604319999999999</v>
      </c>
      <c r="X1259">
        <v>0.99187309999999995</v>
      </c>
      <c r="Y1259">
        <v>7.0790599999999995E-2</v>
      </c>
      <c r="Z1259">
        <v>-1.6505580000000001E-3</v>
      </c>
      <c r="AA1259">
        <v>0.99748979999999998</v>
      </c>
      <c r="AB1259">
        <v>31</v>
      </c>
      <c r="AC1259">
        <v>-218.78599999999901</v>
      </c>
      <c r="AD1259">
        <v>49.480181000000002</v>
      </c>
      <c r="AE1259">
        <v>21.955099999999899</v>
      </c>
      <c r="AF1259">
        <v>15.060225252382599</v>
      </c>
      <c r="AG1259">
        <v>49.480181000000002</v>
      </c>
      <c r="AH1259">
        <v>208.74449862786699</v>
      </c>
      <c r="AI1259">
        <v>76.698233040891495</v>
      </c>
      <c r="AJ1259">
        <v>85.873448841903993</v>
      </c>
      <c r="AK1259">
        <v>215.056653939944</v>
      </c>
      <c r="AL1259">
        <v>82.758996352054595</v>
      </c>
      <c r="AM1259">
        <v>91.001678759853903</v>
      </c>
      <c r="AN1259">
        <v>0.99999994472272202</v>
      </c>
    </row>
    <row r="1260" spans="1:40" x14ac:dyDescent="0.3">
      <c r="A1260" t="str">
        <f>"20200111150338567"</f>
        <v>20200111150338567</v>
      </c>
      <c r="B1260" t="str">
        <f>"1578726218559553"</f>
        <v>1578726218559553</v>
      </c>
      <c r="C1260" t="s">
        <v>40</v>
      </c>
      <c r="D1260">
        <v>5.4192939999999998</v>
      </c>
      <c r="E1260">
        <v>0.51720379999999999</v>
      </c>
      <c r="F1260" t="s">
        <v>69</v>
      </c>
      <c r="G1260">
        <v>-511.94380000000001</v>
      </c>
      <c r="H1260">
        <v>56.169220000000003</v>
      </c>
      <c r="I1260">
        <v>160.7182</v>
      </c>
      <c r="J1260">
        <v>-293.4828</v>
      </c>
      <c r="K1260">
        <v>1.104474</v>
      </c>
      <c r="L1260">
        <v>142.0155</v>
      </c>
      <c r="M1260">
        <v>-0.99956460000000003</v>
      </c>
      <c r="N1260">
        <v>0</v>
      </c>
      <c r="O1260">
        <v>2.731221E-2</v>
      </c>
      <c r="P1260">
        <v>-0.99325220000000003</v>
      </c>
      <c r="Q1260">
        <v>0.1156249</v>
      </c>
      <c r="R1260">
        <v>9.0126970000000001E-3</v>
      </c>
      <c r="S1260">
        <v>-2.9321290000000002</v>
      </c>
      <c r="T1260">
        <v>0.73796249999999997</v>
      </c>
      <c r="U1260">
        <v>0.25076290000000001</v>
      </c>
      <c r="V1260">
        <v>-1.8262540000000001E-2</v>
      </c>
      <c r="W1260">
        <v>0.1266941</v>
      </c>
      <c r="X1260">
        <v>0.99177369999999998</v>
      </c>
      <c r="Y1260">
        <v>5.7044900000000003E-2</v>
      </c>
      <c r="Z1260">
        <v>-3.0155479999999999E-4</v>
      </c>
      <c r="AA1260">
        <v>0.99837149999999997</v>
      </c>
      <c r="AB1260">
        <v>31</v>
      </c>
      <c r="AC1260">
        <v>-218.46099999999899</v>
      </c>
      <c r="AD1260">
        <v>55.0647459999999</v>
      </c>
      <c r="AE1260">
        <v>18.7027</v>
      </c>
      <c r="AF1260">
        <v>11.9735187005843</v>
      </c>
      <c r="AG1260">
        <v>55.0647459999999</v>
      </c>
      <c r="AH1260">
        <v>205.90382851813399</v>
      </c>
      <c r="AI1260">
        <v>75.051907632657006</v>
      </c>
      <c r="AJ1260">
        <v>86.671939635575995</v>
      </c>
      <c r="AK1260">
        <v>213.47570822119999</v>
      </c>
      <c r="AL1260">
        <v>82.721401496907305</v>
      </c>
      <c r="AM1260">
        <v>91.054926364037101</v>
      </c>
      <c r="AN1260">
        <v>0.99999999367687498</v>
      </c>
    </row>
    <row r="1261" spans="1:40" x14ac:dyDescent="0.3">
      <c r="A1261" t="str">
        <f>"20200111150338589"</f>
        <v>20200111150338589</v>
      </c>
      <c r="B1261" t="str">
        <f>"1578726218579076"</f>
        <v>1578726218579076</v>
      </c>
      <c r="C1261" t="s">
        <v>40</v>
      </c>
      <c r="D1261">
        <v>5.3502830000000001</v>
      </c>
      <c r="E1261">
        <v>0.52155640000000003</v>
      </c>
      <c r="F1261" t="s">
        <v>42</v>
      </c>
      <c r="G1261">
        <v>-294.24310000000003</v>
      </c>
      <c r="H1261">
        <v>1.0491889999999999</v>
      </c>
      <c r="I1261">
        <v>142.05420000000001</v>
      </c>
      <c r="J1261">
        <v>-293.79629999999997</v>
      </c>
      <c r="K1261">
        <v>1.10459</v>
      </c>
      <c r="L1261">
        <v>142.02330000000001</v>
      </c>
      <c r="M1261">
        <v>-0.99958570000000002</v>
      </c>
      <c r="N1261">
        <v>0</v>
      </c>
      <c r="O1261">
        <v>2.6526190000000002E-2</v>
      </c>
      <c r="P1261">
        <v>-0.9931198</v>
      </c>
      <c r="Q1261">
        <v>0.1168516</v>
      </c>
      <c r="R1261">
        <v>7.6852789999999997E-3</v>
      </c>
      <c r="S1261">
        <v>-3.0447690000000001</v>
      </c>
      <c r="T1261">
        <v>-0.22154119999999999</v>
      </c>
      <c r="U1261">
        <v>0.1542664</v>
      </c>
      <c r="V1261">
        <v>-1.8839829999999998E-2</v>
      </c>
      <c r="W1261">
        <v>0.12791620000000001</v>
      </c>
      <c r="X1261">
        <v>0.99160610000000005</v>
      </c>
      <c r="Y1261">
        <v>2.409584E-2</v>
      </c>
      <c r="Z1261">
        <v>-1.051022E-3</v>
      </c>
      <c r="AA1261">
        <v>0.99970910000000002</v>
      </c>
      <c r="AB1261">
        <v>31</v>
      </c>
      <c r="AC1261">
        <v>-0.44680000000005199</v>
      </c>
      <c r="AD1261">
        <v>-5.5400999999999999E-2</v>
      </c>
      <c r="AE1261">
        <v>3.0900000000002498E-2</v>
      </c>
      <c r="AF1261">
        <v>1.8749585722660798E-2</v>
      </c>
      <c r="AG1261">
        <v>-5.5400999999999999E-2</v>
      </c>
      <c r="AH1261">
        <v>0.44071877096379503</v>
      </c>
      <c r="AI1261">
        <v>97.158434254586993</v>
      </c>
      <c r="AJ1261">
        <v>87.563923330858898</v>
      </c>
      <c r="AK1261">
        <v>0.444582785143116</v>
      </c>
      <c r="AL1261">
        <v>82.650806530340105</v>
      </c>
      <c r="AM1261">
        <v>91.088449224325203</v>
      </c>
      <c r="AN1261">
        <v>1.00000007548703</v>
      </c>
    </row>
    <row r="1262" spans="1:40" x14ac:dyDescent="0.3">
      <c r="A1262" t="str">
        <f>"20200111150338612"</f>
        <v>20200111150338612</v>
      </c>
      <c r="B1262" t="str">
        <f>"1578726218599569"</f>
        <v>1578726218599569</v>
      </c>
      <c r="C1262" t="s">
        <v>40</v>
      </c>
      <c r="D1262">
        <v>5.7708069999999996</v>
      </c>
      <c r="E1262">
        <v>0.52096160000000002</v>
      </c>
      <c r="F1262" t="s">
        <v>42</v>
      </c>
      <c r="G1262">
        <v>-294.77539999999999</v>
      </c>
      <c r="H1262">
        <v>1.0074099999999999</v>
      </c>
      <c r="I1262">
        <v>142.08199999999999</v>
      </c>
      <c r="J1262">
        <v>-294.10719999999998</v>
      </c>
      <c r="K1262">
        <v>1.1047020000000001</v>
      </c>
      <c r="L1262">
        <v>142.03059999999999</v>
      </c>
      <c r="M1262">
        <v>-0.99960979999999999</v>
      </c>
      <c r="N1262">
        <v>0</v>
      </c>
      <c r="O1262">
        <v>2.5606170000000001E-2</v>
      </c>
      <c r="P1262">
        <v>-0.9931449</v>
      </c>
      <c r="Q1262">
        <v>0.1167204</v>
      </c>
      <c r="R1262">
        <v>6.3387039999999997E-3</v>
      </c>
      <c r="S1262">
        <v>-3.0550229999999998</v>
      </c>
      <c r="T1262">
        <v>-0.30326409999999998</v>
      </c>
      <c r="U1262">
        <v>0.18305969999999999</v>
      </c>
      <c r="V1262">
        <v>-1.9305429999999998E-2</v>
      </c>
      <c r="W1262">
        <v>0.12778229999999999</v>
      </c>
      <c r="X1262">
        <v>0.99161429999999995</v>
      </c>
      <c r="Y1262">
        <v>3.4190039999999998E-2</v>
      </c>
      <c r="Z1262">
        <v>-8.4152399999999996E-4</v>
      </c>
      <c r="AA1262">
        <v>0.99941500000000005</v>
      </c>
      <c r="AB1262">
        <v>31</v>
      </c>
      <c r="AC1262">
        <v>-0.66820000000001301</v>
      </c>
      <c r="AD1262">
        <v>-9.7291999999999906E-2</v>
      </c>
      <c r="AE1262">
        <v>5.1400000000000903E-2</v>
      </c>
      <c r="AF1262">
        <v>3.3564642062365098E-2</v>
      </c>
      <c r="AG1262">
        <v>-9.7291999999999906E-2</v>
      </c>
      <c r="AH1262">
        <v>0.65548245539553696</v>
      </c>
      <c r="AI1262">
        <v>98.431774697367601</v>
      </c>
      <c r="AJ1262">
        <v>87.068671909049499</v>
      </c>
      <c r="AK1262">
        <v>0.66351305020484497</v>
      </c>
      <c r="AL1262">
        <v>82.658541119942399</v>
      </c>
      <c r="AM1262">
        <v>91.115332787833196</v>
      </c>
      <c r="AN1262">
        <v>0.99999996789263101</v>
      </c>
    </row>
    <row r="1263" spans="1:40" x14ac:dyDescent="0.3">
      <c r="A1263" t="str">
        <f>"20200111150338633"</f>
        <v>20200111150338633</v>
      </c>
      <c r="B1263" t="str">
        <f>"1578726218629825"</f>
        <v>1578726218629825</v>
      </c>
      <c r="C1263" t="s">
        <v>40</v>
      </c>
      <c r="D1263">
        <v>5.4577609999999996</v>
      </c>
      <c r="E1263">
        <v>0.51331179999999998</v>
      </c>
      <c r="F1263" t="s">
        <v>42</v>
      </c>
      <c r="G1263">
        <v>-295.06099999999998</v>
      </c>
      <c r="H1263">
        <v>1.0179849999999999</v>
      </c>
      <c r="I1263">
        <v>142.08539999999999</v>
      </c>
      <c r="J1263">
        <v>-294.4194</v>
      </c>
      <c r="K1263">
        <v>1.104797</v>
      </c>
      <c r="L1263">
        <v>142.03749999999999</v>
      </c>
      <c r="M1263">
        <v>-0.99963550000000001</v>
      </c>
      <c r="N1263">
        <v>0</v>
      </c>
      <c r="O1263">
        <v>2.4574950000000002E-2</v>
      </c>
      <c r="P1263">
        <v>-0.99318980000000001</v>
      </c>
      <c r="Q1263">
        <v>0.1163891</v>
      </c>
      <c r="R1263">
        <v>5.262999E-3</v>
      </c>
      <c r="S1263">
        <v>-3.0522459999999998</v>
      </c>
      <c r="T1263">
        <v>-0.27776240000000002</v>
      </c>
      <c r="U1263">
        <v>0.17439270000000001</v>
      </c>
      <c r="V1263">
        <v>-1.9387109999999999E-2</v>
      </c>
      <c r="W1263">
        <v>0.1274508</v>
      </c>
      <c r="X1263">
        <v>0.99165539999999996</v>
      </c>
      <c r="Y1263">
        <v>3.245667E-2</v>
      </c>
      <c r="Z1263">
        <v>-7.5696469999999997E-4</v>
      </c>
      <c r="AA1263">
        <v>0.9994729</v>
      </c>
      <c r="AB1263">
        <v>31</v>
      </c>
      <c r="AC1263">
        <v>-0.64159999999998196</v>
      </c>
      <c r="AD1263">
        <v>-8.6811999999999806E-2</v>
      </c>
      <c r="AE1263">
        <v>4.7899999999998499E-2</v>
      </c>
      <c r="AF1263">
        <v>3.1542984229435897E-2</v>
      </c>
      <c r="AG1263">
        <v>-8.6811999999999806E-2</v>
      </c>
      <c r="AH1263">
        <v>0.63109366589011895</v>
      </c>
      <c r="AI1263">
        <v>97.822695636046006</v>
      </c>
      <c r="AJ1263">
        <v>87.138654261755605</v>
      </c>
      <c r="AK1263">
        <v>0.63781697870527698</v>
      </c>
      <c r="AL1263">
        <v>82.677691483041798</v>
      </c>
      <c r="AM1263">
        <v>91.120004078033901</v>
      </c>
      <c r="AN1263">
        <v>0.99999999940197604</v>
      </c>
    </row>
    <row r="1264" spans="1:40" x14ac:dyDescent="0.3">
      <c r="A1264" t="str">
        <f>"20200111150338656"</f>
        <v>20200111150338656</v>
      </c>
      <c r="B1264" t="str">
        <f>"1578726218649345"</f>
        <v>1578726218649345</v>
      </c>
      <c r="C1264" t="s">
        <v>40</v>
      </c>
      <c r="D1264">
        <v>5.9795259999999999</v>
      </c>
      <c r="E1264">
        <v>0.51354069999999996</v>
      </c>
      <c r="F1264" t="s">
        <v>69</v>
      </c>
      <c r="G1264">
        <v>-511.0718</v>
      </c>
      <c r="H1264">
        <v>39.6496</v>
      </c>
      <c r="I1264">
        <v>151.2079</v>
      </c>
      <c r="J1264">
        <v>-294.73239999999998</v>
      </c>
      <c r="K1264">
        <v>1.1048830000000001</v>
      </c>
      <c r="L1264">
        <v>142.04409999999999</v>
      </c>
      <c r="M1264">
        <v>-0.99966270000000002</v>
      </c>
      <c r="N1264">
        <v>0</v>
      </c>
      <c r="O1264">
        <v>2.3436100000000001E-2</v>
      </c>
      <c r="P1264">
        <v>-0.99325160000000001</v>
      </c>
      <c r="Q1264">
        <v>0.1158903</v>
      </c>
      <c r="R1264">
        <v>4.5522319999999998E-3</v>
      </c>
      <c r="S1264">
        <v>-2.958221</v>
      </c>
      <c r="T1264">
        <v>0.52629959999999998</v>
      </c>
      <c r="U1264">
        <v>0.12521360000000001</v>
      </c>
      <c r="V1264">
        <v>-1.8993030000000001E-2</v>
      </c>
      <c r="W1264">
        <v>0.12695229999999999</v>
      </c>
      <c r="X1264">
        <v>0.99172700000000003</v>
      </c>
      <c r="Y1264">
        <v>1.893181E-2</v>
      </c>
      <c r="Z1264">
        <v>2.4644739999999999E-3</v>
      </c>
      <c r="AA1264">
        <v>0.99981770000000003</v>
      </c>
      <c r="AB1264">
        <v>31</v>
      </c>
      <c r="AC1264">
        <v>-216.33940000000001</v>
      </c>
      <c r="AD1264">
        <v>38.544716999999999</v>
      </c>
      <c r="AE1264">
        <v>9.1638000000000002</v>
      </c>
      <c r="AF1264">
        <v>3.9651694190916702</v>
      </c>
      <c r="AG1264">
        <v>38.544716999999999</v>
      </c>
      <c r="AH1264">
        <v>209.84539616461399</v>
      </c>
      <c r="AI1264">
        <v>79.5936606328588</v>
      </c>
      <c r="AJ1264">
        <v>88.917486664509198</v>
      </c>
      <c r="AK1264">
        <v>213.39284915061299</v>
      </c>
      <c r="AL1264">
        <v>82.706487581129494</v>
      </c>
      <c r="AM1264">
        <v>91.097164283150306</v>
      </c>
      <c r="AN1264">
        <v>1.00000003209643</v>
      </c>
    </row>
    <row r="1265" spans="1:40" x14ac:dyDescent="0.3">
      <c r="A1265" t="str">
        <f>"20200111150338679"</f>
        <v>20200111150338679</v>
      </c>
      <c r="B1265" t="str">
        <f>"1578726218669841"</f>
        <v>1578726218669841</v>
      </c>
      <c r="C1265" t="s">
        <v>40</v>
      </c>
      <c r="D1265">
        <v>5.322508</v>
      </c>
      <c r="E1265">
        <v>0.51354069999999996</v>
      </c>
      <c r="F1265" t="s">
        <v>69</v>
      </c>
      <c r="G1265">
        <v>-511.07190000000003</v>
      </c>
      <c r="H1265">
        <v>40.000109999999999</v>
      </c>
      <c r="I1265">
        <v>151.17019999999999</v>
      </c>
      <c r="J1265">
        <v>-295.05369999999999</v>
      </c>
      <c r="K1265">
        <v>1.104968</v>
      </c>
      <c r="L1265">
        <v>142.05029999999999</v>
      </c>
      <c r="M1265">
        <v>-0.99969189999999997</v>
      </c>
      <c r="N1265">
        <v>0</v>
      </c>
      <c r="O1265">
        <v>2.2162049999999999E-2</v>
      </c>
      <c r="P1265">
        <v>-0.99317809999999995</v>
      </c>
      <c r="Q1265">
        <v>0.1165451</v>
      </c>
      <c r="R1265">
        <v>3.8267779999999999E-3</v>
      </c>
      <c r="S1265">
        <v>-2.9577640000000001</v>
      </c>
      <c r="T1265">
        <v>0.53176999999999996</v>
      </c>
      <c r="U1265">
        <v>0.1247711</v>
      </c>
      <c r="V1265">
        <v>-1.8478370000000001E-2</v>
      </c>
      <c r="W1265">
        <v>0.1276069</v>
      </c>
      <c r="X1265">
        <v>0.99165270000000005</v>
      </c>
      <c r="Y1265">
        <v>2.0026849999999999E-2</v>
      </c>
      <c r="Z1265">
        <v>2.16541E-3</v>
      </c>
      <c r="AA1265">
        <v>0.99979709999999999</v>
      </c>
      <c r="AB1265">
        <v>31</v>
      </c>
      <c r="AC1265">
        <v>-216.01820000000001</v>
      </c>
      <c r="AD1265">
        <v>38.895142</v>
      </c>
      <c r="AE1265">
        <v>9.1198999999999995</v>
      </c>
      <c r="AF1265">
        <v>4.1942207518324901</v>
      </c>
      <c r="AG1265">
        <v>38.895142</v>
      </c>
      <c r="AH1265">
        <v>209.39093609848899</v>
      </c>
      <c r="AI1265">
        <v>79.479095762536801</v>
      </c>
      <c r="AJ1265">
        <v>88.8524860716918</v>
      </c>
      <c r="AK1265">
        <v>213.014055121057</v>
      </c>
      <c r="AL1265">
        <v>82.668674165885093</v>
      </c>
      <c r="AM1265">
        <v>91.067521018331504</v>
      </c>
      <c r="AN1265">
        <v>1.00000002425137</v>
      </c>
    </row>
    <row r="1266" spans="1:40" x14ac:dyDescent="0.3">
      <c r="A1266" t="str">
        <f>"20200111150338700"</f>
        <v>20200111150338700</v>
      </c>
      <c r="B1266" t="str">
        <f>"1578726218689364"</f>
        <v>1578726218689364</v>
      </c>
      <c r="C1266" t="s">
        <v>40</v>
      </c>
      <c r="D1266">
        <v>5.566649</v>
      </c>
      <c r="E1266">
        <v>0.51354069999999996</v>
      </c>
      <c r="F1266" t="s">
        <v>69</v>
      </c>
      <c r="G1266">
        <v>-511.072</v>
      </c>
      <c r="H1266">
        <v>40.084609999999998</v>
      </c>
      <c r="I1266">
        <v>151.011</v>
      </c>
      <c r="J1266">
        <v>-295.35379999999998</v>
      </c>
      <c r="K1266">
        <v>1.1050420000000001</v>
      </c>
      <c r="L1266">
        <v>142.0557</v>
      </c>
      <c r="M1266">
        <v>-0.99971909999999997</v>
      </c>
      <c r="N1266">
        <v>0</v>
      </c>
      <c r="O1266">
        <v>2.089688E-2</v>
      </c>
      <c r="P1266">
        <v>-0.99306059999999996</v>
      </c>
      <c r="Q1266">
        <v>0.1175638</v>
      </c>
      <c r="R1266">
        <v>3.1155589999999999E-3</v>
      </c>
      <c r="S1266">
        <v>-2.9574889999999998</v>
      </c>
      <c r="T1266">
        <v>0.53366709999999995</v>
      </c>
      <c r="U1266">
        <v>0.1226807</v>
      </c>
      <c r="V1266">
        <v>-1.7953960000000001E-2</v>
      </c>
      <c r="W1266">
        <v>0.1286255</v>
      </c>
      <c r="X1266">
        <v>0.99153069999999999</v>
      </c>
      <c r="Y1266">
        <v>2.0561820000000001E-2</v>
      </c>
      <c r="Z1266">
        <v>1.8990949999999999E-3</v>
      </c>
      <c r="AA1266">
        <v>0.99978679999999998</v>
      </c>
      <c r="AB1266">
        <v>31</v>
      </c>
      <c r="AC1266">
        <v>-215.7182</v>
      </c>
      <c r="AD1266">
        <v>38.979568</v>
      </c>
      <c r="AE1266">
        <v>8.9552999999999905</v>
      </c>
      <c r="AF1266">
        <v>4.3049060932899499</v>
      </c>
      <c r="AG1266">
        <v>38.979568</v>
      </c>
      <c r="AH1266">
        <v>209.04441000232799</v>
      </c>
      <c r="AI1266">
        <v>79.439804118504398</v>
      </c>
      <c r="AJ1266">
        <v>88.820259809128999</v>
      </c>
      <c r="AK1266">
        <v>212.691100639307</v>
      </c>
      <c r="AL1266">
        <v>82.609827533535196</v>
      </c>
      <c r="AM1266">
        <v>91.037359437150798</v>
      </c>
      <c r="AN1266">
        <v>0.99999999648620996</v>
      </c>
    </row>
    <row r="1267" spans="1:40" x14ac:dyDescent="0.3">
      <c r="A1267" t="str">
        <f>"20200111150338722"</f>
        <v>20200111150338722</v>
      </c>
      <c r="B1267" t="str">
        <f>"1578726218719617"</f>
        <v>1578726218719617</v>
      </c>
      <c r="C1267" t="s">
        <v>40</v>
      </c>
      <c r="D1267">
        <v>5.5702489999999996</v>
      </c>
      <c r="E1267">
        <v>0.46448869999999998</v>
      </c>
      <c r="F1267" t="s">
        <v>69</v>
      </c>
      <c r="G1267">
        <v>-511.072</v>
      </c>
      <c r="H1267">
        <v>40.251390000000001</v>
      </c>
      <c r="I1267">
        <v>150.8706</v>
      </c>
      <c r="J1267">
        <v>-295.65789999999998</v>
      </c>
      <c r="K1267">
        <v>1.1051059999999999</v>
      </c>
      <c r="L1267">
        <v>142.0608</v>
      </c>
      <c r="M1267">
        <v>-0.99974600000000002</v>
      </c>
      <c r="N1267">
        <v>0</v>
      </c>
      <c r="O1267">
        <v>1.956333E-2</v>
      </c>
      <c r="P1267">
        <v>-0.99301669999999997</v>
      </c>
      <c r="Q1267">
        <v>0.11797009999999999</v>
      </c>
      <c r="R1267">
        <v>9.965060999999999E-4</v>
      </c>
      <c r="S1267">
        <v>-2.9570620000000001</v>
      </c>
      <c r="T1267">
        <v>0.53661749999999997</v>
      </c>
      <c r="U1267">
        <v>0.12083439999999999</v>
      </c>
      <c r="V1267">
        <v>-1.876711E-2</v>
      </c>
      <c r="W1267">
        <v>0.1290288</v>
      </c>
      <c r="X1267">
        <v>0.99146319999999999</v>
      </c>
      <c r="Y1267">
        <v>2.1245420000000001E-2</v>
      </c>
      <c r="Z1267">
        <v>1.6083579999999901E-3</v>
      </c>
      <c r="AA1267">
        <v>0.99977300000000002</v>
      </c>
      <c r="AB1267">
        <v>31</v>
      </c>
      <c r="AC1267">
        <v>-215.41409999999999</v>
      </c>
      <c r="AD1267">
        <v>39.146284000000001</v>
      </c>
      <c r="AE1267">
        <v>8.8097999999999903</v>
      </c>
      <c r="AF1267">
        <v>4.4470185958652797</v>
      </c>
      <c r="AG1267">
        <v>39.146284000000001</v>
      </c>
      <c r="AH1267">
        <v>208.66570867636801</v>
      </c>
      <c r="AI1267">
        <v>79.377008695247497</v>
      </c>
      <c r="AJ1267">
        <v>88.7791150061298</v>
      </c>
      <c r="AK1267">
        <v>212.352502935123</v>
      </c>
      <c r="AL1267">
        <v>82.586525675419196</v>
      </c>
      <c r="AM1267">
        <v>91.084405151878599</v>
      </c>
      <c r="AN1267">
        <v>0.99999995630071503</v>
      </c>
    </row>
    <row r="1268" spans="1:40" x14ac:dyDescent="0.3">
      <c r="A1268" t="str">
        <f>"20200111150338744"</f>
        <v>20200111150338744</v>
      </c>
      <c r="B1268" t="str">
        <f>"1578726218739137"</f>
        <v>1578726218739137</v>
      </c>
      <c r="C1268" t="s">
        <v>40</v>
      </c>
      <c r="D1268">
        <v>5.5764779999999998</v>
      </c>
      <c r="E1268">
        <v>0.4634722</v>
      </c>
      <c r="F1268" t="s">
        <v>68</v>
      </c>
      <c r="G1268">
        <v>-313.3075</v>
      </c>
      <c r="H1268" s="1">
        <v>-8.4272469999999998E-6</v>
      </c>
      <c r="I1268">
        <v>140.38059999999999</v>
      </c>
      <c r="J1268">
        <v>-295.98230000000001</v>
      </c>
      <c r="K1268">
        <v>1.1051550000000001</v>
      </c>
      <c r="L1268">
        <v>142.06559999999999</v>
      </c>
      <c r="M1268">
        <v>-0.99977360000000004</v>
      </c>
      <c r="N1268">
        <v>0</v>
      </c>
      <c r="O1268">
        <v>1.8102719999999999E-2</v>
      </c>
      <c r="P1268">
        <v>-0.99303229999999998</v>
      </c>
      <c r="Q1268">
        <v>0.1178317</v>
      </c>
      <c r="R1268">
        <v>-1.70531E-3</v>
      </c>
      <c r="S1268">
        <v>-3.0440369999999999</v>
      </c>
      <c r="T1268">
        <v>-0.19059989999999999</v>
      </c>
      <c r="U1268">
        <v>-0.28977969999999997</v>
      </c>
      <c r="V1268">
        <v>-2.0032589999999999E-2</v>
      </c>
      <c r="W1268">
        <v>0.12888740000000001</v>
      </c>
      <c r="X1268">
        <v>0.99145689999999997</v>
      </c>
      <c r="Y1268">
        <v>-0.1125207</v>
      </c>
      <c r="Z1268">
        <v>-4.6414339999999998E-3</v>
      </c>
      <c r="AA1268">
        <v>0.99363860000000004</v>
      </c>
      <c r="AB1268">
        <v>31</v>
      </c>
      <c r="AC1268">
        <v>-17.325199999999899</v>
      </c>
      <c r="AD1268">
        <v>-1.1051634272469999</v>
      </c>
      <c r="AE1268">
        <v>-1.6850000000000001</v>
      </c>
      <c r="AF1268">
        <v>-1.99035367934625</v>
      </c>
      <c r="AG1268">
        <v>-1.1051634272469999</v>
      </c>
      <c r="AH1268">
        <v>17.222432782230602</v>
      </c>
      <c r="AI1268">
        <v>93.647425484218203</v>
      </c>
      <c r="AJ1268">
        <v>96.592285869330198</v>
      </c>
      <c r="AK1268">
        <v>17.372250427283799</v>
      </c>
      <c r="AL1268">
        <v>82.594696032512402</v>
      </c>
      <c r="AM1268">
        <v>91.1575154741749</v>
      </c>
      <c r="AN1268">
        <v>1.0000000255492301</v>
      </c>
    </row>
    <row r="1269" spans="1:40" x14ac:dyDescent="0.3">
      <c r="A1269" t="str">
        <f>"20200111150338768"</f>
        <v>20200111150338768</v>
      </c>
      <c r="B1269" t="str">
        <f>"1578726218759633"</f>
        <v>1578726218759633</v>
      </c>
      <c r="C1269" t="s">
        <v>40</v>
      </c>
      <c r="D1269">
        <v>5.5699439999999996</v>
      </c>
      <c r="E1269">
        <v>0.46310269999999998</v>
      </c>
      <c r="F1269" t="s">
        <v>68</v>
      </c>
      <c r="G1269">
        <v>-310.70920000000001</v>
      </c>
      <c r="H1269" s="1">
        <v>-9.459653E-6</v>
      </c>
      <c r="I1269">
        <v>140.5864</v>
      </c>
      <c r="J1269">
        <v>-296.30759999999998</v>
      </c>
      <c r="K1269">
        <v>1.1051789999999999</v>
      </c>
      <c r="L1269">
        <v>142.07</v>
      </c>
      <c r="M1269">
        <v>-0.99979929999999995</v>
      </c>
      <c r="N1269">
        <v>0</v>
      </c>
      <c r="O1269">
        <v>1.661731E-2</v>
      </c>
      <c r="P1269">
        <v>-0.99301989999999996</v>
      </c>
      <c r="Q1269">
        <v>0.11789810000000001</v>
      </c>
      <c r="R1269">
        <v>-3.416091E-3</v>
      </c>
      <c r="S1269">
        <v>-3.0476380000000001</v>
      </c>
      <c r="T1269">
        <v>-0.2287061</v>
      </c>
      <c r="U1269">
        <v>-0.30610660000000001</v>
      </c>
      <c r="V1269">
        <v>-2.0277779999999999E-2</v>
      </c>
      <c r="W1269">
        <v>0.12895409999999999</v>
      </c>
      <c r="X1269">
        <v>0.99144319999999997</v>
      </c>
      <c r="Y1269">
        <v>-0.1160896</v>
      </c>
      <c r="Z1269">
        <v>-5.5813679999999997E-3</v>
      </c>
      <c r="AA1269">
        <v>0.99322310000000003</v>
      </c>
      <c r="AB1269">
        <v>31</v>
      </c>
      <c r="AC1269">
        <v>-14.4016</v>
      </c>
      <c r="AD1269">
        <v>-1.1051884596529999</v>
      </c>
      <c r="AE1269">
        <v>-1.48359999999999</v>
      </c>
      <c r="AF1269">
        <v>-1.7127452979850499</v>
      </c>
      <c r="AG1269">
        <v>-1.1051884596529999</v>
      </c>
      <c r="AH1269">
        <v>14.291674512597901</v>
      </c>
      <c r="AI1269">
        <v>94.390642387040401</v>
      </c>
      <c r="AJ1269">
        <v>96.833858669237401</v>
      </c>
      <c r="AK1269">
        <v>14.436304872132601</v>
      </c>
      <c r="AL1269">
        <v>82.590841930920206</v>
      </c>
      <c r="AM1269">
        <v>91.171695209672606</v>
      </c>
      <c r="AN1269">
        <v>0.99999998354738895</v>
      </c>
    </row>
    <row r="1270" spans="1:40" x14ac:dyDescent="0.3">
      <c r="A1270" t="str">
        <f>"20200111150338790"</f>
        <v>20200111150338790</v>
      </c>
      <c r="B1270" t="str">
        <f>"1578726218780139"</f>
        <v>1578726218780139</v>
      </c>
      <c r="C1270" t="s">
        <v>40</v>
      </c>
      <c r="D1270">
        <v>5.5863050000000003</v>
      </c>
      <c r="E1270">
        <v>0.46300039999999998</v>
      </c>
      <c r="F1270" t="s">
        <v>68</v>
      </c>
      <c r="G1270">
        <v>-309.97059999999999</v>
      </c>
      <c r="H1270" s="1">
        <v>-9.7910309999999997E-6</v>
      </c>
      <c r="I1270">
        <v>140.6593</v>
      </c>
      <c r="J1270">
        <v>-296.61880000000002</v>
      </c>
      <c r="K1270">
        <v>1.1051899999999999</v>
      </c>
      <c r="L1270">
        <v>142.0737</v>
      </c>
      <c r="M1270">
        <v>-0.99982179999999998</v>
      </c>
      <c r="N1270">
        <v>0</v>
      </c>
      <c r="O1270">
        <v>1.519292E-2</v>
      </c>
      <c r="P1270">
        <v>-0.99304519999999996</v>
      </c>
      <c r="Q1270">
        <v>0.11766409999999999</v>
      </c>
      <c r="R1270">
        <v>-4.0981020000000002E-3</v>
      </c>
      <c r="S1270">
        <v>-3.0492859999999999</v>
      </c>
      <c r="T1270">
        <v>-0.24665509999999999</v>
      </c>
      <c r="U1270">
        <v>-0.31483460000000002</v>
      </c>
      <c r="V1270">
        <v>-1.9548900000000001E-2</v>
      </c>
      <c r="W1270">
        <v>0.1287238</v>
      </c>
      <c r="X1270">
        <v>0.99148780000000003</v>
      </c>
      <c r="Y1270">
        <v>-0.1173757</v>
      </c>
      <c r="Z1270">
        <v>-5.9509749999999998E-3</v>
      </c>
      <c r="AA1270">
        <v>0.9930698</v>
      </c>
      <c r="AB1270">
        <v>31</v>
      </c>
      <c r="AC1270">
        <v>-13.3517999999999</v>
      </c>
      <c r="AD1270">
        <v>-1.1051997910310001</v>
      </c>
      <c r="AE1270">
        <v>-1.4144000000000001</v>
      </c>
      <c r="AF1270">
        <v>-1.60621900313595</v>
      </c>
      <c r="AG1270">
        <v>-1.1051997910310001</v>
      </c>
      <c r="AH1270">
        <v>13.2390643355091</v>
      </c>
      <c r="AI1270">
        <v>94.737419464580796</v>
      </c>
      <c r="AJ1270">
        <v>96.917556178447995</v>
      </c>
      <c r="AK1270">
        <v>13.381861998387199</v>
      </c>
      <c r="AL1270">
        <v>82.604148296399103</v>
      </c>
      <c r="AM1270">
        <v>91.129539219545705</v>
      </c>
      <c r="AN1270">
        <v>1.0000000168632399</v>
      </c>
    </row>
    <row r="1271" spans="1:40" x14ac:dyDescent="0.3">
      <c r="A1271" t="str">
        <f>"20200111150338811"</f>
        <v>20200111150338811</v>
      </c>
      <c r="B1271" t="str">
        <f>"1578726218799649"</f>
        <v>1578726218799649</v>
      </c>
      <c r="C1271" t="s">
        <v>40</v>
      </c>
      <c r="D1271">
        <v>5.6131640000000003</v>
      </c>
      <c r="E1271">
        <v>0.46323140000000002</v>
      </c>
      <c r="F1271" t="s">
        <v>68</v>
      </c>
      <c r="G1271">
        <v>-309.6266</v>
      </c>
      <c r="H1271" s="1">
        <v>-9.7657069999999995E-6</v>
      </c>
      <c r="I1271">
        <v>140.7149</v>
      </c>
      <c r="J1271">
        <v>-296.91500000000002</v>
      </c>
      <c r="K1271">
        <v>1.1051899999999999</v>
      </c>
      <c r="L1271">
        <v>142.07679999999999</v>
      </c>
      <c r="M1271">
        <v>-0.99984150000000005</v>
      </c>
      <c r="N1271">
        <v>0</v>
      </c>
      <c r="O1271">
        <v>1.384721E-2</v>
      </c>
      <c r="P1271">
        <v>-0.99305679999999996</v>
      </c>
      <c r="Q1271">
        <v>0.11752269999999899</v>
      </c>
      <c r="R1271">
        <v>-5.2166349999999998E-3</v>
      </c>
      <c r="S1271">
        <v>-3.0504150000000001</v>
      </c>
      <c r="T1271">
        <v>-0.2591753</v>
      </c>
      <c r="U1271">
        <v>-0.31864930000000002</v>
      </c>
      <c r="V1271">
        <v>-1.9331299999999999E-2</v>
      </c>
      <c r="W1271">
        <v>0.1285848</v>
      </c>
      <c r="X1271">
        <v>0.99151009999999995</v>
      </c>
      <c r="Y1271">
        <v>-0.11719160000000001</v>
      </c>
      <c r="Z1271">
        <v>-6.1276530000000003E-3</v>
      </c>
      <c r="AA1271">
        <v>0.99309040000000004</v>
      </c>
      <c r="AB1271">
        <v>32</v>
      </c>
      <c r="AC1271">
        <v>-12.711599999999899</v>
      </c>
      <c r="AD1271">
        <v>-1.1051997657069901</v>
      </c>
      <c r="AE1271">
        <v>-1.3618999999999899</v>
      </c>
      <c r="AF1271">
        <v>-1.5263931166343301</v>
      </c>
      <c r="AG1271">
        <v>-1.1051997657069901</v>
      </c>
      <c r="AH1271">
        <v>12.597374834797799</v>
      </c>
      <c r="AI1271">
        <v>94.977645201684197</v>
      </c>
      <c r="AJ1271">
        <v>96.908710660908099</v>
      </c>
      <c r="AK1271">
        <v>12.7375505964461</v>
      </c>
      <c r="AL1271">
        <v>82.612179130042605</v>
      </c>
      <c r="AM1271">
        <v>91.116944337386798</v>
      </c>
      <c r="AN1271">
        <v>1.0000000141763601</v>
      </c>
    </row>
    <row r="1272" spans="1:40" x14ac:dyDescent="0.3">
      <c r="A1272" t="str">
        <f>"20200111150338836"</f>
        <v>20200111150338836</v>
      </c>
      <c r="B1272" t="str">
        <f>"1578726218829905"</f>
        <v>1578726218829905</v>
      </c>
      <c r="C1272" t="s">
        <v>40</v>
      </c>
      <c r="D1272">
        <v>5.6187709999999997</v>
      </c>
      <c r="E1272">
        <v>0.463227</v>
      </c>
      <c r="F1272" t="s">
        <v>68</v>
      </c>
      <c r="G1272">
        <v>-309.47719999999998</v>
      </c>
      <c r="H1272" s="1">
        <v>-9.7562759999999994E-6</v>
      </c>
      <c r="I1272">
        <v>140.75530000000001</v>
      </c>
      <c r="J1272">
        <v>-297.26209999999998</v>
      </c>
      <c r="K1272">
        <v>1.105183</v>
      </c>
      <c r="L1272">
        <v>142.08000000000001</v>
      </c>
      <c r="M1272">
        <v>-0.99986180000000002</v>
      </c>
      <c r="N1272">
        <v>0</v>
      </c>
      <c r="O1272">
        <v>1.228953E-2</v>
      </c>
      <c r="P1272">
        <v>-0.99299420000000005</v>
      </c>
      <c r="Q1272">
        <v>0.1179466</v>
      </c>
      <c r="R1272">
        <v>-7.1560419999999996E-3</v>
      </c>
      <c r="S1272">
        <v>-3.051056</v>
      </c>
      <c r="T1272">
        <v>-0.26842510000000003</v>
      </c>
      <c r="U1272">
        <v>-0.32096859999999999</v>
      </c>
      <c r="V1272">
        <v>-1.9723560000000001E-2</v>
      </c>
      <c r="W1272">
        <v>0.12900899999999901</v>
      </c>
      <c r="X1272">
        <v>0.99144730000000003</v>
      </c>
      <c r="Y1272">
        <v>-0.1163452</v>
      </c>
      <c r="Z1272">
        <v>-6.1704469999999999E-3</v>
      </c>
      <c r="AA1272">
        <v>0.99318969999999995</v>
      </c>
      <c r="AB1272">
        <v>32</v>
      </c>
      <c r="AC1272">
        <v>-12.2151</v>
      </c>
      <c r="AD1272">
        <v>-1.105192756276</v>
      </c>
      <c r="AE1272">
        <v>-1.3247</v>
      </c>
      <c r="AF1272">
        <v>-1.46289089236937</v>
      </c>
      <c r="AG1272">
        <v>-1.105192756276</v>
      </c>
      <c r="AH1272">
        <v>12.0999949605909</v>
      </c>
      <c r="AI1272">
        <v>95.181295140399101</v>
      </c>
      <c r="AJ1272">
        <v>96.893609185038898</v>
      </c>
      <c r="AK1272">
        <v>12.238111734978901</v>
      </c>
      <c r="AL1272">
        <v>82.587670353038405</v>
      </c>
      <c r="AM1272">
        <v>91.139674999194696</v>
      </c>
      <c r="AN1272">
        <v>1.0000000447886801</v>
      </c>
    </row>
    <row r="1273" spans="1:40" x14ac:dyDescent="0.3">
      <c r="A1273" t="str">
        <f>"20200111150338858"</f>
        <v>20200111150338858</v>
      </c>
      <c r="B1273" t="str">
        <f>"1578726218849424"</f>
        <v>1578726218849424</v>
      </c>
      <c r="C1273" t="s">
        <v>40</v>
      </c>
      <c r="D1273">
        <v>5.5807029999999997</v>
      </c>
      <c r="E1273">
        <v>0.463121</v>
      </c>
      <c r="F1273" t="s">
        <v>68</v>
      </c>
      <c r="G1273">
        <v>-309.46069999999997</v>
      </c>
      <c r="H1273" s="1">
        <v>-9.7587410000000008E-6</v>
      </c>
      <c r="I1273">
        <v>140.77160000000001</v>
      </c>
      <c r="J1273">
        <v>-297.57420000000002</v>
      </c>
      <c r="K1273">
        <v>1.1051839999999999</v>
      </c>
      <c r="L1273">
        <v>142.08240000000001</v>
      </c>
      <c r="M1273">
        <v>-0.99987780000000004</v>
      </c>
      <c r="N1273">
        <v>0</v>
      </c>
      <c r="O1273">
        <v>1.0909439999999999E-2</v>
      </c>
      <c r="P1273">
        <v>-0.99297789999999997</v>
      </c>
      <c r="Q1273">
        <v>0.11797100000000001</v>
      </c>
      <c r="R1273">
        <v>-8.8301490000000007E-3</v>
      </c>
      <c r="S1273">
        <v>-3.0516359999999998</v>
      </c>
      <c r="T1273">
        <v>-0.27647959999999999</v>
      </c>
      <c r="U1273">
        <v>-0.3273163</v>
      </c>
      <c r="V1273">
        <v>-2.0025589999999999E-2</v>
      </c>
      <c r="W1273">
        <v>0.12903410000000001</v>
      </c>
      <c r="X1273">
        <v>0.99143789999999998</v>
      </c>
      <c r="Y1273">
        <v>-0.1169712</v>
      </c>
      <c r="Z1273">
        <v>-6.2567279999999996E-3</v>
      </c>
      <c r="AA1273">
        <v>0.99311559999999999</v>
      </c>
      <c r="AB1273">
        <v>32</v>
      </c>
      <c r="AC1273">
        <v>-11.8864999999999</v>
      </c>
      <c r="AD1273">
        <v>-1.1051937587409999</v>
      </c>
      <c r="AE1273">
        <v>-1.3108</v>
      </c>
      <c r="AF1273">
        <v>-1.4282065631390299</v>
      </c>
      <c r="AG1273">
        <v>-1.1051937587409999</v>
      </c>
      <c r="AH1273">
        <v>11.770953394256299</v>
      </c>
      <c r="AI1273">
        <v>95.325041138522096</v>
      </c>
      <c r="AJ1273">
        <v>96.918059656353094</v>
      </c>
      <c r="AK1273">
        <v>11.9086762925653</v>
      </c>
      <c r="AL1273">
        <v>82.586219523063605</v>
      </c>
      <c r="AM1273">
        <v>91.157133281778499</v>
      </c>
      <c r="AN1273">
        <v>0.99999996638703303</v>
      </c>
    </row>
    <row r="1274" spans="1:40" x14ac:dyDescent="0.3">
      <c r="A1274" t="str">
        <f>"20200111150338879"</f>
        <v>20200111150338879</v>
      </c>
      <c r="B1274" t="str">
        <f>"1578726218869920"</f>
        <v>1578726218869920</v>
      </c>
      <c r="C1274" t="s">
        <v>40</v>
      </c>
      <c r="D1274">
        <v>5.5789839999999904</v>
      </c>
      <c r="E1274">
        <v>0.46298859999999997</v>
      </c>
      <c r="F1274" t="s">
        <v>68</v>
      </c>
      <c r="G1274">
        <v>-309.54140000000001</v>
      </c>
      <c r="H1274" s="1">
        <v>-9.7711830000000007E-6</v>
      </c>
      <c r="I1274">
        <v>140.77440000000001</v>
      </c>
      <c r="J1274">
        <v>-297.87189999999998</v>
      </c>
      <c r="K1274">
        <v>1.1051799999999901</v>
      </c>
      <c r="L1274">
        <v>142.08430000000001</v>
      </c>
      <c r="M1274">
        <v>-0.99989099999999997</v>
      </c>
      <c r="N1274">
        <v>0</v>
      </c>
      <c r="O1274">
        <v>9.6105849999999996E-3</v>
      </c>
      <c r="P1274">
        <v>-0.99296770000000001</v>
      </c>
      <c r="Q1274">
        <v>0.1179578</v>
      </c>
      <c r="R1274">
        <v>-1.006949E-2</v>
      </c>
      <c r="S1274">
        <v>-3.051758</v>
      </c>
      <c r="T1274">
        <v>-0.28183530000000001</v>
      </c>
      <c r="U1274">
        <v>-0.3335419</v>
      </c>
      <c r="V1274">
        <v>-1.9972670000000001E-2</v>
      </c>
      <c r="W1274">
        <v>0.1290232</v>
      </c>
      <c r="X1274">
        <v>0.9914404</v>
      </c>
      <c r="Y1274">
        <v>-0.1176619</v>
      </c>
      <c r="Z1274">
        <v>-6.2888340000000001E-3</v>
      </c>
      <c r="AA1274">
        <v>0.99303379999999997</v>
      </c>
      <c r="AB1274">
        <v>32</v>
      </c>
      <c r="AC1274">
        <v>-11.669499999999999</v>
      </c>
      <c r="AD1274">
        <v>-1.1051897711830001</v>
      </c>
      <c r="AE1274">
        <v>-1.3098999999999901</v>
      </c>
      <c r="AF1274">
        <v>-1.4095119341197599</v>
      </c>
      <c r="AG1274">
        <v>-1.1051897711830001</v>
      </c>
      <c r="AH1274">
        <v>11.5540267738909</v>
      </c>
      <c r="AI1274">
        <v>95.423981683094695</v>
      </c>
      <c r="AJ1274">
        <v>96.955323775727194</v>
      </c>
      <c r="AK1274">
        <v>11.6920358798005</v>
      </c>
      <c r="AL1274">
        <v>82.586849414680003</v>
      </c>
      <c r="AM1274">
        <v>91.154073338450104</v>
      </c>
      <c r="AN1274">
        <v>0.99999998021866399</v>
      </c>
    </row>
    <row r="1275" spans="1:40" x14ac:dyDescent="0.3">
      <c r="A1275" t="str">
        <f>"20200111150338901"</f>
        <v>20200111150338901</v>
      </c>
      <c r="B1275" t="str">
        <f>"1578726218889444"</f>
        <v>1578726218889444</v>
      </c>
      <c r="C1275" t="s">
        <v>40</v>
      </c>
      <c r="D1275">
        <v>5.6009710000000004</v>
      </c>
      <c r="E1275">
        <v>0.46298309999999998</v>
      </c>
      <c r="F1275" t="s">
        <v>68</v>
      </c>
      <c r="G1275">
        <v>-309.68419999999998</v>
      </c>
      <c r="H1275" s="1">
        <v>-9.7913420000000005E-6</v>
      </c>
      <c r="I1275">
        <v>140.7732</v>
      </c>
      <c r="J1275">
        <v>-298.1712</v>
      </c>
      <c r="K1275">
        <v>1.105173</v>
      </c>
      <c r="L1275">
        <v>142.08580000000001</v>
      </c>
      <c r="M1275">
        <v>-0.99990270000000003</v>
      </c>
      <c r="N1275">
        <v>0</v>
      </c>
      <c r="O1275">
        <v>8.3204950000000007E-3</v>
      </c>
      <c r="P1275">
        <v>-0.99298039999999999</v>
      </c>
      <c r="Q1275">
        <v>0.1177575</v>
      </c>
      <c r="R1275">
        <v>-1.1114850000000001E-2</v>
      </c>
      <c r="S1275">
        <v>-3.0517270000000001</v>
      </c>
      <c r="T1275">
        <v>-0.28552759999999999</v>
      </c>
      <c r="U1275">
        <v>-0.33871459999999998</v>
      </c>
      <c r="V1275">
        <v>-1.9735389999999998E-2</v>
      </c>
      <c r="W1275">
        <v>0.12882550000000001</v>
      </c>
      <c r="X1275">
        <v>0.99147090000000004</v>
      </c>
      <c r="Y1275">
        <v>-0.1180348</v>
      </c>
      <c r="Z1275">
        <v>-6.2675969999999998E-3</v>
      </c>
      <c r="AA1275">
        <v>0.99298969999999998</v>
      </c>
      <c r="AB1275">
        <v>32</v>
      </c>
      <c r="AC1275">
        <v>-11.5129999999999</v>
      </c>
      <c r="AD1275">
        <v>-1.105182791342</v>
      </c>
      <c r="AE1275">
        <v>-1.3126</v>
      </c>
      <c r="AF1275">
        <v>-1.3956585744704699</v>
      </c>
      <c r="AG1275">
        <v>-1.105182791342</v>
      </c>
      <c r="AH1275">
        <v>11.3979954364554</v>
      </c>
      <c r="AI1275">
        <v>95.497447057896807</v>
      </c>
      <c r="AJ1275">
        <v>96.980986406174907</v>
      </c>
      <c r="AK1275">
        <v>11.5361861907751</v>
      </c>
      <c r="AL1275">
        <v>82.598272417890399</v>
      </c>
      <c r="AM1275">
        <v>91.140331247950002</v>
      </c>
      <c r="AN1275">
        <v>1.0000000203077499</v>
      </c>
    </row>
    <row r="1276" spans="1:40" x14ac:dyDescent="0.3">
      <c r="A1276" t="str">
        <f>"20200111150338923"</f>
        <v>20200111150338923</v>
      </c>
      <c r="B1276" t="str">
        <f>"1578726218919698"</f>
        <v>1578726218919698</v>
      </c>
      <c r="C1276" t="s">
        <v>40</v>
      </c>
      <c r="D1276">
        <v>5.6189039999999997</v>
      </c>
      <c r="E1276">
        <v>0.4628988</v>
      </c>
      <c r="F1276" t="s">
        <v>68</v>
      </c>
      <c r="G1276">
        <v>-309.86919999999998</v>
      </c>
      <c r="H1276" s="1">
        <v>-9.8181479999999997E-6</v>
      </c>
      <c r="I1276">
        <v>140.774</v>
      </c>
      <c r="J1276">
        <v>-298.48919999999998</v>
      </c>
      <c r="K1276">
        <v>1.105167</v>
      </c>
      <c r="L1276">
        <v>142.08709999999999</v>
      </c>
      <c r="M1276">
        <v>-0.99991300000000005</v>
      </c>
      <c r="N1276">
        <v>0</v>
      </c>
      <c r="O1276">
        <v>6.9611409999999997E-3</v>
      </c>
      <c r="P1276">
        <v>-0.99299490000000001</v>
      </c>
      <c r="Q1276">
        <v>0.1175141</v>
      </c>
      <c r="R1276">
        <v>-1.2321550000000001E-2</v>
      </c>
      <c r="S1276">
        <v>-3.0515439999999998</v>
      </c>
      <c r="T1276">
        <v>-0.28829670000000002</v>
      </c>
      <c r="U1276">
        <v>-0.34219359999999999</v>
      </c>
      <c r="V1276">
        <v>-1.958992E-2</v>
      </c>
      <c r="W1276">
        <v>0.1285848</v>
      </c>
      <c r="X1276">
        <v>0.99150499999999997</v>
      </c>
      <c r="Y1276">
        <v>-0.1178061</v>
      </c>
      <c r="Z1276">
        <v>-6.189572E-3</v>
      </c>
      <c r="AA1276">
        <v>0.99301729999999999</v>
      </c>
      <c r="AB1276">
        <v>32</v>
      </c>
      <c r="AC1276">
        <v>-11.3799999999999</v>
      </c>
      <c r="AD1276">
        <v>-1.105176818148</v>
      </c>
      <c r="AE1276">
        <v>-1.3130999999999899</v>
      </c>
      <c r="AF1276">
        <v>-1.3794516362779801</v>
      </c>
      <c r="AG1276">
        <v>-1.105176818148</v>
      </c>
      <c r="AH1276">
        <v>11.265726782976699</v>
      </c>
      <c r="AI1276">
        <v>95.561559919942695</v>
      </c>
      <c r="AJ1276">
        <v>96.980931574323506</v>
      </c>
      <c r="AK1276">
        <v>11.403547806050501</v>
      </c>
      <c r="AL1276">
        <v>82.612178953338898</v>
      </c>
      <c r="AM1276">
        <v>91.131889116557403</v>
      </c>
      <c r="AN1276">
        <v>0.99999999039082299</v>
      </c>
    </row>
    <row r="1277" spans="1:40" x14ac:dyDescent="0.3">
      <c r="A1277" t="str">
        <f>"20200111150338947"</f>
        <v>20200111150338947</v>
      </c>
      <c r="B1277" t="str">
        <f>"1578726218939218"</f>
        <v>1578726218939218</v>
      </c>
      <c r="C1277" t="s">
        <v>40</v>
      </c>
      <c r="D1277">
        <v>5.5751339999999896</v>
      </c>
      <c r="E1277">
        <v>0.46291389999999999</v>
      </c>
      <c r="F1277" t="s">
        <v>68</v>
      </c>
      <c r="G1277">
        <v>-310.0172</v>
      </c>
      <c r="H1277" s="1">
        <v>-9.806185E-6</v>
      </c>
      <c r="I1277">
        <v>140.77969999999999</v>
      </c>
      <c r="J1277">
        <v>-298.8263</v>
      </c>
      <c r="K1277">
        <v>1.105165</v>
      </c>
      <c r="L1277">
        <v>142.08789999999999</v>
      </c>
      <c r="M1277">
        <v>-0.99992190000000003</v>
      </c>
      <c r="N1277">
        <v>0</v>
      </c>
      <c r="O1277">
        <v>5.5278669999999997E-3</v>
      </c>
      <c r="P1277">
        <v>-0.99293520000000002</v>
      </c>
      <c r="Q1277">
        <v>0.1177619</v>
      </c>
      <c r="R1277">
        <v>-1.4561060000000001E-2</v>
      </c>
      <c r="S1277">
        <v>-3.0514830000000002</v>
      </c>
      <c r="T1277">
        <v>-0.29254259999999999</v>
      </c>
      <c r="U1277">
        <v>-0.34605409999999998</v>
      </c>
      <c r="V1277">
        <v>-2.0405280000000001E-2</v>
      </c>
      <c r="W1277">
        <v>0.12883219999999901</v>
      </c>
      <c r="X1277">
        <v>0.99145640000000002</v>
      </c>
      <c r="Y1277">
        <v>-0.1176167</v>
      </c>
      <c r="Z1277">
        <v>-6.1342870000000004E-3</v>
      </c>
      <c r="AA1277">
        <v>0.99304009999999998</v>
      </c>
      <c r="AB1277">
        <v>32</v>
      </c>
      <c r="AC1277">
        <v>-11.190899999999999</v>
      </c>
      <c r="AD1277">
        <v>-1.105174806185</v>
      </c>
      <c r="AE1277">
        <v>-1.30819999999999</v>
      </c>
      <c r="AF1277">
        <v>-1.35698959090752</v>
      </c>
      <c r="AG1277">
        <v>-1.105174806185</v>
      </c>
      <c r="AH1277">
        <v>11.0769217154999</v>
      </c>
      <c r="AI1277">
        <v>95.655696262945696</v>
      </c>
      <c r="AJ1277">
        <v>96.984277269218296</v>
      </c>
      <c r="AK1277">
        <v>11.2143223956407</v>
      </c>
      <c r="AL1277">
        <v>82.597884803046497</v>
      </c>
      <c r="AM1277">
        <v>91.179044676630596</v>
      </c>
      <c r="AN1277">
        <v>0.99999995215483795</v>
      </c>
    </row>
    <row r="1278" spans="1:40" x14ac:dyDescent="0.3">
      <c r="A1278" t="str">
        <f>"20200111150338968"</f>
        <v>20200111150338968</v>
      </c>
      <c r="B1278" t="str">
        <f>"1578726218959713"</f>
        <v>1578726218959713</v>
      </c>
      <c r="C1278" t="s">
        <v>40</v>
      </c>
      <c r="D1278">
        <v>5.5833339999999998</v>
      </c>
      <c r="E1278">
        <v>0.46296809999999999</v>
      </c>
      <c r="F1278" t="s">
        <v>68</v>
      </c>
      <c r="G1278">
        <v>-310.31360000000001</v>
      </c>
      <c r="H1278" s="1">
        <v>-9.6691060000000001E-6</v>
      </c>
      <c r="I1278">
        <v>140.76079999999999</v>
      </c>
      <c r="J1278">
        <v>-299.13119999999998</v>
      </c>
      <c r="K1278">
        <v>1.1051679999999999</v>
      </c>
      <c r="L1278">
        <v>142.0883</v>
      </c>
      <c r="M1278">
        <v>-0.99992820000000004</v>
      </c>
      <c r="N1278">
        <v>0</v>
      </c>
      <c r="O1278">
        <v>4.2354020000000001E-3</v>
      </c>
      <c r="P1278">
        <v>-0.99286280000000005</v>
      </c>
      <c r="Q1278">
        <v>0.11808680000000001</v>
      </c>
      <c r="R1278">
        <v>-1.6711779999999999E-2</v>
      </c>
      <c r="S1278">
        <v>-3.0509949999999999</v>
      </c>
      <c r="T1278">
        <v>-0.29353200000000002</v>
      </c>
      <c r="U1278">
        <v>-0.35249330000000001</v>
      </c>
      <c r="V1278">
        <v>-2.127331E-2</v>
      </c>
      <c r="W1278">
        <v>0.12915560000000001</v>
      </c>
      <c r="X1278">
        <v>0.9913961</v>
      </c>
      <c r="Y1278">
        <v>-0.1184181</v>
      </c>
      <c r="Z1278">
        <v>-6.0698459999999899E-3</v>
      </c>
      <c r="AA1278">
        <v>0.99294530000000003</v>
      </c>
      <c r="AB1278">
        <v>32</v>
      </c>
      <c r="AC1278">
        <v>-11.182399999999999</v>
      </c>
      <c r="AD1278">
        <v>-1.105177669106</v>
      </c>
      <c r="AE1278">
        <v>-1.3275000000000099</v>
      </c>
      <c r="AF1278">
        <v>-1.36173677953549</v>
      </c>
      <c r="AG1278">
        <v>-1.105177669106</v>
      </c>
      <c r="AH1278">
        <v>11.070050126333101</v>
      </c>
      <c r="AI1278">
        <v>95.658855461671394</v>
      </c>
      <c r="AJ1278">
        <v>97.012775065795495</v>
      </c>
      <c r="AK1278">
        <v>11.208111104756201</v>
      </c>
      <c r="AL1278">
        <v>82.579199406117496</v>
      </c>
      <c r="AM1278">
        <v>91.229260290091304</v>
      </c>
      <c r="AN1278">
        <v>0.99999997491246195</v>
      </c>
    </row>
    <row r="1279" spans="1:40" x14ac:dyDescent="0.3">
      <c r="A1279" t="str">
        <f>"20200111150338990"</f>
        <v>20200111150338990</v>
      </c>
      <c r="B1279" t="str">
        <f>"1578726218979233"</f>
        <v>1578726218979233</v>
      </c>
      <c r="C1279" t="s">
        <v>40</v>
      </c>
      <c r="D1279">
        <v>5.6095519999999999</v>
      </c>
      <c r="E1279">
        <v>0.46307860000000001</v>
      </c>
      <c r="F1279" t="s">
        <v>68</v>
      </c>
      <c r="G1279">
        <v>-310.57889999999998</v>
      </c>
      <c r="H1279" s="1">
        <v>-9.5499240000000005E-6</v>
      </c>
      <c r="I1279">
        <v>140.74250000000001</v>
      </c>
      <c r="J1279">
        <v>-299.43900000000002</v>
      </c>
      <c r="K1279">
        <v>1.1051740000000001</v>
      </c>
      <c r="L1279">
        <v>142.0882</v>
      </c>
      <c r="M1279">
        <v>-0.99993290000000001</v>
      </c>
      <c r="N1279">
        <v>0</v>
      </c>
      <c r="O1279">
        <v>2.9326069999999998E-3</v>
      </c>
      <c r="P1279">
        <v>-0.99279839999999997</v>
      </c>
      <c r="Q1279">
        <v>0.1182788</v>
      </c>
      <c r="R1279">
        <v>-1.900781E-2</v>
      </c>
      <c r="S1279">
        <v>-3.0505680000000002</v>
      </c>
      <c r="T1279">
        <v>-0.29450730000000003</v>
      </c>
      <c r="U1279">
        <v>-0.35862729999999998</v>
      </c>
      <c r="V1279">
        <v>-2.2275880000000001E-2</v>
      </c>
      <c r="W1279">
        <v>0.12934660000000001</v>
      </c>
      <c r="X1279">
        <v>0.99134920000000004</v>
      </c>
      <c r="Y1279">
        <v>-0.1191093</v>
      </c>
      <c r="Z1279">
        <v>-5.998158E-3</v>
      </c>
      <c r="AA1279">
        <v>0.9928631</v>
      </c>
      <c r="AB1279">
        <v>32</v>
      </c>
      <c r="AC1279">
        <v>-11.1398999999999</v>
      </c>
      <c r="AD1279">
        <v>-1.1051835499239999</v>
      </c>
      <c r="AE1279">
        <v>-1.3456999999999899</v>
      </c>
      <c r="AF1279">
        <v>-1.3651222225672299</v>
      </c>
      <c r="AG1279">
        <v>-1.1051835499239999</v>
      </c>
      <c r="AH1279">
        <v>11.028914421554701</v>
      </c>
      <c r="AI1279">
        <v>95.679329000990293</v>
      </c>
      <c r="AJ1279">
        <v>97.055992276524194</v>
      </c>
      <c r="AK1279">
        <v>11.1678978630513</v>
      </c>
      <c r="AL1279">
        <v>82.568163505729103</v>
      </c>
      <c r="AM1279">
        <v>91.287234775492905</v>
      </c>
      <c r="AN1279">
        <v>0.99999999705098697</v>
      </c>
    </row>
    <row r="1280" spans="1:40" x14ac:dyDescent="0.3">
      <c r="A1280" t="str">
        <f>"20200111150339013"</f>
        <v>20200111150339013</v>
      </c>
      <c r="B1280" t="str">
        <f>"1578726219009489"</f>
        <v>1578726219009489</v>
      </c>
      <c r="C1280" t="s">
        <v>40</v>
      </c>
      <c r="D1280">
        <v>5.5978009999999996</v>
      </c>
      <c r="E1280">
        <v>0.46325359999999999</v>
      </c>
      <c r="F1280" t="s">
        <v>68</v>
      </c>
      <c r="G1280">
        <v>-310.86750000000001</v>
      </c>
      <c r="H1280" s="1">
        <v>-9.4361779999999994E-6</v>
      </c>
      <c r="I1280">
        <v>140.72309999999999</v>
      </c>
      <c r="J1280">
        <v>-299.75889999999998</v>
      </c>
      <c r="K1280">
        <v>1.1051679999999999</v>
      </c>
      <c r="L1280">
        <v>142.08770000000001</v>
      </c>
      <c r="M1280">
        <v>-0.99993589999999999</v>
      </c>
      <c r="N1280">
        <v>0</v>
      </c>
      <c r="O1280">
        <v>1.580096E-3</v>
      </c>
      <c r="P1280">
        <v>-0.99271659999999995</v>
      </c>
      <c r="Q1280">
        <v>0.1186593</v>
      </c>
      <c r="R1280">
        <v>-2.0832779999999999E-2</v>
      </c>
      <c r="S1280">
        <v>-3.0499269999999998</v>
      </c>
      <c r="T1280">
        <v>-0.2949406</v>
      </c>
      <c r="U1280">
        <v>-0.36428830000000001</v>
      </c>
      <c r="V1280">
        <v>-2.2758319999999999E-2</v>
      </c>
      <c r="W1280">
        <v>0.1297268</v>
      </c>
      <c r="X1280">
        <v>0.99128850000000002</v>
      </c>
      <c r="Y1280">
        <v>-0.1196101</v>
      </c>
      <c r="Z1280">
        <v>-5.9015719999999999E-3</v>
      </c>
      <c r="AA1280">
        <v>0.9928034</v>
      </c>
      <c r="AB1280">
        <v>32</v>
      </c>
      <c r="AC1280">
        <v>-11.108599999999999</v>
      </c>
      <c r="AD1280">
        <v>-1.105177436178</v>
      </c>
      <c r="AE1280">
        <v>-1.36460000000002</v>
      </c>
      <c r="AF1280">
        <v>-1.36880509327309</v>
      </c>
      <c r="AG1280">
        <v>-1.105177436178</v>
      </c>
      <c r="AH1280">
        <v>10.9991788742262</v>
      </c>
      <c r="AI1280">
        <v>95.694087733456698</v>
      </c>
      <c r="AJ1280">
        <v>97.093767256628198</v>
      </c>
      <c r="AK1280">
        <v>11.1389847138791</v>
      </c>
      <c r="AL1280">
        <v>82.546194103411395</v>
      </c>
      <c r="AM1280">
        <v>91.315183883346705</v>
      </c>
      <c r="AN1280">
        <v>0.99999993699985401</v>
      </c>
    </row>
    <row r="1281" spans="1:40" x14ac:dyDescent="0.3">
      <c r="A1281" t="str">
        <f>"20200111150339035"</f>
        <v>20200111150339035</v>
      </c>
      <c r="B1281" t="str">
        <f>"1578726219029985"</f>
        <v>1578726219029985</v>
      </c>
      <c r="C1281" t="s">
        <v>40</v>
      </c>
      <c r="D1281">
        <v>5.5947480000000001</v>
      </c>
      <c r="E1281">
        <v>0.46330589999999999</v>
      </c>
      <c r="F1281" t="s">
        <v>68</v>
      </c>
      <c r="G1281">
        <v>-311.19690000000003</v>
      </c>
      <c r="H1281" s="1">
        <v>-9.3075530000000002E-6</v>
      </c>
      <c r="I1281">
        <v>140.7056</v>
      </c>
      <c r="J1281">
        <v>-300.07670000000002</v>
      </c>
      <c r="K1281">
        <v>1.1051679999999999</v>
      </c>
      <c r="L1281">
        <v>142.08680000000001</v>
      </c>
      <c r="M1281">
        <v>-0.99993719999999997</v>
      </c>
      <c r="N1281">
        <v>0</v>
      </c>
      <c r="O1281">
        <v>2.361121E-4</v>
      </c>
      <c r="P1281">
        <v>-0.99261779999999999</v>
      </c>
      <c r="Q1281">
        <v>0.1192469</v>
      </c>
      <c r="R1281">
        <v>-2.214561E-2</v>
      </c>
      <c r="S1281">
        <v>-3.0495000000000001</v>
      </c>
      <c r="T1281">
        <v>-0.29465190000000002</v>
      </c>
      <c r="U1281">
        <v>-0.3684692</v>
      </c>
      <c r="V1281">
        <v>-2.2738589999999999E-2</v>
      </c>
      <c r="W1281">
        <v>0.1303154</v>
      </c>
      <c r="X1281">
        <v>0.99121179999999998</v>
      </c>
      <c r="Y1281">
        <v>-0.1196411</v>
      </c>
      <c r="Z1281">
        <v>-5.7685439999999996E-3</v>
      </c>
      <c r="AA1281">
        <v>0.99280049999999997</v>
      </c>
      <c r="AB1281">
        <v>32</v>
      </c>
      <c r="AC1281">
        <v>-11.120200000000001</v>
      </c>
      <c r="AD1281">
        <v>-1.105177307553</v>
      </c>
      <c r="AE1281">
        <v>-1.3812</v>
      </c>
      <c r="AF1281">
        <v>-1.3704946014387001</v>
      </c>
      <c r="AG1281">
        <v>-1.105177307553</v>
      </c>
      <c r="AH1281">
        <v>11.012749820614101</v>
      </c>
      <c r="AI1281">
        <v>95.687116269216006</v>
      </c>
      <c r="AJ1281">
        <v>97.093770620573906</v>
      </c>
      <c r="AK1281">
        <v>11.152593014413201</v>
      </c>
      <c r="AL1281">
        <v>82.512181472959497</v>
      </c>
      <c r="AM1281">
        <v>91.314145748553102</v>
      </c>
      <c r="AN1281">
        <v>0.99999998970579396</v>
      </c>
    </row>
    <row r="1282" spans="1:40" x14ac:dyDescent="0.3">
      <c r="A1282" t="str">
        <f>"20200111150339058"</f>
        <v>20200111150339058</v>
      </c>
      <c r="B1282" t="str">
        <f>"1578726219049505"</f>
        <v>1578726219049505</v>
      </c>
      <c r="C1282" t="s">
        <v>40</v>
      </c>
      <c r="D1282">
        <v>5.6349790000000004</v>
      </c>
      <c r="E1282">
        <v>0.46334720000000001</v>
      </c>
      <c r="F1282" t="s">
        <v>68</v>
      </c>
      <c r="G1282">
        <v>-311.64440000000002</v>
      </c>
      <c r="H1282" s="1">
        <v>-9.1313869999999998E-6</v>
      </c>
      <c r="I1282">
        <v>140.6765</v>
      </c>
      <c r="J1282">
        <v>-300.40210000000002</v>
      </c>
      <c r="K1282">
        <v>1.105173</v>
      </c>
      <c r="L1282">
        <v>142.08539999999999</v>
      </c>
      <c r="M1282">
        <v>-0.99993639999999995</v>
      </c>
      <c r="N1282">
        <v>0</v>
      </c>
      <c r="O1282">
        <v>-1.1373659999999999E-3</v>
      </c>
      <c r="P1282">
        <v>-0.99249670000000001</v>
      </c>
      <c r="Q1282">
        <v>0.1198158</v>
      </c>
      <c r="R1282">
        <v>-2.4378549999999999E-2</v>
      </c>
      <c r="S1282">
        <v>-3.049042</v>
      </c>
      <c r="T1282">
        <v>-0.29130499999999998</v>
      </c>
      <c r="U1282">
        <v>-0.37173460000000003</v>
      </c>
      <c r="V1282">
        <v>-2.3608830000000001E-2</v>
      </c>
      <c r="W1282">
        <v>0.13088269999999999</v>
      </c>
      <c r="X1282">
        <v>0.99111669999999996</v>
      </c>
      <c r="Y1282">
        <v>-0.11936280000000001</v>
      </c>
      <c r="Z1282">
        <v>-5.5601309999999899E-3</v>
      </c>
      <c r="AA1282">
        <v>0.99283520000000003</v>
      </c>
      <c r="AB1282">
        <v>32</v>
      </c>
      <c r="AC1282">
        <v>-11.2423</v>
      </c>
      <c r="AD1282">
        <v>-1.1051821313869901</v>
      </c>
      <c r="AE1282">
        <v>-1.4088999999999801</v>
      </c>
      <c r="AF1282">
        <v>-1.3829534534599699</v>
      </c>
      <c r="AG1282">
        <v>-1.1051821313869901</v>
      </c>
      <c r="AH1282">
        <v>11.137922614985101</v>
      </c>
      <c r="AI1282">
        <v>95.623829890239406</v>
      </c>
      <c r="AJ1282">
        <v>97.077972910967304</v>
      </c>
      <c r="AK1282">
        <v>11.277735055203699</v>
      </c>
      <c r="AL1282">
        <v>82.479396752630194</v>
      </c>
      <c r="AM1282">
        <v>91.364552288684607</v>
      </c>
      <c r="AN1282">
        <v>0.99999998551607405</v>
      </c>
    </row>
    <row r="1283" spans="1:40" x14ac:dyDescent="0.3">
      <c r="A1283" t="str">
        <f>"20200111150339079"</f>
        <v>20200111150339079</v>
      </c>
      <c r="B1283" t="str">
        <f>"1578726219070000"</f>
        <v>1578726219070000</v>
      </c>
      <c r="C1283" t="s">
        <v>40</v>
      </c>
      <c r="D1283">
        <v>5.5990159999999998</v>
      </c>
      <c r="E1283">
        <v>0.46351219999999999</v>
      </c>
      <c r="F1283" t="s">
        <v>68</v>
      </c>
      <c r="G1283">
        <v>-312.0256</v>
      </c>
      <c r="H1283" s="1">
        <v>-8.9801349999999997E-6</v>
      </c>
      <c r="I1283">
        <v>140.64699999999999</v>
      </c>
      <c r="J1283">
        <v>-300.70699999999999</v>
      </c>
      <c r="K1283">
        <v>1.10517</v>
      </c>
      <c r="L1283">
        <v>142.08369999999999</v>
      </c>
      <c r="M1283">
        <v>-0.99993399999999999</v>
      </c>
      <c r="N1283">
        <v>0</v>
      </c>
      <c r="O1283">
        <v>-2.418543E-3</v>
      </c>
      <c r="P1283">
        <v>-0.99241009999999996</v>
      </c>
      <c r="Q1283">
        <v>0.1203669</v>
      </c>
      <c r="R1283">
        <v>-2.5181060000000002E-2</v>
      </c>
      <c r="S1283">
        <v>-3.0484010000000001</v>
      </c>
      <c r="T1283">
        <v>-0.28984870000000001</v>
      </c>
      <c r="U1283">
        <v>-0.3772278</v>
      </c>
      <c r="V1283">
        <v>-2.3140669999999999E-2</v>
      </c>
      <c r="W1283">
        <v>0.13143629999999901</v>
      </c>
      <c r="X1283">
        <v>0.99105449999999995</v>
      </c>
      <c r="Y1283">
        <v>-0.1198869</v>
      </c>
      <c r="Z1283">
        <v>-5.4366859999999996E-3</v>
      </c>
      <c r="AA1283">
        <v>0.99277269999999895</v>
      </c>
      <c r="AB1283">
        <v>32</v>
      </c>
      <c r="AC1283">
        <v>-11.3186</v>
      </c>
      <c r="AD1283">
        <v>-1.105178980135</v>
      </c>
      <c r="AE1283">
        <v>-1.4366999999999699</v>
      </c>
      <c r="AF1283">
        <v>-1.39621893172747</v>
      </c>
      <c r="AG1283">
        <v>-1.105178980135</v>
      </c>
      <c r="AH1283">
        <v>11.2167954755429</v>
      </c>
      <c r="AI1283">
        <v>95.584309680431403</v>
      </c>
      <c r="AJ1283">
        <v>97.095438751835005</v>
      </c>
      <c r="AK1283">
        <v>11.357259732154001</v>
      </c>
      <c r="AL1283">
        <v>82.447401570791001</v>
      </c>
      <c r="AM1283">
        <v>91.337587237557202</v>
      </c>
      <c r="AN1283">
        <v>1.0000000067679899</v>
      </c>
    </row>
    <row r="1284" spans="1:40" x14ac:dyDescent="0.3">
      <c r="A1284" t="str">
        <f>"20200111150339113"</f>
        <v>20200111150339113</v>
      </c>
      <c r="B1284" t="str">
        <f>"1578726219110016"</f>
        <v>1578726219110016</v>
      </c>
      <c r="C1284" t="s">
        <v>40</v>
      </c>
      <c r="D1284">
        <v>5.5837789999999998</v>
      </c>
      <c r="E1284">
        <v>0.49916899999999997</v>
      </c>
      <c r="F1284" t="s">
        <v>68</v>
      </c>
      <c r="G1284">
        <v>-312.45909999999998</v>
      </c>
      <c r="H1284" s="1">
        <v>-8.8102439999999995E-6</v>
      </c>
      <c r="I1284">
        <v>140.6217</v>
      </c>
      <c r="J1284">
        <v>-301.17899999999997</v>
      </c>
      <c r="K1284">
        <v>1.105162</v>
      </c>
      <c r="L1284">
        <v>142.0804</v>
      </c>
      <c r="M1284">
        <v>-0.99992749999999997</v>
      </c>
      <c r="N1284">
        <v>0</v>
      </c>
      <c r="O1284">
        <v>-4.376652E-3</v>
      </c>
      <c r="P1284">
        <v>-0.99247870000000005</v>
      </c>
      <c r="Q1284">
        <v>0.1197776</v>
      </c>
      <c r="R1284">
        <v>-2.528942E-2</v>
      </c>
      <c r="S1284">
        <v>-3.0480960000000001</v>
      </c>
      <c r="T1284">
        <v>-0.28664580000000001</v>
      </c>
      <c r="U1284">
        <v>-0.37919619999999998</v>
      </c>
      <c r="V1284">
        <v>-2.1299720000000001E-2</v>
      </c>
      <c r="W1284">
        <v>0.13085619999999901</v>
      </c>
      <c r="X1284">
        <v>0.99117259999999996</v>
      </c>
      <c r="Y1284">
        <v>-0.1186117</v>
      </c>
      <c r="Z1284">
        <v>-5.1345690000000003E-3</v>
      </c>
      <c r="AA1284">
        <v>0.99292740000000002</v>
      </c>
      <c r="AB1284">
        <v>32</v>
      </c>
      <c r="AC1284">
        <v>-11.2800999999999</v>
      </c>
      <c r="AD1284">
        <v>-1.1051708102440001</v>
      </c>
      <c r="AE1284">
        <v>-1.4586999999999899</v>
      </c>
      <c r="AF1284">
        <v>-1.3961325845274</v>
      </c>
      <c r="AG1284">
        <v>-1.1051708102440001</v>
      </c>
      <c r="AH1284">
        <v>11.180815481375699</v>
      </c>
      <c r="AI1284">
        <v>95.601856323187505</v>
      </c>
      <c r="AJ1284">
        <v>97.117602423031101</v>
      </c>
      <c r="AK1284">
        <v>11.3217146908923</v>
      </c>
      <c r="AL1284">
        <v>82.480928924525102</v>
      </c>
      <c r="AM1284">
        <v>91.231063345674599</v>
      </c>
      <c r="AN1284">
        <v>1.00000007307063</v>
      </c>
    </row>
    <row r="1285" spans="1:40" x14ac:dyDescent="0.3">
      <c r="A1285" t="str">
        <f>"20200111150339136"</f>
        <v>20200111150339136</v>
      </c>
      <c r="B1285" t="str">
        <f>"1578726219129537"</f>
        <v>1578726219129537</v>
      </c>
      <c r="C1285" t="s">
        <v>40</v>
      </c>
      <c r="D1285">
        <v>5.67835</v>
      </c>
      <c r="E1285">
        <v>0.50271790000000005</v>
      </c>
      <c r="F1285" t="s">
        <v>42</v>
      </c>
      <c r="G1285">
        <v>-302.12450000000001</v>
      </c>
      <c r="H1285">
        <v>1.032146</v>
      </c>
      <c r="I1285">
        <v>142.05090000000001</v>
      </c>
      <c r="J1285">
        <v>-301.50549999999998</v>
      </c>
      <c r="K1285">
        <v>1.1051420000000001</v>
      </c>
      <c r="L1285">
        <v>142.07759999999999</v>
      </c>
      <c r="M1285">
        <v>-0.99992080000000005</v>
      </c>
      <c r="N1285">
        <v>0</v>
      </c>
      <c r="O1285">
        <v>-5.7008780000000004E-3</v>
      </c>
      <c r="P1285">
        <v>-0.99240830000000002</v>
      </c>
      <c r="Q1285">
        <v>0.1201291</v>
      </c>
      <c r="R1285">
        <v>-2.6365469999999998E-2</v>
      </c>
      <c r="S1285">
        <v>-3.048737</v>
      </c>
      <c r="T1285">
        <v>-0.235508</v>
      </c>
      <c r="U1285">
        <v>-9.5291139999999996E-2</v>
      </c>
      <c r="V1285">
        <v>-2.1056729999999999E-2</v>
      </c>
      <c r="W1285">
        <v>0.13121079999999999</v>
      </c>
      <c r="X1285">
        <v>0.99113079999999998</v>
      </c>
      <c r="Y1285">
        <v>-2.548286E-2</v>
      </c>
      <c r="Z1285">
        <v>-5.4290960000000004E-4</v>
      </c>
      <c r="AA1285">
        <v>0.99967510000000004</v>
      </c>
      <c r="AB1285">
        <v>32</v>
      </c>
      <c r="AC1285">
        <v>-0.61900000000002797</v>
      </c>
      <c r="AD1285">
        <v>-7.2996000000000005E-2</v>
      </c>
      <c r="AE1285">
        <v>-2.6699999999976801E-2</v>
      </c>
      <c r="AF1285">
        <v>-2.2853282206707199E-2</v>
      </c>
      <c r="AG1285">
        <v>-7.2996000000000005E-2</v>
      </c>
      <c r="AH1285">
        <v>0.61066573057434803</v>
      </c>
      <c r="AI1285">
        <v>96.811790776887804</v>
      </c>
      <c r="AJ1285">
        <v>92.143211558002093</v>
      </c>
      <c r="AK1285">
        <v>0.61543750537444697</v>
      </c>
      <c r="AL1285">
        <v>82.46043429641</v>
      </c>
      <c r="AM1285">
        <v>91.217074773191896</v>
      </c>
      <c r="AN1285">
        <v>0.99999996131178504</v>
      </c>
    </row>
    <row r="1286" spans="1:40" x14ac:dyDescent="0.3">
      <c r="A1286" t="str">
        <f>"20200111150339159"</f>
        <v>20200111150339159</v>
      </c>
      <c r="B1286" t="str">
        <f>"1578726219150033"</f>
        <v>1578726219150033</v>
      </c>
      <c r="C1286" t="s">
        <v>40</v>
      </c>
      <c r="D1286">
        <v>5.647602</v>
      </c>
      <c r="E1286">
        <v>0.50331629999999905</v>
      </c>
      <c r="F1286" t="s">
        <v>42</v>
      </c>
      <c r="G1286">
        <v>-302.40609999999998</v>
      </c>
      <c r="H1286">
        <v>1.0328809999999999</v>
      </c>
      <c r="I1286">
        <v>142.0575</v>
      </c>
      <c r="J1286">
        <v>-301.82889999999998</v>
      </c>
      <c r="K1286">
        <v>1.1051219999999999</v>
      </c>
      <c r="L1286">
        <v>142.07429999999999</v>
      </c>
      <c r="M1286">
        <v>-0.99991260000000004</v>
      </c>
      <c r="N1286">
        <v>0</v>
      </c>
      <c r="O1286">
        <v>-6.9816260000000003E-3</v>
      </c>
      <c r="P1286">
        <v>-0.99235830000000003</v>
      </c>
      <c r="Q1286">
        <v>0.1204226</v>
      </c>
      <c r="R1286">
        <v>-2.6901669999999999E-2</v>
      </c>
      <c r="S1286">
        <v>-3.0507810000000002</v>
      </c>
      <c r="T1286">
        <v>-0.24502080000000001</v>
      </c>
      <c r="U1286">
        <v>-6.9274899999999903E-2</v>
      </c>
      <c r="V1286">
        <v>-2.0315819999999998E-2</v>
      </c>
      <c r="W1286">
        <v>0.1315086</v>
      </c>
      <c r="X1286">
        <v>0.99110690000000001</v>
      </c>
      <c r="Y1286">
        <v>-1.5692560000000001E-2</v>
      </c>
      <c r="Z1286" s="1">
        <v>-6.9302799999999997E-5</v>
      </c>
      <c r="AA1286">
        <v>0.99987689999999996</v>
      </c>
      <c r="AB1286">
        <v>32</v>
      </c>
      <c r="AC1286">
        <v>-0.57720000000000404</v>
      </c>
      <c r="AD1286">
        <v>-7.2241E-2</v>
      </c>
      <c r="AE1286">
        <v>-1.6799999999989199E-2</v>
      </c>
      <c r="AF1286">
        <v>-1.25727633883793E-2</v>
      </c>
      <c r="AG1286">
        <v>-7.2241E-2</v>
      </c>
      <c r="AH1286">
        <v>0.56840698928835198</v>
      </c>
      <c r="AI1286">
        <v>97.241353166594195</v>
      </c>
      <c r="AJ1286">
        <v>91.267135774340005</v>
      </c>
      <c r="AK1286">
        <v>0.57311721482788203</v>
      </c>
      <c r="AL1286">
        <v>82.443223262478</v>
      </c>
      <c r="AM1286">
        <v>91.174290841852894</v>
      </c>
      <c r="AN1286">
        <v>1.0000000658219099</v>
      </c>
    </row>
    <row r="1287" spans="1:40" x14ac:dyDescent="0.3">
      <c r="A1287" t="str">
        <f>"20200111150339180"</f>
        <v>20200111150339180</v>
      </c>
      <c r="B1287" t="str">
        <f>"1578726219169553"</f>
        <v>1578726219169553</v>
      </c>
      <c r="C1287" t="s">
        <v>40</v>
      </c>
      <c r="D1287">
        <v>5.479222</v>
      </c>
      <c r="E1287">
        <v>0.50080570000000002</v>
      </c>
      <c r="F1287" t="s">
        <v>42</v>
      </c>
      <c r="G1287">
        <v>-302.6927</v>
      </c>
      <c r="H1287">
        <v>1.0363639999999901</v>
      </c>
      <c r="I1287">
        <v>142.0556</v>
      </c>
      <c r="J1287">
        <v>-302.12939999999998</v>
      </c>
      <c r="K1287">
        <v>1.1050879999999901</v>
      </c>
      <c r="L1287">
        <v>142.0711</v>
      </c>
      <c r="M1287">
        <v>-0.99990400000000002</v>
      </c>
      <c r="N1287">
        <v>0</v>
      </c>
      <c r="O1287">
        <v>-8.1246659999999991E-3</v>
      </c>
      <c r="P1287">
        <v>-0.99224250000000003</v>
      </c>
      <c r="Q1287">
        <v>0.1212505</v>
      </c>
      <c r="R1287">
        <v>-2.7444639999999999E-2</v>
      </c>
      <c r="S1287">
        <v>-3.0507810000000002</v>
      </c>
      <c r="T1287">
        <v>-0.24282100000000001</v>
      </c>
      <c r="U1287">
        <v>-6.622314E-2</v>
      </c>
      <c r="V1287">
        <v>-1.971767E-2</v>
      </c>
      <c r="W1287">
        <v>0.1323395</v>
      </c>
      <c r="X1287">
        <v>0.99100829999999995</v>
      </c>
      <c r="Y1287">
        <v>-1.356067E-2</v>
      </c>
      <c r="Z1287">
        <v>1.068389E-4</v>
      </c>
      <c r="AA1287">
        <v>0.99990800000000002</v>
      </c>
      <c r="AB1287">
        <v>32</v>
      </c>
      <c r="AC1287">
        <v>-0.563300000000026</v>
      </c>
      <c r="AD1287">
        <v>-6.8723999999999993E-2</v>
      </c>
      <c r="AE1287">
        <v>-1.55000000000029E-2</v>
      </c>
      <c r="AF1287">
        <v>-1.07625012851354E-2</v>
      </c>
      <c r="AG1287">
        <v>-6.8723999999999993E-2</v>
      </c>
      <c r="AH1287">
        <v>0.55515040235781699</v>
      </c>
      <c r="AI1287">
        <v>97.055628850724204</v>
      </c>
      <c r="AJ1287">
        <v>91.110633553835896</v>
      </c>
      <c r="AK1287">
        <v>0.55949154492982101</v>
      </c>
      <c r="AL1287">
        <v>82.395195859919099</v>
      </c>
      <c r="AM1287">
        <v>91.139839323469999</v>
      </c>
      <c r="AN1287">
        <v>0.999999990219684</v>
      </c>
    </row>
    <row r="1288" spans="1:40" x14ac:dyDescent="0.3">
      <c r="A1288" t="str">
        <f>"20200111150339202"</f>
        <v>20200111150339202</v>
      </c>
      <c r="B1288" t="str">
        <f>"1578726219199809"</f>
        <v>1578726219199809</v>
      </c>
      <c r="C1288" t="s">
        <v>40</v>
      </c>
      <c r="D1288">
        <v>5.6396389999999998</v>
      </c>
      <c r="E1288">
        <v>0.51031759999999904</v>
      </c>
      <c r="F1288" t="s">
        <v>44</v>
      </c>
      <c r="G1288">
        <v>0</v>
      </c>
      <c r="H1288">
        <v>0</v>
      </c>
      <c r="I1288">
        <v>0</v>
      </c>
      <c r="J1288">
        <v>-302.44970000000001</v>
      </c>
      <c r="K1288">
        <v>1.10504</v>
      </c>
      <c r="L1288">
        <v>142.06729999999999</v>
      </c>
      <c r="M1288">
        <v>-0.99989399999999995</v>
      </c>
      <c r="N1288">
        <v>0</v>
      </c>
      <c r="O1288">
        <v>-9.2733859999999998E-3</v>
      </c>
      <c r="P1288">
        <v>-0.99218519999999999</v>
      </c>
      <c r="Q1288">
        <v>0.12143950000000001</v>
      </c>
      <c r="R1288">
        <v>-2.8656500000000001E-2</v>
      </c>
      <c r="S1288">
        <v>-3.016327</v>
      </c>
      <c r="T1288">
        <v>3.9500359999999998E-2</v>
      </c>
      <c r="U1288">
        <v>-8.2443240000000001E-2</v>
      </c>
      <c r="V1288">
        <v>-1.9775279999999999E-2</v>
      </c>
      <c r="W1288">
        <v>0.13253090000000001</v>
      </c>
      <c r="X1288">
        <v>0.99098160000000002</v>
      </c>
      <c r="Y1288">
        <v>-1.804969E-2</v>
      </c>
      <c r="Z1288" s="1">
        <v>-3.2565000000000001E-6</v>
      </c>
      <c r="AA1288">
        <v>0.99983710000000003</v>
      </c>
      <c r="AB1288">
        <v>32</v>
      </c>
      <c r="AC1288">
        <v>-3.016327</v>
      </c>
      <c r="AD1288">
        <v>3.9500359999999998E-2</v>
      </c>
      <c r="AE1288">
        <v>-8.2443240000000001E-2</v>
      </c>
      <c r="AF1288">
        <v>-5.4457035739504701E-2</v>
      </c>
      <c r="AG1288">
        <v>3.9500359999999998E-2</v>
      </c>
      <c r="AH1288">
        <v>3.0164449497835699</v>
      </c>
      <c r="AI1288">
        <v>89.249876612860703</v>
      </c>
      <c r="AJ1288">
        <v>91.0342702923666</v>
      </c>
      <c r="AK1288">
        <v>3.0171950520734399</v>
      </c>
      <c r="AL1288">
        <v>82.384132193512301</v>
      </c>
      <c r="AM1288">
        <v>91.143199552824896</v>
      </c>
      <c r="AN1288">
        <v>1.0000000163462199</v>
      </c>
    </row>
    <row r="1289" spans="1:40" x14ac:dyDescent="0.3">
      <c r="A1289" t="str">
        <f>"20200111150339226"</f>
        <v>20200111150339226</v>
      </c>
      <c r="B1289" t="str">
        <f>"1578726219219330"</f>
        <v>1578726219219330</v>
      </c>
      <c r="C1289" t="s">
        <v>40</v>
      </c>
      <c r="D1289">
        <v>5.585737</v>
      </c>
      <c r="E1289">
        <v>0.51259239999999995</v>
      </c>
      <c r="F1289" t="s">
        <v>42</v>
      </c>
      <c r="G1289">
        <v>-303.25839999999999</v>
      </c>
      <c r="H1289">
        <v>1.036143</v>
      </c>
      <c r="I1289">
        <v>142.0633</v>
      </c>
      <c r="J1289">
        <v>-302.7756</v>
      </c>
      <c r="K1289">
        <v>1.1049739999999999</v>
      </c>
      <c r="L1289">
        <v>142.06309999999999</v>
      </c>
      <c r="M1289">
        <v>-0.99988350000000004</v>
      </c>
      <c r="N1289">
        <v>0</v>
      </c>
      <c r="O1289">
        <v>-1.034848E-2</v>
      </c>
      <c r="P1289">
        <v>-0.99225129999999995</v>
      </c>
      <c r="Q1289">
        <v>0.12053709999999999</v>
      </c>
      <c r="R1289">
        <v>-3.01429E-2</v>
      </c>
      <c r="S1289">
        <v>-3.0549930000000001</v>
      </c>
      <c r="T1289">
        <v>-0.26034089999999999</v>
      </c>
      <c r="U1289">
        <v>-1.6036990000000001E-2</v>
      </c>
      <c r="V1289">
        <v>-2.0170400000000002E-2</v>
      </c>
      <c r="W1289">
        <v>0.1316329</v>
      </c>
      <c r="X1289">
        <v>0.99109329999999995</v>
      </c>
      <c r="Y1289">
        <v>5.0441160000000004E-3</v>
      </c>
      <c r="Z1289">
        <v>1.0948500000000001E-3</v>
      </c>
      <c r="AA1289">
        <v>0.99998670000000001</v>
      </c>
      <c r="AB1289">
        <v>32</v>
      </c>
      <c r="AC1289">
        <v>-0.48279999999999701</v>
      </c>
      <c r="AD1289">
        <v>-6.8830999999999795E-2</v>
      </c>
      <c r="AE1289">
        <v>2.0000000000663901E-4</v>
      </c>
      <c r="AF1289">
        <v>5.0930333457273004E-3</v>
      </c>
      <c r="AG1289">
        <v>-6.8830999999999795E-2</v>
      </c>
      <c r="AH1289">
        <v>0.47315512985552799</v>
      </c>
      <c r="AI1289">
        <v>98.276420349040507</v>
      </c>
      <c r="AJ1289">
        <v>89.383293072391893</v>
      </c>
      <c r="AK1289">
        <v>0.47816254815518799</v>
      </c>
      <c r="AL1289">
        <v>82.436038421769197</v>
      </c>
      <c r="AM1289">
        <v>91.165903627582793</v>
      </c>
      <c r="AN1289">
        <v>0.99999999735172895</v>
      </c>
    </row>
    <row r="1290" spans="1:40" x14ac:dyDescent="0.3">
      <c r="A1290" t="str">
        <f>"20200111150339248"</f>
        <v>20200111150339248</v>
      </c>
      <c r="B1290" t="str">
        <f>"1578726219239824"</f>
        <v>1578726219239824</v>
      </c>
      <c r="C1290" t="s">
        <v>40</v>
      </c>
      <c r="D1290">
        <v>5.7166129999999997</v>
      </c>
      <c r="E1290">
        <v>0.51302499999999995</v>
      </c>
      <c r="F1290" t="s">
        <v>42</v>
      </c>
      <c r="G1290">
        <v>-303.5453</v>
      </c>
      <c r="H1290">
        <v>1.03956</v>
      </c>
      <c r="I1290">
        <v>142.06280000000001</v>
      </c>
      <c r="J1290">
        <v>-303.10090000000002</v>
      </c>
      <c r="K1290">
        <v>1.104886</v>
      </c>
      <c r="L1290">
        <v>142.05869999999999</v>
      </c>
      <c r="M1290">
        <v>-0.99987309999999996</v>
      </c>
      <c r="N1290">
        <v>0</v>
      </c>
      <c r="O1290">
        <v>-1.1305030000000001E-2</v>
      </c>
      <c r="P1290">
        <v>-0.9923187</v>
      </c>
      <c r="Q1290">
        <v>0.1197579</v>
      </c>
      <c r="R1290">
        <v>-3.1014130000000001E-2</v>
      </c>
      <c r="S1290">
        <v>-3.054932</v>
      </c>
      <c r="T1290">
        <v>-0.2596812</v>
      </c>
      <c r="U1290">
        <v>-1.7242430000000001E-3</v>
      </c>
      <c r="V1290">
        <v>-2.0061880000000001E-2</v>
      </c>
      <c r="W1290">
        <v>0.13086</v>
      </c>
      <c r="X1290">
        <v>0.99119789999999997</v>
      </c>
      <c r="Y1290">
        <v>1.0662140000000001E-2</v>
      </c>
      <c r="Z1290">
        <v>1.4116329999999901E-3</v>
      </c>
      <c r="AA1290">
        <v>0.9999422</v>
      </c>
      <c r="AB1290">
        <v>32</v>
      </c>
      <c r="AC1290">
        <v>-0.44439999999997298</v>
      </c>
      <c r="AD1290">
        <v>-6.5325999999999995E-2</v>
      </c>
      <c r="AE1290">
        <v>4.1000000000224104E-3</v>
      </c>
      <c r="AF1290">
        <v>8.9310400889750594E-3</v>
      </c>
      <c r="AG1290">
        <v>-6.5325999999999995E-2</v>
      </c>
      <c r="AH1290">
        <v>0.43492791670040598</v>
      </c>
      <c r="AI1290">
        <v>98.540176171457802</v>
      </c>
      <c r="AJ1290">
        <v>88.823623459299796</v>
      </c>
      <c r="AK1290">
        <v>0.43989719535185301</v>
      </c>
      <c r="AL1290">
        <v>82.480709121016105</v>
      </c>
      <c r="AM1290">
        <v>91.159510254519901</v>
      </c>
      <c r="AN1290">
        <v>1.0000000477967701</v>
      </c>
    </row>
    <row r="1291" spans="1:40" x14ac:dyDescent="0.3">
      <c r="A1291" t="str">
        <f>"20200111150339271"</f>
        <v>20200111150339271</v>
      </c>
      <c r="B1291" t="str">
        <f>"1578726219259348"</f>
        <v>1578726219259348</v>
      </c>
      <c r="C1291" t="s">
        <v>40</v>
      </c>
      <c r="D1291">
        <v>5.6580000000000004</v>
      </c>
      <c r="E1291">
        <v>0.51242959999999904</v>
      </c>
      <c r="F1291" t="s">
        <v>42</v>
      </c>
      <c r="G1291">
        <v>-303.8313</v>
      </c>
      <c r="H1291">
        <v>1.0411979999999901</v>
      </c>
      <c r="I1291">
        <v>142.05860000000001</v>
      </c>
      <c r="J1291">
        <v>-303.40820000000002</v>
      </c>
      <c r="K1291">
        <v>1.104789</v>
      </c>
      <c r="L1291">
        <v>142.05439999999999</v>
      </c>
      <c r="M1291">
        <v>-0.99986410000000003</v>
      </c>
      <c r="N1291">
        <v>0</v>
      </c>
      <c r="O1291">
        <v>-1.207007E-2</v>
      </c>
      <c r="P1291">
        <v>-0.99222239999999995</v>
      </c>
      <c r="Q1291">
        <v>0.1204445</v>
      </c>
      <c r="R1291">
        <v>-3.1435240000000003E-2</v>
      </c>
      <c r="S1291">
        <v>-3.0553590000000002</v>
      </c>
      <c r="T1291">
        <v>-0.2664762</v>
      </c>
      <c r="U1291">
        <v>-6.866455E-4</v>
      </c>
      <c r="V1291">
        <v>-1.9694710000000001E-2</v>
      </c>
      <c r="W1291">
        <v>0.13155159999999999</v>
      </c>
      <c r="X1291">
        <v>0.99111369999999999</v>
      </c>
      <c r="Y1291">
        <v>1.1755669999999999E-2</v>
      </c>
      <c r="Z1291">
        <v>1.562426E-3</v>
      </c>
      <c r="AA1291">
        <v>0.99992970000000003</v>
      </c>
      <c r="AB1291">
        <v>32</v>
      </c>
      <c r="AC1291">
        <v>-0.423099999999976</v>
      </c>
      <c r="AD1291">
        <v>-6.3591000000000106E-2</v>
      </c>
      <c r="AE1291">
        <v>4.20000000002573E-3</v>
      </c>
      <c r="AF1291">
        <v>9.1012899414300002E-3</v>
      </c>
      <c r="AG1291">
        <v>-6.3591000000000106E-2</v>
      </c>
      <c r="AH1291">
        <v>0.41367472235505198</v>
      </c>
      <c r="AI1291">
        <v>98.737144175664</v>
      </c>
      <c r="AJ1291">
        <v>88.739634403538901</v>
      </c>
      <c r="AK1291">
        <v>0.41863280410776099</v>
      </c>
      <c r="AL1291">
        <v>82.440737723129104</v>
      </c>
      <c r="AM1291">
        <v>91.138391357794902</v>
      </c>
      <c r="AN1291">
        <v>1.0000000356961101</v>
      </c>
    </row>
    <row r="1292" spans="1:40" x14ac:dyDescent="0.3">
      <c r="A1292" t="str">
        <f>"20200111150339291"</f>
        <v>20200111150339291</v>
      </c>
      <c r="B1292" t="str">
        <f>"1578726219289601"</f>
        <v>1578726219289601</v>
      </c>
      <c r="C1292" t="s">
        <v>40</v>
      </c>
      <c r="D1292">
        <v>5.7083690000000002</v>
      </c>
      <c r="E1292">
        <v>0.51176100000000002</v>
      </c>
      <c r="F1292" t="s">
        <v>42</v>
      </c>
      <c r="G1292">
        <v>-304.38940000000002</v>
      </c>
      <c r="H1292">
        <v>1.0215510000000001</v>
      </c>
      <c r="I1292">
        <v>142.0522</v>
      </c>
      <c r="J1292">
        <v>-303.71140000000003</v>
      </c>
      <c r="K1292">
        <v>1.1046849999999999</v>
      </c>
      <c r="L1292">
        <v>142.05000000000001</v>
      </c>
      <c r="M1292">
        <v>-0.99985650000000004</v>
      </c>
      <c r="N1292">
        <v>0</v>
      </c>
      <c r="O1292">
        <v>-1.269054E-2</v>
      </c>
      <c r="P1292">
        <v>-0.99207409999999996</v>
      </c>
      <c r="Q1292">
        <v>0.1215067</v>
      </c>
      <c r="R1292">
        <v>-3.2019659999999998E-2</v>
      </c>
      <c r="S1292">
        <v>-3.0547490000000002</v>
      </c>
      <c r="T1292">
        <v>-0.25908399999999998</v>
      </c>
      <c r="U1292">
        <v>-6.5155029999999997E-3</v>
      </c>
      <c r="V1292">
        <v>-1.9633290000000001E-2</v>
      </c>
      <c r="W1292">
        <v>0.1326184</v>
      </c>
      <c r="X1292">
        <v>0.99097270000000004</v>
      </c>
      <c r="Y1292">
        <v>1.0475409999999999E-2</v>
      </c>
      <c r="Z1292">
        <v>1.517874E-3</v>
      </c>
      <c r="AA1292">
        <v>0.99994400000000006</v>
      </c>
      <c r="AB1292">
        <v>32</v>
      </c>
      <c r="AC1292">
        <v>-0.67799999999999705</v>
      </c>
      <c r="AD1292">
        <v>-8.3134E-2</v>
      </c>
      <c r="AE1292">
        <v>2.1999999999877599E-3</v>
      </c>
      <c r="AF1292">
        <v>1.06445141763894E-2</v>
      </c>
      <c r="AG1292">
        <v>-8.3134E-2</v>
      </c>
      <c r="AH1292">
        <v>0.66787618771625501</v>
      </c>
      <c r="AI1292">
        <v>97.094514532116605</v>
      </c>
      <c r="AJ1292">
        <v>89.086905453032699</v>
      </c>
      <c r="AK1292">
        <v>0.67311452944981798</v>
      </c>
      <c r="AL1292">
        <v>82.379074033734796</v>
      </c>
      <c r="AM1292">
        <v>91.135003524061602</v>
      </c>
      <c r="AN1292">
        <v>0.99999999912003701</v>
      </c>
    </row>
    <row r="1293" spans="1:40" x14ac:dyDescent="0.3">
      <c r="A1293" t="str">
        <f>"20200111150339314"</f>
        <v>20200111150339314</v>
      </c>
      <c r="B1293" t="str">
        <f>"1578726219310096"</f>
        <v>1578726219310096</v>
      </c>
      <c r="C1293" t="s">
        <v>40</v>
      </c>
      <c r="D1293">
        <v>5.6121480000000004</v>
      </c>
      <c r="E1293">
        <v>0.51167169999999995</v>
      </c>
      <c r="F1293" t="s">
        <v>42</v>
      </c>
      <c r="G1293">
        <v>-304.67720000000003</v>
      </c>
      <c r="H1293">
        <v>1.0270090000000001</v>
      </c>
      <c r="I1293">
        <v>142.04589999999999</v>
      </c>
      <c r="J1293">
        <v>-304.0367</v>
      </c>
      <c r="K1293">
        <v>1.104582</v>
      </c>
      <c r="L1293">
        <v>142.0453</v>
      </c>
      <c r="M1293">
        <v>-0.99984930000000005</v>
      </c>
      <c r="N1293">
        <v>0</v>
      </c>
      <c r="O1293">
        <v>-1.3230570000000001E-2</v>
      </c>
      <c r="P1293">
        <v>-0.99203319999999995</v>
      </c>
      <c r="Q1293">
        <v>0.12169679999999999</v>
      </c>
      <c r="R1293">
        <v>-3.2560279999999997E-2</v>
      </c>
      <c r="S1293">
        <v>-3.0536500000000002</v>
      </c>
      <c r="T1293">
        <v>-0.24566389999999999</v>
      </c>
      <c r="U1293">
        <v>-1.3931270000000001E-2</v>
      </c>
      <c r="V1293">
        <v>-1.9603949999999998E-2</v>
      </c>
      <c r="W1293">
        <v>0.13281399999999999</v>
      </c>
      <c r="X1293">
        <v>0.99094709999999997</v>
      </c>
      <c r="Y1293">
        <v>8.5990210000000001E-3</v>
      </c>
      <c r="Z1293">
        <v>1.408037E-3</v>
      </c>
      <c r="AA1293">
        <v>0.99996200000000002</v>
      </c>
      <c r="AB1293">
        <v>32</v>
      </c>
      <c r="AC1293">
        <v>-0.64050000000003104</v>
      </c>
      <c r="AD1293">
        <v>-7.7572999999999795E-2</v>
      </c>
      <c r="AE1293">
        <v>5.9999999999149601E-4</v>
      </c>
      <c r="AF1293">
        <v>8.9434764571274007E-3</v>
      </c>
      <c r="AG1293">
        <v>-7.7572999999999795E-2</v>
      </c>
      <c r="AH1293">
        <v>0.63117763120675596</v>
      </c>
      <c r="AI1293">
        <v>97.005933056719897</v>
      </c>
      <c r="AJ1293">
        <v>89.188201323949102</v>
      </c>
      <c r="AK1293">
        <v>0.63598958972290698</v>
      </c>
      <c r="AL1293">
        <v>82.367767073714305</v>
      </c>
      <c r="AM1293">
        <v>91.133337086931803</v>
      </c>
      <c r="AN1293">
        <v>1.0000000142250001</v>
      </c>
    </row>
    <row r="1294" spans="1:40" x14ac:dyDescent="0.3">
      <c r="A1294" t="str">
        <f>"20200111150339338"</f>
        <v>20200111150339338</v>
      </c>
      <c r="B1294" t="str">
        <f>"1578726219329617"</f>
        <v>1578726219329617</v>
      </c>
      <c r="C1294" t="s">
        <v>40</v>
      </c>
      <c r="D1294">
        <v>5.6419290000000002</v>
      </c>
      <c r="E1294">
        <v>0.51163440000000004</v>
      </c>
      <c r="F1294" t="s">
        <v>42</v>
      </c>
      <c r="G1294">
        <v>-304.96379999999999</v>
      </c>
      <c r="H1294">
        <v>1.0295970000000001</v>
      </c>
      <c r="I1294">
        <v>142.04040000000001</v>
      </c>
      <c r="J1294">
        <v>-304.37479999999999</v>
      </c>
      <c r="K1294">
        <v>1.104479</v>
      </c>
      <c r="L1294">
        <v>142.0403</v>
      </c>
      <c r="M1294">
        <v>-0.9998437</v>
      </c>
      <c r="N1294">
        <v>0</v>
      </c>
      <c r="O1294">
        <v>-1.3657330000000001E-2</v>
      </c>
      <c r="P1294">
        <v>-0.99212670000000003</v>
      </c>
      <c r="Q1294">
        <v>0.1209147</v>
      </c>
      <c r="R1294">
        <v>-3.262077E-2</v>
      </c>
      <c r="S1294">
        <v>-3.053833</v>
      </c>
      <c r="T1294">
        <v>-0.2469586</v>
      </c>
      <c r="U1294">
        <v>-1.6662599999999899E-2</v>
      </c>
      <c r="V1294">
        <v>-1.9205719999999999E-2</v>
      </c>
      <c r="W1294">
        <v>0.1320394</v>
      </c>
      <c r="X1294">
        <v>0.99105840000000001</v>
      </c>
      <c r="Y1294">
        <v>8.1311679999999994E-3</v>
      </c>
      <c r="Z1294">
        <v>1.4309119999999999E-3</v>
      </c>
      <c r="AA1294">
        <v>0.99996589999999996</v>
      </c>
      <c r="AB1294">
        <v>32</v>
      </c>
      <c r="AC1294">
        <v>-0.58899999999999797</v>
      </c>
      <c r="AD1294">
        <v>-7.4882000000000101E-2</v>
      </c>
      <c r="AE1294">
        <v>1.0000000000331901E-4</v>
      </c>
      <c r="AF1294">
        <v>8.0151160795691092E-3</v>
      </c>
      <c r="AG1294">
        <v>-7.4882000000000101E-2</v>
      </c>
      <c r="AH1294">
        <v>0.57957595804310003</v>
      </c>
      <c r="AI1294">
        <v>97.361212960127204</v>
      </c>
      <c r="AJ1294">
        <v>89.207691339222606</v>
      </c>
      <c r="AK1294">
        <v>0.58444832718671302</v>
      </c>
      <c r="AL1294">
        <v>82.412542682047899</v>
      </c>
      <c r="AM1294">
        <v>91.110195906287203</v>
      </c>
      <c r="AN1294">
        <v>1.0000000075218101</v>
      </c>
    </row>
    <row r="1295" spans="1:40" x14ac:dyDescent="0.3">
      <c r="A1295" t="str">
        <f>"20200111150339358"</f>
        <v>20200111150339358</v>
      </c>
      <c r="B1295" t="str">
        <f>"1578726219350113"</f>
        <v>1578726219350113</v>
      </c>
      <c r="C1295" t="s">
        <v>40</v>
      </c>
      <c r="D1295">
        <v>5.4910560000000004</v>
      </c>
      <c r="E1295">
        <v>0.51161060000000003</v>
      </c>
      <c r="F1295" t="s">
        <v>42</v>
      </c>
      <c r="G1295">
        <v>-305.24990000000003</v>
      </c>
      <c r="H1295">
        <v>1.031123</v>
      </c>
      <c r="I1295">
        <v>142.03540000000001</v>
      </c>
      <c r="J1295">
        <v>-304.67500000000001</v>
      </c>
      <c r="K1295">
        <v>1.10439</v>
      </c>
      <c r="L1295">
        <v>142.0359</v>
      </c>
      <c r="M1295">
        <v>-0.9998399</v>
      </c>
      <c r="N1295">
        <v>0</v>
      </c>
      <c r="O1295">
        <v>-1.3921630000000001E-2</v>
      </c>
      <c r="P1295">
        <v>-0.99202939999999995</v>
      </c>
      <c r="Q1295">
        <v>0.12174500000000001</v>
      </c>
      <c r="R1295">
        <v>-3.2492350000000003E-2</v>
      </c>
      <c r="S1295">
        <v>-3.0544129999999998</v>
      </c>
      <c r="T1295">
        <v>-0.25607649999999998</v>
      </c>
      <c r="U1295">
        <v>-1.792908E-2</v>
      </c>
      <c r="V1295">
        <v>-1.878869E-2</v>
      </c>
      <c r="W1295">
        <v>0.13287399999999999</v>
      </c>
      <c r="X1295">
        <v>0.99095480000000002</v>
      </c>
      <c r="Y1295">
        <v>7.9762300000000008E-3</v>
      </c>
      <c r="Z1295">
        <v>1.498912E-3</v>
      </c>
      <c r="AA1295">
        <v>0.99996700000000005</v>
      </c>
      <c r="AB1295">
        <v>32</v>
      </c>
      <c r="AC1295">
        <v>-0.57490000000001296</v>
      </c>
      <c r="AD1295">
        <v>-7.3266999999999902E-2</v>
      </c>
      <c r="AE1295">
        <v>-4.9999999998817603E-4</v>
      </c>
      <c r="AF1295">
        <v>7.3841677265009398E-3</v>
      </c>
      <c r="AG1295">
        <v>-7.3266999999999902E-2</v>
      </c>
      <c r="AH1295">
        <v>0.56566388891879005</v>
      </c>
      <c r="AI1295">
        <v>97.3794642249091</v>
      </c>
      <c r="AJ1295">
        <v>89.252104253544701</v>
      </c>
      <c r="AK1295">
        <v>0.57043686280669403</v>
      </c>
      <c r="AL1295">
        <v>82.364298209034004</v>
      </c>
      <c r="AM1295">
        <v>91.086208643757999</v>
      </c>
      <c r="AN1295">
        <v>0.99999996519547696</v>
      </c>
    </row>
    <row r="1296" spans="1:40" x14ac:dyDescent="0.3">
      <c r="A1296" t="str">
        <f>"20200111150339381"</f>
        <v>20200111150339381</v>
      </c>
      <c r="B1296" t="str">
        <f>"1578726219369633"</f>
        <v>1578726219369633</v>
      </c>
      <c r="C1296" t="s">
        <v>40</v>
      </c>
      <c r="D1296">
        <v>5.7116410000000002</v>
      </c>
      <c r="E1296">
        <v>0.51150890000000004</v>
      </c>
      <c r="F1296" t="s">
        <v>42</v>
      </c>
      <c r="G1296">
        <v>-305.53629999999998</v>
      </c>
      <c r="H1296">
        <v>1.0325660000000001</v>
      </c>
      <c r="I1296">
        <v>142.03110000000001</v>
      </c>
      <c r="J1296">
        <v>-304.9896</v>
      </c>
      <c r="K1296">
        <v>1.1043099999999999</v>
      </c>
      <c r="L1296">
        <v>142.03129999999999</v>
      </c>
      <c r="M1296">
        <v>-0.99983750000000005</v>
      </c>
      <c r="N1296">
        <v>0</v>
      </c>
      <c r="O1296">
        <v>-1.409558E-2</v>
      </c>
      <c r="P1296">
        <v>-0.9918865</v>
      </c>
      <c r="Q1296">
        <v>0.1230883</v>
      </c>
      <c r="R1296">
        <v>-3.1792620000000001E-2</v>
      </c>
      <c r="S1296">
        <v>-3.0547789999999999</v>
      </c>
      <c r="T1296">
        <v>-0.25476929999999998</v>
      </c>
      <c r="U1296">
        <v>-1.7578130000000001E-2</v>
      </c>
      <c r="V1296">
        <v>-1.7890920000000001E-2</v>
      </c>
      <c r="W1296">
        <v>0.134220899999999</v>
      </c>
      <c r="X1296">
        <v>0.9907899</v>
      </c>
      <c r="Y1296">
        <v>8.2649719999999902E-3</v>
      </c>
      <c r="Z1296">
        <v>1.5176110000000001E-3</v>
      </c>
      <c r="AA1296">
        <v>0.99996470000000004</v>
      </c>
      <c r="AB1296">
        <v>32</v>
      </c>
      <c r="AC1296">
        <v>-0.54669999999998697</v>
      </c>
      <c r="AD1296">
        <v>-7.1744000000000002E-2</v>
      </c>
      <c r="AE1296">
        <v>-1.9999999997821701E-4</v>
      </c>
      <c r="AF1296">
        <v>7.3794739035155403E-3</v>
      </c>
      <c r="AG1296">
        <v>-7.1744000000000002E-2</v>
      </c>
      <c r="AH1296">
        <v>0.53739373052481498</v>
      </c>
      <c r="AI1296">
        <v>97.603520095568697</v>
      </c>
      <c r="AJ1296">
        <v>89.213265595558596</v>
      </c>
      <c r="AK1296">
        <v>0.54221184031563796</v>
      </c>
      <c r="AL1296">
        <v>82.286429113514501</v>
      </c>
      <c r="AM1296">
        <v>91.034490577970104</v>
      </c>
      <c r="AN1296">
        <v>0.99999998047863203</v>
      </c>
    </row>
    <row r="1297" spans="1:40" x14ac:dyDescent="0.3">
      <c r="A1297" t="str">
        <f>"20200111150339404"</f>
        <v>20200111150339404</v>
      </c>
      <c r="B1297" t="str">
        <f>"1578726219399889"</f>
        <v>1578726219399889</v>
      </c>
      <c r="C1297" t="s">
        <v>40</v>
      </c>
      <c r="D1297">
        <v>5.6048770000000001</v>
      </c>
      <c r="E1297">
        <v>0.51202219999999998</v>
      </c>
      <c r="F1297" t="s">
        <v>42</v>
      </c>
      <c r="G1297">
        <v>-305.82350000000002</v>
      </c>
      <c r="H1297">
        <v>1.0354760000000001</v>
      </c>
      <c r="I1297">
        <v>142.02699999999999</v>
      </c>
      <c r="J1297">
        <v>-305.3186</v>
      </c>
      <c r="K1297">
        <v>1.1042259999999999</v>
      </c>
      <c r="L1297">
        <v>142.0264</v>
      </c>
      <c r="M1297">
        <v>-0.99983610000000001</v>
      </c>
      <c r="N1297">
        <v>0</v>
      </c>
      <c r="O1297">
        <v>-1.419393E-2</v>
      </c>
      <c r="P1297">
        <v>-0.99186609999999997</v>
      </c>
      <c r="Q1297">
        <v>0.1234562</v>
      </c>
      <c r="R1297">
        <v>-3.0995959999999999E-2</v>
      </c>
      <c r="S1297">
        <v>-3.0553590000000002</v>
      </c>
      <c r="T1297">
        <v>-0.25233559999999999</v>
      </c>
      <c r="U1297">
        <v>-1.6510009999999999E-2</v>
      </c>
      <c r="V1297">
        <v>-1.6969729999999999E-2</v>
      </c>
      <c r="W1297">
        <v>0.1345932</v>
      </c>
      <c r="X1297">
        <v>0.99075559999999996</v>
      </c>
      <c r="Y1297">
        <v>8.7136330000000001E-3</v>
      </c>
      <c r="Z1297">
        <v>1.5294849999999999E-3</v>
      </c>
      <c r="AA1297">
        <v>0.99996079999999998</v>
      </c>
      <c r="AB1297">
        <v>32</v>
      </c>
      <c r="AC1297">
        <v>-0.50490000000002</v>
      </c>
      <c r="AD1297">
        <v>-6.8749999999999797E-2</v>
      </c>
      <c r="AE1297">
        <v>6.0000000001991696E-4</v>
      </c>
      <c r="AF1297">
        <v>7.6255223326317798E-3</v>
      </c>
      <c r="AG1297">
        <v>-6.8749999999999797E-2</v>
      </c>
      <c r="AH1297">
        <v>0.49565073437447599</v>
      </c>
      <c r="AI1297">
        <v>97.895989907857398</v>
      </c>
      <c r="AJ1297">
        <v>89.118581393187597</v>
      </c>
      <c r="AK1297">
        <v>0.50045415531974802</v>
      </c>
      <c r="AL1297">
        <v>82.264902563659604</v>
      </c>
      <c r="AM1297">
        <v>90.981270097639495</v>
      </c>
      <c r="AN1297">
        <v>0.99999998007693602</v>
      </c>
    </row>
    <row r="1298" spans="1:40" x14ac:dyDescent="0.3">
      <c r="A1298" t="str">
        <f>"20200111150339427"</f>
        <v>20200111150339427</v>
      </c>
      <c r="B1298" t="str">
        <f>"1578726219419408"</f>
        <v>1578726219419408</v>
      </c>
      <c r="C1298" t="s">
        <v>40</v>
      </c>
      <c r="D1298">
        <v>5.5666789999999997</v>
      </c>
      <c r="E1298">
        <v>0.51323079999999999</v>
      </c>
      <c r="F1298" t="s">
        <v>42</v>
      </c>
      <c r="G1298">
        <v>-306.11329999999998</v>
      </c>
      <c r="H1298">
        <v>1.039979</v>
      </c>
      <c r="I1298">
        <v>142.024</v>
      </c>
      <c r="J1298">
        <v>-305.64409999999998</v>
      </c>
      <c r="K1298">
        <v>1.1041589999999999</v>
      </c>
      <c r="L1298">
        <v>142.02170000000001</v>
      </c>
      <c r="M1298">
        <v>-0.99983560000000005</v>
      </c>
      <c r="N1298">
        <v>0</v>
      </c>
      <c r="O1298">
        <v>-1.423641E-2</v>
      </c>
      <c r="P1298">
        <v>-0.99199599999999999</v>
      </c>
      <c r="Q1298">
        <v>0.1226714</v>
      </c>
      <c r="R1298">
        <v>-2.9939759999999999E-2</v>
      </c>
      <c r="S1298">
        <v>-3.0550229999999998</v>
      </c>
      <c r="T1298">
        <v>-0.2470176</v>
      </c>
      <c r="U1298">
        <v>-1.005554E-2</v>
      </c>
      <c r="V1298">
        <v>-1.5847960000000001E-2</v>
      </c>
      <c r="W1298">
        <v>0.1338145</v>
      </c>
      <c r="X1298">
        <v>0.99087970000000003</v>
      </c>
      <c r="Y1298">
        <v>1.0864179999999999E-2</v>
      </c>
      <c r="Z1298">
        <v>1.587761E-3</v>
      </c>
      <c r="AA1298">
        <v>0.99993969999999999</v>
      </c>
      <c r="AB1298">
        <v>32</v>
      </c>
      <c r="AC1298">
        <v>-0.46920000000000001</v>
      </c>
      <c r="AD1298">
        <v>-6.4180000000000098E-2</v>
      </c>
      <c r="AE1298">
        <v>2.29999999999108E-3</v>
      </c>
      <c r="AF1298">
        <v>8.81498360477939E-3</v>
      </c>
      <c r="AG1298">
        <v>-6.4180000000000098E-2</v>
      </c>
      <c r="AH1298">
        <v>0.46050369006366199</v>
      </c>
      <c r="AI1298">
        <v>97.9327214429875</v>
      </c>
      <c r="AJ1298">
        <v>88.903375383020702</v>
      </c>
      <c r="AK1298">
        <v>0.46503808972835903</v>
      </c>
      <c r="AL1298">
        <v>82.309926462436394</v>
      </c>
      <c r="AM1298">
        <v>90.916300746759006</v>
      </c>
      <c r="AN1298">
        <v>1.0000000290592499</v>
      </c>
    </row>
    <row r="1299" spans="1:40" x14ac:dyDescent="0.3">
      <c r="A1299" t="str">
        <f>"20200111150339448"</f>
        <v>20200111150339448</v>
      </c>
      <c r="B1299" t="str">
        <f>"1578726219439908"</f>
        <v>1578726219439908</v>
      </c>
      <c r="C1299" t="s">
        <v>40</v>
      </c>
      <c r="D1299">
        <v>5.5877790000000003</v>
      </c>
      <c r="E1299">
        <v>0.51409989999999905</v>
      </c>
      <c r="F1299" t="s">
        <v>42</v>
      </c>
      <c r="G1299">
        <v>-306.40159999999997</v>
      </c>
      <c r="H1299">
        <v>1.0427959999999901</v>
      </c>
      <c r="I1299">
        <v>142.02250000000001</v>
      </c>
      <c r="J1299">
        <v>-305.95249999999999</v>
      </c>
      <c r="K1299">
        <v>1.1041069999999999</v>
      </c>
      <c r="L1299">
        <v>142.01730000000001</v>
      </c>
      <c r="M1299">
        <v>-0.99983549999999999</v>
      </c>
      <c r="N1299">
        <v>0</v>
      </c>
      <c r="O1299">
        <v>-1.424344E-2</v>
      </c>
      <c r="P1299">
        <v>-0.9921432</v>
      </c>
      <c r="Q1299">
        <v>0.1217263</v>
      </c>
      <c r="R1299">
        <v>-2.8888469999999999E-2</v>
      </c>
      <c r="S1299">
        <v>-3.054932</v>
      </c>
      <c r="T1299">
        <v>-0.24749260000000001</v>
      </c>
      <c r="U1299">
        <v>2.7160639999999998E-3</v>
      </c>
      <c r="V1299">
        <v>-1.4773980000000001E-2</v>
      </c>
      <c r="W1299">
        <v>0.13287360000000001</v>
      </c>
      <c r="X1299">
        <v>0.99102290000000004</v>
      </c>
      <c r="Y1299">
        <v>1.5037389999999999E-2</v>
      </c>
      <c r="Z1299">
        <v>1.7602010000000001E-3</v>
      </c>
      <c r="AA1299">
        <v>0.99988540000000004</v>
      </c>
      <c r="AB1299">
        <v>32</v>
      </c>
      <c r="AC1299">
        <v>-0.44909999999998701</v>
      </c>
      <c r="AD1299">
        <v>-6.1311000000000102E-2</v>
      </c>
      <c r="AE1299">
        <v>5.2000000000020901E-3</v>
      </c>
      <c r="AF1299">
        <v>1.1384453879150901E-2</v>
      </c>
      <c r="AG1299">
        <v>-6.1311000000000102E-2</v>
      </c>
      <c r="AH1299">
        <v>0.44076662158712498</v>
      </c>
      <c r="AI1299">
        <v>97.916468801628596</v>
      </c>
      <c r="AJ1299">
        <v>88.520450200906296</v>
      </c>
      <c r="AK1299">
        <v>0.44515599424971702</v>
      </c>
      <c r="AL1299">
        <v>82.364321800918304</v>
      </c>
      <c r="AM1299">
        <v>90.854091263134293</v>
      </c>
      <c r="AN1299">
        <v>1.0000000261932001</v>
      </c>
    </row>
    <row r="1300" spans="1:40" x14ac:dyDescent="0.3">
      <c r="A1300" t="str">
        <f>"20200111150339471"</f>
        <v>20200111150339471</v>
      </c>
      <c r="B1300" t="str">
        <f>"1578726219459425"</f>
        <v>1578726219459425</v>
      </c>
      <c r="C1300" t="s">
        <v>40</v>
      </c>
      <c r="D1300">
        <v>5.5846850000000003</v>
      </c>
      <c r="E1300">
        <v>0.51485029999999998</v>
      </c>
      <c r="F1300" t="s">
        <v>42</v>
      </c>
      <c r="G1300">
        <v>-306.6891</v>
      </c>
      <c r="H1300">
        <v>1.044581</v>
      </c>
      <c r="I1300">
        <v>142.0204</v>
      </c>
      <c r="J1300">
        <v>-306.26339999999999</v>
      </c>
      <c r="K1300">
        <v>1.1040719999999999</v>
      </c>
      <c r="L1300">
        <v>142.0128</v>
      </c>
      <c r="M1300">
        <v>-0.99983560000000005</v>
      </c>
      <c r="N1300">
        <v>0</v>
      </c>
      <c r="O1300">
        <v>-1.423175E-2</v>
      </c>
      <c r="P1300">
        <v>-0.99227149999999997</v>
      </c>
      <c r="Q1300">
        <v>0.12082660000000001</v>
      </c>
      <c r="R1300">
        <v>-2.8248619999999999E-2</v>
      </c>
      <c r="S1300">
        <v>-3.0543819999999999</v>
      </c>
      <c r="T1300">
        <v>-0.24685019999999999</v>
      </c>
      <c r="U1300">
        <v>1.222229E-2</v>
      </c>
      <c r="V1300">
        <v>-1.4134900000000001E-2</v>
      </c>
      <c r="W1300">
        <v>0.1319775</v>
      </c>
      <c r="X1300">
        <v>0.99115189999999997</v>
      </c>
      <c r="Y1300">
        <v>1.8128149999999999E-2</v>
      </c>
      <c r="Z1300">
        <v>1.8797110000000001E-3</v>
      </c>
      <c r="AA1300">
        <v>0.99983390000000005</v>
      </c>
      <c r="AB1300">
        <v>32</v>
      </c>
      <c r="AC1300">
        <v>-0.42570000000000602</v>
      </c>
      <c r="AD1300">
        <v>-5.9490999999999898E-2</v>
      </c>
      <c r="AE1300">
        <v>7.5999999999964898E-3</v>
      </c>
      <c r="AF1300">
        <v>1.33965220987644E-2</v>
      </c>
      <c r="AG1300">
        <v>-5.9490999999999898E-2</v>
      </c>
      <c r="AH1300">
        <v>0.41739962714337298</v>
      </c>
      <c r="AI1300">
        <v>98.107482996375396</v>
      </c>
      <c r="AJ1300">
        <v>88.161711863271194</v>
      </c>
      <c r="AK1300">
        <v>0.42183064685341398</v>
      </c>
      <c r="AL1300">
        <v>82.416120334609005</v>
      </c>
      <c r="AM1300">
        <v>90.817044508665006</v>
      </c>
      <c r="AN1300">
        <v>0.99999997238893401</v>
      </c>
    </row>
    <row r="1301" spans="1:40" x14ac:dyDescent="0.3">
      <c r="A1301" t="str">
        <f>"20200111150339492"</f>
        <v>20200111150339492</v>
      </c>
      <c r="B1301" t="str">
        <f>"1578726219489682"</f>
        <v>1578726219489682</v>
      </c>
      <c r="C1301" t="s">
        <v>40</v>
      </c>
      <c r="D1301">
        <v>5.9772080000000001</v>
      </c>
      <c r="E1301">
        <v>0.51549400000000001</v>
      </c>
      <c r="F1301" t="s">
        <v>42</v>
      </c>
      <c r="G1301">
        <v>-307.24900000000002</v>
      </c>
      <c r="H1301">
        <v>1.0239039999999999</v>
      </c>
      <c r="I1301">
        <v>142.01929999999999</v>
      </c>
      <c r="J1301">
        <v>-306.58350000000002</v>
      </c>
      <c r="K1301">
        <v>1.1040509999999999</v>
      </c>
      <c r="L1301">
        <v>142.00829999999999</v>
      </c>
      <c r="M1301">
        <v>-0.99983599999999995</v>
      </c>
      <c r="N1301">
        <v>0</v>
      </c>
      <c r="O1301">
        <v>-1.42121E-2</v>
      </c>
      <c r="P1301">
        <v>-0.99239920000000004</v>
      </c>
      <c r="Q1301">
        <v>0.1197159</v>
      </c>
      <c r="R1301">
        <v>-2.849989E-2</v>
      </c>
      <c r="S1301">
        <v>-3.05423</v>
      </c>
      <c r="T1301">
        <v>-0.24839169999999999</v>
      </c>
      <c r="U1301">
        <v>2.0248410000000001E-2</v>
      </c>
      <c r="V1301">
        <v>-1.439839E-2</v>
      </c>
      <c r="W1301">
        <v>0.13086989999999901</v>
      </c>
      <c r="X1301">
        <v>0.99129500000000004</v>
      </c>
      <c r="Y1301">
        <v>2.0726140000000001E-2</v>
      </c>
      <c r="Z1301">
        <v>1.9953689999999999E-3</v>
      </c>
      <c r="AA1301">
        <v>0.99978319999999998</v>
      </c>
      <c r="AB1301">
        <v>32</v>
      </c>
      <c r="AC1301">
        <v>-0.66550000000000797</v>
      </c>
      <c r="AD1301">
        <v>-8.0146999999999899E-2</v>
      </c>
      <c r="AE1301">
        <v>1.09999999999956E-2</v>
      </c>
      <c r="AF1301">
        <v>2.0165246765607402E-2</v>
      </c>
      <c r="AG1301">
        <v>-8.0146999999999899E-2</v>
      </c>
      <c r="AH1301">
        <v>0.65576797925713004</v>
      </c>
      <c r="AI1301">
        <v>96.964788630055295</v>
      </c>
      <c r="AJ1301">
        <v>88.238676484213499</v>
      </c>
      <c r="AK1301">
        <v>0.66095523404017098</v>
      </c>
      <c r="AL1301">
        <v>82.480136691835796</v>
      </c>
      <c r="AM1301">
        <v>90.832152862185495</v>
      </c>
      <c r="AN1301">
        <v>1.0000000106928</v>
      </c>
    </row>
    <row r="1302" spans="1:40" x14ac:dyDescent="0.3">
      <c r="A1302" t="str">
        <f>"20200111150339516"</f>
        <v>20200111150339516</v>
      </c>
      <c r="B1302" t="str">
        <f>"1578726219510177"</f>
        <v>1578726219510177</v>
      </c>
      <c r="C1302" t="s">
        <v>40</v>
      </c>
      <c r="D1302">
        <v>5.5840880000000004</v>
      </c>
      <c r="E1302">
        <v>0.51526050000000001</v>
      </c>
      <c r="F1302" t="s">
        <v>42</v>
      </c>
      <c r="G1302">
        <v>-307.53699999999998</v>
      </c>
      <c r="H1302">
        <v>1.026654</v>
      </c>
      <c r="I1302">
        <v>142.0163</v>
      </c>
      <c r="J1302">
        <v>-306.91809999999998</v>
      </c>
      <c r="K1302">
        <v>1.1040399999999999</v>
      </c>
      <c r="L1302">
        <v>142.0035</v>
      </c>
      <c r="M1302">
        <v>-0.99983610000000001</v>
      </c>
      <c r="N1302">
        <v>0</v>
      </c>
      <c r="O1302">
        <v>-1.419336E-2</v>
      </c>
      <c r="P1302">
        <v>-0.99242770000000002</v>
      </c>
      <c r="Q1302">
        <v>0.11945310000000001</v>
      </c>
      <c r="R1302">
        <v>-2.8600960000000002E-2</v>
      </c>
      <c r="S1302">
        <v>-3.0536189999999999</v>
      </c>
      <c r="T1302">
        <v>-0.24791460000000001</v>
      </c>
      <c r="U1302">
        <v>2.5115970000000001E-2</v>
      </c>
      <c r="V1302">
        <v>-1.4514229999999999E-2</v>
      </c>
      <c r="W1302">
        <v>0.130609</v>
      </c>
      <c r="X1302">
        <v>0.99132770000000003</v>
      </c>
      <c r="Y1302">
        <v>2.2297589999999999E-2</v>
      </c>
      <c r="Z1302">
        <v>2.0541029999999998E-3</v>
      </c>
      <c r="AA1302">
        <v>0.9997492</v>
      </c>
      <c r="AB1302">
        <v>32</v>
      </c>
      <c r="AC1302">
        <v>-0.61890000000005296</v>
      </c>
      <c r="AD1302">
        <v>-7.7385999999999705E-2</v>
      </c>
      <c r="AE1302">
        <v>1.27999999999985E-2</v>
      </c>
      <c r="AF1302">
        <v>2.1251422676744899E-2</v>
      </c>
      <c r="AG1302">
        <v>-7.7385999999999705E-2</v>
      </c>
      <c r="AH1302">
        <v>0.60913649427258099</v>
      </c>
      <c r="AI1302">
        <v>97.235837268365998</v>
      </c>
      <c r="AJ1302">
        <v>88.001887607383196</v>
      </c>
      <c r="AK1302">
        <v>0.61440010141313905</v>
      </c>
      <c r="AL1302">
        <v>82.495214431074004</v>
      </c>
      <c r="AM1302">
        <v>90.838819199040302</v>
      </c>
      <c r="AN1302">
        <v>0.99999999127039096</v>
      </c>
    </row>
    <row r="1303" spans="1:40" x14ac:dyDescent="0.3">
      <c r="A1303" t="str">
        <f>"20200111150339538"</f>
        <v>20200111150339538</v>
      </c>
      <c r="B1303" t="str">
        <f>"1578726219529697"</f>
        <v>1578726219529697</v>
      </c>
      <c r="C1303" t="s">
        <v>40</v>
      </c>
      <c r="D1303">
        <v>5.4992890000000001</v>
      </c>
      <c r="E1303">
        <v>0.51558740000000003</v>
      </c>
      <c r="F1303" t="s">
        <v>42</v>
      </c>
      <c r="G1303">
        <v>-307.82619999999997</v>
      </c>
      <c r="H1303">
        <v>1.031768</v>
      </c>
      <c r="I1303">
        <v>142.01050000000001</v>
      </c>
      <c r="J1303">
        <v>-307.2389</v>
      </c>
      <c r="K1303">
        <v>1.104039</v>
      </c>
      <c r="L1303">
        <v>141.99889999999999</v>
      </c>
      <c r="M1303">
        <v>-0.99983619999999995</v>
      </c>
      <c r="N1303">
        <v>0</v>
      </c>
      <c r="O1303">
        <v>-1.4181579999999999E-2</v>
      </c>
      <c r="P1303">
        <v>-0.99235249999999997</v>
      </c>
      <c r="Q1303">
        <v>0.1200343</v>
      </c>
      <c r="R1303">
        <v>-2.8785709999999999E-2</v>
      </c>
      <c r="S1303">
        <v>-3.052826</v>
      </c>
      <c r="T1303">
        <v>-0.24285329999999999</v>
      </c>
      <c r="U1303">
        <v>2.3468019999999999E-2</v>
      </c>
      <c r="V1303">
        <v>-1.470926E-2</v>
      </c>
      <c r="W1303">
        <v>0.1311909</v>
      </c>
      <c r="X1303">
        <v>0.99124800000000002</v>
      </c>
      <c r="Y1303">
        <v>2.1754840000000001E-2</v>
      </c>
      <c r="Z1303">
        <v>1.9903360000000001E-3</v>
      </c>
      <c r="AA1303">
        <v>0.99976129999999996</v>
      </c>
      <c r="AB1303">
        <v>32</v>
      </c>
      <c r="AC1303">
        <v>-0.58729999999996996</v>
      </c>
      <c r="AD1303">
        <v>-7.2270999999999905E-2</v>
      </c>
      <c r="AE1303">
        <v>1.1600000000015501E-2</v>
      </c>
      <c r="AF1303">
        <v>1.9631047485351698E-2</v>
      </c>
      <c r="AG1303">
        <v>-7.2270999999999905E-2</v>
      </c>
      <c r="AH1303">
        <v>0.57832237075674398</v>
      </c>
      <c r="AI1303">
        <v>97.119075825553594</v>
      </c>
      <c r="AJ1303">
        <v>88.055851691749695</v>
      </c>
      <c r="AK1303">
        <v>0.58315112962599402</v>
      </c>
      <c r="AL1303">
        <v>82.461584763520904</v>
      </c>
      <c r="AM1303">
        <v>90.850157242217506</v>
      </c>
      <c r="AN1303">
        <v>1.0000000060382701</v>
      </c>
    </row>
    <row r="1304" spans="1:40" x14ac:dyDescent="0.3">
      <c r="A1304" t="str">
        <f>"20200111150339559"</f>
        <v>20200111150339559</v>
      </c>
      <c r="B1304" t="str">
        <f>"1578726219549220"</f>
        <v>1578726219549220</v>
      </c>
      <c r="C1304" t="s">
        <v>40</v>
      </c>
      <c r="D1304">
        <v>5.5348959999999998</v>
      </c>
      <c r="E1304">
        <v>0.51626649999999996</v>
      </c>
      <c r="F1304" t="s">
        <v>42</v>
      </c>
      <c r="G1304">
        <v>-308.11410000000001</v>
      </c>
      <c r="H1304">
        <v>1.033776</v>
      </c>
      <c r="I1304">
        <v>142.00649999999999</v>
      </c>
      <c r="J1304">
        <v>-307.55369999999999</v>
      </c>
      <c r="K1304">
        <v>1.104031</v>
      </c>
      <c r="L1304">
        <v>141.99449999999999</v>
      </c>
      <c r="M1304">
        <v>-0.99983630000000001</v>
      </c>
      <c r="N1304">
        <v>0</v>
      </c>
      <c r="O1304">
        <v>-1.4176019999999999E-2</v>
      </c>
      <c r="P1304">
        <v>-0.99226499999999995</v>
      </c>
      <c r="Q1304">
        <v>0.1206628</v>
      </c>
      <c r="R1304">
        <v>-2.9171059999999999E-2</v>
      </c>
      <c r="S1304">
        <v>-3.0534970000000001</v>
      </c>
      <c r="T1304">
        <v>-0.2451671</v>
      </c>
      <c r="U1304">
        <v>2.548218E-2</v>
      </c>
      <c r="V1304">
        <v>-1.5099349999999999E-2</v>
      </c>
      <c r="W1304">
        <v>0.13182049999999901</v>
      </c>
      <c r="X1304">
        <v>0.9911586</v>
      </c>
      <c r="Y1304">
        <v>2.2402829999999999E-2</v>
      </c>
      <c r="Z1304">
        <v>2.0343200000000001E-3</v>
      </c>
      <c r="AA1304">
        <v>0.99974700000000005</v>
      </c>
      <c r="AB1304">
        <v>32</v>
      </c>
      <c r="AC1304">
        <v>-0.560400000000015</v>
      </c>
      <c r="AD1304">
        <v>-7.0254999999999901E-2</v>
      </c>
      <c r="AE1304">
        <v>1.2000000000000399E-2</v>
      </c>
      <c r="AF1304">
        <v>1.9635082777059502E-2</v>
      </c>
      <c r="AG1304">
        <v>-7.0254999999999901E-2</v>
      </c>
      <c r="AH1304">
        <v>0.55150968129781497</v>
      </c>
      <c r="AI1304">
        <v>97.255073214580307</v>
      </c>
      <c r="AJ1304">
        <v>87.960992445066495</v>
      </c>
      <c r="AK1304">
        <v>0.55631306839393901</v>
      </c>
      <c r="AL1304">
        <v>82.425195285855906</v>
      </c>
      <c r="AM1304">
        <v>90.872778698066398</v>
      </c>
      <c r="AN1304">
        <v>1.0000000024723099</v>
      </c>
    </row>
    <row r="1305" spans="1:40" x14ac:dyDescent="0.3">
      <c r="A1305" t="str">
        <f>"20200111150339582"</f>
        <v>20200111150339582</v>
      </c>
      <c r="B1305" t="str">
        <f>"1578726219579473"</f>
        <v>1578726219579473</v>
      </c>
      <c r="C1305" t="s">
        <v>40</v>
      </c>
      <c r="D1305">
        <v>5.4983490000000002</v>
      </c>
      <c r="E1305">
        <v>0.51617829999999998</v>
      </c>
      <c r="F1305" t="s">
        <v>42</v>
      </c>
      <c r="G1305">
        <v>-308.40219999999999</v>
      </c>
      <c r="H1305">
        <v>1.036073</v>
      </c>
      <c r="I1305">
        <v>142.0027</v>
      </c>
      <c r="J1305">
        <v>-307.87759999999997</v>
      </c>
      <c r="K1305">
        <v>1.104033</v>
      </c>
      <c r="L1305">
        <v>141.98990000000001</v>
      </c>
      <c r="M1305">
        <v>-0.99983639999999996</v>
      </c>
      <c r="N1305">
        <v>0</v>
      </c>
      <c r="O1305">
        <v>-1.417478E-2</v>
      </c>
      <c r="P1305">
        <v>-0.99218260000000003</v>
      </c>
      <c r="Q1305">
        <v>0.1212493</v>
      </c>
      <c r="R1305">
        <v>-2.9540980000000001E-2</v>
      </c>
      <c r="S1305">
        <v>-3.0540470000000002</v>
      </c>
      <c r="T1305">
        <v>-0.2445822</v>
      </c>
      <c r="U1305">
        <v>2.9754639999999999E-2</v>
      </c>
      <c r="V1305">
        <v>-1.547056E-2</v>
      </c>
      <c r="W1305">
        <v>0.13240759999999999</v>
      </c>
      <c r="X1305">
        <v>0.99107460000000003</v>
      </c>
      <c r="Y1305">
        <v>2.3794699999999998E-2</v>
      </c>
      <c r="Z1305">
        <v>2.084654E-3</v>
      </c>
      <c r="AA1305">
        <v>0.99971469999999996</v>
      </c>
      <c r="AB1305">
        <v>32</v>
      </c>
      <c r="AC1305">
        <v>-0.52460000000002005</v>
      </c>
      <c r="AD1305">
        <v>-6.7960000000000007E-2</v>
      </c>
      <c r="AE1305">
        <v>1.27999999999985E-2</v>
      </c>
      <c r="AF1305">
        <v>1.9901480009050499E-2</v>
      </c>
      <c r="AG1305">
        <v>-6.7960000000000007E-2</v>
      </c>
      <c r="AH1305">
        <v>0.51571611273550699</v>
      </c>
      <c r="AI1305">
        <v>97.501544129791299</v>
      </c>
      <c r="AJ1305">
        <v>87.790052972912704</v>
      </c>
      <c r="AK1305">
        <v>0.52055522227864803</v>
      </c>
      <c r="AL1305">
        <v>82.391259349401295</v>
      </c>
      <c r="AM1305">
        <v>90.894307864907105</v>
      </c>
      <c r="AN1305">
        <v>0.99999998676481605</v>
      </c>
    </row>
    <row r="1306" spans="1:40" x14ac:dyDescent="0.3">
      <c r="A1306" t="str">
        <f>"20200111150339604"</f>
        <v>20200111150339604</v>
      </c>
      <c r="B1306" t="str">
        <f>"1578726219599969"</f>
        <v>1578726219599969</v>
      </c>
      <c r="C1306" t="s">
        <v>40</v>
      </c>
      <c r="D1306">
        <v>5.6524380000000001</v>
      </c>
      <c r="E1306">
        <v>0.5161791</v>
      </c>
      <c r="F1306" t="s">
        <v>42</v>
      </c>
      <c r="G1306">
        <v>-308.69170000000003</v>
      </c>
      <c r="H1306">
        <v>1.03993</v>
      </c>
      <c r="I1306">
        <v>141.9975</v>
      </c>
      <c r="J1306">
        <v>-308.18799999999999</v>
      </c>
      <c r="K1306">
        <v>1.1040319999999999</v>
      </c>
      <c r="L1306">
        <v>141.9855</v>
      </c>
      <c r="M1306">
        <v>-0.99983619999999995</v>
      </c>
      <c r="N1306">
        <v>0</v>
      </c>
      <c r="O1306">
        <v>-1.417523E-2</v>
      </c>
      <c r="P1306">
        <v>-0.9921316</v>
      </c>
      <c r="Q1306">
        <v>0.1216192</v>
      </c>
      <c r="R1306">
        <v>-2.9723429999999999E-2</v>
      </c>
      <c r="S1306">
        <v>-3.053833</v>
      </c>
      <c r="T1306">
        <v>-0.24052950000000001</v>
      </c>
      <c r="U1306">
        <v>2.7801510000000001E-2</v>
      </c>
      <c r="V1306">
        <v>-1.5652659999999999E-2</v>
      </c>
      <c r="W1306">
        <v>0.13277809999999901</v>
      </c>
      <c r="X1306">
        <v>0.99102219999999996</v>
      </c>
      <c r="Y1306">
        <v>2.316242E-2</v>
      </c>
      <c r="Z1306">
        <v>2.0255400000000002E-3</v>
      </c>
      <c r="AA1306">
        <v>0.9997296</v>
      </c>
      <c r="AB1306">
        <v>32</v>
      </c>
      <c r="AC1306">
        <v>-0.50370000000003701</v>
      </c>
      <c r="AD1306">
        <v>-6.4101999999999798E-2</v>
      </c>
      <c r="AE1306">
        <v>1.2000000000000399E-2</v>
      </c>
      <c r="AF1306">
        <v>1.8834445973906499E-2</v>
      </c>
      <c r="AG1306">
        <v>-6.4101999999999798E-2</v>
      </c>
      <c r="AH1306">
        <v>0.49545951814299999</v>
      </c>
      <c r="AI1306">
        <v>97.366651272193593</v>
      </c>
      <c r="AJ1306">
        <v>87.823000939997101</v>
      </c>
      <c r="AK1306">
        <v>0.49994393373421098</v>
      </c>
      <c r="AL1306">
        <v>82.369842380148199</v>
      </c>
      <c r="AM1306">
        <v>90.904880628624596</v>
      </c>
      <c r="AN1306">
        <v>1.00000001524876</v>
      </c>
    </row>
    <row r="1307" spans="1:40" x14ac:dyDescent="0.3">
      <c r="A1307" t="str">
        <f>"20200111150339628"</f>
        <v>20200111150339628</v>
      </c>
      <c r="B1307" t="str">
        <f>"1578726219619837"</f>
        <v>1578726219619837</v>
      </c>
      <c r="C1307" t="s">
        <v>40</v>
      </c>
      <c r="D1307">
        <v>5.5494219999999999</v>
      </c>
      <c r="E1307">
        <v>0.51615889999999998</v>
      </c>
      <c r="F1307" t="s">
        <v>42</v>
      </c>
      <c r="G1307">
        <v>-308.98020000000002</v>
      </c>
      <c r="H1307">
        <v>1.0412319999999999</v>
      </c>
      <c r="I1307">
        <v>141.9924</v>
      </c>
      <c r="J1307">
        <v>-308.52569999999997</v>
      </c>
      <c r="K1307">
        <v>1.104033</v>
      </c>
      <c r="L1307">
        <v>141.98070000000001</v>
      </c>
      <c r="M1307">
        <v>-0.99983619999999995</v>
      </c>
      <c r="N1307">
        <v>0</v>
      </c>
      <c r="O1307">
        <v>-1.417641E-2</v>
      </c>
      <c r="P1307">
        <v>-0.99212180000000005</v>
      </c>
      <c r="Q1307">
        <v>0.1217012</v>
      </c>
      <c r="R1307">
        <v>-2.9721299999999999E-2</v>
      </c>
      <c r="S1307">
        <v>-3.05423</v>
      </c>
      <c r="T1307">
        <v>-0.2420957</v>
      </c>
      <c r="U1307">
        <v>2.6672359999999999E-2</v>
      </c>
      <c r="V1307">
        <v>-1.564871E-2</v>
      </c>
      <c r="W1307">
        <v>0.1328618</v>
      </c>
      <c r="X1307">
        <v>0.99101099999999998</v>
      </c>
      <c r="Y1307">
        <v>2.2792529999999998E-2</v>
      </c>
      <c r="Z1307">
        <v>2.0238840000000001E-3</v>
      </c>
      <c r="AA1307">
        <v>0.99973820000000002</v>
      </c>
      <c r="AB1307">
        <v>32</v>
      </c>
      <c r="AC1307">
        <v>-0.45450000000005197</v>
      </c>
      <c r="AD1307">
        <v>-6.2801000000000107E-2</v>
      </c>
      <c r="AE1307">
        <v>1.16999999999904E-2</v>
      </c>
      <c r="AF1307">
        <v>1.7802734751198399E-2</v>
      </c>
      <c r="AG1307">
        <v>-6.2801000000000107E-2</v>
      </c>
      <c r="AH1307">
        <v>0.44578292298363398</v>
      </c>
      <c r="AI1307">
        <v>98.012638272307399</v>
      </c>
      <c r="AJ1307">
        <v>87.713057719560695</v>
      </c>
      <c r="AK1307">
        <v>0.45053669927038598</v>
      </c>
      <c r="AL1307">
        <v>82.365003515728404</v>
      </c>
      <c r="AM1307">
        <v>90.904662539299906</v>
      </c>
      <c r="AN1307">
        <v>0.99999997107245098</v>
      </c>
    </row>
    <row r="1308" spans="1:40" x14ac:dyDescent="0.3">
      <c r="A1308" t="str">
        <f>"20200111150339650"</f>
        <v>20200111150339650</v>
      </c>
      <c r="B1308" t="str">
        <f>"1578726219639480"</f>
        <v>1578726219639480</v>
      </c>
      <c r="C1308" t="s">
        <v>40</v>
      </c>
      <c r="D1308">
        <v>6.1323420000000004</v>
      </c>
      <c r="E1308">
        <v>0.51626099999999997</v>
      </c>
      <c r="F1308" t="s">
        <v>42</v>
      </c>
      <c r="G1308">
        <v>-309.27100000000002</v>
      </c>
      <c r="H1308">
        <v>1.0450010000000001</v>
      </c>
      <c r="I1308">
        <v>141.9873</v>
      </c>
      <c r="J1308">
        <v>-308.839</v>
      </c>
      <c r="K1308">
        <v>1.104034</v>
      </c>
      <c r="L1308">
        <v>141.97620000000001</v>
      </c>
      <c r="M1308">
        <v>-0.99983630000000001</v>
      </c>
      <c r="N1308">
        <v>0</v>
      </c>
      <c r="O1308">
        <v>-1.4177240000000001E-2</v>
      </c>
      <c r="P1308">
        <v>-0.99209559999999997</v>
      </c>
      <c r="Q1308">
        <v>0.1219866</v>
      </c>
      <c r="R1308">
        <v>-2.942755E-2</v>
      </c>
      <c r="S1308">
        <v>-3.0542910000000001</v>
      </c>
      <c r="T1308">
        <v>-0.24196210000000001</v>
      </c>
      <c r="U1308">
        <v>2.6031490000000001E-2</v>
      </c>
      <c r="V1308">
        <v>-1.535418E-2</v>
      </c>
      <c r="W1308">
        <v>0.13314819999999999</v>
      </c>
      <c r="X1308">
        <v>0.9909772</v>
      </c>
      <c r="Y1308">
        <v>2.258421E-2</v>
      </c>
      <c r="Z1308">
        <v>2.014559E-3</v>
      </c>
      <c r="AA1308">
        <v>0.99974289999999999</v>
      </c>
      <c r="AB1308">
        <v>32</v>
      </c>
      <c r="AC1308">
        <v>-0.43199999999995897</v>
      </c>
      <c r="AD1308">
        <v>-5.9032999999999801E-2</v>
      </c>
      <c r="AE1308">
        <v>1.1099999999999E-2</v>
      </c>
      <c r="AF1308">
        <v>1.6908312501940598E-2</v>
      </c>
      <c r="AG1308">
        <v>-5.9032999999999801E-2</v>
      </c>
      <c r="AH1308">
        <v>0.42388899547929798</v>
      </c>
      <c r="AI1308">
        <v>97.922096682934907</v>
      </c>
      <c r="AJ1308">
        <v>87.715766059414804</v>
      </c>
      <c r="AK1308">
        <v>0.42831374786377302</v>
      </c>
      <c r="AL1308">
        <v>82.348447146138696</v>
      </c>
      <c r="AM1308">
        <v>90.887668581131194</v>
      </c>
      <c r="AN1308">
        <v>1.00000000246327</v>
      </c>
    </row>
    <row r="1309" spans="1:40" x14ac:dyDescent="0.3">
      <c r="A1309" t="str">
        <f>"20200111150339671"</f>
        <v>20200111150339671</v>
      </c>
      <c r="B1309" t="str">
        <f>"1578726219659976"</f>
        <v>1578726219659976</v>
      </c>
      <c r="C1309" t="s">
        <v>40</v>
      </c>
      <c r="D1309">
        <v>5.6179589999999999</v>
      </c>
      <c r="E1309">
        <v>0.51632210000000001</v>
      </c>
      <c r="F1309" t="s">
        <v>42</v>
      </c>
      <c r="G1309">
        <v>-309.8338</v>
      </c>
      <c r="H1309">
        <v>1.0252709999999901</v>
      </c>
      <c r="I1309">
        <v>141.98509999999999</v>
      </c>
      <c r="J1309">
        <v>-309.14879999999999</v>
      </c>
      <c r="K1309">
        <v>1.104034</v>
      </c>
      <c r="L1309">
        <v>141.97190000000001</v>
      </c>
      <c r="M1309">
        <v>-0.99983619999999995</v>
      </c>
      <c r="N1309">
        <v>0</v>
      </c>
      <c r="O1309">
        <v>-1.417796E-2</v>
      </c>
      <c r="P1309">
        <v>-0.99205429999999994</v>
      </c>
      <c r="Q1309">
        <v>0.1223861</v>
      </c>
      <c r="R1309">
        <v>-2.9159150000000002E-2</v>
      </c>
      <c r="S1309">
        <v>-3.054443</v>
      </c>
      <c r="T1309">
        <v>-0.24183650000000001</v>
      </c>
      <c r="U1309">
        <v>2.7069090000000001E-2</v>
      </c>
      <c r="V1309">
        <v>-1.508543E-2</v>
      </c>
      <c r="W1309">
        <v>0.1335489</v>
      </c>
      <c r="X1309">
        <v>0.99092740000000001</v>
      </c>
      <c r="Y1309">
        <v>2.292317E-2</v>
      </c>
      <c r="Z1309">
        <v>2.0268690000000002E-3</v>
      </c>
      <c r="AA1309">
        <v>0.99973520000000005</v>
      </c>
      <c r="AB1309">
        <v>32</v>
      </c>
      <c r="AC1309">
        <v>-0.68500000000000205</v>
      </c>
      <c r="AD1309">
        <v>-7.8763000000000097E-2</v>
      </c>
      <c r="AE1309">
        <v>1.31999999999834E-2</v>
      </c>
      <c r="AF1309">
        <v>2.2612344114167598E-2</v>
      </c>
      <c r="AG1309">
        <v>-7.8763000000000097E-2</v>
      </c>
      <c r="AH1309">
        <v>0.67581239982624197</v>
      </c>
      <c r="AI1309">
        <v>96.643899956431795</v>
      </c>
      <c r="AJ1309">
        <v>88.0836268773039</v>
      </c>
      <c r="AK1309">
        <v>0.68076231390569897</v>
      </c>
      <c r="AL1309">
        <v>82.325281788629297</v>
      </c>
      <c r="AM1309">
        <v>90.872177627721996</v>
      </c>
      <c r="AN1309">
        <v>0.99999999548012697</v>
      </c>
    </row>
    <row r="1310" spans="1:40" x14ac:dyDescent="0.3">
      <c r="A1310" t="str">
        <f>"20200111150339693"</f>
        <v>20200111150339693</v>
      </c>
      <c r="B1310" t="str">
        <f>"1578726219689256"</f>
        <v>1578726219689256</v>
      </c>
      <c r="C1310" t="s">
        <v>40</v>
      </c>
      <c r="D1310">
        <v>5.6715999999999998</v>
      </c>
      <c r="E1310">
        <v>0.51635659999999906</v>
      </c>
      <c r="F1310" t="s">
        <v>42</v>
      </c>
      <c r="G1310">
        <v>-310.12299999999999</v>
      </c>
      <c r="H1310">
        <v>1.028041</v>
      </c>
      <c r="I1310">
        <v>141.98099999999999</v>
      </c>
      <c r="J1310">
        <v>-309.47019999999998</v>
      </c>
      <c r="K1310">
        <v>1.1040289999999999</v>
      </c>
      <c r="L1310">
        <v>141.96729999999999</v>
      </c>
      <c r="M1310">
        <v>-0.99983630000000001</v>
      </c>
      <c r="N1310">
        <v>0</v>
      </c>
      <c r="O1310">
        <v>-1.417844E-2</v>
      </c>
      <c r="P1310">
        <v>-0.99205909999999997</v>
      </c>
      <c r="Q1310">
        <v>0.122422699999999</v>
      </c>
      <c r="R1310">
        <v>-2.884339E-2</v>
      </c>
      <c r="S1310">
        <v>-3.05423</v>
      </c>
      <c r="T1310">
        <v>-0.23819219999999999</v>
      </c>
      <c r="U1310">
        <v>2.8991699999999999E-2</v>
      </c>
      <c r="V1310">
        <v>-1.4768770000000001E-2</v>
      </c>
      <c r="W1310">
        <v>0.1335867</v>
      </c>
      <c r="X1310">
        <v>0.99092709999999995</v>
      </c>
      <c r="Y1310">
        <v>2.3555059999999999E-2</v>
      </c>
      <c r="Z1310">
        <v>2.0211920000000002E-3</v>
      </c>
      <c r="AA1310">
        <v>0.99972050000000001</v>
      </c>
      <c r="AB1310">
        <v>32</v>
      </c>
      <c r="AC1310">
        <v>-0.65280000000001304</v>
      </c>
      <c r="AD1310">
        <v>-7.5988000000000097E-2</v>
      </c>
      <c r="AE1310">
        <v>1.37E-2</v>
      </c>
      <c r="AF1310">
        <v>2.2648152493229701E-2</v>
      </c>
      <c r="AG1310">
        <v>-7.5988000000000097E-2</v>
      </c>
      <c r="AH1310">
        <v>0.64382038220989102</v>
      </c>
      <c r="AI1310">
        <v>96.727168284606606</v>
      </c>
      <c r="AJ1310">
        <v>87.985294163112897</v>
      </c>
      <c r="AK1310">
        <v>0.64868466877539799</v>
      </c>
      <c r="AL1310">
        <v>82.323096617902294</v>
      </c>
      <c r="AM1310">
        <v>90.853872644757601</v>
      </c>
      <c r="AN1310">
        <v>1.0000000202493</v>
      </c>
    </row>
    <row r="1311" spans="1:40" x14ac:dyDescent="0.3">
      <c r="A1311" t="str">
        <f>"20200111150339716"</f>
        <v>20200111150339716</v>
      </c>
      <c r="B1311" t="str">
        <f>"1578726219709651"</f>
        <v>1578726219709651</v>
      </c>
      <c r="C1311" t="s">
        <v>40</v>
      </c>
      <c r="D1311">
        <v>5.673038</v>
      </c>
      <c r="E1311">
        <v>0.51639539999999995</v>
      </c>
      <c r="F1311" t="s">
        <v>42</v>
      </c>
      <c r="G1311">
        <v>-310.41140000000001</v>
      </c>
      <c r="H1311">
        <v>1.029212</v>
      </c>
      <c r="I1311">
        <v>141.9769</v>
      </c>
      <c r="J1311">
        <v>-309.79680000000002</v>
      </c>
      <c r="K1311">
        <v>1.1040350000000001</v>
      </c>
      <c r="L1311">
        <v>141.96270000000001</v>
      </c>
      <c r="M1311">
        <v>-0.99983610000000001</v>
      </c>
      <c r="N1311">
        <v>0</v>
      </c>
      <c r="O1311">
        <v>-1.417881E-2</v>
      </c>
      <c r="P1311">
        <v>-0.99219500000000005</v>
      </c>
      <c r="Q1311">
        <v>0.1217374</v>
      </c>
      <c r="R1311">
        <v>-2.7011650000000002E-2</v>
      </c>
      <c r="S1311">
        <v>-3.0548709999999999</v>
      </c>
      <c r="T1311">
        <v>-0.242839</v>
      </c>
      <c r="U1311">
        <v>3.042603E-2</v>
      </c>
      <c r="V1311">
        <v>-1.293566E-2</v>
      </c>
      <c r="W1311">
        <v>0.1329043</v>
      </c>
      <c r="X1311">
        <v>0.99104449999999999</v>
      </c>
      <c r="Y1311">
        <v>2.4016860000000001E-2</v>
      </c>
      <c r="Z1311">
        <v>2.0784200000000001E-3</v>
      </c>
      <c r="AA1311">
        <v>0.99970939999999997</v>
      </c>
      <c r="AB1311">
        <v>32</v>
      </c>
      <c r="AC1311">
        <v>-0.61459999999999504</v>
      </c>
      <c r="AD1311">
        <v>-7.4823000000000001E-2</v>
      </c>
      <c r="AE1311">
        <v>1.4199999999988199E-2</v>
      </c>
      <c r="AF1311">
        <v>2.2578951292823501E-2</v>
      </c>
      <c r="AG1311">
        <v>-7.4823000000000001E-2</v>
      </c>
      <c r="AH1311">
        <v>0.60536930919085596</v>
      </c>
      <c r="AI1311">
        <v>97.041115833724007</v>
      </c>
      <c r="AJ1311">
        <v>87.863982852877896</v>
      </c>
      <c r="AK1311">
        <v>0.61039355409497797</v>
      </c>
      <c r="AL1311">
        <v>82.362547206620604</v>
      </c>
      <c r="AM1311">
        <v>90.747813682768395</v>
      </c>
      <c r="AN1311">
        <v>1.00000004261918</v>
      </c>
    </row>
    <row r="1312" spans="1:40" x14ac:dyDescent="0.3">
      <c r="A1312" t="str">
        <f>"20200111150339739"</f>
        <v>20200111150339739</v>
      </c>
      <c r="B1312" t="str">
        <f>"1578726219729170"</f>
        <v>1578726219729170</v>
      </c>
      <c r="C1312" t="s">
        <v>40</v>
      </c>
      <c r="D1312">
        <v>5.5748360000000003</v>
      </c>
      <c r="E1312">
        <v>0.51672790000000002</v>
      </c>
      <c r="F1312" t="s">
        <v>42</v>
      </c>
      <c r="G1312">
        <v>-310.70060000000001</v>
      </c>
      <c r="H1312">
        <v>1.031552</v>
      </c>
      <c r="I1312">
        <v>141.97290000000001</v>
      </c>
      <c r="J1312">
        <v>-310.13189999999997</v>
      </c>
      <c r="K1312">
        <v>1.1040350000000001</v>
      </c>
      <c r="L1312">
        <v>141.9579</v>
      </c>
      <c r="M1312">
        <v>-0.99983619999999995</v>
      </c>
      <c r="N1312">
        <v>0</v>
      </c>
      <c r="O1312">
        <v>-1.417965E-2</v>
      </c>
      <c r="P1312">
        <v>-0.99222440000000001</v>
      </c>
      <c r="Q1312">
        <v>0.12178269999999999</v>
      </c>
      <c r="R1312">
        <v>-2.569946E-2</v>
      </c>
      <c r="S1312">
        <v>-3.0546259999999998</v>
      </c>
      <c r="T1312">
        <v>-0.2449337</v>
      </c>
      <c r="U1312">
        <v>3.4744259999999999E-2</v>
      </c>
      <c r="V1312">
        <v>-1.162231E-2</v>
      </c>
      <c r="W1312">
        <v>0.13295109999999999</v>
      </c>
      <c r="X1312">
        <v>0.99105449999999995</v>
      </c>
      <c r="Y1312">
        <v>2.5424950000000002E-2</v>
      </c>
      <c r="Z1312">
        <v>2.1528739999999999E-3</v>
      </c>
      <c r="AA1312">
        <v>0.99967439999999996</v>
      </c>
      <c r="AB1312">
        <v>32</v>
      </c>
      <c r="AC1312">
        <v>-0.56870000000003496</v>
      </c>
      <c r="AD1312">
        <v>-7.2483000000000006E-2</v>
      </c>
      <c r="AE1312">
        <v>1.5000000000014699E-2</v>
      </c>
      <c r="AF1312">
        <v>2.2694563724362099E-2</v>
      </c>
      <c r="AG1312">
        <v>-7.2483000000000006E-2</v>
      </c>
      <c r="AH1312">
        <v>0.55935007432703898</v>
      </c>
      <c r="AI1312">
        <v>97.377487211799107</v>
      </c>
      <c r="AJ1312">
        <v>87.676607237947096</v>
      </c>
      <c r="AK1312">
        <v>0.56448324524409299</v>
      </c>
      <c r="AL1312">
        <v>82.359841793079099</v>
      </c>
      <c r="AM1312">
        <v>90.671889171325802</v>
      </c>
      <c r="AN1312">
        <v>1.0000000475255899</v>
      </c>
    </row>
    <row r="1313" spans="1:40" x14ac:dyDescent="0.3">
      <c r="A1313" t="str">
        <f>"20200111150339761"</f>
        <v>20200111150339761</v>
      </c>
      <c r="B1313" t="str">
        <f>"1578726219749667"</f>
        <v>1578726219749667</v>
      </c>
      <c r="C1313" t="s">
        <v>40</v>
      </c>
      <c r="D1313">
        <v>5.6793639999999996</v>
      </c>
      <c r="E1313">
        <v>0.51717899999999895</v>
      </c>
      <c r="F1313" t="s">
        <v>42</v>
      </c>
      <c r="G1313">
        <v>-310.9905</v>
      </c>
      <c r="H1313">
        <v>1.035075</v>
      </c>
      <c r="I1313">
        <v>141.96979999999999</v>
      </c>
      <c r="J1313">
        <v>-310.43619999999999</v>
      </c>
      <c r="K1313">
        <v>1.1040380000000001</v>
      </c>
      <c r="L1313">
        <v>141.95359999999999</v>
      </c>
      <c r="M1313">
        <v>-0.99983599999999995</v>
      </c>
      <c r="N1313">
        <v>0</v>
      </c>
      <c r="O1313">
        <v>-1.418001E-2</v>
      </c>
      <c r="P1313">
        <v>-0.99215019999999998</v>
      </c>
      <c r="Q1313">
        <v>0.1224344</v>
      </c>
      <c r="R1313">
        <v>-2.5453920000000001E-2</v>
      </c>
      <c r="S1313">
        <v>-3.0547179999999998</v>
      </c>
      <c r="T1313">
        <v>-0.24544820000000001</v>
      </c>
      <c r="U1313">
        <v>4.1488650000000002E-2</v>
      </c>
      <c r="V1313">
        <v>-1.1377460000000001E-2</v>
      </c>
      <c r="W1313">
        <v>0.13360320000000001</v>
      </c>
      <c r="X1313">
        <v>0.99096960000000001</v>
      </c>
      <c r="Y1313">
        <v>2.7624099999999999E-2</v>
      </c>
      <c r="Z1313">
        <v>2.245525E-3</v>
      </c>
      <c r="AA1313">
        <v>0.99961580000000005</v>
      </c>
      <c r="AB1313">
        <v>32</v>
      </c>
      <c r="AC1313">
        <v>-0.55430000000001201</v>
      </c>
      <c r="AD1313">
        <v>-6.8962999999999802E-2</v>
      </c>
      <c r="AE1313">
        <v>1.6199999999997699E-2</v>
      </c>
      <c r="AF1313">
        <v>2.3692427537259499E-2</v>
      </c>
      <c r="AG1313">
        <v>-6.8962999999999802E-2</v>
      </c>
      <c r="AH1313">
        <v>0.545576763704404</v>
      </c>
      <c r="AI1313">
        <v>97.197487229343096</v>
      </c>
      <c r="AJ1313">
        <v>87.513413645472099</v>
      </c>
      <c r="AK1313">
        <v>0.55042822564416105</v>
      </c>
      <c r="AL1313">
        <v>82.322142567862002</v>
      </c>
      <c r="AM1313">
        <v>90.657791923147997</v>
      </c>
      <c r="AN1313">
        <v>1.00000000488522</v>
      </c>
    </row>
    <row r="1314" spans="1:40" x14ac:dyDescent="0.3">
      <c r="A1314" t="str">
        <f>"20200111150339782"</f>
        <v>20200111150339782</v>
      </c>
      <c r="B1314" t="str">
        <f>"1578726219779923"</f>
        <v>1578726219779923</v>
      </c>
      <c r="C1314" t="s">
        <v>40</v>
      </c>
      <c r="D1314">
        <v>5.661842</v>
      </c>
      <c r="E1314">
        <v>0.51750220000000002</v>
      </c>
      <c r="F1314" t="s">
        <v>42</v>
      </c>
      <c r="G1314">
        <v>-311.27980000000002</v>
      </c>
      <c r="H1314">
        <v>1.0371319999999999</v>
      </c>
      <c r="I1314">
        <v>141.9665</v>
      </c>
      <c r="J1314">
        <v>-310.75639999999999</v>
      </c>
      <c r="K1314">
        <v>1.1040350000000001</v>
      </c>
      <c r="L1314">
        <v>141.94909999999999</v>
      </c>
      <c r="M1314">
        <v>-0.99983610000000001</v>
      </c>
      <c r="N1314">
        <v>0</v>
      </c>
      <c r="O1314">
        <v>-1.4180730000000001E-2</v>
      </c>
      <c r="P1314">
        <v>-0.9921257</v>
      </c>
      <c r="Q1314">
        <v>0.1226708</v>
      </c>
      <c r="R1314">
        <v>-2.5271169999999999E-2</v>
      </c>
      <c r="S1314">
        <v>-3.05484</v>
      </c>
      <c r="T1314">
        <v>-0.2422725</v>
      </c>
      <c r="U1314">
        <v>4.6722409999999999E-2</v>
      </c>
      <c r="V1314">
        <v>-1.1194229999999999E-2</v>
      </c>
      <c r="W1314">
        <v>0.13384089999999901</v>
      </c>
      <c r="X1314">
        <v>0.99093960000000003</v>
      </c>
      <c r="Y1314">
        <v>2.9334579999999999E-2</v>
      </c>
      <c r="Z1314">
        <v>2.2842259999999999E-3</v>
      </c>
      <c r="AA1314">
        <v>0.99956699999999998</v>
      </c>
      <c r="AB1314">
        <v>32</v>
      </c>
      <c r="AC1314">
        <v>-0.52340000000003695</v>
      </c>
      <c r="AD1314">
        <v>-6.6903000000000101E-2</v>
      </c>
      <c r="AE1314">
        <v>1.7400000000009099E-2</v>
      </c>
      <c r="AF1314">
        <v>2.4422320239418701E-2</v>
      </c>
      <c r="AG1314">
        <v>-6.6903000000000101E-2</v>
      </c>
      <c r="AH1314">
        <v>0.514700234430995</v>
      </c>
      <c r="AI1314">
        <v>97.397802128584701</v>
      </c>
      <c r="AJ1314">
        <v>87.283375752642996</v>
      </c>
      <c r="AK1314">
        <v>0.519604457696619</v>
      </c>
      <c r="AL1314">
        <v>82.308399853171494</v>
      </c>
      <c r="AM1314">
        <v>90.647218915401595</v>
      </c>
      <c r="AN1314">
        <v>0.999999994073131</v>
      </c>
    </row>
    <row r="1315" spans="1:40" x14ac:dyDescent="0.3">
      <c r="A1315" t="str">
        <f>"20200111150339806"</f>
        <v>20200111150339806</v>
      </c>
      <c r="B1315" t="str">
        <f>"1578726219799443"</f>
        <v>1578726219799443</v>
      </c>
      <c r="C1315" t="s">
        <v>40</v>
      </c>
      <c r="D1315">
        <v>5.6608929999999997</v>
      </c>
      <c r="E1315">
        <v>0.51771440000000002</v>
      </c>
      <c r="F1315" t="s">
        <v>42</v>
      </c>
      <c r="G1315">
        <v>-311.56979999999999</v>
      </c>
      <c r="H1315">
        <v>1.040403</v>
      </c>
      <c r="I1315">
        <v>141.9623</v>
      </c>
      <c r="J1315">
        <v>-311.09280000000001</v>
      </c>
      <c r="K1315">
        <v>1.104033</v>
      </c>
      <c r="L1315">
        <v>141.9443</v>
      </c>
      <c r="M1315">
        <v>-0.99983599999999995</v>
      </c>
      <c r="N1315">
        <v>0</v>
      </c>
      <c r="O1315">
        <v>-1.418109E-2</v>
      </c>
      <c r="P1315">
        <v>-0.9920987</v>
      </c>
      <c r="Q1315">
        <v>0.12295879999999999</v>
      </c>
      <c r="R1315">
        <v>-2.4928390000000002E-2</v>
      </c>
      <c r="S1315">
        <v>-3.0546259999999998</v>
      </c>
      <c r="T1315">
        <v>-0.23898759999999999</v>
      </c>
      <c r="U1315">
        <v>4.9423219999999997E-2</v>
      </c>
      <c r="V1315">
        <v>-1.0850749999999999E-2</v>
      </c>
      <c r="W1315">
        <v>0.1341302</v>
      </c>
      <c r="X1315">
        <v>0.99090429999999996</v>
      </c>
      <c r="Y1315">
        <v>3.0220529999999999E-2</v>
      </c>
      <c r="Z1315">
        <v>2.2881239999999999E-3</v>
      </c>
      <c r="AA1315">
        <v>0.9995406</v>
      </c>
      <c r="AB1315">
        <v>32</v>
      </c>
      <c r="AC1315">
        <v>-0.476999999999975</v>
      </c>
      <c r="AD1315">
        <v>-6.3630000000000006E-2</v>
      </c>
      <c r="AE1315">
        <v>1.8000000000000599E-2</v>
      </c>
      <c r="AF1315">
        <v>2.4330661218369201E-2</v>
      </c>
      <c r="AG1315">
        <v>-6.3630000000000006E-2</v>
      </c>
      <c r="AH1315">
        <v>0.46837409618075398</v>
      </c>
      <c r="AI1315">
        <v>97.726146329849698</v>
      </c>
      <c r="AJ1315">
        <v>87.026325118121605</v>
      </c>
      <c r="AK1315">
        <v>0.47330228390370299</v>
      </c>
      <c r="AL1315">
        <v>82.291673338662903</v>
      </c>
      <c r="AM1315">
        <v>90.627383826938498</v>
      </c>
      <c r="AN1315">
        <v>0.999999990543046</v>
      </c>
    </row>
    <row r="1316" spans="1:40" x14ac:dyDescent="0.3">
      <c r="A1316" t="str">
        <f>"20200111150339827"</f>
        <v>20200111150339827</v>
      </c>
      <c r="B1316" t="str">
        <f>"1578726219819938"</f>
        <v>1578726219819938</v>
      </c>
      <c r="C1316" t="s">
        <v>40</v>
      </c>
      <c r="D1316">
        <v>5.6634349999999998</v>
      </c>
      <c r="E1316">
        <v>0.51801459999999999</v>
      </c>
      <c r="F1316" t="s">
        <v>42</v>
      </c>
      <c r="G1316">
        <v>-311.86110000000002</v>
      </c>
      <c r="H1316">
        <v>1.043374</v>
      </c>
      <c r="I1316">
        <v>141.9572</v>
      </c>
      <c r="J1316">
        <v>-311.41030000000001</v>
      </c>
      <c r="K1316">
        <v>1.104036</v>
      </c>
      <c r="L1316">
        <v>141.93979999999999</v>
      </c>
      <c r="M1316">
        <v>-0.99983599999999995</v>
      </c>
      <c r="N1316">
        <v>0</v>
      </c>
      <c r="O1316">
        <v>-1.418146E-2</v>
      </c>
      <c r="P1316">
        <v>-0.99207710000000005</v>
      </c>
      <c r="Q1316">
        <v>0.1229775</v>
      </c>
      <c r="R1316">
        <v>-2.568792E-2</v>
      </c>
      <c r="S1316">
        <v>-3.0550839999999999</v>
      </c>
      <c r="T1316">
        <v>-0.24117769999999999</v>
      </c>
      <c r="U1316">
        <v>5.1742549999999998E-2</v>
      </c>
      <c r="V1316">
        <v>-1.161002E-2</v>
      </c>
      <c r="W1316">
        <v>0.13414999999999999</v>
      </c>
      <c r="X1316">
        <v>0.99089300000000002</v>
      </c>
      <c r="Y1316">
        <v>3.097229E-2</v>
      </c>
      <c r="Z1316">
        <v>2.3383229999999998E-3</v>
      </c>
      <c r="AA1316">
        <v>0.99951749999999995</v>
      </c>
      <c r="AB1316">
        <v>32</v>
      </c>
      <c r="AC1316">
        <v>-0.45080000000001502</v>
      </c>
      <c r="AD1316">
        <v>-6.0662000000000001E-2</v>
      </c>
      <c r="AE1316">
        <v>1.7400000000009099E-2</v>
      </c>
      <c r="AF1316">
        <v>2.33691238395934E-2</v>
      </c>
      <c r="AG1316">
        <v>-6.0662000000000001E-2</v>
      </c>
      <c r="AH1316">
        <v>0.44250698078213402</v>
      </c>
      <c r="AI1316">
        <v>97.795128109523404</v>
      </c>
      <c r="AJ1316">
        <v>86.976975424436901</v>
      </c>
      <c r="AK1316">
        <v>0.44725655080048898</v>
      </c>
      <c r="AL1316">
        <v>82.290528425112797</v>
      </c>
      <c r="AM1316">
        <v>90.671288129415998</v>
      </c>
      <c r="AN1316">
        <v>0.99999997625669901</v>
      </c>
    </row>
    <row r="1317" spans="1:40" x14ac:dyDescent="0.3">
      <c r="A1317" t="str">
        <f>"20200111150339850"</f>
        <v>20200111150339850</v>
      </c>
      <c r="B1317" t="str">
        <f>"1578726219839459"</f>
        <v>1578726219839459</v>
      </c>
      <c r="C1317" t="s">
        <v>40</v>
      </c>
      <c r="D1317">
        <v>6.8184670000000001</v>
      </c>
      <c r="E1317">
        <v>0.4962259</v>
      </c>
      <c r="F1317" t="s">
        <v>42</v>
      </c>
      <c r="G1317">
        <v>-312.15159999999997</v>
      </c>
      <c r="H1317">
        <v>1.04539</v>
      </c>
      <c r="I1317">
        <v>141.95269999999999</v>
      </c>
      <c r="J1317">
        <v>-311.73070000000001</v>
      </c>
      <c r="K1317">
        <v>1.104031</v>
      </c>
      <c r="L1317">
        <v>141.93530000000001</v>
      </c>
      <c r="M1317">
        <v>-0.99983599999999995</v>
      </c>
      <c r="N1317">
        <v>0</v>
      </c>
      <c r="O1317">
        <v>-1.41817E-2</v>
      </c>
      <c r="P1317">
        <v>-0.99201519999999999</v>
      </c>
      <c r="Q1317">
        <v>0.12342740000000001</v>
      </c>
      <c r="R1317">
        <v>-2.5912330000000001E-2</v>
      </c>
      <c r="S1317">
        <v>-3.0552980000000001</v>
      </c>
      <c r="T1317">
        <v>-0.24175579999999999</v>
      </c>
      <c r="U1317">
        <v>5.2368159999999997E-2</v>
      </c>
      <c r="V1317">
        <v>-1.1835149999999999E-2</v>
      </c>
      <c r="W1317">
        <v>0.13460079999999999</v>
      </c>
      <c r="X1317">
        <v>0.99082919999999997</v>
      </c>
      <c r="Y1317">
        <v>3.117466E-2</v>
      </c>
      <c r="Z1317">
        <v>2.3517569999999999E-3</v>
      </c>
      <c r="AA1317">
        <v>0.99951120000000004</v>
      </c>
      <c r="AB1317">
        <v>32</v>
      </c>
      <c r="AC1317">
        <v>-0.42089999999995997</v>
      </c>
      <c r="AD1317">
        <v>-5.8640999999999902E-2</v>
      </c>
      <c r="AE1317">
        <v>1.7399999999980698E-2</v>
      </c>
      <c r="AF1317">
        <v>2.2923500284151899E-2</v>
      </c>
      <c r="AG1317">
        <v>-5.8640999999999902E-2</v>
      </c>
      <c r="AH1317">
        <v>0.41261533336034201</v>
      </c>
      <c r="AI1317">
        <v>98.076432637947093</v>
      </c>
      <c r="AJ1317">
        <v>86.820110878903805</v>
      </c>
      <c r="AK1317">
        <v>0.41739150335188102</v>
      </c>
      <c r="AL1317">
        <v>82.2644630763007</v>
      </c>
      <c r="AM1317">
        <v>90.684347915875804</v>
      </c>
      <c r="AN1317">
        <v>0.99999997485439995</v>
      </c>
    </row>
    <row r="1318" spans="1:40" x14ac:dyDescent="0.3">
      <c r="A1318" t="str">
        <f>"20200111150340096"</f>
        <v>20200111150340096</v>
      </c>
      <c r="B1318" t="str">
        <f>"1578726220090050"</f>
        <v>1578726220090050</v>
      </c>
      <c r="C1318" t="s">
        <v>40</v>
      </c>
      <c r="D1318">
        <v>4.6745939999999999</v>
      </c>
      <c r="E1318">
        <v>0.54555359999999997</v>
      </c>
      <c r="F1318" t="s">
        <v>42</v>
      </c>
      <c r="G1318">
        <v>-315.79169999999999</v>
      </c>
      <c r="H1318">
        <v>0.76799919999999899</v>
      </c>
      <c r="I1318">
        <v>141.98740000000001</v>
      </c>
      <c r="J1318">
        <v>-315.2937</v>
      </c>
      <c r="K1318">
        <v>1.1040639999999999</v>
      </c>
      <c r="L1318">
        <v>141.88480000000001</v>
      </c>
      <c r="M1318">
        <v>-0.99983569999999999</v>
      </c>
      <c r="N1318">
        <v>0</v>
      </c>
      <c r="O1318">
        <v>-1.4186209999999999E-2</v>
      </c>
      <c r="P1318">
        <v>-0.99135070000000003</v>
      </c>
      <c r="Q1318">
        <v>0.13069430000000001</v>
      </c>
      <c r="R1318">
        <v>-1.1950469999999999E-2</v>
      </c>
      <c r="S1318">
        <v>-3.1995239999999998</v>
      </c>
      <c r="T1318">
        <v>-1.3017219999999901</v>
      </c>
      <c r="U1318">
        <v>0.3791351</v>
      </c>
      <c r="V1318">
        <v>2.120448E-3</v>
      </c>
      <c r="W1318">
        <v>0.141875</v>
      </c>
      <c r="X1318">
        <v>0.98988229999999999</v>
      </c>
      <c r="Y1318">
        <v>0.12112009999999999</v>
      </c>
      <c r="Z1318">
        <v>2.9156899999999999E-2</v>
      </c>
      <c r="AA1318">
        <v>0.99220960000000002</v>
      </c>
      <c r="AB1318">
        <v>32</v>
      </c>
      <c r="AC1318">
        <v>-0.49799999999999001</v>
      </c>
      <c r="AD1318">
        <v>-0.3360648</v>
      </c>
      <c r="AE1318">
        <v>0.102599999999995</v>
      </c>
      <c r="AF1318">
        <v>7.6316067904684703E-2</v>
      </c>
      <c r="AG1318">
        <v>-0.3360648</v>
      </c>
      <c r="AH1318">
        <v>0.34554321240826902</v>
      </c>
      <c r="AI1318">
        <v>133.52165993880601</v>
      </c>
      <c r="AJ1318">
        <v>77.545686180861594</v>
      </c>
      <c r="AK1318">
        <v>0.48802029021435001</v>
      </c>
      <c r="AL1318">
        <v>81.843640945778802</v>
      </c>
      <c r="AM1318">
        <v>89.877265675679894</v>
      </c>
      <c r="AN1318">
        <v>0.99999998988900496</v>
      </c>
    </row>
    <row r="1319" spans="1:40" x14ac:dyDescent="0.3">
      <c r="A1319" t="str">
        <f>"20200111150340119"</f>
        <v>20200111150340119</v>
      </c>
      <c r="B1319" t="str">
        <f>"1578726220110129"</f>
        <v>1578726220110129</v>
      </c>
      <c r="C1319" t="s">
        <v>40</v>
      </c>
      <c r="D1319">
        <v>5.5335590000000003</v>
      </c>
      <c r="E1319">
        <v>0.54561700000000002</v>
      </c>
      <c r="F1319" t="s">
        <v>42</v>
      </c>
      <c r="G1319">
        <v>-316.17919999999998</v>
      </c>
      <c r="H1319">
        <v>0.99257229999999996</v>
      </c>
      <c r="I1319">
        <v>141.97659999999999</v>
      </c>
      <c r="J1319">
        <v>-315.6293</v>
      </c>
      <c r="K1319">
        <v>1.1040730000000001</v>
      </c>
      <c r="L1319">
        <v>141.8801</v>
      </c>
      <c r="M1319">
        <v>-0.99983569999999999</v>
      </c>
      <c r="N1319">
        <v>0</v>
      </c>
      <c r="O1319">
        <v>-1.4186809999999999E-2</v>
      </c>
      <c r="P1319">
        <v>-0.99090780000000001</v>
      </c>
      <c r="Q1319">
        <v>0.13445940000000001</v>
      </c>
      <c r="R1319">
        <v>-4.754983E-3</v>
      </c>
      <c r="S1319">
        <v>-3.0811769999999998</v>
      </c>
      <c r="T1319">
        <v>-0.3880054</v>
      </c>
      <c r="U1319">
        <v>0.3185577</v>
      </c>
      <c r="V1319">
        <v>9.3097030000000008E-3</v>
      </c>
      <c r="W1319">
        <v>0.1456345</v>
      </c>
      <c r="X1319">
        <v>0.98929460000000002</v>
      </c>
      <c r="Y1319">
        <v>0.11592520000000001</v>
      </c>
      <c r="Z1319">
        <v>9.0264850000000008E-3</v>
      </c>
      <c r="AA1319">
        <v>0.99321689999999996</v>
      </c>
      <c r="AB1319">
        <v>32</v>
      </c>
      <c r="AC1319">
        <v>-0.54989999999997896</v>
      </c>
      <c r="AD1319">
        <v>-0.111500699999999</v>
      </c>
      <c r="AE1319">
        <v>9.6499999999991801E-2</v>
      </c>
      <c r="AF1319">
        <v>0.100291915653828</v>
      </c>
      <c r="AG1319">
        <v>-0.111500699999999</v>
      </c>
      <c r="AH1319">
        <v>0.52743838469672399</v>
      </c>
      <c r="AI1319">
        <v>101.73236803450099</v>
      </c>
      <c r="AJ1319">
        <v>79.233789926029203</v>
      </c>
      <c r="AK1319">
        <v>0.54834489520510199</v>
      </c>
      <c r="AL1319">
        <v>81.625976112378197</v>
      </c>
      <c r="AM1319">
        <v>89.460837099771695</v>
      </c>
      <c r="AN1319">
        <v>0.999999941874677</v>
      </c>
    </row>
    <row r="1320" spans="1:40" x14ac:dyDescent="0.3">
      <c r="A1320" t="str">
        <f>"20200111150340152"</f>
        <v>20200111150340152</v>
      </c>
      <c r="B1320" t="str">
        <f>"1578726220139409"</f>
        <v>1578726220139409</v>
      </c>
      <c r="C1320" t="s">
        <v>40</v>
      </c>
      <c r="D1320">
        <v>5.601057</v>
      </c>
      <c r="E1320">
        <v>0.54433860000000001</v>
      </c>
      <c r="F1320" t="s">
        <v>42</v>
      </c>
      <c r="G1320">
        <v>-316.48050000000001</v>
      </c>
      <c r="H1320">
        <v>1.014465</v>
      </c>
      <c r="I1320">
        <v>141.9751</v>
      </c>
      <c r="J1320">
        <v>-316.09589999999997</v>
      </c>
      <c r="K1320">
        <v>1.1040730000000001</v>
      </c>
      <c r="L1320">
        <v>141.87350000000001</v>
      </c>
      <c r="M1320">
        <v>-0.99983569999999999</v>
      </c>
      <c r="N1320">
        <v>0</v>
      </c>
      <c r="O1320">
        <v>-1.4187180000000001E-2</v>
      </c>
      <c r="P1320">
        <v>-0.99088529999999997</v>
      </c>
      <c r="Q1320">
        <v>0.1347092</v>
      </c>
      <c r="R1320">
        <v>2.9320220000000002E-4</v>
      </c>
      <c r="S1320">
        <v>-3.0730590000000002</v>
      </c>
      <c r="T1320">
        <v>-0.32349489999999997</v>
      </c>
      <c r="U1320">
        <v>0.34249879999999999</v>
      </c>
      <c r="V1320">
        <v>1.435751E-2</v>
      </c>
      <c r="W1320">
        <v>0.1458854</v>
      </c>
      <c r="X1320">
        <v>0.98919729999999995</v>
      </c>
      <c r="Y1320">
        <v>0.1241008</v>
      </c>
      <c r="Z1320">
        <v>7.9791210000000005E-3</v>
      </c>
      <c r="AA1320">
        <v>0.99223749999999999</v>
      </c>
      <c r="AB1320">
        <v>32</v>
      </c>
      <c r="AC1320">
        <v>-0.38460000000003403</v>
      </c>
      <c r="AD1320">
        <v>-8.9607999999999896E-2</v>
      </c>
      <c r="AE1320">
        <v>0.10159999999999</v>
      </c>
      <c r="AF1320">
        <v>0.101876945382402</v>
      </c>
      <c r="AG1320">
        <v>-8.9607999999999896E-2</v>
      </c>
      <c r="AH1320">
        <v>0.36461789093463098</v>
      </c>
      <c r="AI1320">
        <v>103.316448023692</v>
      </c>
      <c r="AJ1320">
        <v>74.389242199294898</v>
      </c>
      <c r="AK1320">
        <v>0.38904332927588797</v>
      </c>
      <c r="AL1320">
        <v>81.611445845793696</v>
      </c>
      <c r="AM1320">
        <v>89.168450046785395</v>
      </c>
      <c r="AN1320">
        <v>0.99999999317692501</v>
      </c>
    </row>
    <row r="1321" spans="1:40" x14ac:dyDescent="0.3">
      <c r="A1321" t="str">
        <f>"20200111150340174"</f>
        <v>20200111150340174</v>
      </c>
      <c r="B1321" t="str">
        <f>"1578726220169664"</f>
        <v>1578726220169664</v>
      </c>
      <c r="C1321" t="s">
        <v>40</v>
      </c>
      <c r="D1321">
        <v>5.5432920000000001</v>
      </c>
      <c r="E1321">
        <v>0.54294960000000003</v>
      </c>
      <c r="F1321" t="s">
        <v>42</v>
      </c>
      <c r="G1321">
        <v>-317.05709999999999</v>
      </c>
      <c r="H1321">
        <v>1.0032840000000001</v>
      </c>
      <c r="I1321">
        <v>141.98230000000001</v>
      </c>
      <c r="J1321">
        <v>-316.42509999999999</v>
      </c>
      <c r="K1321">
        <v>1.104074</v>
      </c>
      <c r="L1321">
        <v>141.86879999999999</v>
      </c>
      <c r="M1321">
        <v>-0.99983569999999999</v>
      </c>
      <c r="N1321">
        <v>0</v>
      </c>
      <c r="O1321">
        <v>-1.4185390000000001E-2</v>
      </c>
      <c r="P1321">
        <v>-0.99132940000000003</v>
      </c>
      <c r="Q1321">
        <v>0.1314003</v>
      </c>
      <c r="R1321">
        <v>6.8728439999999995E-4</v>
      </c>
      <c r="S1321">
        <v>-3.0712890000000002</v>
      </c>
      <c r="T1321">
        <v>-0.32212229999999997</v>
      </c>
      <c r="U1321">
        <v>0.34736630000000002</v>
      </c>
      <c r="V1321">
        <v>1.4756460000000001E-2</v>
      </c>
      <c r="W1321">
        <v>0.142583399999999</v>
      </c>
      <c r="X1321">
        <v>0.98967280000000002</v>
      </c>
      <c r="Y1321">
        <v>0.12571179999999901</v>
      </c>
      <c r="Z1321">
        <v>8.0330850000000006E-3</v>
      </c>
      <c r="AA1321">
        <v>0.99203430000000004</v>
      </c>
      <c r="AB1321">
        <v>33</v>
      </c>
      <c r="AC1321">
        <v>-0.632000000000005</v>
      </c>
      <c r="AD1321">
        <v>-0.10078999999999901</v>
      </c>
      <c r="AE1321">
        <v>0.113500000000016</v>
      </c>
      <c r="AF1321">
        <v>0.11950976955984099</v>
      </c>
      <c r="AG1321">
        <v>-0.10078999999999901</v>
      </c>
      <c r="AH1321">
        <v>0.61516938169955304</v>
      </c>
      <c r="AI1321">
        <v>99.136869190674005</v>
      </c>
      <c r="AJ1321">
        <v>79.006017228552196</v>
      </c>
      <c r="AK1321">
        <v>0.63472401664097899</v>
      </c>
      <c r="AL1321">
        <v>81.8026359529389</v>
      </c>
      <c r="AM1321">
        <v>89.145757839740597</v>
      </c>
      <c r="AN1321">
        <v>1.00000001506356</v>
      </c>
    </row>
    <row r="1322" spans="1:40" x14ac:dyDescent="0.3">
      <c r="A1322" t="str">
        <f>"20200111150340197"</f>
        <v>20200111150340197</v>
      </c>
      <c r="B1322" t="str">
        <f>"1578726220190160"</f>
        <v>1578726220190160</v>
      </c>
      <c r="C1322" t="s">
        <v>40</v>
      </c>
      <c r="D1322">
        <v>5.5649480000000002</v>
      </c>
      <c r="E1322">
        <v>0.54184480000000002</v>
      </c>
      <c r="F1322" t="s">
        <v>42</v>
      </c>
      <c r="G1322">
        <v>-317.34800000000001</v>
      </c>
      <c r="H1322">
        <v>1.0037499999999999</v>
      </c>
      <c r="I1322">
        <v>141.97040000000001</v>
      </c>
      <c r="J1322">
        <v>-316.76490000000001</v>
      </c>
      <c r="K1322">
        <v>1.1040730000000001</v>
      </c>
      <c r="L1322">
        <v>141.864</v>
      </c>
      <c r="M1322">
        <v>-0.99983569999999999</v>
      </c>
      <c r="N1322">
        <v>0</v>
      </c>
      <c r="O1322">
        <v>-1.418204E-2</v>
      </c>
      <c r="P1322">
        <v>-0.99166460000000001</v>
      </c>
      <c r="Q1322">
        <v>0.1288377</v>
      </c>
      <c r="R1322">
        <v>-1.5625260000000001E-3</v>
      </c>
      <c r="S1322">
        <v>-3.0702820000000002</v>
      </c>
      <c r="T1322">
        <v>-0.33390570000000003</v>
      </c>
      <c r="U1322">
        <v>0.3364258</v>
      </c>
      <c r="V1322">
        <v>1.250856E-2</v>
      </c>
      <c r="W1322">
        <v>0.14002729999999999</v>
      </c>
      <c r="X1322">
        <v>0.99006859999999997</v>
      </c>
      <c r="Y1322">
        <v>0.1222155</v>
      </c>
      <c r="Z1322">
        <v>8.1402100000000002E-3</v>
      </c>
      <c r="AA1322">
        <v>0.99247019999999997</v>
      </c>
      <c r="AB1322">
        <v>33</v>
      </c>
      <c r="AC1322">
        <v>-0.58310000000000095</v>
      </c>
      <c r="AD1322">
        <v>-0.100322999999999</v>
      </c>
      <c r="AE1322">
        <v>0.106400000000007</v>
      </c>
      <c r="AF1322">
        <v>0.111466122500834</v>
      </c>
      <c r="AG1322">
        <v>-0.100322999999999</v>
      </c>
      <c r="AH1322">
        <v>0.56533667934607601</v>
      </c>
      <c r="AI1322">
        <v>99.876491729246496</v>
      </c>
      <c r="AJ1322">
        <v>78.8461905218456</v>
      </c>
      <c r="AK1322">
        <v>0.58488884568644195</v>
      </c>
      <c r="AL1322">
        <v>81.950573779928007</v>
      </c>
      <c r="AM1322">
        <v>89.276161705199399</v>
      </c>
      <c r="AN1322">
        <v>0.99999997076226099</v>
      </c>
    </row>
    <row r="1323" spans="1:40" x14ac:dyDescent="0.3">
      <c r="A1323" t="str">
        <f>"20200111150340219"</f>
        <v>20200111150340219</v>
      </c>
      <c r="B1323" t="str">
        <f>"1578726220210224"</f>
        <v>1578726220210224</v>
      </c>
      <c r="C1323" t="s">
        <v>40</v>
      </c>
      <c r="D1323">
        <v>5.5996329999999999</v>
      </c>
      <c r="E1323">
        <v>0.54069650000000002</v>
      </c>
      <c r="F1323" t="s">
        <v>42</v>
      </c>
      <c r="G1323">
        <v>-317.64060000000001</v>
      </c>
      <c r="H1323">
        <v>1.0076449999999999</v>
      </c>
      <c r="I1323">
        <v>141.9546</v>
      </c>
      <c r="J1323">
        <v>-317.09210000000002</v>
      </c>
      <c r="K1323">
        <v>1.104068</v>
      </c>
      <c r="L1323">
        <v>141.85929999999999</v>
      </c>
      <c r="M1323">
        <v>-0.99983580000000005</v>
      </c>
      <c r="N1323">
        <v>0</v>
      </c>
      <c r="O1323">
        <v>-1.417738E-2</v>
      </c>
      <c r="P1323">
        <v>-0.99166220000000005</v>
      </c>
      <c r="Q1323">
        <v>0.12871779999999999</v>
      </c>
      <c r="R1323">
        <v>-6.1719349999999999E-3</v>
      </c>
      <c r="S1323">
        <v>-3.0696409999999998</v>
      </c>
      <c r="T1323">
        <v>-0.33802280000000001</v>
      </c>
      <c r="U1323">
        <v>0.31762699999999999</v>
      </c>
      <c r="V1323">
        <v>7.8954730000000001E-3</v>
      </c>
      <c r="W1323">
        <v>0.13990920000000001</v>
      </c>
      <c r="X1323">
        <v>0.99013289999999998</v>
      </c>
      <c r="Y1323">
        <v>0.11623650000000001</v>
      </c>
      <c r="Z1323">
        <v>7.9164630000000003E-3</v>
      </c>
      <c r="AA1323">
        <v>0.99319000000000002</v>
      </c>
      <c r="AB1323">
        <v>33</v>
      </c>
      <c r="AC1323">
        <v>-0.54849999999999</v>
      </c>
      <c r="AD1323">
        <v>-9.6422999999999898E-2</v>
      </c>
      <c r="AE1323">
        <v>9.5300000000008794E-2</v>
      </c>
      <c r="AF1323">
        <v>0.100065450555581</v>
      </c>
      <c r="AG1323">
        <v>-9.6422999999999898E-2</v>
      </c>
      <c r="AH1323">
        <v>0.53115996584696901</v>
      </c>
      <c r="AI1323">
        <v>100.114863107346</v>
      </c>
      <c r="AJ1323">
        <v>79.331067882297901</v>
      </c>
      <c r="AK1323">
        <v>0.54903679170201802</v>
      </c>
      <c r="AL1323">
        <v>81.957408254962203</v>
      </c>
      <c r="AM1323">
        <v>89.543124269413198</v>
      </c>
      <c r="AN1323">
        <v>1.0000000412004699</v>
      </c>
    </row>
    <row r="1324" spans="1:40" x14ac:dyDescent="0.3">
      <c r="A1324" t="str">
        <f>"20200111150340242"</f>
        <v>20200111150340242</v>
      </c>
      <c r="B1324" t="str">
        <f>"1578726220229743"</f>
        <v>1578726220229743</v>
      </c>
      <c r="C1324" t="s">
        <v>40</v>
      </c>
      <c r="D1324">
        <v>6.224469</v>
      </c>
      <c r="E1324">
        <v>0.53998210000000002</v>
      </c>
      <c r="F1324" t="s">
        <v>42</v>
      </c>
      <c r="G1324">
        <v>-317.93369999999999</v>
      </c>
      <c r="H1324">
        <v>1.012348</v>
      </c>
      <c r="I1324">
        <v>141.93969999999999</v>
      </c>
      <c r="J1324">
        <v>-317.40780000000001</v>
      </c>
      <c r="K1324">
        <v>1.10407099999999</v>
      </c>
      <c r="L1324">
        <v>141.85480000000001</v>
      </c>
      <c r="M1324">
        <v>-0.99983569999999999</v>
      </c>
      <c r="N1324">
        <v>0</v>
      </c>
      <c r="O1324">
        <v>-1.417178E-2</v>
      </c>
      <c r="P1324">
        <v>-0.99142399999999997</v>
      </c>
      <c r="Q1324">
        <v>0.1301908</v>
      </c>
      <c r="R1324">
        <v>-1.135015E-2</v>
      </c>
      <c r="S1324">
        <v>-3.0704959999999999</v>
      </c>
      <c r="T1324">
        <v>-0.33470650000000002</v>
      </c>
      <c r="U1324">
        <v>0.29165649999999999</v>
      </c>
      <c r="V1324">
        <v>2.7092790000000002E-3</v>
      </c>
      <c r="W1324">
        <v>0.14138220000000001</v>
      </c>
      <c r="X1324">
        <v>0.98995140000000004</v>
      </c>
      <c r="Y1324">
        <v>0.1079437</v>
      </c>
      <c r="Z1324">
        <v>7.3900479999999998E-3</v>
      </c>
      <c r="AA1324">
        <v>0.9941295</v>
      </c>
      <c r="AB1324">
        <v>33</v>
      </c>
      <c r="AC1324">
        <v>-0.52589999999997805</v>
      </c>
      <c r="AD1324">
        <v>-9.1722999999999694E-2</v>
      </c>
      <c r="AE1324">
        <v>8.4899999999976203E-2</v>
      </c>
      <c r="AF1324">
        <v>8.9685993252357196E-2</v>
      </c>
      <c r="AG1324">
        <v>-9.1722999999999694E-2</v>
      </c>
      <c r="AH1324">
        <v>0.509537798936743</v>
      </c>
      <c r="AI1324">
        <v>100.053328768433</v>
      </c>
      <c r="AJ1324">
        <v>80.017370084776701</v>
      </c>
      <c r="AK1324">
        <v>0.52543834525086097</v>
      </c>
      <c r="AL1324">
        <v>81.872164071560604</v>
      </c>
      <c r="AM1324">
        <v>89.843194459173603</v>
      </c>
      <c r="AN1324">
        <v>1.00000002051574</v>
      </c>
    </row>
    <row r="1325" spans="1:40" x14ac:dyDescent="0.3">
      <c r="A1325" t="str">
        <f>"20200111150340264"</f>
        <v>20200111150340264</v>
      </c>
      <c r="B1325" t="str">
        <f>"1578726220260000"</f>
        <v>1578726220260000</v>
      </c>
      <c r="C1325" t="s">
        <v>40</v>
      </c>
      <c r="D1325">
        <v>6.363048</v>
      </c>
      <c r="E1325">
        <v>0.53881309999999905</v>
      </c>
      <c r="F1325" t="s">
        <v>42</v>
      </c>
      <c r="G1325">
        <v>-318.22669999999999</v>
      </c>
      <c r="H1325">
        <v>1.016057</v>
      </c>
      <c r="I1325">
        <v>141.92670000000001</v>
      </c>
      <c r="J1325">
        <v>-317.73689999999999</v>
      </c>
      <c r="K1325">
        <v>1.10407099999999</v>
      </c>
      <c r="L1325">
        <v>141.8502</v>
      </c>
      <c r="M1325">
        <v>-0.9998359</v>
      </c>
      <c r="N1325">
        <v>0</v>
      </c>
      <c r="O1325">
        <v>-1.416534E-2</v>
      </c>
      <c r="P1325">
        <v>-0.99117049999999995</v>
      </c>
      <c r="Q1325">
        <v>0.13147239999999999</v>
      </c>
      <c r="R1325">
        <v>-1.7205689999999999E-2</v>
      </c>
      <c r="S1325">
        <v>-3.0723880000000001</v>
      </c>
      <c r="T1325">
        <v>-0.33031769999999999</v>
      </c>
      <c r="U1325">
        <v>0.26875310000000002</v>
      </c>
      <c r="V1325">
        <v>-3.155344E-3</v>
      </c>
      <c r="W1325">
        <v>0.14266409999999999</v>
      </c>
      <c r="X1325">
        <v>0.98976609999999998</v>
      </c>
      <c r="Y1325">
        <v>0.100588</v>
      </c>
      <c r="Z1325">
        <v>6.8974609999999997E-3</v>
      </c>
      <c r="AA1325">
        <v>0.99490429999999996</v>
      </c>
      <c r="AB1325">
        <v>33</v>
      </c>
      <c r="AC1325">
        <v>-0.48980000000000201</v>
      </c>
      <c r="AD1325">
        <v>-8.8013999999999801E-2</v>
      </c>
      <c r="AE1325">
        <v>7.6500000000009893E-2</v>
      </c>
      <c r="AF1325">
        <v>8.0881490511938797E-2</v>
      </c>
      <c r="AG1325">
        <v>-8.8013999999999801E-2</v>
      </c>
      <c r="AH1325">
        <v>0.47373458320571099</v>
      </c>
      <c r="AI1325">
        <v>100.378006474541</v>
      </c>
      <c r="AJ1325">
        <v>80.311216224125104</v>
      </c>
      <c r="AK1325">
        <v>0.488582372818055</v>
      </c>
      <c r="AL1325">
        <v>81.797964030927702</v>
      </c>
      <c r="AM1325">
        <v>90.182656570736796</v>
      </c>
      <c r="AN1325">
        <v>0.99999996716688799</v>
      </c>
    </row>
    <row r="1326" spans="1:40" x14ac:dyDescent="0.3">
      <c r="A1326" t="str">
        <f>"20200111150340286"</f>
        <v>20200111150340286</v>
      </c>
      <c r="B1326" t="str">
        <f>"1578726220279519"</f>
        <v>1578726220279519</v>
      </c>
      <c r="C1326" t="s">
        <v>40</v>
      </c>
      <c r="D1326">
        <v>5.5848339999999999</v>
      </c>
      <c r="E1326">
        <v>0.53836569999999995</v>
      </c>
      <c r="F1326" t="s">
        <v>42</v>
      </c>
      <c r="G1326">
        <v>-318.5249</v>
      </c>
      <c r="H1326">
        <v>1.030124</v>
      </c>
      <c r="I1326">
        <v>141.9127</v>
      </c>
      <c r="J1326">
        <v>-318.06310000000002</v>
      </c>
      <c r="K1326">
        <v>1.1040719999999999</v>
      </c>
      <c r="L1326">
        <v>141.84549999999999</v>
      </c>
      <c r="M1326">
        <v>-0.99983599999999995</v>
      </c>
      <c r="N1326">
        <v>0</v>
      </c>
      <c r="O1326">
        <v>-1.4158189999999999E-2</v>
      </c>
      <c r="P1326">
        <v>-0.99102190000000001</v>
      </c>
      <c r="Q1326">
        <v>0.1319408</v>
      </c>
      <c r="R1326">
        <v>-2.1620750000000001E-2</v>
      </c>
      <c r="S1326">
        <v>-3.0691830000000002</v>
      </c>
      <c r="T1326">
        <v>-0.2881534</v>
      </c>
      <c r="U1326">
        <v>0.2421112</v>
      </c>
      <c r="V1326">
        <v>-7.5793789999999998E-3</v>
      </c>
      <c r="W1326">
        <v>0.14313319999999999</v>
      </c>
      <c r="X1326">
        <v>0.98967439999999995</v>
      </c>
      <c r="Y1326">
        <v>9.2282290000000003E-2</v>
      </c>
      <c r="Z1326">
        <v>5.6403740000000001E-3</v>
      </c>
      <c r="AA1326">
        <v>0.99571690000000002</v>
      </c>
      <c r="AB1326">
        <v>33</v>
      </c>
      <c r="AC1326">
        <v>-0.461799999999982</v>
      </c>
      <c r="AD1326">
        <v>-7.3947999999999903E-2</v>
      </c>
      <c r="AE1326">
        <v>6.7200000000013901E-2</v>
      </c>
      <c r="AF1326">
        <v>7.1925882133951902E-2</v>
      </c>
      <c r="AG1326">
        <v>-7.3947999999999903E-2</v>
      </c>
      <c r="AH1326">
        <v>0.449514948230477</v>
      </c>
      <c r="AI1326">
        <v>99.226532338144494</v>
      </c>
      <c r="AJ1326">
        <v>80.909289291430795</v>
      </c>
      <c r="AK1326">
        <v>0.461199878477213</v>
      </c>
      <c r="AL1326">
        <v>81.770808065615995</v>
      </c>
      <c r="AM1326">
        <v>90.438788694681307</v>
      </c>
      <c r="AN1326">
        <v>0.99999998897181197</v>
      </c>
    </row>
    <row r="1327" spans="1:40" x14ac:dyDescent="0.3">
      <c r="A1327" t="str">
        <f>"20200111150340308"</f>
        <v>20200111150340308</v>
      </c>
      <c r="B1327" t="str">
        <f>"1578726220300015"</f>
        <v>1578726220300015</v>
      </c>
      <c r="C1327" t="s">
        <v>40</v>
      </c>
      <c r="D1327">
        <v>5.8069930000000003</v>
      </c>
      <c r="E1327">
        <v>0.5382593</v>
      </c>
      <c r="F1327" t="s">
        <v>42</v>
      </c>
      <c r="G1327">
        <v>-318.8186</v>
      </c>
      <c r="H1327">
        <v>1.03494</v>
      </c>
      <c r="I1327">
        <v>141.9014</v>
      </c>
      <c r="J1327">
        <v>-318.38709999999998</v>
      </c>
      <c r="K1327">
        <v>1.10407099999999</v>
      </c>
      <c r="L1327">
        <v>141.8409</v>
      </c>
      <c r="M1327">
        <v>-0.99983610000000001</v>
      </c>
      <c r="N1327">
        <v>0</v>
      </c>
      <c r="O1327">
        <v>-1.4150799999999899E-2</v>
      </c>
      <c r="P1327">
        <v>-0.99097210000000002</v>
      </c>
      <c r="Q1327">
        <v>0.1317335</v>
      </c>
      <c r="R1327">
        <v>-2.492289E-2</v>
      </c>
      <c r="S1327">
        <v>-3.0695190000000001</v>
      </c>
      <c r="T1327">
        <v>-0.28087410000000002</v>
      </c>
      <c r="U1327">
        <v>0.22653200000000001</v>
      </c>
      <c r="V1327">
        <v>-1.0888719999999999E-2</v>
      </c>
      <c r="W1327">
        <v>0.14292750000000001</v>
      </c>
      <c r="X1327">
        <v>0.98967329999999998</v>
      </c>
      <c r="Y1327">
        <v>8.7284669999999995E-2</v>
      </c>
      <c r="Z1327">
        <v>5.2703910000000001E-3</v>
      </c>
      <c r="AA1327">
        <v>0.99616939999999998</v>
      </c>
      <c r="AB1327">
        <v>33</v>
      </c>
      <c r="AC1327">
        <v>-0.43150000000002797</v>
      </c>
      <c r="AD1327">
        <v>-6.9130999999999804E-2</v>
      </c>
      <c r="AE1327">
        <v>6.0499999999990402E-2</v>
      </c>
      <c r="AF1327">
        <v>6.4965056871136601E-2</v>
      </c>
      <c r="AG1327">
        <v>-6.9130999999999804E-2</v>
      </c>
      <c r="AH1327">
        <v>0.42002739851241599</v>
      </c>
      <c r="AI1327">
        <v>99.238418875869499</v>
      </c>
      <c r="AJ1327">
        <v>81.207809328358195</v>
      </c>
      <c r="AK1327">
        <v>0.43060720996794499</v>
      </c>
      <c r="AL1327">
        <v>81.782716646305204</v>
      </c>
      <c r="AM1327">
        <v>90.630362088543393</v>
      </c>
      <c r="AN1327">
        <v>1.0000000376061799</v>
      </c>
    </row>
    <row r="1328" spans="1:40" x14ac:dyDescent="0.3">
      <c r="A1328" t="str">
        <f>"20200111150340329"</f>
        <v>20200111150340329</v>
      </c>
      <c r="B1328" t="str">
        <f>"1578726220319203"</f>
        <v>1578726220319203</v>
      </c>
      <c r="C1328" t="s">
        <v>40</v>
      </c>
      <c r="D1328">
        <v>6.3027519999999999</v>
      </c>
      <c r="E1328">
        <v>0.53672609999999998</v>
      </c>
      <c r="F1328" t="s">
        <v>42</v>
      </c>
      <c r="G1328">
        <v>-319.11290000000002</v>
      </c>
      <c r="H1328">
        <v>1.0402929999999999</v>
      </c>
      <c r="I1328">
        <v>141.89269999999999</v>
      </c>
      <c r="J1328">
        <v>-318.69400000000002</v>
      </c>
      <c r="K1328">
        <v>1.104066</v>
      </c>
      <c r="L1328">
        <v>141.8366</v>
      </c>
      <c r="M1328">
        <v>-0.99983610000000001</v>
      </c>
      <c r="N1328">
        <v>0</v>
      </c>
      <c r="O1328">
        <v>-1.414378E-2</v>
      </c>
      <c r="P1328">
        <v>-0.99110290000000001</v>
      </c>
      <c r="Q1328">
        <v>0.13039990000000001</v>
      </c>
      <c r="R1328">
        <v>-2.666791E-2</v>
      </c>
      <c r="S1328">
        <v>-3.0686650000000002</v>
      </c>
      <c r="T1328">
        <v>-0.2697117</v>
      </c>
      <c r="U1328">
        <v>0.217392</v>
      </c>
      <c r="V1328">
        <v>-1.263863E-2</v>
      </c>
      <c r="W1328">
        <v>0.14159739999999901</v>
      </c>
      <c r="X1328">
        <v>0.98984369999999999</v>
      </c>
      <c r="Y1328">
        <v>8.4389619999999999E-2</v>
      </c>
      <c r="Z1328">
        <v>4.9362499999999997E-3</v>
      </c>
      <c r="AA1328">
        <v>0.99642059999999999</v>
      </c>
      <c r="AB1328">
        <v>33</v>
      </c>
      <c r="AC1328">
        <v>-0.41890000000000699</v>
      </c>
      <c r="AD1328">
        <v>-6.3772999999999802E-2</v>
      </c>
      <c r="AE1328">
        <v>5.6099999999986397E-2</v>
      </c>
      <c r="AF1328">
        <v>6.0638942736382297E-2</v>
      </c>
      <c r="AG1328">
        <v>-6.3772999999999802E-2</v>
      </c>
      <c r="AH1328">
        <v>0.40875780729689798</v>
      </c>
      <c r="AI1328">
        <v>98.773110097561698</v>
      </c>
      <c r="AJ1328">
        <v>81.561752557021407</v>
      </c>
      <c r="AK1328">
        <v>0.41812321381544298</v>
      </c>
      <c r="AL1328">
        <v>81.859708994458501</v>
      </c>
      <c r="AM1328">
        <v>90.731530452289107</v>
      </c>
      <c r="AN1328">
        <v>1.00000005454236</v>
      </c>
    </row>
    <row r="1329" spans="1:40" x14ac:dyDescent="0.3">
      <c r="A1329" t="str">
        <f>"20200111150340352"</f>
        <v>20200111150340352</v>
      </c>
      <c r="B1329" t="str">
        <f>"1578726220349459"</f>
        <v>1578726220349459</v>
      </c>
      <c r="C1329" t="s">
        <v>40</v>
      </c>
      <c r="D1329">
        <v>5.6613790000000002</v>
      </c>
      <c r="E1329">
        <v>0.53344569999999902</v>
      </c>
      <c r="F1329" t="s">
        <v>42</v>
      </c>
      <c r="G1329">
        <v>-319.68290000000002</v>
      </c>
      <c r="H1329">
        <v>1.0117240000000001</v>
      </c>
      <c r="I1329">
        <v>141.9015</v>
      </c>
      <c r="J1329">
        <v>-319.02800000000002</v>
      </c>
      <c r="K1329">
        <v>1.1040620000000001</v>
      </c>
      <c r="L1329">
        <v>141.83189999999999</v>
      </c>
      <c r="M1329">
        <v>-0.99983630000000001</v>
      </c>
      <c r="N1329">
        <v>0</v>
      </c>
      <c r="O1329">
        <v>-1.413639E-2</v>
      </c>
      <c r="P1329">
        <v>-0.99127600000000005</v>
      </c>
      <c r="Q1329">
        <v>0.12924539999999901</v>
      </c>
      <c r="R1329">
        <v>-2.5838759999999999E-2</v>
      </c>
      <c r="S1329">
        <v>-3.070068</v>
      </c>
      <c r="T1329">
        <v>-0.28677580000000003</v>
      </c>
      <c r="U1329">
        <v>0.20060729999999999</v>
      </c>
      <c r="V1329">
        <v>-1.181459E-2</v>
      </c>
      <c r="W1329">
        <v>0.14044699999999999</v>
      </c>
      <c r="X1329">
        <v>0.9900177</v>
      </c>
      <c r="Y1329">
        <v>7.8901199999999894E-2</v>
      </c>
      <c r="Z1329">
        <v>4.9896180000000004E-3</v>
      </c>
      <c r="AA1329">
        <v>0.99687000000000003</v>
      </c>
      <c r="AB1329">
        <v>33</v>
      </c>
      <c r="AC1329">
        <v>-0.65489999999999704</v>
      </c>
      <c r="AD1329">
        <v>-9.2338000000000003E-2</v>
      </c>
      <c r="AE1329">
        <v>6.9600000000008294E-2</v>
      </c>
      <c r="AF1329">
        <v>7.7331397202005395E-2</v>
      </c>
      <c r="AG1329">
        <v>-9.2338000000000003E-2</v>
      </c>
      <c r="AH1329">
        <v>0.641245173956704</v>
      </c>
      <c r="AI1329">
        <v>98.135998142090102</v>
      </c>
      <c r="AJ1329">
        <v>83.123583559243599</v>
      </c>
      <c r="AK1329">
        <v>0.65245829319580095</v>
      </c>
      <c r="AL1329">
        <v>81.926286934071598</v>
      </c>
      <c r="AM1329">
        <v>90.683719101115102</v>
      </c>
      <c r="AN1329">
        <v>0.99999999532957895</v>
      </c>
    </row>
    <row r="1330" spans="1:40" x14ac:dyDescent="0.3">
      <c r="A1330" t="str">
        <f>"20200111150340375"</f>
        <v>20200111150340375</v>
      </c>
      <c r="B1330" t="str">
        <f>"1578726220369956"</f>
        <v>1578726220369956</v>
      </c>
      <c r="C1330" t="s">
        <v>40</v>
      </c>
      <c r="D1330">
        <v>5.729978</v>
      </c>
      <c r="E1330">
        <v>0.54413129999999998</v>
      </c>
      <c r="F1330" t="s">
        <v>69</v>
      </c>
      <c r="G1330">
        <v>-511.9348</v>
      </c>
      <c r="H1330">
        <v>29.02702</v>
      </c>
      <c r="I1330">
        <v>154.15219999999999</v>
      </c>
      <c r="J1330">
        <v>-319.3691</v>
      </c>
      <c r="K1330">
        <v>1.104066</v>
      </c>
      <c r="L1330">
        <v>141.8271</v>
      </c>
      <c r="M1330">
        <v>-0.99983639999999996</v>
      </c>
      <c r="N1330">
        <v>0</v>
      </c>
      <c r="O1330">
        <v>-1.4128770000000001E-2</v>
      </c>
      <c r="P1330">
        <v>-0.99137390000000003</v>
      </c>
      <c r="Q1330">
        <v>0.12891140000000001</v>
      </c>
      <c r="R1330">
        <v>-2.366555E-2</v>
      </c>
      <c r="S1330">
        <v>-2.9752200000000002</v>
      </c>
      <c r="T1330">
        <v>0.4306585</v>
      </c>
      <c r="U1330">
        <v>0.19001770000000001</v>
      </c>
      <c r="V1330">
        <v>-9.6477179999999996E-3</v>
      </c>
      <c r="W1330">
        <v>0.14011509999999999</v>
      </c>
      <c r="X1330">
        <v>0.99008819999999997</v>
      </c>
      <c r="Y1330">
        <v>7.6886590000000005E-2</v>
      </c>
      <c r="Z1330">
        <v>-7.5629989999999999E-3</v>
      </c>
      <c r="AA1330">
        <v>0.99701119999999999</v>
      </c>
      <c r="AB1330">
        <v>33</v>
      </c>
      <c r="AC1330">
        <v>-192.56569999999999</v>
      </c>
      <c r="AD1330">
        <v>27.922953999999901</v>
      </c>
      <c r="AE1330">
        <v>12.3250999999999</v>
      </c>
      <c r="AF1330">
        <v>14.7361750978123</v>
      </c>
      <c r="AG1330">
        <v>27.922953999999901</v>
      </c>
      <c r="AH1330">
        <v>188.426559392109</v>
      </c>
      <c r="AI1330">
        <v>81.595971229111598</v>
      </c>
      <c r="AJ1330">
        <v>85.528201690598195</v>
      </c>
      <c r="AK1330">
        <v>191.05343362773499</v>
      </c>
      <c r="AL1330">
        <v>81.945493211383095</v>
      </c>
      <c r="AM1330">
        <v>90.558289684481295</v>
      </c>
      <c r="AN1330">
        <v>0.99999998174492799</v>
      </c>
    </row>
    <row r="1331" spans="1:40" x14ac:dyDescent="0.3">
      <c r="A1331" t="str">
        <f>"20200111150340397"</f>
        <v>20200111150340397</v>
      </c>
      <c r="B1331" t="str">
        <f>"1578726220389475"</f>
        <v>1578726220389475</v>
      </c>
      <c r="C1331" t="s">
        <v>40</v>
      </c>
      <c r="D1331">
        <v>5.4587919999999999</v>
      </c>
      <c r="E1331">
        <v>0.53956169999999903</v>
      </c>
      <c r="F1331" t="s">
        <v>41</v>
      </c>
      <c r="G1331">
        <v>-340.01650000000001</v>
      </c>
      <c r="H1331" s="1">
        <v>-4.9858289999999999E-6</v>
      </c>
      <c r="I1331">
        <v>143.64959999999999</v>
      </c>
      <c r="J1331">
        <v>-319.6848</v>
      </c>
      <c r="K1331">
        <v>1.1040730000000001</v>
      </c>
      <c r="L1331">
        <v>141.8227</v>
      </c>
      <c r="M1331">
        <v>-0.99983639999999996</v>
      </c>
      <c r="N1331">
        <v>0</v>
      </c>
      <c r="O1331">
        <v>-1.4121740000000001E-2</v>
      </c>
      <c r="P1331">
        <v>-0.99127270000000001</v>
      </c>
      <c r="Q1331">
        <v>0.13004979999999999</v>
      </c>
      <c r="R1331">
        <v>-2.1578920000000001E-2</v>
      </c>
      <c r="S1331">
        <v>-3.0537719999999999</v>
      </c>
      <c r="T1331">
        <v>-0.1632932</v>
      </c>
      <c r="U1331">
        <v>0.26956180000000002</v>
      </c>
      <c r="V1331">
        <v>-7.5696460000000002E-3</v>
      </c>
      <c r="W1331">
        <v>0.1412533</v>
      </c>
      <c r="X1331">
        <v>0.98994459999999995</v>
      </c>
      <c r="Y1331">
        <v>0.1018246</v>
      </c>
      <c r="Z1331">
        <v>3.4684759999999999E-3</v>
      </c>
      <c r="AA1331">
        <v>0.99479629999999997</v>
      </c>
      <c r="AB1331">
        <v>33</v>
      </c>
      <c r="AC1331">
        <v>-20.331700000000001</v>
      </c>
      <c r="AD1331">
        <v>-1.104077985829</v>
      </c>
      <c r="AE1331">
        <v>1.82689999999999</v>
      </c>
      <c r="AF1331">
        <v>2.1076896535522298</v>
      </c>
      <c r="AG1331">
        <v>-1.104077985829</v>
      </c>
      <c r="AH1331">
        <v>20.2446514494928</v>
      </c>
      <c r="AI1331">
        <v>93.104885980511995</v>
      </c>
      <c r="AJ1331">
        <v>84.056295702353097</v>
      </c>
      <c r="AK1331">
        <v>20.383995098751701</v>
      </c>
      <c r="AL1331">
        <v>81.879624629749301</v>
      </c>
      <c r="AM1331">
        <v>90.438105643076796</v>
      </c>
      <c r="AN1331">
        <v>1.0000000526852999</v>
      </c>
    </row>
    <row r="1332" spans="1:40" x14ac:dyDescent="0.3">
      <c r="A1332" t="str">
        <f>"20200111150340419"</f>
        <v>20200111150340419</v>
      </c>
      <c r="B1332" t="str">
        <f>"1578726220409747"</f>
        <v>1578726220409747</v>
      </c>
      <c r="C1332" t="s">
        <v>40</v>
      </c>
      <c r="D1332">
        <v>5.697533</v>
      </c>
      <c r="E1332">
        <v>0.53956169999999903</v>
      </c>
      <c r="F1332" t="s">
        <v>42</v>
      </c>
      <c r="G1332">
        <v>-320.57940000000002</v>
      </c>
      <c r="H1332">
        <v>1.0488550000000001</v>
      </c>
      <c r="I1332">
        <v>141.893</v>
      </c>
      <c r="J1332">
        <v>-320.00619999999998</v>
      </c>
      <c r="K1332">
        <v>1.1040810000000001</v>
      </c>
      <c r="L1332">
        <v>141.81809999999999</v>
      </c>
      <c r="M1332">
        <v>-0.99983650000000002</v>
      </c>
      <c r="N1332">
        <v>0</v>
      </c>
      <c r="O1332">
        <v>-1.411484E-2</v>
      </c>
      <c r="P1332">
        <v>-0.99115560000000003</v>
      </c>
      <c r="Q1332">
        <v>0.131196799999999</v>
      </c>
      <c r="R1332">
        <v>-1.9953869999999999E-2</v>
      </c>
      <c r="S1332">
        <v>-3.0563959999999999</v>
      </c>
      <c r="T1332">
        <v>-0.18870680000000001</v>
      </c>
      <c r="U1332">
        <v>0.23973079999999999</v>
      </c>
      <c r="V1332">
        <v>-5.9533190000000003E-3</v>
      </c>
      <c r="W1332">
        <v>0.14239979999999999</v>
      </c>
      <c r="X1332">
        <v>0.98979130000000004</v>
      </c>
      <c r="Y1332">
        <v>9.2059340000000003E-2</v>
      </c>
      <c r="Z1332">
        <v>3.7043670000000001E-3</v>
      </c>
      <c r="AA1332">
        <v>0.99574660000000004</v>
      </c>
      <c r="AB1332">
        <v>33</v>
      </c>
      <c r="AC1332">
        <v>-0.57320000000004201</v>
      </c>
      <c r="AD1332">
        <v>-5.5225999999999997E-2</v>
      </c>
      <c r="AE1332">
        <v>7.4900000000013706E-2</v>
      </c>
      <c r="AF1332">
        <v>8.22331491804002E-2</v>
      </c>
      <c r="AG1332">
        <v>-5.5225999999999997E-2</v>
      </c>
      <c r="AH1332">
        <v>0.56691149284026099</v>
      </c>
      <c r="AI1332">
        <v>95.506673288653303</v>
      </c>
      <c r="AJ1332">
        <v>81.746545959150893</v>
      </c>
      <c r="AK1332">
        <v>0.57550051486901299</v>
      </c>
      <c r="AL1332">
        <v>81.813263627120804</v>
      </c>
      <c r="AM1332">
        <v>90.344614000520096</v>
      </c>
      <c r="AN1332">
        <v>0.99999998130142198</v>
      </c>
    </row>
    <row r="1333" spans="1:40" x14ac:dyDescent="0.3">
      <c r="A1333" t="str">
        <f>"20200111150340441"</f>
        <v>20200111150340441</v>
      </c>
      <c r="B1333" t="str">
        <f>"1578726220439994"</f>
        <v>1578726220439994</v>
      </c>
      <c r="C1333" t="s">
        <v>40</v>
      </c>
      <c r="D1333">
        <v>6.1562489999999999</v>
      </c>
      <c r="E1333">
        <v>0.43452400000000002</v>
      </c>
      <c r="F1333" t="s">
        <v>42</v>
      </c>
      <c r="G1333">
        <v>-320.87419999999997</v>
      </c>
      <c r="H1333">
        <v>1.05155</v>
      </c>
      <c r="I1333">
        <v>141.88820000000001</v>
      </c>
      <c r="J1333">
        <v>-320.3322</v>
      </c>
      <c r="K1333">
        <v>1.104079</v>
      </c>
      <c r="L1333">
        <v>141.8135</v>
      </c>
      <c r="M1333">
        <v>-0.99983670000000002</v>
      </c>
      <c r="N1333">
        <v>0</v>
      </c>
      <c r="O1333">
        <v>-1.410781E-2</v>
      </c>
      <c r="P1333">
        <v>-0.99115319999999996</v>
      </c>
      <c r="Q1333">
        <v>0.13130349999999999</v>
      </c>
      <c r="R1333">
        <v>-1.936156E-2</v>
      </c>
      <c r="S1333">
        <v>-3.0562130000000001</v>
      </c>
      <c r="T1333">
        <v>-0.18510489999999999</v>
      </c>
      <c r="U1333">
        <v>0.24485779999999999</v>
      </c>
      <c r="V1333">
        <v>-5.3679919999999898E-3</v>
      </c>
      <c r="W1333">
        <v>0.14250839999999901</v>
      </c>
      <c r="X1333">
        <v>0.98977910000000002</v>
      </c>
      <c r="Y1333">
        <v>9.3721429999999994E-2</v>
      </c>
      <c r="Z1333">
        <v>3.6835539999999999E-3</v>
      </c>
      <c r="AA1333">
        <v>0.99559160000000002</v>
      </c>
      <c r="AB1333">
        <v>33</v>
      </c>
      <c r="AC1333">
        <v>-0.54199999999997295</v>
      </c>
      <c r="AD1333">
        <v>-5.2528999999999999E-2</v>
      </c>
      <c r="AE1333">
        <v>7.4700000000007094E-2</v>
      </c>
      <c r="AF1333">
        <v>8.1587428478328394E-2</v>
      </c>
      <c r="AG1333">
        <v>-5.2528999999999999E-2</v>
      </c>
      <c r="AH1333">
        <v>0.53595183242210298</v>
      </c>
      <c r="AI1333">
        <v>95.534363691760305</v>
      </c>
      <c r="AJ1333">
        <v>81.344371644621404</v>
      </c>
      <c r="AK1333">
        <v>0.54466519165751404</v>
      </c>
      <c r="AL1333">
        <v>81.806977867374897</v>
      </c>
      <c r="AM1333">
        <v>90.310736274998902</v>
      </c>
      <c r="AN1333">
        <v>1.0000000631027299</v>
      </c>
    </row>
    <row r="1334" spans="1:40" x14ac:dyDescent="0.3">
      <c r="A1334" t="str">
        <f>"20200111150340464"</f>
        <v>20200111150340464</v>
      </c>
      <c r="B1334" t="str">
        <f>"1578726220459515"</f>
        <v>1578726220459515</v>
      </c>
      <c r="C1334" t="s">
        <v>40</v>
      </c>
      <c r="D1334">
        <v>5.968445</v>
      </c>
      <c r="E1334">
        <v>0.42965360000000002</v>
      </c>
      <c r="F1334" t="s">
        <v>41</v>
      </c>
      <c r="G1334">
        <v>-349.17790000000002</v>
      </c>
      <c r="H1334" s="1">
        <v>-1.1752049999999999E-6</v>
      </c>
      <c r="I1334">
        <v>136.1985</v>
      </c>
      <c r="J1334">
        <v>-320.66090000000003</v>
      </c>
      <c r="K1334">
        <v>1.1040840000000001</v>
      </c>
      <c r="L1334">
        <v>141.80889999999999</v>
      </c>
      <c r="M1334">
        <v>-0.99983659999999996</v>
      </c>
      <c r="N1334">
        <v>0</v>
      </c>
      <c r="O1334">
        <v>-1.4100909999999999E-2</v>
      </c>
      <c r="P1334">
        <v>-0.99116510000000002</v>
      </c>
      <c r="Q1334">
        <v>0.13119349999999999</v>
      </c>
      <c r="R1334">
        <v>-1.9502729999999999E-2</v>
      </c>
      <c r="S1334">
        <v>-3.0306090000000001</v>
      </c>
      <c r="T1334">
        <v>-0.115997699999999</v>
      </c>
      <c r="U1334">
        <v>-0.58992</v>
      </c>
      <c r="V1334">
        <v>-5.5158029999999997E-3</v>
      </c>
      <c r="W1334">
        <v>0.14239979999999999</v>
      </c>
      <c r="X1334">
        <v>0.98979379999999995</v>
      </c>
      <c r="Y1334">
        <v>-0.1770919</v>
      </c>
      <c r="Z1334">
        <v>-2.8220770000000001E-3</v>
      </c>
      <c r="AA1334">
        <v>0.98419029999999996</v>
      </c>
      <c r="AB1334">
        <v>33</v>
      </c>
      <c r="AC1334">
        <v>-28.516999999999999</v>
      </c>
      <c r="AD1334">
        <v>-1.104085175205</v>
      </c>
      <c r="AE1334">
        <v>-5.6103999999999896</v>
      </c>
      <c r="AF1334">
        <v>-5.2001962037614096</v>
      </c>
      <c r="AG1334">
        <v>-1.104085175205</v>
      </c>
      <c r="AH1334">
        <v>28.5520769096305</v>
      </c>
      <c r="AI1334">
        <v>92.178672381948701</v>
      </c>
      <c r="AJ1334">
        <v>100.322152178221</v>
      </c>
      <c r="AK1334">
        <v>29.042763995273901</v>
      </c>
      <c r="AL1334">
        <v>81.813263342898495</v>
      </c>
      <c r="AM1334">
        <v>90.3192876750213</v>
      </c>
      <c r="AN1334">
        <v>0.999999946820606</v>
      </c>
    </row>
    <row r="1335" spans="1:40" x14ac:dyDescent="0.3">
      <c r="A1335" t="str">
        <f>"20200111150340487"</f>
        <v>20200111150340487</v>
      </c>
      <c r="B1335" t="str">
        <f>"1578726220480010"</f>
        <v>1578726220480010</v>
      </c>
      <c r="C1335" t="s">
        <v>40</v>
      </c>
      <c r="D1335">
        <v>6.9395949999999997</v>
      </c>
      <c r="E1335">
        <v>0.42654769999999997</v>
      </c>
      <c r="F1335" t="s">
        <v>41</v>
      </c>
      <c r="G1335">
        <v>-342.31880000000001</v>
      </c>
      <c r="H1335" s="1">
        <v>-3.6851920000000001E-6</v>
      </c>
      <c r="I1335">
        <v>137.31790000000001</v>
      </c>
      <c r="J1335">
        <v>-320.99900000000002</v>
      </c>
      <c r="K1335">
        <v>1.1040829999999999</v>
      </c>
      <c r="L1335">
        <v>141.80420000000001</v>
      </c>
      <c r="M1335">
        <v>-0.99983670000000002</v>
      </c>
      <c r="N1335">
        <v>0</v>
      </c>
      <c r="O1335">
        <v>-1.4093639999999999E-2</v>
      </c>
      <c r="P1335">
        <v>-0.99117169999999999</v>
      </c>
      <c r="Q1335">
        <v>0.13116069999999999</v>
      </c>
      <c r="R1335">
        <v>-1.9390899999999999E-2</v>
      </c>
      <c r="S1335">
        <v>-3.0348510000000002</v>
      </c>
      <c r="T1335">
        <v>-0.15471209999999999</v>
      </c>
      <c r="U1335">
        <v>-0.62930299999999995</v>
      </c>
      <c r="V1335">
        <v>-5.4105790000000004E-3</v>
      </c>
      <c r="W1335">
        <v>0.14236869999999999</v>
      </c>
      <c r="X1335">
        <v>0.98979890000000004</v>
      </c>
      <c r="Y1335">
        <v>-0.1890009</v>
      </c>
      <c r="Z1335">
        <v>-4.0535559999999998E-3</v>
      </c>
      <c r="AA1335">
        <v>0.98196859999999997</v>
      </c>
      <c r="AB1335">
        <v>33</v>
      </c>
      <c r="AC1335">
        <v>-21.319799999999901</v>
      </c>
      <c r="AD1335">
        <v>-1.1040866851919999</v>
      </c>
      <c r="AE1335">
        <v>-4.4863</v>
      </c>
      <c r="AF1335">
        <v>-4.1746403852178604</v>
      </c>
      <c r="AG1335">
        <v>-1.1040866851919999</v>
      </c>
      <c r="AH1335">
        <v>21.326145510826301</v>
      </c>
      <c r="AI1335">
        <v>92.908538223285404</v>
      </c>
      <c r="AJ1335">
        <v>101.07572350292899</v>
      </c>
      <c r="AK1335">
        <v>21.758931777622902</v>
      </c>
      <c r="AL1335">
        <v>81.815063954019095</v>
      </c>
      <c r="AM1335">
        <v>90.313195189196506</v>
      </c>
      <c r="AN1335">
        <v>0.99999999177300702</v>
      </c>
    </row>
    <row r="1336" spans="1:40" x14ac:dyDescent="0.3">
      <c r="A1336" t="str">
        <f>"20200111150340509"</f>
        <v>20200111150340509</v>
      </c>
      <c r="B1336" t="str">
        <f>"1578726220499530"</f>
        <v>1578726220499530</v>
      </c>
      <c r="C1336" t="s">
        <v>40</v>
      </c>
      <c r="D1336">
        <v>5.5398870000000002</v>
      </c>
      <c r="E1336">
        <v>0.42628319999999997</v>
      </c>
      <c r="F1336" t="s">
        <v>41</v>
      </c>
      <c r="G1336">
        <v>-338.60669999999999</v>
      </c>
      <c r="H1336" s="1">
        <v>-9.4441889999999996E-7</v>
      </c>
      <c r="I1336">
        <v>138.01849999999999</v>
      </c>
      <c r="J1336">
        <v>-321.31420000000003</v>
      </c>
      <c r="K1336">
        <v>1.1040859999999999</v>
      </c>
      <c r="L1336">
        <v>141.7998</v>
      </c>
      <c r="M1336">
        <v>-0.99983670000000002</v>
      </c>
      <c r="N1336">
        <v>0</v>
      </c>
      <c r="O1336">
        <v>-1.4086619999999999E-2</v>
      </c>
      <c r="P1336">
        <v>-0.99123070000000002</v>
      </c>
      <c r="Q1336">
        <v>0.13084309999999999</v>
      </c>
      <c r="R1336">
        <v>-1.84928E-2</v>
      </c>
      <c r="S1336">
        <v>-3.0391849999999998</v>
      </c>
      <c r="T1336">
        <v>-0.19057170000000001</v>
      </c>
      <c r="U1336">
        <v>-0.65342709999999904</v>
      </c>
      <c r="V1336">
        <v>-4.5187550000000002E-3</v>
      </c>
      <c r="W1336">
        <v>0.1420534</v>
      </c>
      <c r="X1336">
        <v>0.98984870000000003</v>
      </c>
      <c r="Y1336">
        <v>-0.1960624</v>
      </c>
      <c r="Z1336">
        <v>-5.1996280000000004E-3</v>
      </c>
      <c r="AA1336">
        <v>0.98057760000000005</v>
      </c>
      <c r="AB1336">
        <v>33</v>
      </c>
      <c r="AC1336">
        <v>-17.292499999999901</v>
      </c>
      <c r="AD1336">
        <v>-1.1040869444188901</v>
      </c>
      <c r="AE1336">
        <v>-3.7813000000000101</v>
      </c>
      <c r="AF1336">
        <v>-3.5236076594022001</v>
      </c>
      <c r="AG1336">
        <v>-1.1040869444188901</v>
      </c>
      <c r="AH1336">
        <v>17.276837478927401</v>
      </c>
      <c r="AI1336">
        <v>93.582988952877102</v>
      </c>
      <c r="AJ1336">
        <v>101.527369382367</v>
      </c>
      <c r="AK1336">
        <v>17.667029523706201</v>
      </c>
      <c r="AL1336">
        <v>81.833315026334603</v>
      </c>
      <c r="AM1336">
        <v>90.261558955056401</v>
      </c>
      <c r="AN1336">
        <v>1.00000001824499</v>
      </c>
    </row>
    <row r="1337" spans="1:40" x14ac:dyDescent="0.3">
      <c r="A1337" t="str">
        <f>"20200111150340530"</f>
        <v>20200111150340530</v>
      </c>
      <c r="B1337" t="str">
        <f>"1578726220520026"</f>
        <v>1578726220520026</v>
      </c>
      <c r="C1337" t="s">
        <v>40</v>
      </c>
      <c r="D1337">
        <v>5.5853710000000003</v>
      </c>
      <c r="E1337">
        <v>0.42644890000000002</v>
      </c>
      <c r="F1337" t="s">
        <v>41</v>
      </c>
      <c r="G1337">
        <v>-338.02879999999999</v>
      </c>
      <c r="H1337" s="1">
        <v>-1.1613499999999999E-6</v>
      </c>
      <c r="I1337">
        <v>138.2122</v>
      </c>
      <c r="J1337">
        <v>-321.63740000000001</v>
      </c>
      <c r="K1337">
        <v>1.1040909999999999</v>
      </c>
      <c r="L1337">
        <v>141.79519999999999</v>
      </c>
      <c r="M1337">
        <v>-0.99983690000000003</v>
      </c>
      <c r="N1337">
        <v>0</v>
      </c>
      <c r="O1337">
        <v>-1.4079599999999999E-2</v>
      </c>
      <c r="P1337">
        <v>-0.99128360000000004</v>
      </c>
      <c r="Q1337">
        <v>0.13053899999999999</v>
      </c>
      <c r="R1337">
        <v>-1.779385E-2</v>
      </c>
      <c r="S1337">
        <v>-3.0408940000000002</v>
      </c>
      <c r="T1337">
        <v>-0.2008672</v>
      </c>
      <c r="U1337">
        <v>-0.65269469999999996</v>
      </c>
      <c r="V1337">
        <v>-3.826973E-3</v>
      </c>
      <c r="W1337">
        <v>0.1417513</v>
      </c>
      <c r="X1337">
        <v>0.98989490000000002</v>
      </c>
      <c r="Y1337">
        <v>-0.1956936</v>
      </c>
      <c r="Z1337">
        <v>-5.4655169999999996E-3</v>
      </c>
      <c r="AA1337">
        <v>0.98064980000000002</v>
      </c>
      <c r="AB1337">
        <v>33</v>
      </c>
      <c r="AC1337">
        <v>-16.391399999999901</v>
      </c>
      <c r="AD1337">
        <v>-1.1040921613500001</v>
      </c>
      <c r="AE1337">
        <v>-3.58299999999999</v>
      </c>
      <c r="AF1337">
        <v>-3.3373941016593398</v>
      </c>
      <c r="AG1337">
        <v>-1.1040921613500001</v>
      </c>
      <c r="AH1337">
        <v>16.3693429745611</v>
      </c>
      <c r="AI1337">
        <v>93.781132718504097</v>
      </c>
      <c r="AJ1337">
        <v>101.523571297258</v>
      </c>
      <c r="AK1337">
        <v>16.742538884809498</v>
      </c>
      <c r="AL1337">
        <v>81.850800836397099</v>
      </c>
      <c r="AM1337">
        <v>90.2215066557075</v>
      </c>
      <c r="AN1337">
        <v>0.99999999491002101</v>
      </c>
    </row>
    <row r="1338" spans="1:40" x14ac:dyDescent="0.3">
      <c r="A1338" t="str">
        <f>"20200111150340553"</f>
        <v>20200111150340553</v>
      </c>
      <c r="B1338" t="str">
        <f>"1578726220549306"</f>
        <v>1578726220549306</v>
      </c>
      <c r="C1338" t="s">
        <v>40</v>
      </c>
      <c r="D1338">
        <v>5.4538070000000003</v>
      </c>
      <c r="E1338">
        <v>0.42712309999999998</v>
      </c>
      <c r="F1338" t="s">
        <v>41</v>
      </c>
      <c r="G1338">
        <v>-338.23930000000001</v>
      </c>
      <c r="H1338" s="1">
        <v>-1.0552300000000001E-6</v>
      </c>
      <c r="I1338">
        <v>138.24930000000001</v>
      </c>
      <c r="J1338">
        <v>-321.96519999999998</v>
      </c>
      <c r="K1338">
        <v>1.10409</v>
      </c>
      <c r="L1338">
        <v>141.79060000000001</v>
      </c>
      <c r="M1338">
        <v>-0.99983699999999998</v>
      </c>
      <c r="N1338">
        <v>0</v>
      </c>
      <c r="O1338">
        <v>-1.407281E-2</v>
      </c>
      <c r="P1338">
        <v>-0.99123479999999997</v>
      </c>
      <c r="Q1338">
        <v>0.13084019999999999</v>
      </c>
      <c r="R1338">
        <v>-1.8298519999999999E-2</v>
      </c>
      <c r="S1338">
        <v>-3.0413209999999999</v>
      </c>
      <c r="T1338">
        <v>-0.20225860000000001</v>
      </c>
      <c r="U1338">
        <v>-0.64958190000000005</v>
      </c>
      <c r="V1338">
        <v>-4.3384519999999996E-3</v>
      </c>
      <c r="W1338">
        <v>0.1420534</v>
      </c>
      <c r="X1338">
        <v>0.98984950000000005</v>
      </c>
      <c r="Y1338">
        <v>-0.19470899999999999</v>
      </c>
      <c r="Z1338">
        <v>-5.4712290000000002E-3</v>
      </c>
      <c r="AA1338">
        <v>0.98084579999999999</v>
      </c>
      <c r="AB1338">
        <v>33</v>
      </c>
      <c r="AC1338">
        <v>-16.274100000000001</v>
      </c>
      <c r="AD1338">
        <v>-1.1040910552299901</v>
      </c>
      <c r="AE1338">
        <v>-3.5413000000000001</v>
      </c>
      <c r="AF1338">
        <v>-3.2974213182107799</v>
      </c>
      <c r="AG1338">
        <v>-1.1040910552299901</v>
      </c>
      <c r="AH1338">
        <v>16.250910522391401</v>
      </c>
      <c r="AI1338">
        <v>93.809326417129398</v>
      </c>
      <c r="AJ1338">
        <v>101.469987905498</v>
      </c>
      <c r="AK1338">
        <v>16.6187874772741</v>
      </c>
      <c r="AL1338">
        <v>81.833314971974204</v>
      </c>
      <c r="AM1338">
        <v>90.251122415595106</v>
      </c>
      <c r="AN1338">
        <v>1.0000000116337799</v>
      </c>
    </row>
    <row r="1339" spans="1:40" x14ac:dyDescent="0.3">
      <c r="A1339" t="str">
        <f>"20200111150340576"</f>
        <v>20200111150340576</v>
      </c>
      <c r="B1339" t="str">
        <f>"1578726220569802"</f>
        <v>1578726220569802</v>
      </c>
      <c r="C1339" t="s">
        <v>40</v>
      </c>
      <c r="D1339">
        <v>7.465795</v>
      </c>
      <c r="E1339">
        <v>0.35361670000000001</v>
      </c>
      <c r="F1339" t="s">
        <v>41</v>
      </c>
      <c r="G1339">
        <v>-338.10840000000002</v>
      </c>
      <c r="H1339" s="1">
        <v>-1.0984839999999999E-6</v>
      </c>
      <c r="I1339">
        <v>138.3544</v>
      </c>
      <c r="J1339">
        <v>-322.30340000000001</v>
      </c>
      <c r="K1339">
        <v>1.104093</v>
      </c>
      <c r="L1339">
        <v>141.7859</v>
      </c>
      <c r="M1339">
        <v>-0.99983699999999998</v>
      </c>
      <c r="N1339">
        <v>0</v>
      </c>
      <c r="O1339">
        <v>-1.406543E-2</v>
      </c>
      <c r="P1339">
        <v>-0.99116990000000005</v>
      </c>
      <c r="Q1339">
        <v>0.1311126</v>
      </c>
      <c r="R1339">
        <v>-1.9789540000000001E-2</v>
      </c>
      <c r="S1339">
        <v>-3.0420229999999999</v>
      </c>
      <c r="T1339">
        <v>-0.2080553</v>
      </c>
      <c r="U1339">
        <v>-0.64752200000000004</v>
      </c>
      <c r="V1339">
        <v>-5.8377489999999997E-3</v>
      </c>
      <c r="W1339">
        <v>0.14232709999999901</v>
      </c>
      <c r="X1339">
        <v>0.98980250000000003</v>
      </c>
      <c r="Y1339">
        <v>-0.1940142</v>
      </c>
      <c r="Z1339">
        <v>-5.6038329999999999E-3</v>
      </c>
      <c r="AA1339">
        <v>0.98098269999999999</v>
      </c>
      <c r="AB1339">
        <v>33</v>
      </c>
      <c r="AC1339">
        <v>-15.805</v>
      </c>
      <c r="AD1339">
        <v>-1.104094098484</v>
      </c>
      <c r="AE1339">
        <v>-3.4315000000000002</v>
      </c>
      <c r="AF1339">
        <v>-3.19395716589537</v>
      </c>
      <c r="AG1339">
        <v>-1.104094098484</v>
      </c>
      <c r="AH1339">
        <v>15.7781730651164</v>
      </c>
      <c r="AI1339">
        <v>93.923482990093603</v>
      </c>
      <c r="AJ1339">
        <v>101.44367927914701</v>
      </c>
      <c r="AK1339">
        <v>16.136019689770102</v>
      </c>
      <c r="AL1339">
        <v>81.817472343340199</v>
      </c>
      <c r="AM1339">
        <v>90.337920445084094</v>
      </c>
      <c r="AN1339">
        <v>1.00000003585702</v>
      </c>
    </row>
    <row r="1340" spans="1:40" x14ac:dyDescent="0.3">
      <c r="A1340" t="str">
        <f>"20200111150340599"</f>
        <v>20200111150340599</v>
      </c>
      <c r="B1340" t="str">
        <f>"1578726220589325"</f>
        <v>1578726220589325</v>
      </c>
      <c r="C1340" t="s">
        <v>40</v>
      </c>
      <c r="D1340">
        <v>5.4917910000000001</v>
      </c>
      <c r="E1340">
        <v>0.40469119999999997</v>
      </c>
      <c r="F1340" t="s">
        <v>70</v>
      </c>
      <c r="G1340">
        <v>-375.52100000000002</v>
      </c>
      <c r="H1340">
        <v>9.4117270000000008</v>
      </c>
      <c r="I1340">
        <v>119.6169</v>
      </c>
      <c r="J1340">
        <v>-322.63510000000002</v>
      </c>
      <c r="K1340">
        <v>1.104098</v>
      </c>
      <c r="L1340">
        <v>141.78120000000001</v>
      </c>
      <c r="M1340">
        <v>-0.99983719999999998</v>
      </c>
      <c r="N1340">
        <v>0</v>
      </c>
      <c r="O1340">
        <v>-1.40584E-2</v>
      </c>
      <c r="P1340">
        <v>-0.99098580000000003</v>
      </c>
      <c r="Q1340">
        <v>0.1322469</v>
      </c>
      <c r="R1340">
        <v>-2.1403229999999999E-2</v>
      </c>
      <c r="S1340">
        <v>-2.9415279999999999</v>
      </c>
      <c r="T1340">
        <v>0.45919290000000001</v>
      </c>
      <c r="U1340">
        <v>-1.225357</v>
      </c>
      <c r="V1340">
        <v>-7.4610409999999999E-3</v>
      </c>
      <c r="W1340">
        <v>0.14346120000000001</v>
      </c>
      <c r="X1340">
        <v>0.98962779999999995</v>
      </c>
      <c r="Y1340">
        <v>-0.3678749</v>
      </c>
      <c r="Z1340">
        <v>2.5324329999999999E-2</v>
      </c>
      <c r="AA1340">
        <v>0.92953039999999998</v>
      </c>
      <c r="AB1340">
        <v>33</v>
      </c>
      <c r="AC1340">
        <v>-52.8858999999999</v>
      </c>
      <c r="AD1340">
        <v>8.3076289999999897</v>
      </c>
      <c r="AE1340">
        <v>-22.164300000000001</v>
      </c>
      <c r="AF1340">
        <v>-20.978250478373798</v>
      </c>
      <c r="AG1340">
        <v>8.3076289999999897</v>
      </c>
      <c r="AH1340">
        <v>52.098767370678999</v>
      </c>
      <c r="AI1340">
        <v>81.585937585781394</v>
      </c>
      <c r="AJ1340">
        <v>111.932826181517</v>
      </c>
      <c r="AK1340">
        <v>56.7748646346177</v>
      </c>
      <c r="AL1340">
        <v>81.751819026236205</v>
      </c>
      <c r="AM1340">
        <v>90.431958420017693</v>
      </c>
      <c r="AN1340">
        <v>0.99999998278554103</v>
      </c>
    </row>
    <row r="1341" spans="1:40" x14ac:dyDescent="0.3">
      <c r="A1341" t="str">
        <f>"20200111150340620"</f>
        <v>20200111150340620</v>
      </c>
      <c r="B1341" t="str">
        <f>"1578726220609818"</f>
        <v>1578726220609818</v>
      </c>
      <c r="C1341" t="s">
        <v>40</v>
      </c>
      <c r="D1341">
        <v>7.8007299999999997</v>
      </c>
      <c r="E1341">
        <v>0.40161540000000001</v>
      </c>
      <c r="F1341" t="s">
        <v>63</v>
      </c>
      <c r="G1341">
        <v>-440.20710000000003</v>
      </c>
      <c r="H1341">
        <v>14.80457</v>
      </c>
      <c r="I1341">
        <v>109.0343</v>
      </c>
      <c r="J1341">
        <v>-322.9443</v>
      </c>
      <c r="K1341">
        <v>1.1041069999999999</v>
      </c>
      <c r="L1341">
        <v>141.77690000000001</v>
      </c>
      <c r="M1341">
        <v>-0.99983730000000004</v>
      </c>
      <c r="N1341">
        <v>0</v>
      </c>
      <c r="O1341">
        <v>-1.4051620000000001E-2</v>
      </c>
      <c r="P1341">
        <v>-0.99083299999999996</v>
      </c>
      <c r="Q1341">
        <v>0.13326589999999999</v>
      </c>
      <c r="R1341">
        <v>-2.2150220000000002E-2</v>
      </c>
      <c r="S1341">
        <v>-2.9633790000000002</v>
      </c>
      <c r="T1341">
        <v>0.34531770000000001</v>
      </c>
      <c r="U1341">
        <v>-0.82537839999999996</v>
      </c>
      <c r="V1341">
        <v>-8.2162529999999998E-3</v>
      </c>
      <c r="W1341">
        <v>0.14448</v>
      </c>
      <c r="X1341">
        <v>0.98947359999999895</v>
      </c>
      <c r="Y1341">
        <v>-0.25324849999999999</v>
      </c>
      <c r="Z1341">
        <v>1.283256E-2</v>
      </c>
      <c r="AA1341">
        <v>0.96731619999999996</v>
      </c>
      <c r="AB1341">
        <v>33</v>
      </c>
      <c r="AC1341">
        <v>-117.2628</v>
      </c>
      <c r="AD1341">
        <v>13.700462999999999</v>
      </c>
      <c r="AE1341">
        <v>-32.742600000000003</v>
      </c>
      <c r="AF1341">
        <v>-30.702733133786499</v>
      </c>
      <c r="AG1341">
        <v>13.700462999999999</v>
      </c>
      <c r="AH1341">
        <v>116.23937016273</v>
      </c>
      <c r="AI1341">
        <v>83.498842436403805</v>
      </c>
      <c r="AJ1341">
        <v>104.795837881382</v>
      </c>
      <c r="AK1341">
        <v>121.003932515134</v>
      </c>
      <c r="AL1341">
        <v>81.692831618740598</v>
      </c>
      <c r="AM1341">
        <v>90.475753775624199</v>
      </c>
      <c r="AN1341">
        <v>0.99999999115515903</v>
      </c>
    </row>
    <row r="1342" spans="1:40" x14ac:dyDescent="0.3">
      <c r="A1342" t="str">
        <f>"20200111150340643"</f>
        <v>20200111150340643</v>
      </c>
      <c r="B1342" t="str">
        <f>"1578726220640074"</f>
        <v>1578726220640074</v>
      </c>
      <c r="C1342" t="s">
        <v>40</v>
      </c>
      <c r="D1342">
        <v>7.2657769999999999</v>
      </c>
      <c r="E1342">
        <v>0.34106589999999998</v>
      </c>
      <c r="F1342" t="s">
        <v>70</v>
      </c>
      <c r="G1342">
        <v>-397.94900000000001</v>
      </c>
      <c r="H1342">
        <v>10.25248</v>
      </c>
      <c r="I1342">
        <v>120.1878</v>
      </c>
      <c r="J1342">
        <v>-323.28160000000003</v>
      </c>
      <c r="K1342">
        <v>1.1041129999999999</v>
      </c>
      <c r="L1342">
        <v>141.7722</v>
      </c>
      <c r="M1342">
        <v>-0.99983730000000004</v>
      </c>
      <c r="N1342">
        <v>0</v>
      </c>
      <c r="O1342">
        <v>-1.404412E-2</v>
      </c>
      <c r="P1342">
        <v>-0.99078569999999999</v>
      </c>
      <c r="Q1342">
        <v>0.13369690000000001</v>
      </c>
      <c r="R1342">
        <v>-2.1662799999999999E-2</v>
      </c>
      <c r="S1342">
        <v>-2.9601440000000001</v>
      </c>
      <c r="T1342">
        <v>0.3610505</v>
      </c>
      <c r="U1342">
        <v>-0.85203549999999995</v>
      </c>
      <c r="V1342">
        <v>-7.7368609999999899E-3</v>
      </c>
      <c r="W1342">
        <v>0.14491219999999999</v>
      </c>
      <c r="X1342">
        <v>0.98941429999999997</v>
      </c>
      <c r="Y1342">
        <v>-0.2613896</v>
      </c>
      <c r="Z1342">
        <v>1.3897110000000001E-2</v>
      </c>
      <c r="AA1342">
        <v>0.96513329999999997</v>
      </c>
      <c r="AB1342">
        <v>33</v>
      </c>
      <c r="AC1342">
        <v>-74.667399999999901</v>
      </c>
      <c r="AD1342">
        <v>9.1483670000000004</v>
      </c>
      <c r="AE1342">
        <v>-21.584399999999999</v>
      </c>
      <c r="AF1342">
        <v>-20.252983980998199</v>
      </c>
      <c r="AG1342">
        <v>9.1483670000000004</v>
      </c>
      <c r="AH1342">
        <v>73.938850321341206</v>
      </c>
      <c r="AI1342">
        <v>83.1949015595833</v>
      </c>
      <c r="AJ1342">
        <v>105.318457222313</v>
      </c>
      <c r="AK1342">
        <v>77.2064088385346</v>
      </c>
      <c r="AL1342">
        <v>81.667805339317397</v>
      </c>
      <c r="AM1342">
        <v>90.448023085048405</v>
      </c>
      <c r="AN1342">
        <v>1.00000003088573</v>
      </c>
    </row>
    <row r="1343" spans="1:40" x14ac:dyDescent="0.3">
      <c r="A1343" t="str">
        <f>"20200111150340666"</f>
        <v>20200111150340666</v>
      </c>
      <c r="B1343" t="str">
        <f>"1578726220659594"</f>
        <v>1578726220659594</v>
      </c>
      <c r="C1343" t="s">
        <v>40</v>
      </c>
      <c r="D1343">
        <v>7.86775</v>
      </c>
      <c r="E1343">
        <v>0.34649770000000002</v>
      </c>
      <c r="F1343" t="s">
        <v>70</v>
      </c>
      <c r="G1343">
        <v>-371.35239999999999</v>
      </c>
      <c r="H1343">
        <v>8.259582</v>
      </c>
      <c r="I1343">
        <v>119.9953</v>
      </c>
      <c r="J1343">
        <v>-323.6157</v>
      </c>
      <c r="K1343">
        <v>1.1041259999999999</v>
      </c>
      <c r="L1343">
        <v>141.76750000000001</v>
      </c>
      <c r="M1343">
        <v>-0.99983750000000005</v>
      </c>
      <c r="N1343">
        <v>0</v>
      </c>
      <c r="O1343">
        <v>-1.4036969999999999E-2</v>
      </c>
      <c r="P1343">
        <v>-0.99058000000000002</v>
      </c>
      <c r="Q1343">
        <v>0.1352447</v>
      </c>
      <c r="R1343">
        <v>-2.1460219999999999E-2</v>
      </c>
      <c r="S1343">
        <v>-2.9397280000000001</v>
      </c>
      <c r="T1343">
        <v>0.43758560000000002</v>
      </c>
      <c r="U1343">
        <v>-1.3317410000000001</v>
      </c>
      <c r="V1343">
        <v>-7.5445209999999898E-3</v>
      </c>
      <c r="W1343">
        <v>0.14645899999999901</v>
      </c>
      <c r="X1343">
        <v>0.98918799999999996</v>
      </c>
      <c r="Y1343">
        <v>-0.39632729999999999</v>
      </c>
      <c r="Z1343">
        <v>2.600651E-2</v>
      </c>
      <c r="AA1343">
        <v>0.91774089999999997</v>
      </c>
      <c r="AB1343">
        <v>33</v>
      </c>
      <c r="AC1343">
        <v>-47.7366999999999</v>
      </c>
      <c r="AD1343">
        <v>7.155456</v>
      </c>
      <c r="AE1343">
        <v>-21.772200000000002</v>
      </c>
      <c r="AF1343">
        <v>-20.714655061284201</v>
      </c>
      <c r="AG1343">
        <v>7.155456</v>
      </c>
      <c r="AH1343">
        <v>47.160479543515102</v>
      </c>
      <c r="AI1343">
        <v>82.091323846078694</v>
      </c>
      <c r="AJ1343">
        <v>113.71288630358499</v>
      </c>
      <c r="AK1343">
        <v>52.0039259638177</v>
      </c>
      <c r="AL1343">
        <v>81.578224460272693</v>
      </c>
      <c r="AM1343">
        <v>90.436985517629495</v>
      </c>
      <c r="AN1343">
        <v>1.00000002891105</v>
      </c>
    </row>
    <row r="1344" spans="1:40" x14ac:dyDescent="0.3">
      <c r="A1344" t="str">
        <f>"20200111150340688"</f>
        <v>20200111150340688</v>
      </c>
      <c r="B1344" t="str">
        <f>"1578726220680090"</f>
        <v>1578726220680090</v>
      </c>
      <c r="C1344" t="s">
        <v>40</v>
      </c>
      <c r="D1344">
        <v>8.2306030000000003</v>
      </c>
      <c r="E1344">
        <v>0.34564319999999998</v>
      </c>
      <c r="F1344" t="s">
        <v>70</v>
      </c>
      <c r="G1344">
        <v>-372.90140000000002</v>
      </c>
      <c r="H1344">
        <v>8.4122629999999994</v>
      </c>
      <c r="I1344">
        <v>120.1884</v>
      </c>
      <c r="J1344">
        <v>-323.9479</v>
      </c>
      <c r="K1344">
        <v>1.1041299999999901</v>
      </c>
      <c r="L1344">
        <v>141.7628</v>
      </c>
      <c r="M1344">
        <v>-0.99983750000000005</v>
      </c>
      <c r="N1344">
        <v>0</v>
      </c>
      <c r="O1344">
        <v>-1.4029710000000001E-2</v>
      </c>
      <c r="P1344">
        <v>-0.9903942</v>
      </c>
      <c r="Q1344">
        <v>0.13660939999999999</v>
      </c>
      <c r="R1344">
        <v>-2.1390139999999998E-2</v>
      </c>
      <c r="S1344">
        <v>-2.9411010000000002</v>
      </c>
      <c r="T1344">
        <v>0.43610969999999999</v>
      </c>
      <c r="U1344">
        <v>-1.28772</v>
      </c>
      <c r="V1344">
        <v>-7.4840269999999999E-3</v>
      </c>
      <c r="W1344">
        <v>0.14782300000000001</v>
      </c>
      <c r="X1344">
        <v>0.98898549999999996</v>
      </c>
      <c r="Y1344">
        <v>-0.38478560000000001</v>
      </c>
      <c r="Z1344">
        <v>2.5169750000000001E-2</v>
      </c>
      <c r="AA1344">
        <v>0.92266269999999995</v>
      </c>
      <c r="AB1344">
        <v>33</v>
      </c>
      <c r="AC1344">
        <v>-48.953499999999998</v>
      </c>
      <c r="AD1344">
        <v>7.3081329999999998</v>
      </c>
      <c r="AE1344">
        <v>-21.574400000000001</v>
      </c>
      <c r="AF1344">
        <v>-20.502805349410401</v>
      </c>
      <c r="AG1344">
        <v>7.3081329999999998</v>
      </c>
      <c r="AH1344">
        <v>48.349091993024302</v>
      </c>
      <c r="AI1344">
        <v>82.077689925547205</v>
      </c>
      <c r="AJ1344">
        <v>112.97974724795</v>
      </c>
      <c r="AK1344">
        <v>53.022717128523603</v>
      </c>
      <c r="AL1344">
        <v>81.499212635322493</v>
      </c>
      <c r="AM1344">
        <v>90.433570538674005</v>
      </c>
      <c r="AN1344">
        <v>0.99999998459969297</v>
      </c>
    </row>
    <row r="1345" spans="1:40" x14ac:dyDescent="0.3">
      <c r="A1345" t="str">
        <f>"20200111150340711"</f>
        <v>20200111150340711</v>
      </c>
      <c r="B1345" t="str">
        <f>"1578726220699610"</f>
        <v>1578726220699610</v>
      </c>
      <c r="C1345" t="s">
        <v>40</v>
      </c>
      <c r="D1345">
        <v>4.8122829999999999</v>
      </c>
      <c r="E1345">
        <v>0.34616950000000002</v>
      </c>
      <c r="F1345" t="s">
        <v>70</v>
      </c>
      <c r="G1345">
        <v>-372.88749999999999</v>
      </c>
      <c r="H1345">
        <v>9.2852490000000003</v>
      </c>
      <c r="I1345">
        <v>120.18819999999999</v>
      </c>
      <c r="J1345">
        <v>-324.25650000000002</v>
      </c>
      <c r="K1345">
        <v>1.104136</v>
      </c>
      <c r="L1345">
        <v>141.7585</v>
      </c>
      <c r="M1345">
        <v>-0.99983750000000005</v>
      </c>
      <c r="N1345">
        <v>0</v>
      </c>
      <c r="O1345">
        <v>-1.402305E-2</v>
      </c>
      <c r="P1345">
        <v>-0.99027569999999998</v>
      </c>
      <c r="Q1345">
        <v>0.1374437</v>
      </c>
      <c r="R1345">
        <v>-2.1520569999999999E-2</v>
      </c>
      <c r="S1345">
        <v>-2.9335330000000002</v>
      </c>
      <c r="T1345">
        <v>0.49039240000000001</v>
      </c>
      <c r="U1345">
        <v>-1.293228</v>
      </c>
      <c r="V1345">
        <v>-7.6226499999999999E-3</v>
      </c>
      <c r="W1345">
        <v>0.1486577</v>
      </c>
      <c r="X1345">
        <v>0.98885940000000006</v>
      </c>
      <c r="Y1345">
        <v>-0.3861909</v>
      </c>
      <c r="Z1345">
        <v>2.8435780000000001E-2</v>
      </c>
      <c r="AA1345">
        <v>0.92198049999999998</v>
      </c>
      <c r="AB1345">
        <v>33</v>
      </c>
      <c r="AC1345">
        <v>-48.630999999999901</v>
      </c>
      <c r="AD1345">
        <v>8.1811129999999999</v>
      </c>
      <c r="AE1345">
        <v>-21.5703</v>
      </c>
      <c r="AF1345">
        <v>-20.403668271385499</v>
      </c>
      <c r="AG1345">
        <v>8.1811129999999999</v>
      </c>
      <c r="AH1345">
        <v>47.798368896144702</v>
      </c>
      <c r="AI1345">
        <v>81.0541027074391</v>
      </c>
      <c r="AJ1345">
        <v>113.116160301787</v>
      </c>
      <c r="AK1345">
        <v>52.611066877411297</v>
      </c>
      <c r="AL1345">
        <v>81.450854234333093</v>
      </c>
      <c r="AM1345">
        <v>90.441657351221295</v>
      </c>
      <c r="AN1345">
        <v>1.00000006476533</v>
      </c>
    </row>
    <row r="1346" spans="1:40" x14ac:dyDescent="0.3">
      <c r="A1346" t="str">
        <f>"20200111150340731"</f>
        <v>20200111150340731</v>
      </c>
      <c r="B1346" t="str">
        <f>"1578726220729867"</f>
        <v>1578726220729867</v>
      </c>
      <c r="C1346" t="s">
        <v>40</v>
      </c>
      <c r="D1346">
        <v>5.4239579999999998</v>
      </c>
      <c r="E1346">
        <v>0.46781630000000002</v>
      </c>
      <c r="F1346" t="s">
        <v>70</v>
      </c>
      <c r="G1346">
        <v>-373.29610000000002</v>
      </c>
      <c r="H1346">
        <v>9.7307140000000008</v>
      </c>
      <c r="I1346">
        <v>120.188</v>
      </c>
      <c r="J1346">
        <v>-324.58609999999999</v>
      </c>
      <c r="K1346">
        <v>1.104142</v>
      </c>
      <c r="L1346">
        <v>141.75389999999999</v>
      </c>
      <c r="M1346">
        <v>-0.99983759999999999</v>
      </c>
      <c r="N1346">
        <v>0</v>
      </c>
      <c r="O1346">
        <v>-1.4016020000000001E-2</v>
      </c>
      <c r="P1346">
        <v>-0.99027980000000004</v>
      </c>
      <c r="Q1346">
        <v>0.137352799999999</v>
      </c>
      <c r="R1346">
        <v>-2.19197E-2</v>
      </c>
      <c r="S1346">
        <v>-2.929932</v>
      </c>
      <c r="T1346">
        <v>0.51540549999999996</v>
      </c>
      <c r="U1346">
        <v>-1.2887569999999999</v>
      </c>
      <c r="V1346">
        <v>-8.0287399999999995E-3</v>
      </c>
      <c r="W1346">
        <v>0.1485686</v>
      </c>
      <c r="X1346">
        <v>0.98886949999999996</v>
      </c>
      <c r="Y1346">
        <v>-0.38498939999999998</v>
      </c>
      <c r="Z1346">
        <v>2.9810050000000001E-2</v>
      </c>
      <c r="AA1346">
        <v>0.92243949999999997</v>
      </c>
      <c r="AB1346">
        <v>33</v>
      </c>
      <c r="AC1346">
        <v>-48.71</v>
      </c>
      <c r="AD1346">
        <v>8.6265719999999995</v>
      </c>
      <c r="AE1346">
        <v>-21.565899999999999</v>
      </c>
      <c r="AF1346">
        <v>-20.3474225571888</v>
      </c>
      <c r="AG1346">
        <v>8.6265719999999995</v>
      </c>
      <c r="AH1346">
        <v>47.755161801263</v>
      </c>
      <c r="AI1346">
        <v>80.564500617968605</v>
      </c>
      <c r="AJ1346">
        <v>113.077785792171</v>
      </c>
      <c r="AK1346">
        <v>52.621201315218798</v>
      </c>
      <c r="AL1346">
        <v>81.4560159601712</v>
      </c>
      <c r="AM1346">
        <v>90.465180500762898</v>
      </c>
      <c r="AN1346">
        <v>0.99999998880109797</v>
      </c>
    </row>
    <row r="1347" spans="1:40" x14ac:dyDescent="0.3">
      <c r="A1347" t="str">
        <f>"20200111150340755"</f>
        <v>20200111150340755</v>
      </c>
      <c r="B1347" t="str">
        <f>"1578726220749386"</f>
        <v>1578726220749386</v>
      </c>
      <c r="C1347" t="s">
        <v>40</v>
      </c>
      <c r="D1347">
        <v>5.3860839999999897</v>
      </c>
      <c r="E1347">
        <v>0.48651610000000001</v>
      </c>
      <c r="F1347" t="s">
        <v>41</v>
      </c>
      <c r="G1347">
        <v>-361.57</v>
      </c>
      <c r="H1347" s="1">
        <v>-3.9469759999999998E-6</v>
      </c>
      <c r="I1347">
        <v>137.65309999999999</v>
      </c>
      <c r="J1347">
        <v>-324.92770000000002</v>
      </c>
      <c r="K1347">
        <v>1.104144</v>
      </c>
      <c r="L1347">
        <v>141.7491</v>
      </c>
      <c r="M1347">
        <v>-0.9998378</v>
      </c>
      <c r="N1347">
        <v>0</v>
      </c>
      <c r="O1347">
        <v>-1.4008639999999999E-2</v>
      </c>
      <c r="P1347">
        <v>-0.9902976</v>
      </c>
      <c r="Q1347">
        <v>0.13707069999999999</v>
      </c>
      <c r="R1347">
        <v>-2.286243E-2</v>
      </c>
      <c r="S1347">
        <v>-3.0346069999999998</v>
      </c>
      <c r="T1347">
        <v>-9.0597629999999998E-2</v>
      </c>
      <c r="U1347">
        <v>-0.33647159999999998</v>
      </c>
      <c r="V1347">
        <v>-8.9783090000000003E-3</v>
      </c>
      <c r="W1347">
        <v>0.148289</v>
      </c>
      <c r="X1347">
        <v>0.98890330000000004</v>
      </c>
      <c r="Y1347">
        <v>-9.6231579999999997E-2</v>
      </c>
      <c r="Z1347">
        <v>-1.0149919999999999E-3</v>
      </c>
      <c r="AA1347">
        <v>0.99535850000000003</v>
      </c>
      <c r="AB1347">
        <v>33</v>
      </c>
      <c r="AC1347">
        <v>-36.642299999999899</v>
      </c>
      <c r="AD1347">
        <v>-1.104147946976</v>
      </c>
      <c r="AE1347">
        <v>-4.0960000000000001</v>
      </c>
      <c r="AF1347">
        <v>-3.5790466551583702</v>
      </c>
      <c r="AG1347">
        <v>-1.104147946976</v>
      </c>
      <c r="AH1347">
        <v>36.663207456785599</v>
      </c>
      <c r="AI1347">
        <v>91.716840356272996</v>
      </c>
      <c r="AJ1347">
        <v>95.575523511065398</v>
      </c>
      <c r="AK1347">
        <v>36.854029612349201</v>
      </c>
      <c r="AL1347">
        <v>81.472215284704404</v>
      </c>
      <c r="AM1347">
        <v>90.520177330951896</v>
      </c>
      <c r="AN1347">
        <v>0.99999998715219396</v>
      </c>
    </row>
    <row r="1348" spans="1:40" x14ac:dyDescent="0.3">
      <c r="A1348" t="str">
        <f>"20200111150340777"</f>
        <v>20200111150340777</v>
      </c>
      <c r="B1348" t="str">
        <f>"1578726220769882"</f>
        <v>1578726220769882</v>
      </c>
      <c r="C1348" t="s">
        <v>40</v>
      </c>
      <c r="D1348">
        <v>5.3357619999999999</v>
      </c>
      <c r="E1348">
        <v>0.4745703</v>
      </c>
      <c r="F1348" t="s">
        <v>44</v>
      </c>
      <c r="G1348">
        <v>0</v>
      </c>
      <c r="H1348">
        <v>0</v>
      </c>
      <c r="I1348">
        <v>0</v>
      </c>
      <c r="J1348">
        <v>-325.26319999999998</v>
      </c>
      <c r="K1348">
        <v>1.104142</v>
      </c>
      <c r="L1348">
        <v>141.74440000000001</v>
      </c>
      <c r="M1348">
        <v>-0.99983759999999999</v>
      </c>
      <c r="N1348">
        <v>0</v>
      </c>
      <c r="O1348">
        <v>-1.400126E-2</v>
      </c>
      <c r="P1348">
        <v>-0.99031910000000001</v>
      </c>
      <c r="Q1348">
        <v>0.1369165</v>
      </c>
      <c r="R1348">
        <v>-2.2848489999999999E-2</v>
      </c>
      <c r="S1348">
        <v>-2.9706419999999998</v>
      </c>
      <c r="T1348">
        <v>0.39501940000000002</v>
      </c>
      <c r="U1348">
        <v>-0.1764984</v>
      </c>
      <c r="V1348">
        <v>-8.9714430000000008E-3</v>
      </c>
      <c r="W1348">
        <v>0.1481362</v>
      </c>
      <c r="X1348">
        <v>0.98892630000000004</v>
      </c>
      <c r="Y1348">
        <v>-4.5053999999999997E-2</v>
      </c>
      <c r="Z1348">
        <v>1.127875E-3</v>
      </c>
      <c r="AA1348">
        <v>0.99898390000000004</v>
      </c>
      <c r="AB1348">
        <v>33</v>
      </c>
      <c r="AC1348">
        <v>-2.9706419999999998</v>
      </c>
      <c r="AD1348">
        <v>0.39501940000000002</v>
      </c>
      <c r="AE1348">
        <v>-0.1764984</v>
      </c>
      <c r="AF1348">
        <v>-0.13255015505408499</v>
      </c>
      <c r="AG1348">
        <v>0.39501940000000002</v>
      </c>
      <c r="AH1348">
        <v>2.9213479887043698</v>
      </c>
      <c r="AI1348">
        <v>82.307094449372002</v>
      </c>
      <c r="AJ1348">
        <v>92.597896335049796</v>
      </c>
      <c r="AK1348">
        <v>2.95091239129329</v>
      </c>
      <c r="AL1348">
        <v>81.4810681654603</v>
      </c>
      <c r="AM1348">
        <v>90.519767468411899</v>
      </c>
      <c r="AN1348">
        <v>1.00000002368581</v>
      </c>
    </row>
    <row r="1349" spans="1:40" x14ac:dyDescent="0.3">
      <c r="A1349" t="str">
        <f>"20200111150340799"</f>
        <v>20200111150340799</v>
      </c>
      <c r="B1349" t="str">
        <f>"1578726220789406"</f>
        <v>1578726220789406</v>
      </c>
      <c r="C1349" t="s">
        <v>40</v>
      </c>
      <c r="D1349">
        <v>5.4477529999999996</v>
      </c>
      <c r="E1349">
        <v>0.47286010000000001</v>
      </c>
      <c r="F1349" t="s">
        <v>41</v>
      </c>
      <c r="G1349">
        <v>-339.19560000000001</v>
      </c>
      <c r="H1349" s="1">
        <v>-5.7493989999999999E-7</v>
      </c>
      <c r="I1349">
        <v>140.42140000000001</v>
      </c>
      <c r="J1349">
        <v>-325.57960000000003</v>
      </c>
      <c r="K1349">
        <v>1.104142</v>
      </c>
      <c r="L1349">
        <v>141.74010000000001</v>
      </c>
      <c r="M1349">
        <v>-0.99983789999999995</v>
      </c>
      <c r="N1349">
        <v>0</v>
      </c>
      <c r="O1349">
        <v>-1.399423E-2</v>
      </c>
      <c r="P1349">
        <v>-0.99034610000000001</v>
      </c>
      <c r="Q1349">
        <v>0.13680610000000001</v>
      </c>
      <c r="R1349">
        <v>-2.2337679999999999E-2</v>
      </c>
      <c r="S1349">
        <v>-3.0561219999999998</v>
      </c>
      <c r="T1349">
        <v>-0.24219859999999999</v>
      </c>
      <c r="U1349">
        <v>-0.29022219999999999</v>
      </c>
      <c r="V1349">
        <v>-8.4670130000000007E-3</v>
      </c>
      <c r="W1349">
        <v>0.14802770000000001</v>
      </c>
      <c r="X1349">
        <v>0.98894700000000002</v>
      </c>
      <c r="Y1349">
        <v>-8.0390920000000005E-2</v>
      </c>
      <c r="Z1349">
        <v>-2.0687129999999998E-3</v>
      </c>
      <c r="AA1349">
        <v>0.99676129999999996</v>
      </c>
      <c r="AB1349">
        <v>33</v>
      </c>
      <c r="AC1349">
        <v>-13.6159999999999</v>
      </c>
      <c r="AD1349">
        <v>-1.1041425749399001</v>
      </c>
      <c r="AE1349">
        <v>-1.3187</v>
      </c>
      <c r="AF1349">
        <v>-1.1207120474966601</v>
      </c>
      <c r="AG1349">
        <v>-1.1041425749399001</v>
      </c>
      <c r="AH1349">
        <v>13.544880589536399</v>
      </c>
      <c r="AI1349">
        <v>94.644493611036296</v>
      </c>
      <c r="AJ1349">
        <v>94.729915239473797</v>
      </c>
      <c r="AK1349">
        <v>13.635942083479099</v>
      </c>
      <c r="AL1349">
        <v>81.487354109002496</v>
      </c>
      <c r="AM1349">
        <v>90.490534130766903</v>
      </c>
      <c r="AN1349">
        <v>1.0000000295427101</v>
      </c>
    </row>
    <row r="1350" spans="1:40" x14ac:dyDescent="0.3">
      <c r="A1350" t="str">
        <f>"20200111150340821"</f>
        <v>20200111150340821</v>
      </c>
      <c r="B1350" t="str">
        <f>"1578726220809898"</f>
        <v>1578726220809898</v>
      </c>
      <c r="C1350" t="s">
        <v>40</v>
      </c>
      <c r="D1350">
        <v>5.3289080000000002</v>
      </c>
      <c r="E1350">
        <v>0.47335640000000001</v>
      </c>
      <c r="F1350" t="s">
        <v>41</v>
      </c>
      <c r="G1350">
        <v>-340.745</v>
      </c>
      <c r="H1350" s="1">
        <v>-4.1191409999999997E-6</v>
      </c>
      <c r="I1350">
        <v>140.24189999999999</v>
      </c>
      <c r="J1350">
        <v>-325.90179999999998</v>
      </c>
      <c r="K1350">
        <v>1.104141</v>
      </c>
      <c r="L1350">
        <v>141.7355</v>
      </c>
      <c r="M1350">
        <v>-0.99983789999999995</v>
      </c>
      <c r="N1350">
        <v>0</v>
      </c>
      <c r="O1350">
        <v>-1.3987090000000001E-2</v>
      </c>
      <c r="P1350">
        <v>-0.99049160000000003</v>
      </c>
      <c r="Q1350">
        <v>0.1358644</v>
      </c>
      <c r="R1350">
        <v>-2.1622479999999999E-2</v>
      </c>
      <c r="S1350">
        <v>-3.053131</v>
      </c>
      <c r="T1350">
        <v>-0.22229070000000001</v>
      </c>
      <c r="U1350">
        <v>-0.30159000000000002</v>
      </c>
      <c r="V1350">
        <v>-7.7569889999999997E-3</v>
      </c>
      <c r="W1350">
        <v>0.14708869999999999</v>
      </c>
      <c r="X1350">
        <v>0.98909290000000005</v>
      </c>
      <c r="Y1350">
        <v>-8.4188299999999994E-2</v>
      </c>
      <c r="Z1350">
        <v>-2.0388910000000001E-3</v>
      </c>
      <c r="AA1350">
        <v>0.99644779999999999</v>
      </c>
      <c r="AB1350">
        <v>33</v>
      </c>
      <c r="AC1350">
        <v>-14.8432</v>
      </c>
      <c r="AD1350">
        <v>-1.1041451191410001</v>
      </c>
      <c r="AE1350">
        <v>-1.49360000000001</v>
      </c>
      <c r="AF1350">
        <v>-1.2788219675772601</v>
      </c>
      <c r="AG1350">
        <v>-1.1041451191410001</v>
      </c>
      <c r="AH1350">
        <v>14.7816663008145</v>
      </c>
      <c r="AI1350">
        <v>94.256046394632307</v>
      </c>
      <c r="AJ1350">
        <v>94.944578840436407</v>
      </c>
      <c r="AK1350">
        <v>14.8779091507347</v>
      </c>
      <c r="AL1350">
        <v>81.541750140596207</v>
      </c>
      <c r="AM1350">
        <v>90.449334556857096</v>
      </c>
      <c r="AN1350">
        <v>1.0000000106882201</v>
      </c>
    </row>
    <row r="1351" spans="1:40" x14ac:dyDescent="0.3">
      <c r="A1351" t="str">
        <f>"20200111150340845"</f>
        <v>20200111150340845</v>
      </c>
      <c r="B1351" t="str">
        <f>"1578726220839178"</f>
        <v>1578726220839178</v>
      </c>
      <c r="C1351" t="s">
        <v>40</v>
      </c>
      <c r="D1351">
        <v>5.4484949999999897</v>
      </c>
      <c r="E1351">
        <v>0.47402749999999999</v>
      </c>
      <c r="F1351" t="s">
        <v>41</v>
      </c>
      <c r="G1351">
        <v>-340.40370000000001</v>
      </c>
      <c r="H1351" s="1">
        <v>-4.2658029999999998E-6</v>
      </c>
      <c r="I1351">
        <v>140.33320000000001</v>
      </c>
      <c r="J1351">
        <v>-326.24669999999998</v>
      </c>
      <c r="K1351">
        <v>1.104136</v>
      </c>
      <c r="L1351">
        <v>141.73070000000001</v>
      </c>
      <c r="M1351">
        <v>-0.99983809999999995</v>
      </c>
      <c r="N1351">
        <v>0</v>
      </c>
      <c r="O1351">
        <v>-1.397983E-2</v>
      </c>
      <c r="P1351">
        <v>-0.99079980000000001</v>
      </c>
      <c r="Q1351">
        <v>0.133720899999999</v>
      </c>
      <c r="R1351">
        <v>-2.0848760000000001E-2</v>
      </c>
      <c r="S1351">
        <v>-3.0542910000000001</v>
      </c>
      <c r="T1351">
        <v>-0.23254839999999999</v>
      </c>
      <c r="U1351">
        <v>-0.29533389999999998</v>
      </c>
      <c r="V1351">
        <v>-6.986674E-3</v>
      </c>
      <c r="W1351">
        <v>0.14495039999999901</v>
      </c>
      <c r="X1351">
        <v>0.98941429999999997</v>
      </c>
      <c r="Y1351">
        <v>-8.2125290000000004E-2</v>
      </c>
      <c r="Z1351">
        <v>-2.0544249999999999E-3</v>
      </c>
      <c r="AA1351">
        <v>0.9966199</v>
      </c>
      <c r="AB1351">
        <v>33</v>
      </c>
      <c r="AC1351">
        <v>-14.157</v>
      </c>
      <c r="AD1351">
        <v>-1.104140265803</v>
      </c>
      <c r="AE1351">
        <v>-1.3975</v>
      </c>
      <c r="AF1351">
        <v>-1.1922559528388399</v>
      </c>
      <c r="AG1351">
        <v>-1.104140265803</v>
      </c>
      <c r="AH1351">
        <v>14.090272758845201</v>
      </c>
      <c r="AI1351">
        <v>94.464758709850699</v>
      </c>
      <c r="AJ1351">
        <v>94.836591940539506</v>
      </c>
      <c r="AK1351">
        <v>14.1836661834063</v>
      </c>
      <c r="AL1351">
        <v>81.6655933998927</v>
      </c>
      <c r="AM1351">
        <v>90.404583074690194</v>
      </c>
      <c r="AN1351">
        <v>1.00000004455911</v>
      </c>
    </row>
    <row r="1352" spans="1:40" x14ac:dyDescent="0.3">
      <c r="A1352" t="str">
        <f>"20200111150340868"</f>
        <v>20200111150340868</v>
      </c>
      <c r="B1352" t="str">
        <f>"1578726220859674"</f>
        <v>1578726220859674</v>
      </c>
      <c r="C1352" t="s">
        <v>40</v>
      </c>
      <c r="D1352">
        <v>5.4392579999999997</v>
      </c>
      <c r="E1352">
        <v>0.47417880000000001</v>
      </c>
      <c r="F1352" t="s">
        <v>41</v>
      </c>
      <c r="G1352">
        <v>-340.03019999999998</v>
      </c>
      <c r="H1352" s="1">
        <v>-4.4114849999999998E-6</v>
      </c>
      <c r="I1352">
        <v>140.43780000000001</v>
      </c>
      <c r="J1352">
        <v>-326.59059999999999</v>
      </c>
      <c r="K1352">
        <v>1.104125</v>
      </c>
      <c r="L1352">
        <v>141.7259</v>
      </c>
      <c r="M1352">
        <v>-0.99983829999999996</v>
      </c>
      <c r="N1352">
        <v>0</v>
      </c>
      <c r="O1352">
        <v>-1.3972679999999999E-2</v>
      </c>
      <c r="P1352">
        <v>-0.99132949999999997</v>
      </c>
      <c r="Q1352">
        <v>0.1299343</v>
      </c>
      <c r="R1352">
        <v>-1.958087E-2</v>
      </c>
      <c r="S1352">
        <v>-3.0548709999999999</v>
      </c>
      <c r="T1352">
        <v>-0.24471619999999999</v>
      </c>
      <c r="U1352">
        <v>-0.28652949999999999</v>
      </c>
      <c r="V1352">
        <v>-5.718351E-3</v>
      </c>
      <c r="W1352">
        <v>0.14117109999999999</v>
      </c>
      <c r="X1352">
        <v>0.98996870000000003</v>
      </c>
      <c r="Y1352">
        <v>-7.9255590000000001E-2</v>
      </c>
      <c r="Z1352">
        <v>-2.047531E-3</v>
      </c>
      <c r="AA1352">
        <v>0.99685219999999997</v>
      </c>
      <c r="AB1352">
        <v>33</v>
      </c>
      <c r="AC1352">
        <v>-13.439599999999899</v>
      </c>
      <c r="AD1352">
        <v>-1.104129411485</v>
      </c>
      <c r="AE1352">
        <v>-1.28809999999998</v>
      </c>
      <c r="AF1352">
        <v>-1.0928658899816801</v>
      </c>
      <c r="AG1352">
        <v>-1.104129411485</v>
      </c>
      <c r="AH1352">
        <v>13.3668894713153</v>
      </c>
      <c r="AI1352">
        <v>94.706382699883406</v>
      </c>
      <c r="AJ1352">
        <v>94.674059629578593</v>
      </c>
      <c r="AK1352">
        <v>13.456864112754999</v>
      </c>
      <c r="AL1352">
        <v>81.884381608686098</v>
      </c>
      <c r="AM1352">
        <v>90.330953629352294</v>
      </c>
      <c r="AN1352">
        <v>1.0000000029965199</v>
      </c>
    </row>
    <row r="1353" spans="1:40" x14ac:dyDescent="0.3">
      <c r="A1353" t="str">
        <f>"20200111150340888"</f>
        <v>20200111150340888</v>
      </c>
      <c r="B1353" t="str">
        <f>"1578726220879197"</f>
        <v>1578726220879197</v>
      </c>
      <c r="C1353" t="s">
        <v>40</v>
      </c>
      <c r="D1353">
        <v>5.4272799999999997</v>
      </c>
      <c r="E1353">
        <v>0.47412080000000001</v>
      </c>
      <c r="F1353" t="s">
        <v>41</v>
      </c>
      <c r="G1353">
        <v>-339.62090000000001</v>
      </c>
      <c r="H1353" s="1">
        <v>-4.0231940000000001E-7</v>
      </c>
      <c r="I1353">
        <v>140.5283</v>
      </c>
      <c r="J1353">
        <v>-326.89690000000002</v>
      </c>
      <c r="K1353">
        <v>1.1041080000000001</v>
      </c>
      <c r="L1353">
        <v>141.7216</v>
      </c>
      <c r="M1353">
        <v>-0.99983820000000001</v>
      </c>
      <c r="N1353">
        <v>0</v>
      </c>
      <c r="O1353">
        <v>-1.39659E-2</v>
      </c>
      <c r="P1353">
        <v>-0.99202140000000005</v>
      </c>
      <c r="Q1353">
        <v>0.1247779</v>
      </c>
      <c r="R1353">
        <v>-1.8006769999999998E-2</v>
      </c>
      <c r="S1353">
        <v>-3.0546570000000002</v>
      </c>
      <c r="T1353">
        <v>-0.25883699999999998</v>
      </c>
      <c r="U1353">
        <v>-0.28074650000000001</v>
      </c>
      <c r="V1353">
        <v>-4.1418640000000003E-3</v>
      </c>
      <c r="W1353">
        <v>0.1360247</v>
      </c>
      <c r="X1353">
        <v>0.99069680000000004</v>
      </c>
      <c r="Y1353">
        <v>-7.737956E-2</v>
      </c>
      <c r="Z1353">
        <v>-2.0870039999999999E-3</v>
      </c>
      <c r="AA1353">
        <v>0.99699950000000004</v>
      </c>
      <c r="AB1353">
        <v>33</v>
      </c>
      <c r="AC1353">
        <v>-12.723999999999901</v>
      </c>
      <c r="AD1353">
        <v>-1.1041084023193899</v>
      </c>
      <c r="AE1353">
        <v>-1.19329999999999</v>
      </c>
      <c r="AF1353">
        <v>-1.0079467334911401</v>
      </c>
      <c r="AG1353">
        <v>-1.1041084023193899</v>
      </c>
      <c r="AH1353">
        <v>12.645042568958599</v>
      </c>
      <c r="AI1353">
        <v>94.974455705638803</v>
      </c>
      <c r="AJ1353">
        <v>94.557457550596197</v>
      </c>
      <c r="AK1353">
        <v>12.733110914164</v>
      </c>
      <c r="AL1353">
        <v>82.182122603705594</v>
      </c>
      <c r="AM1353">
        <v>90.239538417704793</v>
      </c>
      <c r="AN1353">
        <v>1.0000000117888601</v>
      </c>
    </row>
    <row r="1354" spans="1:40" x14ac:dyDescent="0.3">
      <c r="A1354" t="str">
        <f>"20200111150340911"</f>
        <v>20200111150340911</v>
      </c>
      <c r="B1354" t="str">
        <f>"1578726220899690"</f>
        <v>1578726220899690</v>
      </c>
      <c r="C1354" t="s">
        <v>40</v>
      </c>
      <c r="D1354">
        <v>5.611351</v>
      </c>
      <c r="E1354">
        <v>0.47420709999999999</v>
      </c>
      <c r="F1354" t="s">
        <v>41</v>
      </c>
      <c r="G1354">
        <v>-339.04910000000001</v>
      </c>
      <c r="H1354" s="1">
        <v>-6.9677239999999998E-7</v>
      </c>
      <c r="I1354">
        <v>140.6191</v>
      </c>
      <c r="J1354">
        <v>-327.21969999999999</v>
      </c>
      <c r="K1354">
        <v>1.1040939999999999</v>
      </c>
      <c r="L1354">
        <v>141.71719999999999</v>
      </c>
      <c r="M1354">
        <v>-0.99983820000000001</v>
      </c>
      <c r="N1354">
        <v>0</v>
      </c>
      <c r="O1354">
        <v>-1.395887E-2</v>
      </c>
      <c r="P1354">
        <v>-0.9924094</v>
      </c>
      <c r="Q1354">
        <v>0.12188060000000001</v>
      </c>
      <c r="R1354">
        <v>-1.6398630000000001E-2</v>
      </c>
      <c r="S1354">
        <v>-3.0540159999999998</v>
      </c>
      <c r="T1354">
        <v>-0.27747630000000001</v>
      </c>
      <c r="U1354">
        <v>-0.27708440000000001</v>
      </c>
      <c r="V1354">
        <v>-2.5362280000000002E-3</v>
      </c>
      <c r="W1354">
        <v>0.1331331</v>
      </c>
      <c r="X1354">
        <v>0.9910949</v>
      </c>
      <c r="Y1354">
        <v>-7.6191120000000001E-2</v>
      </c>
      <c r="Z1354">
        <v>-2.184152E-3</v>
      </c>
      <c r="AA1354">
        <v>0.99709080000000005</v>
      </c>
      <c r="AB1354">
        <v>33</v>
      </c>
      <c r="AC1354">
        <v>-11.8294</v>
      </c>
      <c r="AD1354">
        <v>-1.1040946967723999</v>
      </c>
      <c r="AE1354">
        <v>-1.0980999999999801</v>
      </c>
      <c r="AF1354">
        <v>-0.92486925424215904</v>
      </c>
      <c r="AG1354">
        <v>-1.1040946967723999</v>
      </c>
      <c r="AH1354">
        <v>11.742159971264799</v>
      </c>
      <c r="AI1354">
        <v>95.3551391933525</v>
      </c>
      <c r="AJ1354">
        <v>94.503594508360607</v>
      </c>
      <c r="AK1354">
        <v>11.830161834381499</v>
      </c>
      <c r="AL1354">
        <v>82.349319894119404</v>
      </c>
      <c r="AM1354">
        <v>90.146620513416195</v>
      </c>
      <c r="AN1354">
        <v>0.99999997778704297</v>
      </c>
    </row>
    <row r="1355" spans="1:40" x14ac:dyDescent="0.3">
      <c r="A1355" t="str">
        <f>"20200111150340933"</f>
        <v>20200111150340933</v>
      </c>
      <c r="B1355" t="str">
        <f>"1578726220929946"</f>
        <v>1578726220929946</v>
      </c>
      <c r="C1355" t="s">
        <v>40</v>
      </c>
      <c r="D1355">
        <v>5.4731930000000002</v>
      </c>
      <c r="E1355">
        <v>0.4742325</v>
      </c>
      <c r="F1355" t="s">
        <v>41</v>
      </c>
      <c r="G1355">
        <v>-339.04660000000001</v>
      </c>
      <c r="H1355" s="1">
        <v>-7.098888E-7</v>
      </c>
      <c r="I1355">
        <v>140.66390000000001</v>
      </c>
      <c r="J1355">
        <v>-327.55739999999997</v>
      </c>
      <c r="K1355">
        <v>1.1040909999999999</v>
      </c>
      <c r="L1355">
        <v>141.7124</v>
      </c>
      <c r="M1355">
        <v>-0.99983829999999996</v>
      </c>
      <c r="N1355">
        <v>0</v>
      </c>
      <c r="O1355">
        <v>-1.3951369999999999E-2</v>
      </c>
      <c r="P1355">
        <v>-0.99240170000000005</v>
      </c>
      <c r="Q1355">
        <v>0.122055</v>
      </c>
      <c r="R1355">
        <v>-1.553862E-2</v>
      </c>
      <c r="S1355">
        <v>-3.0534669999999999</v>
      </c>
      <c r="T1355">
        <v>-0.28505540000000001</v>
      </c>
      <c r="U1355">
        <v>-0.27192690000000003</v>
      </c>
      <c r="V1355">
        <v>-1.683632E-3</v>
      </c>
      <c r="W1355">
        <v>0.13330880000000001</v>
      </c>
      <c r="X1355">
        <v>0.99107310000000004</v>
      </c>
      <c r="Y1355">
        <v>-7.453688E-2</v>
      </c>
      <c r="Z1355">
        <v>-2.1679220000000001E-3</v>
      </c>
      <c r="AA1355">
        <v>0.99721590000000004</v>
      </c>
      <c r="AB1355">
        <v>33</v>
      </c>
      <c r="AC1355">
        <v>-11.4892</v>
      </c>
      <c r="AD1355">
        <v>-1.1040917098887999</v>
      </c>
      <c r="AE1355">
        <v>-1.04849999999999</v>
      </c>
      <c r="AF1355">
        <v>-0.88003763652807998</v>
      </c>
      <c r="AG1355">
        <v>-1.1040917098887999</v>
      </c>
      <c r="AH1355">
        <v>11.398318066735101</v>
      </c>
      <c r="AI1355">
        <v>95.516347539218899</v>
      </c>
      <c r="AJ1355">
        <v>94.4149153496422</v>
      </c>
      <c r="AK1355">
        <v>11.4854316199267</v>
      </c>
      <c r="AL1355">
        <v>82.339162504245294</v>
      </c>
      <c r="AM1355">
        <v>90.097333804193497</v>
      </c>
      <c r="AN1355">
        <v>0.99999998015888003</v>
      </c>
    </row>
    <row r="1356" spans="1:40" x14ac:dyDescent="0.3">
      <c r="A1356" t="str">
        <f>"20200111150340962"</f>
        <v>20200111150340962</v>
      </c>
      <c r="B1356" t="str">
        <f>"1578726220959227"</f>
        <v>1578726220959227</v>
      </c>
      <c r="C1356" t="s">
        <v>40</v>
      </c>
      <c r="D1356">
        <v>5.4281459999999999</v>
      </c>
      <c r="E1356">
        <v>0.47440460000000001</v>
      </c>
      <c r="F1356" t="s">
        <v>41</v>
      </c>
      <c r="G1356">
        <v>-339.28590000000003</v>
      </c>
      <c r="H1356" s="1">
        <v>-5.9995180000000004E-7</v>
      </c>
      <c r="I1356">
        <v>140.67599999999999</v>
      </c>
      <c r="J1356">
        <v>-327.97649999999999</v>
      </c>
      <c r="K1356">
        <v>1.104096</v>
      </c>
      <c r="L1356">
        <v>141.70660000000001</v>
      </c>
      <c r="M1356">
        <v>-0.99983840000000002</v>
      </c>
      <c r="N1356">
        <v>0</v>
      </c>
      <c r="O1356">
        <v>-1.39422E-2</v>
      </c>
      <c r="P1356">
        <v>-0.99207120000000004</v>
      </c>
      <c r="Q1356">
        <v>0.12469520000000001</v>
      </c>
      <c r="R1356">
        <v>-1.5679120000000001E-2</v>
      </c>
      <c r="S1356">
        <v>-3.0541079999999998</v>
      </c>
      <c r="T1356">
        <v>-0.28750530000000002</v>
      </c>
      <c r="U1356">
        <v>-0.26989750000000001</v>
      </c>
      <c r="V1356">
        <v>-1.837502E-3</v>
      </c>
      <c r="W1356">
        <v>0.13594729999999999</v>
      </c>
      <c r="X1356">
        <v>0.9907144</v>
      </c>
      <c r="Y1356">
        <v>-7.386856E-2</v>
      </c>
      <c r="Z1356">
        <v>-2.1556129999999998E-3</v>
      </c>
      <c r="AA1356">
        <v>0.99726559999999997</v>
      </c>
      <c r="AB1356">
        <v>33</v>
      </c>
      <c r="AC1356">
        <v>-11.3094</v>
      </c>
      <c r="AD1356">
        <v>-1.1040965999518</v>
      </c>
      <c r="AE1356">
        <v>-1.03059999999999</v>
      </c>
      <c r="AF1356">
        <v>-0.86463880771384605</v>
      </c>
      <c r="AG1356">
        <v>-1.1040965999518</v>
      </c>
      <c r="AH1356">
        <v>11.2166458278571</v>
      </c>
      <c r="AI1356">
        <v>95.605206419822693</v>
      </c>
      <c r="AJ1356">
        <v>94.407946781952504</v>
      </c>
      <c r="AK1356">
        <v>11.3039715674366</v>
      </c>
      <c r="AL1356">
        <v>82.186599049500003</v>
      </c>
      <c r="AM1356">
        <v>90.106267748530399</v>
      </c>
      <c r="AN1356">
        <v>1.0000000335791199</v>
      </c>
    </row>
    <row r="1357" spans="1:40" x14ac:dyDescent="0.3">
      <c r="A1357" t="str">
        <f>"20200111150340979"</f>
        <v>20200111150340979</v>
      </c>
      <c r="B1357" t="str">
        <f>"1578726220969965"</f>
        <v>1578726220969965</v>
      </c>
      <c r="C1357" t="s">
        <v>40</v>
      </c>
      <c r="D1357">
        <v>5.4738129999999998</v>
      </c>
      <c r="E1357">
        <v>0.47436859999999997</v>
      </c>
      <c r="F1357" t="s">
        <v>41</v>
      </c>
      <c r="G1357">
        <v>-339.96749999999997</v>
      </c>
      <c r="H1357" s="1">
        <v>-4.4704800000000001E-6</v>
      </c>
      <c r="I1357">
        <v>140.65029999999999</v>
      </c>
      <c r="J1357">
        <v>-328.2337</v>
      </c>
      <c r="K1357">
        <v>1.1041019999999999</v>
      </c>
      <c r="L1357">
        <v>141.703</v>
      </c>
      <c r="M1357">
        <v>-0.99983849999999996</v>
      </c>
      <c r="N1357">
        <v>0</v>
      </c>
      <c r="O1357">
        <v>-1.3936850000000001E-2</v>
      </c>
      <c r="P1357">
        <v>-0.99182459999999995</v>
      </c>
      <c r="Q1357">
        <v>0.12658639999999999</v>
      </c>
      <c r="R1357">
        <v>-1.6125339999999998E-2</v>
      </c>
      <c r="S1357">
        <v>-3.0550839999999999</v>
      </c>
      <c r="T1357">
        <v>-0.28130429999999901</v>
      </c>
      <c r="U1357">
        <v>-0.26910400000000001</v>
      </c>
      <c r="V1357">
        <v>-2.2923000000000002E-3</v>
      </c>
      <c r="W1357">
        <v>0.13783709999999999</v>
      </c>
      <c r="X1357">
        <v>0.9904522</v>
      </c>
      <c r="Y1357">
        <v>-7.3601379999999994E-2</v>
      </c>
      <c r="Z1357">
        <v>-2.0969109999999999E-3</v>
      </c>
      <c r="AA1357">
        <v>0.99728550000000005</v>
      </c>
      <c r="AB1357">
        <v>33</v>
      </c>
      <c r="AC1357">
        <v>-11.733799999999899</v>
      </c>
      <c r="AD1357">
        <v>-1.1041064704799901</v>
      </c>
      <c r="AE1357">
        <v>-1.05270000000001</v>
      </c>
      <c r="AF1357">
        <v>-0.88131406815890601</v>
      </c>
      <c r="AG1357">
        <v>-1.1041064704799901</v>
      </c>
      <c r="AH1357">
        <v>11.645049300357099</v>
      </c>
      <c r="AI1357">
        <v>95.400861941823507</v>
      </c>
      <c r="AJ1357">
        <v>94.327976438399702</v>
      </c>
      <c r="AK1357">
        <v>11.7304279032198</v>
      </c>
      <c r="AL1357">
        <v>82.077291712897804</v>
      </c>
      <c r="AM1357">
        <v>90.1326049665753</v>
      </c>
      <c r="AN1357">
        <v>0.99999994063026798</v>
      </c>
    </row>
    <row r="1358" spans="1:40" x14ac:dyDescent="0.3">
      <c r="A1358" t="str">
        <f>"20200111150341000"</f>
        <v>20200111150341000</v>
      </c>
      <c r="B1358" t="str">
        <f>"1578726220989482"</f>
        <v>1578726220989482</v>
      </c>
      <c r="C1358" t="s">
        <v>40</v>
      </c>
      <c r="D1358">
        <v>5.2696480000000001</v>
      </c>
      <c r="E1358">
        <v>0.47475430000000002</v>
      </c>
      <c r="F1358" t="s">
        <v>41</v>
      </c>
      <c r="G1358">
        <v>-340.56330000000003</v>
      </c>
      <c r="H1358" s="1">
        <v>-4.2607389999999997E-6</v>
      </c>
      <c r="I1358">
        <v>140.61080000000001</v>
      </c>
      <c r="J1358">
        <v>-328.54480000000001</v>
      </c>
      <c r="K1358">
        <v>1.1041129999999999</v>
      </c>
      <c r="L1358">
        <v>141.6987</v>
      </c>
      <c r="M1358">
        <v>-0.99983849999999996</v>
      </c>
      <c r="N1358">
        <v>0</v>
      </c>
      <c r="O1358">
        <v>-1.3929820000000001E-2</v>
      </c>
      <c r="P1358">
        <v>-0.99169629999999998</v>
      </c>
      <c r="Q1358">
        <v>0.12762509999999999</v>
      </c>
      <c r="R1358">
        <v>-1.5828749999999999E-2</v>
      </c>
      <c r="S1358">
        <v>-3.0552060000000001</v>
      </c>
      <c r="T1358">
        <v>-0.2735937</v>
      </c>
      <c r="U1358">
        <v>-0.27061459999999998</v>
      </c>
      <c r="V1358">
        <v>-2.004385E-3</v>
      </c>
      <c r="W1358">
        <v>0.1388751</v>
      </c>
      <c r="X1358">
        <v>0.99030790000000002</v>
      </c>
      <c r="Y1358">
        <v>-7.4105690000000002E-2</v>
      </c>
      <c r="Z1358">
        <v>-2.0626590000000001E-3</v>
      </c>
      <c r="AA1358">
        <v>0.99724820000000003</v>
      </c>
      <c r="AB1358">
        <v>33</v>
      </c>
      <c r="AC1358">
        <v>-12.0185</v>
      </c>
      <c r="AD1358">
        <v>-1.104117260739</v>
      </c>
      <c r="AE1358">
        <v>-1.0878999999999901</v>
      </c>
      <c r="AF1358">
        <v>-0.91272750517977497</v>
      </c>
      <c r="AG1358">
        <v>-1.104117260739</v>
      </c>
      <c r="AH1358">
        <v>11.932599229387201</v>
      </c>
      <c r="AI1358">
        <v>95.271185505829607</v>
      </c>
      <c r="AJ1358">
        <v>94.374051295231197</v>
      </c>
      <c r="AK1358">
        <v>12.018280692068499</v>
      </c>
      <c r="AL1358">
        <v>82.017241822761406</v>
      </c>
      <c r="AM1358">
        <v>90.115966604122406</v>
      </c>
      <c r="AN1358">
        <v>1.00000002388082</v>
      </c>
    </row>
    <row r="1359" spans="1:40" x14ac:dyDescent="0.3">
      <c r="A1359" t="str">
        <f>"20200111150341022"</f>
        <v>20200111150341022</v>
      </c>
      <c r="B1359" t="str">
        <f>"1578726221019738"</f>
        <v>1578726221019738</v>
      </c>
      <c r="C1359" t="s">
        <v>40</v>
      </c>
      <c r="D1359">
        <v>5.538875</v>
      </c>
      <c r="E1359">
        <v>0.47429670000000002</v>
      </c>
      <c r="F1359" t="s">
        <v>41</v>
      </c>
      <c r="G1359">
        <v>-340.99459999999999</v>
      </c>
      <c r="H1359" s="1">
        <v>-4.1092829999999999E-6</v>
      </c>
      <c r="I1359">
        <v>140.60730000000001</v>
      </c>
      <c r="J1359">
        <v>-328.87520000000001</v>
      </c>
      <c r="K1359">
        <v>1.104123</v>
      </c>
      <c r="L1359">
        <v>141.69409999999999</v>
      </c>
      <c r="M1359">
        <v>-0.99983869999999997</v>
      </c>
      <c r="N1359">
        <v>0</v>
      </c>
      <c r="O1359">
        <v>-1.392291E-2</v>
      </c>
      <c r="P1359">
        <v>-0.99162099999999997</v>
      </c>
      <c r="Q1359">
        <v>0.12827669999999999</v>
      </c>
      <c r="R1359">
        <v>-1.526069E-2</v>
      </c>
      <c r="S1359">
        <v>-3.0557560000000001</v>
      </c>
      <c r="T1359">
        <v>-0.27100249999999998</v>
      </c>
      <c r="U1359">
        <v>-0.2678528</v>
      </c>
      <c r="V1359">
        <v>-1.44420299999999E-3</v>
      </c>
      <c r="W1359">
        <v>0.13952719999999999</v>
      </c>
      <c r="X1359">
        <v>0.99021720000000002</v>
      </c>
      <c r="Y1359">
        <v>-7.3210419999999998E-2</v>
      </c>
      <c r="Z1359">
        <v>-2.003978E-3</v>
      </c>
      <c r="AA1359">
        <v>0.99731449999999999</v>
      </c>
      <c r="AB1359">
        <v>33</v>
      </c>
      <c r="AC1359">
        <v>-12.119399999999899</v>
      </c>
      <c r="AD1359">
        <v>-1.1041271092829901</v>
      </c>
      <c r="AE1359">
        <v>-1.08679999999998</v>
      </c>
      <c r="AF1359">
        <v>-0.91045005265483203</v>
      </c>
      <c r="AG1359">
        <v>-1.1041271092829901</v>
      </c>
      <c r="AH1359">
        <v>12.0342703946061</v>
      </c>
      <c r="AI1359">
        <v>95.227274607761601</v>
      </c>
      <c r="AJ1359">
        <v>94.326457659002998</v>
      </c>
      <c r="AK1359">
        <v>12.119062665995401</v>
      </c>
      <c r="AL1359">
        <v>81.979511833482107</v>
      </c>
      <c r="AM1359">
        <v>90.083564169546804</v>
      </c>
      <c r="AN1359">
        <v>1.00000001421899</v>
      </c>
    </row>
    <row r="1360" spans="1:40" x14ac:dyDescent="0.3">
      <c r="A1360" t="str">
        <f>"20200111150341045"</f>
        <v>20200111150341045</v>
      </c>
      <c r="B1360" t="str">
        <f>"1578726221040234"</f>
        <v>1578726221040234</v>
      </c>
      <c r="C1360" t="s">
        <v>40</v>
      </c>
      <c r="D1360">
        <v>5.4808479999999999</v>
      </c>
      <c r="E1360">
        <v>0.47388940000000002</v>
      </c>
      <c r="F1360" t="s">
        <v>41</v>
      </c>
      <c r="G1360">
        <v>-341.4622</v>
      </c>
      <c r="H1360" s="1">
        <v>-3.9010289999999997E-6</v>
      </c>
      <c r="I1360">
        <v>140.57859999999999</v>
      </c>
      <c r="J1360">
        <v>-329.2124</v>
      </c>
      <c r="K1360">
        <v>1.104128</v>
      </c>
      <c r="L1360">
        <v>141.68940000000001</v>
      </c>
      <c r="M1360">
        <v>-0.99983869999999997</v>
      </c>
      <c r="N1360">
        <v>0</v>
      </c>
      <c r="O1360">
        <v>-1.391565E-2</v>
      </c>
      <c r="P1360">
        <v>-0.99155020000000005</v>
      </c>
      <c r="Q1360">
        <v>0.12878689999999901</v>
      </c>
      <c r="R1360">
        <v>-1.556301E-2</v>
      </c>
      <c r="S1360">
        <v>-3.055847</v>
      </c>
      <c r="T1360">
        <v>-0.26805889999999999</v>
      </c>
      <c r="U1360">
        <v>-0.27079769999999997</v>
      </c>
      <c r="V1360">
        <v>-1.7547649999999999E-3</v>
      </c>
      <c r="W1360">
        <v>0.1400381</v>
      </c>
      <c r="X1360">
        <v>0.99014460000000004</v>
      </c>
      <c r="Y1360">
        <v>-7.4170089999999994E-2</v>
      </c>
      <c r="Z1360">
        <v>-2.024718E-3</v>
      </c>
      <c r="AA1360">
        <v>0.99724349999999995</v>
      </c>
      <c r="AB1360">
        <v>33</v>
      </c>
      <c r="AC1360">
        <v>-12.249799999999899</v>
      </c>
      <c r="AD1360">
        <v>-1.1041319010290001</v>
      </c>
      <c r="AE1360">
        <v>-1.11080000000001</v>
      </c>
      <c r="AF1360">
        <v>-0.93270179665858299</v>
      </c>
      <c r="AG1360">
        <v>-1.1041319010290001</v>
      </c>
      <c r="AH1360">
        <v>12.1660382526841</v>
      </c>
      <c r="AI1360">
        <v>95.170596832248705</v>
      </c>
      <c r="AJ1360">
        <v>94.383970091015499</v>
      </c>
      <c r="AK1360">
        <v>12.251592821430799</v>
      </c>
      <c r="AL1360">
        <v>81.9499493789436</v>
      </c>
      <c r="AM1360">
        <v>90.101541252942198</v>
      </c>
      <c r="AN1360">
        <v>1.0000000387804799</v>
      </c>
    </row>
    <row r="1361" spans="1:40" x14ac:dyDescent="0.3">
      <c r="A1361" t="str">
        <f>"20200111150341067"</f>
        <v>20200111150341067</v>
      </c>
      <c r="B1361" t="str">
        <f>"1578726221059754"</f>
        <v>1578726221059754</v>
      </c>
      <c r="C1361" t="s">
        <v>40</v>
      </c>
      <c r="D1361">
        <v>5.5162979999999999</v>
      </c>
      <c r="E1361">
        <v>0.47355809999999998</v>
      </c>
      <c r="F1361" t="s">
        <v>41</v>
      </c>
      <c r="G1361">
        <v>-341.9083</v>
      </c>
      <c r="H1361" s="1">
        <v>-3.7020139999999998E-6</v>
      </c>
      <c r="I1361">
        <v>140.5498</v>
      </c>
      <c r="J1361">
        <v>-329.54829999999998</v>
      </c>
      <c r="K1361">
        <v>1.104125</v>
      </c>
      <c r="L1361">
        <v>141.68469999999999</v>
      </c>
      <c r="M1361">
        <v>-0.99983889999999997</v>
      </c>
      <c r="N1361">
        <v>0</v>
      </c>
      <c r="O1361">
        <v>-1.390827E-2</v>
      </c>
      <c r="P1361">
        <v>-0.99153440000000004</v>
      </c>
      <c r="Q1361">
        <v>0.12882379999999999</v>
      </c>
      <c r="R1361">
        <v>-1.6255599999999999E-2</v>
      </c>
      <c r="S1361">
        <v>-3.0557859999999999</v>
      </c>
      <c r="T1361">
        <v>-0.26575670000000001</v>
      </c>
      <c r="U1361">
        <v>-0.27427669999999998</v>
      </c>
      <c r="V1361">
        <v>-2.454931E-3</v>
      </c>
      <c r="W1361">
        <v>0.140076799999999</v>
      </c>
      <c r="X1361">
        <v>0.99013759999999995</v>
      </c>
      <c r="Y1361">
        <v>-7.5305189999999994E-2</v>
      </c>
      <c r="Z1361">
        <v>-2.057143E-3</v>
      </c>
      <c r="AA1361">
        <v>0.9971584</v>
      </c>
      <c r="AB1361">
        <v>33</v>
      </c>
      <c r="AC1361">
        <v>-12.36</v>
      </c>
      <c r="AD1361">
        <v>-1.104128702014</v>
      </c>
      <c r="AE1361">
        <v>-1.13489999999998</v>
      </c>
      <c r="AF1361">
        <v>-0.95531327272257105</v>
      </c>
      <c r="AG1361">
        <v>-1.104128702014</v>
      </c>
      <c r="AH1361">
        <v>12.2774351164388</v>
      </c>
      <c r="AI1361">
        <v>95.123470080924207</v>
      </c>
      <c r="AJ1361">
        <v>94.449247988509399</v>
      </c>
      <c r="AK1361">
        <v>12.363945028914401</v>
      </c>
      <c r="AL1361">
        <v>81.947709659167302</v>
      </c>
      <c r="AM1361">
        <v>90.142057929195104</v>
      </c>
      <c r="AN1361">
        <v>1.0000000017591</v>
      </c>
    </row>
    <row r="1362" spans="1:40" x14ac:dyDescent="0.3">
      <c r="A1362" t="str">
        <f>"20200111150341090"</f>
        <v>20200111150341090</v>
      </c>
      <c r="B1362" t="str">
        <f>"1578726221080260"</f>
        <v>1578726221080260</v>
      </c>
      <c r="C1362" t="s">
        <v>40</v>
      </c>
      <c r="D1362">
        <v>5.4513619999999996</v>
      </c>
      <c r="E1362">
        <v>0.47359820000000002</v>
      </c>
      <c r="F1362" t="s">
        <v>41</v>
      </c>
      <c r="G1362">
        <v>-342.28730000000002</v>
      </c>
      <c r="H1362" s="1">
        <v>-3.532093E-6</v>
      </c>
      <c r="I1362">
        <v>140.5223</v>
      </c>
      <c r="J1362">
        <v>-329.8689</v>
      </c>
      <c r="K1362">
        <v>1.1041219999999901</v>
      </c>
      <c r="L1362">
        <v>141.68029999999999</v>
      </c>
      <c r="M1362">
        <v>-0.99983889999999997</v>
      </c>
      <c r="N1362">
        <v>0</v>
      </c>
      <c r="O1362">
        <v>-1.3901129999999999E-2</v>
      </c>
      <c r="P1362">
        <v>-0.99148420000000004</v>
      </c>
      <c r="Q1362">
        <v>0.12915470000000001</v>
      </c>
      <c r="R1362">
        <v>-1.6687159999999999E-2</v>
      </c>
      <c r="S1362">
        <v>-3.0554199999999998</v>
      </c>
      <c r="T1362">
        <v>-0.26482420000000001</v>
      </c>
      <c r="U1362">
        <v>-0.27879330000000002</v>
      </c>
      <c r="V1362">
        <v>-2.89435E-3</v>
      </c>
      <c r="W1362">
        <v>0.1404087</v>
      </c>
      <c r="X1362">
        <v>0.99008940000000001</v>
      </c>
      <c r="Y1362">
        <v>-7.6780999999999905E-2</v>
      </c>
      <c r="Z1362">
        <v>-2.114384E-3</v>
      </c>
      <c r="AA1362">
        <v>0.99704579999999998</v>
      </c>
      <c r="AB1362">
        <v>33</v>
      </c>
      <c r="AC1362">
        <v>-12.4184</v>
      </c>
      <c r="AD1362">
        <v>-1.1041255320929999</v>
      </c>
      <c r="AE1362">
        <v>-1.1579999999999799</v>
      </c>
      <c r="AF1362">
        <v>-0.97758590474303197</v>
      </c>
      <c r="AG1362">
        <v>-1.1041255320929999</v>
      </c>
      <c r="AH1362">
        <v>12.3366173325775</v>
      </c>
      <c r="AI1362">
        <v>95.098439790639404</v>
      </c>
      <c r="AJ1362">
        <v>94.530800071327903</v>
      </c>
      <c r="AK1362">
        <v>12.4244474566165</v>
      </c>
      <c r="AL1362">
        <v>81.928503363969895</v>
      </c>
      <c r="AM1362">
        <v>90.167493528403199</v>
      </c>
      <c r="AN1362">
        <v>1.00000000014498</v>
      </c>
    </row>
    <row r="1363" spans="1:40" x14ac:dyDescent="0.3">
      <c r="A1363" t="str">
        <f>"20200111150341112"</f>
        <v>20200111150341112</v>
      </c>
      <c r="B1363" t="str">
        <f>"1578726221099779"</f>
        <v>1578726221099779</v>
      </c>
      <c r="C1363" t="s">
        <v>40</v>
      </c>
      <c r="D1363">
        <v>5.5498209999999997</v>
      </c>
      <c r="E1363">
        <v>0.50876929999999998</v>
      </c>
      <c r="F1363" t="s">
        <v>41</v>
      </c>
      <c r="G1363">
        <v>-342.77910000000003</v>
      </c>
      <c r="H1363" s="1">
        <v>-3.3138119999999998E-6</v>
      </c>
      <c r="I1363">
        <v>140.4949</v>
      </c>
      <c r="J1363">
        <v>-330.19740000000002</v>
      </c>
      <c r="K1363">
        <v>1.1041209999999999</v>
      </c>
      <c r="L1363">
        <v>141.67570000000001</v>
      </c>
      <c r="M1363">
        <v>-0.99983900000000003</v>
      </c>
      <c r="N1363">
        <v>0</v>
      </c>
      <c r="O1363">
        <v>-1.38941E-2</v>
      </c>
      <c r="P1363">
        <v>-0.99137969999999997</v>
      </c>
      <c r="Q1363">
        <v>0.12980120000000001</v>
      </c>
      <c r="R1363">
        <v>-1.783218E-2</v>
      </c>
      <c r="S1363">
        <v>-3.0550540000000002</v>
      </c>
      <c r="T1363">
        <v>-0.26127979999999901</v>
      </c>
      <c r="U1363">
        <v>-0.28048709999999999</v>
      </c>
      <c r="V1363">
        <v>-4.0478119999999996E-3</v>
      </c>
      <c r="W1363">
        <v>0.14105599999999999</v>
      </c>
      <c r="X1363">
        <v>0.98999329999999996</v>
      </c>
      <c r="Y1363">
        <v>-7.7351050000000005E-2</v>
      </c>
      <c r="Z1363">
        <v>-2.1112650000000002E-3</v>
      </c>
      <c r="AA1363">
        <v>0.99700169999999999</v>
      </c>
      <c r="AB1363">
        <v>33</v>
      </c>
      <c r="AC1363">
        <v>-12.5817</v>
      </c>
      <c r="AD1363">
        <v>-1.1041243138119901</v>
      </c>
      <c r="AE1363">
        <v>-1.1808000000000001</v>
      </c>
      <c r="AF1363">
        <v>-0.99824281047226504</v>
      </c>
      <c r="AG1363">
        <v>-1.1041243138119901</v>
      </c>
      <c r="AH1363">
        <v>12.501457183989</v>
      </c>
      <c r="AI1363">
        <v>95.031315030606294</v>
      </c>
      <c r="AJ1363">
        <v>94.565388068527298</v>
      </c>
      <c r="AK1363">
        <v>12.589758176078</v>
      </c>
      <c r="AL1363">
        <v>81.891042635117799</v>
      </c>
      <c r="AM1363">
        <v>90.234265475809394</v>
      </c>
      <c r="AN1363">
        <v>0.99999995698143695</v>
      </c>
    </row>
    <row r="1364" spans="1:40" x14ac:dyDescent="0.3">
      <c r="A1364" t="str">
        <f>"20200111150341134"</f>
        <v>20200111150341134</v>
      </c>
      <c r="B1364" t="str">
        <f>"1578726221130026"</f>
        <v>1578726221130026</v>
      </c>
      <c r="C1364" t="s">
        <v>40</v>
      </c>
      <c r="D1364">
        <v>5.4665030000000003</v>
      </c>
      <c r="E1364">
        <v>0.51759840000000001</v>
      </c>
      <c r="F1364" t="s">
        <v>42</v>
      </c>
      <c r="G1364">
        <v>-331.16849999999999</v>
      </c>
      <c r="H1364">
        <v>1.025007</v>
      </c>
      <c r="I1364">
        <v>141.67500000000001</v>
      </c>
      <c r="J1364">
        <v>-330.54109999999997</v>
      </c>
      <c r="K1364">
        <v>1.10412</v>
      </c>
      <c r="L1364">
        <v>141.67089999999999</v>
      </c>
      <c r="M1364">
        <v>-0.99983900000000003</v>
      </c>
      <c r="N1364">
        <v>0</v>
      </c>
      <c r="O1364">
        <v>-1.388648E-2</v>
      </c>
      <c r="P1364">
        <v>-0.9913111</v>
      </c>
      <c r="Q1364">
        <v>0.1301639</v>
      </c>
      <c r="R1364">
        <v>-1.8955710000000001E-2</v>
      </c>
      <c r="S1364">
        <v>-3.058716</v>
      </c>
      <c r="T1364">
        <v>-0.24920310000000001</v>
      </c>
      <c r="U1364">
        <v>-2.9754640000000001E-3</v>
      </c>
      <c r="V1364">
        <v>-5.1795510000000001E-3</v>
      </c>
      <c r="W1364">
        <v>0.1414204</v>
      </c>
      <c r="X1364">
        <v>0.98993609999999999</v>
      </c>
      <c r="Y1364">
        <v>1.282618E-2</v>
      </c>
      <c r="Z1364">
        <v>1.6511780000000001E-3</v>
      </c>
      <c r="AA1364">
        <v>0.99991640000000004</v>
      </c>
      <c r="AB1364">
        <v>33</v>
      </c>
      <c r="AC1364">
        <v>-0.62740000000002205</v>
      </c>
      <c r="AD1364">
        <v>-7.9112999999999906E-2</v>
      </c>
      <c r="AE1364">
        <v>4.1000000000224104E-3</v>
      </c>
      <c r="AF1364">
        <v>1.26120178513699E-2</v>
      </c>
      <c r="AG1364">
        <v>-7.9112999999999906E-2</v>
      </c>
      <c r="AH1364">
        <v>0.61746506759972497</v>
      </c>
      <c r="AI1364">
        <v>97.299762887718998</v>
      </c>
      <c r="AJ1364">
        <v>88.829869145061906</v>
      </c>
      <c r="AK1364">
        <v>0.62264037732001998</v>
      </c>
      <c r="AL1364">
        <v>81.869953151557795</v>
      </c>
      <c r="AM1364">
        <v>90.299780666676696</v>
      </c>
      <c r="AN1364">
        <v>1.00000001968396</v>
      </c>
    </row>
    <row r="1365" spans="1:40" x14ac:dyDescent="0.3">
      <c r="A1365" t="str">
        <f>"20200111150341158"</f>
        <v>20200111150341158</v>
      </c>
      <c r="B1365" t="str">
        <f>"1578726221149546"</f>
        <v>1578726221149546</v>
      </c>
      <c r="C1365" t="s">
        <v>40</v>
      </c>
      <c r="D1365">
        <v>5.4932699999999999</v>
      </c>
      <c r="E1365">
        <v>0.51854279999999997</v>
      </c>
      <c r="F1365" t="s">
        <v>42</v>
      </c>
      <c r="G1365">
        <v>-331.46769999999998</v>
      </c>
      <c r="H1365">
        <v>1.030205</v>
      </c>
      <c r="I1365">
        <v>141.6908</v>
      </c>
      <c r="J1365">
        <v>-330.88069999999999</v>
      </c>
      <c r="K1365">
        <v>1.1041179999999999</v>
      </c>
      <c r="L1365">
        <v>141.6662</v>
      </c>
      <c r="M1365">
        <v>-0.99983909999999998</v>
      </c>
      <c r="N1365">
        <v>0</v>
      </c>
      <c r="O1365">
        <v>-1.387909E-2</v>
      </c>
      <c r="P1365">
        <v>-0.99140050000000002</v>
      </c>
      <c r="Q1365">
        <v>0.12937370000000001</v>
      </c>
      <c r="R1365">
        <v>-1.9686329999999998E-2</v>
      </c>
      <c r="S1365">
        <v>-3.0596009999999998</v>
      </c>
      <c r="T1365">
        <v>-0.24415919999999999</v>
      </c>
      <c r="U1365">
        <v>6.4086909999999997E-2</v>
      </c>
      <c r="V1365">
        <v>-5.9156579999999999E-3</v>
      </c>
      <c r="W1365">
        <v>0.14063110000000001</v>
      </c>
      <c r="X1365">
        <v>0.99004440000000005</v>
      </c>
      <c r="Y1365">
        <v>3.4662239999999997E-2</v>
      </c>
      <c r="Z1365">
        <v>2.486467E-3</v>
      </c>
      <c r="AA1365">
        <v>0.99939599999999995</v>
      </c>
      <c r="AB1365">
        <v>33</v>
      </c>
      <c r="AC1365">
        <v>-0.58699999999998898</v>
      </c>
      <c r="AD1365">
        <v>-7.3912999999999895E-2</v>
      </c>
      <c r="AE1365">
        <v>2.4599999999992399E-2</v>
      </c>
      <c r="AF1365">
        <v>3.22349933402774E-2</v>
      </c>
      <c r="AG1365">
        <v>-7.3912999999999895E-2</v>
      </c>
      <c r="AH1365">
        <v>0.57746240752532096</v>
      </c>
      <c r="AI1365">
        <v>97.282766713500095</v>
      </c>
      <c r="AJ1365">
        <v>86.804962129777905</v>
      </c>
      <c r="AK1365">
        <v>0.58306522659955295</v>
      </c>
      <c r="AL1365">
        <v>81.915633142714796</v>
      </c>
      <c r="AM1365">
        <v>90.342346467341599</v>
      </c>
      <c r="AN1365">
        <v>1.00000000763407</v>
      </c>
    </row>
    <row r="1366" spans="1:40" x14ac:dyDescent="0.3">
      <c r="A1366" t="str">
        <f>"20200111150341190"</f>
        <v>20200111150341190</v>
      </c>
      <c r="B1366" t="str">
        <f>"1578726221179802"</f>
        <v>1578726221179802</v>
      </c>
      <c r="C1366" t="s">
        <v>40</v>
      </c>
      <c r="D1366">
        <v>5.5522669999999996</v>
      </c>
      <c r="E1366">
        <v>0.51774449999999905</v>
      </c>
      <c r="F1366" t="s">
        <v>42</v>
      </c>
      <c r="G1366">
        <v>-331.76639999999998</v>
      </c>
      <c r="H1366">
        <v>1.033973</v>
      </c>
      <c r="I1366">
        <v>141.6865</v>
      </c>
      <c r="J1366">
        <v>-331.35829999999999</v>
      </c>
      <c r="K1366">
        <v>1.104112</v>
      </c>
      <c r="L1366">
        <v>141.65960000000001</v>
      </c>
      <c r="M1366">
        <v>-0.99983940000000004</v>
      </c>
      <c r="N1366">
        <v>0</v>
      </c>
      <c r="O1366">
        <v>-1.386892E-2</v>
      </c>
      <c r="P1366">
        <v>-0.99154560000000003</v>
      </c>
      <c r="Q1366">
        <v>0.12829280000000001</v>
      </c>
      <c r="R1366">
        <v>-1.945183E-2</v>
      </c>
      <c r="S1366">
        <v>-3.0589900000000001</v>
      </c>
      <c r="T1366">
        <v>-0.24230599999999999</v>
      </c>
      <c r="U1366">
        <v>6.9503780000000001E-2</v>
      </c>
      <c r="V1366">
        <v>-5.6899369999999999E-3</v>
      </c>
      <c r="W1366">
        <v>0.1395438</v>
      </c>
      <c r="X1366">
        <v>0.99019959999999996</v>
      </c>
      <c r="Y1366">
        <v>3.6421879999999997E-2</v>
      </c>
      <c r="Z1366">
        <v>2.5368690000000002E-3</v>
      </c>
      <c r="AA1366">
        <v>0.99933329999999998</v>
      </c>
      <c r="AB1366">
        <v>33</v>
      </c>
      <c r="AC1366">
        <v>-0.40809999999999003</v>
      </c>
      <c r="AD1366">
        <v>-7.0138999999999896E-2</v>
      </c>
      <c r="AE1366">
        <v>2.6899999999983399E-2</v>
      </c>
      <c r="AF1366">
        <v>3.1627501215011601E-2</v>
      </c>
      <c r="AG1366">
        <v>-7.0138999999999896E-2</v>
      </c>
      <c r="AH1366">
        <v>0.39603989653643901</v>
      </c>
      <c r="AI1366">
        <v>100.011769909256</v>
      </c>
      <c r="AJ1366">
        <v>85.434084436131002</v>
      </c>
      <c r="AK1366">
        <v>0.40344439245415098</v>
      </c>
      <c r="AL1366">
        <v>81.978551597086593</v>
      </c>
      <c r="AM1366">
        <v>90.329232396834996</v>
      </c>
      <c r="AN1366">
        <v>1.00000004767083</v>
      </c>
    </row>
    <row r="1367" spans="1:40" x14ac:dyDescent="0.3">
      <c r="A1367" t="str">
        <f>"20200111150341212"</f>
        <v>20200111150341212</v>
      </c>
      <c r="B1367" t="str">
        <f>"1578726221210059"</f>
        <v>1578726221210059</v>
      </c>
      <c r="C1367" t="s">
        <v>40</v>
      </c>
      <c r="D1367">
        <v>5.5109029999999999</v>
      </c>
      <c r="E1367">
        <v>0.51852690000000001</v>
      </c>
      <c r="F1367" t="s">
        <v>42</v>
      </c>
      <c r="G1367">
        <v>-332.35860000000002</v>
      </c>
      <c r="H1367">
        <v>1.03007</v>
      </c>
      <c r="I1367">
        <v>141.68100000000001</v>
      </c>
      <c r="J1367">
        <v>-331.70049999999998</v>
      </c>
      <c r="K1367">
        <v>1.1041069999999999</v>
      </c>
      <c r="L1367">
        <v>141.65479999999999</v>
      </c>
      <c r="M1367">
        <v>-0.99983949999999999</v>
      </c>
      <c r="N1367">
        <v>0</v>
      </c>
      <c r="O1367">
        <v>-1.386136E-2</v>
      </c>
      <c r="P1367">
        <v>-0.9916452</v>
      </c>
      <c r="Q1367">
        <v>0.1275374</v>
      </c>
      <c r="R1367">
        <v>-1.9338979999999999E-2</v>
      </c>
      <c r="S1367">
        <v>-3.0561219999999998</v>
      </c>
      <c r="T1367">
        <v>-0.22628409999999999</v>
      </c>
      <c r="U1367">
        <v>6.4849850000000001E-2</v>
      </c>
      <c r="V1367">
        <v>-5.5828880000000003E-3</v>
      </c>
      <c r="W1367">
        <v>0.1387816</v>
      </c>
      <c r="X1367">
        <v>0.9903073</v>
      </c>
      <c r="Y1367">
        <v>3.4938440000000001E-2</v>
      </c>
      <c r="Z1367">
        <v>2.3164560000000002E-3</v>
      </c>
      <c r="AA1367">
        <v>0.99938680000000002</v>
      </c>
      <c r="AB1367">
        <v>33</v>
      </c>
      <c r="AC1367">
        <v>-0.65810000000004698</v>
      </c>
      <c r="AD1367">
        <v>-7.4036999999999895E-2</v>
      </c>
      <c r="AE1367">
        <v>2.6200000000017099E-2</v>
      </c>
      <c r="AF1367">
        <v>3.4879477511313699E-2</v>
      </c>
      <c r="AG1367">
        <v>-7.4036999999999895E-2</v>
      </c>
      <c r="AH1367">
        <v>0.64946660449238702</v>
      </c>
      <c r="AI1367">
        <v>96.4941726857232</v>
      </c>
      <c r="AJ1367">
        <v>86.925894501154502</v>
      </c>
      <c r="AK1367">
        <v>0.65460287630847902</v>
      </c>
      <c r="AL1367">
        <v>82.022651368767995</v>
      </c>
      <c r="AM1367">
        <v>90.323003305357304</v>
      </c>
      <c r="AN1367">
        <v>1.0000000247851299</v>
      </c>
    </row>
    <row r="1368" spans="1:40" x14ac:dyDescent="0.3">
      <c r="A1368" t="str">
        <f>"20200111150341235"</f>
        <v>20200111150341235</v>
      </c>
      <c r="B1368" t="str">
        <f>"1578726221229579"</f>
        <v>1578726221229579</v>
      </c>
      <c r="C1368" t="s">
        <v>40</v>
      </c>
      <c r="D1368">
        <v>5.5615059999999996</v>
      </c>
      <c r="E1368">
        <v>0.5189838</v>
      </c>
      <c r="F1368" t="s">
        <v>42</v>
      </c>
      <c r="G1368">
        <v>-332.65660000000003</v>
      </c>
      <c r="H1368">
        <v>1.031455</v>
      </c>
      <c r="I1368">
        <v>141.67760000000001</v>
      </c>
      <c r="J1368">
        <v>-332.03230000000002</v>
      </c>
      <c r="K1368">
        <v>1.1041049999999999</v>
      </c>
      <c r="L1368">
        <v>141.65020000000001</v>
      </c>
      <c r="M1368">
        <v>-0.99983999999999995</v>
      </c>
      <c r="N1368">
        <v>0</v>
      </c>
      <c r="O1368">
        <v>-1.385453E-2</v>
      </c>
      <c r="P1368">
        <v>-0.99161049999999995</v>
      </c>
      <c r="Q1368">
        <v>0.12784309999999999</v>
      </c>
      <c r="R1368">
        <v>-1.9109979999999999E-2</v>
      </c>
      <c r="S1368">
        <v>-3.0565799999999999</v>
      </c>
      <c r="T1368">
        <v>-0.23229369999999999</v>
      </c>
      <c r="U1368">
        <v>7.1807860000000001E-2</v>
      </c>
      <c r="V1368">
        <v>-5.3611919999999999E-3</v>
      </c>
      <c r="W1368">
        <v>0.13907910000000001</v>
      </c>
      <c r="X1368">
        <v>0.99026670000000006</v>
      </c>
      <c r="Y1368">
        <v>3.7188619999999999E-2</v>
      </c>
      <c r="Z1368">
        <v>2.4622400000000001E-3</v>
      </c>
      <c r="AA1368">
        <v>0.9993052</v>
      </c>
      <c r="AB1368">
        <v>33</v>
      </c>
      <c r="AC1368">
        <v>-0.62430000000000496</v>
      </c>
      <c r="AD1368">
        <v>-7.2649999999999798E-2</v>
      </c>
      <c r="AE1368">
        <v>2.7400000000000001E-2</v>
      </c>
      <c r="AF1368">
        <v>3.5566587960747499E-2</v>
      </c>
      <c r="AG1368">
        <v>-7.2649999999999798E-2</v>
      </c>
      <c r="AH1368">
        <v>0.61554077337795399</v>
      </c>
      <c r="AI1368">
        <v>96.720162128909294</v>
      </c>
      <c r="AJ1368">
        <v>86.693067052679794</v>
      </c>
      <c r="AK1368">
        <v>0.62083286669594095</v>
      </c>
      <c r="AL1368">
        <v>82.005438251270903</v>
      </c>
      <c r="AM1368">
        <v>90.310189844521304</v>
      </c>
      <c r="AN1368">
        <v>0.99999993778267804</v>
      </c>
    </row>
    <row r="1369" spans="1:40" x14ac:dyDescent="0.3">
      <c r="A1369" t="str">
        <f>"20200111150341257"</f>
        <v>20200111150341257</v>
      </c>
      <c r="B1369" t="str">
        <f>"1578726221250074"</f>
        <v>1578726221250074</v>
      </c>
      <c r="C1369" t="s">
        <v>40</v>
      </c>
      <c r="D1369">
        <v>5.5783319999999996</v>
      </c>
      <c r="E1369">
        <v>0.51904139999999999</v>
      </c>
      <c r="F1369" t="s">
        <v>42</v>
      </c>
      <c r="G1369">
        <v>-332.95589999999999</v>
      </c>
      <c r="H1369">
        <v>1.035433</v>
      </c>
      <c r="I1369">
        <v>141.67359999999999</v>
      </c>
      <c r="J1369">
        <v>-332.37009999999998</v>
      </c>
      <c r="K1369">
        <v>1.104104</v>
      </c>
      <c r="L1369">
        <v>141.6456</v>
      </c>
      <c r="M1369">
        <v>-0.99983999999999995</v>
      </c>
      <c r="N1369">
        <v>0</v>
      </c>
      <c r="O1369">
        <v>-1.3847099999999999E-2</v>
      </c>
      <c r="P1369">
        <v>-0.99153389999999997</v>
      </c>
      <c r="Q1369">
        <v>0.12849659999999999</v>
      </c>
      <c r="R1369">
        <v>-1.8689979999999998E-2</v>
      </c>
      <c r="S1369">
        <v>-3.0562130000000001</v>
      </c>
      <c r="T1369">
        <v>-0.22729260000000001</v>
      </c>
      <c r="U1369">
        <v>7.6660160000000005E-2</v>
      </c>
      <c r="V1369">
        <v>-4.9499280000000001E-3</v>
      </c>
      <c r="W1369">
        <v>0.13972509999999999</v>
      </c>
      <c r="X1369">
        <v>0.990178</v>
      </c>
      <c r="Y1369">
        <v>3.8771479999999997E-2</v>
      </c>
      <c r="Z1369">
        <v>2.4678389999999999E-3</v>
      </c>
      <c r="AA1369">
        <v>0.99924500000000005</v>
      </c>
      <c r="AB1369">
        <v>33</v>
      </c>
      <c r="AC1369">
        <v>-0.58580000000000598</v>
      </c>
      <c r="AD1369">
        <v>-6.8671000000000093E-2</v>
      </c>
      <c r="AE1369">
        <v>2.79999999999915E-2</v>
      </c>
      <c r="AF1369">
        <v>3.5621079546258302E-2</v>
      </c>
      <c r="AG1369">
        <v>-6.8671000000000093E-2</v>
      </c>
      <c r="AH1369">
        <v>0.57743904080119801</v>
      </c>
      <c r="AI1369">
        <v>96.769207486021003</v>
      </c>
      <c r="AJ1369">
        <v>86.470009126140496</v>
      </c>
      <c r="AK1369">
        <v>0.58259798608512903</v>
      </c>
      <c r="AL1369">
        <v>81.968061024624504</v>
      </c>
      <c r="AM1369">
        <v>90.286420846384004</v>
      </c>
      <c r="AN1369">
        <v>1.0000000385206</v>
      </c>
    </row>
    <row r="1370" spans="1:40" x14ac:dyDescent="0.3">
      <c r="A1370" t="str">
        <f>"20200111150341279"</f>
        <v>20200111150341279</v>
      </c>
      <c r="B1370" t="str">
        <f>"1578726221269594"</f>
        <v>1578726221269594</v>
      </c>
      <c r="C1370" t="s">
        <v>40</v>
      </c>
      <c r="D1370">
        <v>5.5634739999999896</v>
      </c>
      <c r="E1370">
        <v>0.51945479999999999</v>
      </c>
      <c r="F1370" t="s">
        <v>42</v>
      </c>
      <c r="G1370">
        <v>-333.25479999999999</v>
      </c>
      <c r="H1370">
        <v>1.0381990000000001</v>
      </c>
      <c r="I1370">
        <v>141.66849999999999</v>
      </c>
      <c r="J1370">
        <v>-332.68669999999997</v>
      </c>
      <c r="K1370">
        <v>1.1041019999999999</v>
      </c>
      <c r="L1370">
        <v>141.6412</v>
      </c>
      <c r="M1370">
        <v>-0.99984019999999996</v>
      </c>
      <c r="N1370">
        <v>0</v>
      </c>
      <c r="O1370">
        <v>-1.384003E-2</v>
      </c>
      <c r="P1370">
        <v>-0.99149980000000004</v>
      </c>
      <c r="Q1370">
        <v>0.12872690000000001</v>
      </c>
      <c r="R1370">
        <v>-1.8910280000000002E-2</v>
      </c>
      <c r="S1370">
        <v>-3.05661</v>
      </c>
      <c r="T1370">
        <v>-0.2277766</v>
      </c>
      <c r="U1370">
        <v>7.7804570000000003E-2</v>
      </c>
      <c r="V1370">
        <v>-5.1773409999999898E-3</v>
      </c>
      <c r="W1370">
        <v>0.13994889999999999</v>
      </c>
      <c r="X1370">
        <v>0.99014519999999995</v>
      </c>
      <c r="Y1370">
        <v>3.913349E-2</v>
      </c>
      <c r="Z1370">
        <v>2.4856909999999999E-3</v>
      </c>
      <c r="AA1370">
        <v>0.99923090000000003</v>
      </c>
      <c r="AB1370">
        <v>33</v>
      </c>
      <c r="AC1370">
        <v>-0.56810000000001504</v>
      </c>
      <c r="AD1370">
        <v>-6.5903000000000198E-2</v>
      </c>
      <c r="AE1370">
        <v>2.7299999999996698E-2</v>
      </c>
      <c r="AF1370">
        <v>3.4694586516786002E-2</v>
      </c>
      <c r="AG1370">
        <v>-6.5903000000000198E-2</v>
      </c>
      <c r="AH1370">
        <v>0.56014697663824298</v>
      </c>
      <c r="AI1370">
        <v>96.697457657839195</v>
      </c>
      <c r="AJ1370">
        <v>86.455720986469203</v>
      </c>
      <c r="AK1370">
        <v>0.56507659231252405</v>
      </c>
      <c r="AL1370">
        <v>81.955110744634197</v>
      </c>
      <c r="AM1370">
        <v>90.299589479360904</v>
      </c>
      <c r="AN1370">
        <v>1.0000000082770399</v>
      </c>
    </row>
    <row r="1371" spans="1:40" x14ac:dyDescent="0.3">
      <c r="A1371" t="str">
        <f>"20200111150341301"</f>
        <v>20200111150341301</v>
      </c>
      <c r="B1371" t="str">
        <f>"1578726221290090"</f>
        <v>1578726221290090</v>
      </c>
      <c r="C1371" t="s">
        <v>40</v>
      </c>
      <c r="D1371">
        <v>5.5621650000000002</v>
      </c>
      <c r="E1371">
        <v>0.51965699999999904</v>
      </c>
      <c r="F1371" t="s">
        <v>42</v>
      </c>
      <c r="G1371">
        <v>-333.55290000000002</v>
      </c>
      <c r="H1371">
        <v>1.038948</v>
      </c>
      <c r="I1371">
        <v>141.66390000000001</v>
      </c>
      <c r="J1371">
        <v>-333.0179</v>
      </c>
      <c r="K1371">
        <v>1.1041000000000001</v>
      </c>
      <c r="L1371">
        <v>141.63659999999999</v>
      </c>
      <c r="M1371">
        <v>-0.99984030000000002</v>
      </c>
      <c r="N1371">
        <v>0</v>
      </c>
      <c r="O1371">
        <v>-1.3832840000000001E-2</v>
      </c>
      <c r="P1371">
        <v>-0.99149739999999997</v>
      </c>
      <c r="Q1371">
        <v>0.128631</v>
      </c>
      <c r="R1371">
        <v>-1.9678540000000001E-2</v>
      </c>
      <c r="S1371">
        <v>-3.0570979999999999</v>
      </c>
      <c r="T1371">
        <v>-0.22993040000000001</v>
      </c>
      <c r="U1371">
        <v>8.0154420000000004E-2</v>
      </c>
      <c r="V1371">
        <v>-5.9526750000000002E-3</v>
      </c>
      <c r="W1371">
        <v>0.13984739999999901</v>
      </c>
      <c r="X1371">
        <v>0.99015520000000001</v>
      </c>
      <c r="Y1371">
        <v>3.9884950000000002E-2</v>
      </c>
      <c r="Z1371">
        <v>2.5363809999999999E-3</v>
      </c>
      <c r="AA1371">
        <v>0.99920109999999995</v>
      </c>
      <c r="AB1371">
        <v>33</v>
      </c>
      <c r="AC1371">
        <v>-0.53500000000002501</v>
      </c>
      <c r="AD1371">
        <v>-6.5152000000000099E-2</v>
      </c>
      <c r="AE1371">
        <v>2.73000000000252E-2</v>
      </c>
      <c r="AF1371">
        <v>3.4192662665470101E-2</v>
      </c>
      <c r="AG1371">
        <v>-6.5152000000000099E-2</v>
      </c>
      <c r="AH1371">
        <v>0.52677917672975605</v>
      </c>
      <c r="AI1371">
        <v>97.035874986237303</v>
      </c>
      <c r="AJ1371">
        <v>86.2862031187925</v>
      </c>
      <c r="AK1371">
        <v>0.53189305534123499</v>
      </c>
      <c r="AL1371">
        <v>81.960984158802802</v>
      </c>
      <c r="AM1371">
        <v>90.344450087670594</v>
      </c>
      <c r="AN1371">
        <v>1.00000002485672</v>
      </c>
    </row>
    <row r="1372" spans="1:40" x14ac:dyDescent="0.3">
      <c r="A1372" t="str">
        <f>"20200111150341324"</f>
        <v>20200111150341324</v>
      </c>
      <c r="B1372" t="str">
        <f>"1578726221319371"</f>
        <v>1578726221319371</v>
      </c>
      <c r="C1372" t="s">
        <v>40</v>
      </c>
      <c r="D1372">
        <v>5.3599399999999999</v>
      </c>
      <c r="E1372">
        <v>0.51934020000000003</v>
      </c>
      <c r="F1372" t="s">
        <v>42</v>
      </c>
      <c r="G1372">
        <v>-333.85140000000001</v>
      </c>
      <c r="H1372">
        <v>1.0404329999999999</v>
      </c>
      <c r="I1372">
        <v>141.65870000000001</v>
      </c>
      <c r="J1372">
        <v>-333.35449999999997</v>
      </c>
      <c r="K1372">
        <v>1.104088</v>
      </c>
      <c r="L1372">
        <v>141.63200000000001</v>
      </c>
      <c r="M1372">
        <v>-0.99984050000000002</v>
      </c>
      <c r="N1372">
        <v>0</v>
      </c>
      <c r="O1372">
        <v>-1.3825550000000001E-2</v>
      </c>
      <c r="P1372">
        <v>-0.99154699999999996</v>
      </c>
      <c r="Q1372">
        <v>0.12819949999999999</v>
      </c>
      <c r="R1372">
        <v>-1.9987000000000001E-2</v>
      </c>
      <c r="S1372">
        <v>-3.057617</v>
      </c>
      <c r="T1372">
        <v>-0.2336493</v>
      </c>
      <c r="U1372">
        <v>7.9742430000000003E-2</v>
      </c>
      <c r="V1372">
        <v>-6.2679830000000004E-3</v>
      </c>
      <c r="W1372">
        <v>0.13941149999999999</v>
      </c>
      <c r="X1372">
        <v>0.9902147</v>
      </c>
      <c r="Y1372">
        <v>3.9734239999999997E-2</v>
      </c>
      <c r="Z1372">
        <v>2.5705490000000001E-3</v>
      </c>
      <c r="AA1372">
        <v>0.99920699999999996</v>
      </c>
      <c r="AB1372">
        <v>33</v>
      </c>
      <c r="AC1372">
        <v>-0.49690000000003898</v>
      </c>
      <c r="AD1372">
        <v>-6.3655000000000003E-2</v>
      </c>
      <c r="AE1372">
        <v>2.6700000000005199E-2</v>
      </c>
      <c r="AF1372">
        <v>3.3027361023890298E-2</v>
      </c>
      <c r="AG1372">
        <v>-6.3655000000000003E-2</v>
      </c>
      <c r="AH1372">
        <v>0.488489953527868</v>
      </c>
      <c r="AI1372">
        <v>97.407640052574607</v>
      </c>
      <c r="AJ1372">
        <v>86.132053854983496</v>
      </c>
      <c r="AK1372">
        <v>0.49372583515435098</v>
      </c>
      <c r="AL1372">
        <v>81.986206294686497</v>
      </c>
      <c r="AM1372">
        <v>90.362673040055995</v>
      </c>
      <c r="AN1372">
        <v>1.0000000030196099</v>
      </c>
    </row>
    <row r="1373" spans="1:40" x14ac:dyDescent="0.3">
      <c r="A1373" t="str">
        <f>"20200111150341347"</f>
        <v>20200111150341347</v>
      </c>
      <c r="B1373" t="str">
        <f>"1578726221339866"</f>
        <v>1578726221339866</v>
      </c>
      <c r="C1373" t="s">
        <v>40</v>
      </c>
      <c r="D1373">
        <v>5.5960720000000004</v>
      </c>
      <c r="E1373">
        <v>0.51961499999999905</v>
      </c>
      <c r="F1373" t="s">
        <v>42</v>
      </c>
      <c r="G1373">
        <v>-334.15129999999999</v>
      </c>
      <c r="H1373">
        <v>1.04358</v>
      </c>
      <c r="I1373">
        <v>141.65199999999999</v>
      </c>
      <c r="J1373">
        <v>-333.70600000000002</v>
      </c>
      <c r="K1373">
        <v>1.1040810000000001</v>
      </c>
      <c r="L1373">
        <v>141.62710000000001</v>
      </c>
      <c r="M1373">
        <v>-0.99984059999999997</v>
      </c>
      <c r="N1373">
        <v>0</v>
      </c>
      <c r="O1373">
        <v>-1.381777E-2</v>
      </c>
      <c r="P1373">
        <v>-0.99161160000000004</v>
      </c>
      <c r="Q1373">
        <v>0.12764890000000001</v>
      </c>
      <c r="R1373">
        <v>-2.0307470000000001E-2</v>
      </c>
      <c r="S1373">
        <v>-3.057159</v>
      </c>
      <c r="T1373">
        <v>-0.23224819999999999</v>
      </c>
      <c r="U1373">
        <v>7.6141360000000005E-2</v>
      </c>
      <c r="V1373">
        <v>-6.5947719999999996E-3</v>
      </c>
      <c r="W1373">
        <v>0.1388567</v>
      </c>
      <c r="X1373">
        <v>0.99029049999999996</v>
      </c>
      <c r="Y1373">
        <v>3.8559339999999998E-2</v>
      </c>
      <c r="Z1373">
        <v>2.5104490000000001E-3</v>
      </c>
      <c r="AA1373">
        <v>0.99925319999999995</v>
      </c>
      <c r="AB1373">
        <v>33</v>
      </c>
      <c r="AC1373">
        <v>-0.445300000000031</v>
      </c>
      <c r="AD1373">
        <v>-6.0500999999999902E-2</v>
      </c>
      <c r="AE1373">
        <v>2.4900000000002299E-2</v>
      </c>
      <c r="AF1373">
        <v>3.04899934197756E-2</v>
      </c>
      <c r="AG1373">
        <v>-6.0500999999999902E-2</v>
      </c>
      <c r="AH1373">
        <v>0.43687406163307002</v>
      </c>
      <c r="AI1373">
        <v>97.865629620836799</v>
      </c>
      <c r="AJ1373">
        <v>86.007728548588005</v>
      </c>
      <c r="AK1373">
        <v>0.44209609411022099</v>
      </c>
      <c r="AL1373">
        <v>82.018305980812301</v>
      </c>
      <c r="AM1373">
        <v>90.381551693090699</v>
      </c>
      <c r="AN1373">
        <v>0.99999997427143505</v>
      </c>
    </row>
    <row r="1374" spans="1:40" x14ac:dyDescent="0.3">
      <c r="A1374" t="str">
        <f>"20200111150341370"</f>
        <v>20200111150341370</v>
      </c>
      <c r="B1374" t="str">
        <f>"1578726221359389"</f>
        <v>1578726221359389</v>
      </c>
      <c r="C1374" t="s">
        <v>40</v>
      </c>
      <c r="D1374">
        <v>5.5959209999999997</v>
      </c>
      <c r="E1374">
        <v>0.55393099999999995</v>
      </c>
      <c r="F1374" t="s">
        <v>42</v>
      </c>
      <c r="G1374">
        <v>-334.45229999999998</v>
      </c>
      <c r="H1374">
        <v>1.046648</v>
      </c>
      <c r="I1374">
        <v>141.6463</v>
      </c>
      <c r="J1374">
        <v>-334.02550000000002</v>
      </c>
      <c r="K1374">
        <v>1.104074</v>
      </c>
      <c r="L1374">
        <v>141.62270000000001</v>
      </c>
      <c r="M1374">
        <v>-0.99984090000000003</v>
      </c>
      <c r="N1374">
        <v>0</v>
      </c>
      <c r="O1374">
        <v>-1.3810960000000001E-2</v>
      </c>
      <c r="P1374">
        <v>-0.99170570000000002</v>
      </c>
      <c r="Q1374">
        <v>0.12692339999999999</v>
      </c>
      <c r="R1374">
        <v>-2.0265450000000001E-2</v>
      </c>
      <c r="S1374">
        <v>-3.0572509999999999</v>
      </c>
      <c r="T1374">
        <v>-0.23536560000000001</v>
      </c>
      <c r="U1374">
        <v>7.7163699999999905E-2</v>
      </c>
      <c r="V1374">
        <v>-6.5586139999999999E-3</v>
      </c>
      <c r="W1374">
        <v>0.13812849999999999</v>
      </c>
      <c r="X1374">
        <v>0.99039259999999996</v>
      </c>
      <c r="Y1374">
        <v>3.8880739999999997E-2</v>
      </c>
      <c r="Z1374">
        <v>2.5557900000000001E-3</v>
      </c>
      <c r="AA1374">
        <v>0.99924060000000003</v>
      </c>
      <c r="AB1374">
        <v>33</v>
      </c>
      <c r="AC1374">
        <v>-0.42679999999995699</v>
      </c>
      <c r="AD1374">
        <v>-5.7425999999999901E-2</v>
      </c>
      <c r="AE1374">
        <v>2.35999999999876E-2</v>
      </c>
      <c r="AF1374">
        <v>2.8969779501314501E-2</v>
      </c>
      <c r="AG1374">
        <v>-5.7425999999999901E-2</v>
      </c>
      <c r="AH1374">
        <v>0.41887327137460001</v>
      </c>
      <c r="AI1374">
        <v>97.788002690277807</v>
      </c>
      <c r="AJ1374">
        <v>86.043655007093406</v>
      </c>
      <c r="AK1374">
        <v>0.42378274041354602</v>
      </c>
      <c r="AL1374">
        <v>82.060434950552803</v>
      </c>
      <c r="AM1374">
        <v>90.379420654629996</v>
      </c>
      <c r="AN1374">
        <v>1.0000000000322999</v>
      </c>
    </row>
    <row r="1375" spans="1:40" x14ac:dyDescent="0.3">
      <c r="A1375" t="str">
        <f>"20200111150341391"</f>
        <v>20200111150341391</v>
      </c>
      <c r="B1375" t="str">
        <f>"1578726221379883"</f>
        <v>1578726221379883</v>
      </c>
      <c r="C1375" t="s">
        <v>40</v>
      </c>
      <c r="D1375">
        <v>5.62127</v>
      </c>
      <c r="E1375">
        <v>0.55386279999999999</v>
      </c>
      <c r="F1375" t="s">
        <v>42</v>
      </c>
      <c r="G1375">
        <v>-335.02870000000001</v>
      </c>
      <c r="H1375">
        <v>1.0059439999999999</v>
      </c>
      <c r="I1375">
        <v>141.7371</v>
      </c>
      <c r="J1375">
        <v>-334.35129999999998</v>
      </c>
      <c r="K1375">
        <v>1.104063</v>
      </c>
      <c r="L1375">
        <v>141.6182</v>
      </c>
      <c r="M1375">
        <v>-0.99984090000000003</v>
      </c>
      <c r="N1375">
        <v>0</v>
      </c>
      <c r="O1375">
        <v>-1.3803670000000001E-2</v>
      </c>
      <c r="P1375">
        <v>-0.99183580000000005</v>
      </c>
      <c r="Q1375">
        <v>0.1259671</v>
      </c>
      <c r="R1375">
        <v>-1.985079E-2</v>
      </c>
      <c r="S1375">
        <v>-3.0707089999999999</v>
      </c>
      <c r="T1375">
        <v>-0.30045699999999997</v>
      </c>
      <c r="U1375">
        <v>0.34892269999999997</v>
      </c>
      <c r="V1375">
        <v>-6.1495219999999897E-3</v>
      </c>
      <c r="W1375">
        <v>0.13717119999999999</v>
      </c>
      <c r="X1375">
        <v>0.99052830000000003</v>
      </c>
      <c r="Y1375">
        <v>0.12594919999999901</v>
      </c>
      <c r="Z1375">
        <v>7.4710089999999998E-3</v>
      </c>
      <c r="AA1375">
        <v>0.99200860000000002</v>
      </c>
      <c r="AB1375">
        <v>33</v>
      </c>
      <c r="AC1375">
        <v>-0.67740000000003397</v>
      </c>
      <c r="AD1375">
        <v>-9.8118999999999998E-2</v>
      </c>
      <c r="AE1375">
        <v>0.118899999999996</v>
      </c>
      <c r="AF1375">
        <v>0.125681816181203</v>
      </c>
      <c r="AG1375">
        <v>-9.8118999999999998E-2</v>
      </c>
      <c r="AH1375">
        <v>0.66221572485732005</v>
      </c>
      <c r="AI1375">
        <v>98.282326228553202</v>
      </c>
      <c r="AJ1375">
        <v>79.253655119497196</v>
      </c>
      <c r="AK1375">
        <v>0.68114089829337898</v>
      </c>
      <c r="AL1375">
        <v>82.115811601749698</v>
      </c>
      <c r="AM1375">
        <v>90.355706273029895</v>
      </c>
      <c r="AN1375">
        <v>1.0000000339155699</v>
      </c>
    </row>
    <row r="1376" spans="1:40" x14ac:dyDescent="0.3">
      <c r="A1376" t="str">
        <f>"20200111150341413"</f>
        <v>20200111150341413</v>
      </c>
      <c r="B1376" t="str">
        <f>"1578726221410140"</f>
        <v>1578726221410140</v>
      </c>
      <c r="C1376" t="s">
        <v>40</v>
      </c>
      <c r="D1376">
        <v>5.6226929999999999</v>
      </c>
      <c r="E1376">
        <v>0.55553469999999905</v>
      </c>
      <c r="F1376" t="s">
        <v>42</v>
      </c>
      <c r="G1376">
        <v>-335.33069999999998</v>
      </c>
      <c r="H1376">
        <v>1.013555</v>
      </c>
      <c r="I1376">
        <v>141.73009999999999</v>
      </c>
      <c r="J1376">
        <v>-334.68360000000001</v>
      </c>
      <c r="K1376">
        <v>1.10406</v>
      </c>
      <c r="L1376">
        <v>141.61359999999999</v>
      </c>
      <c r="M1376">
        <v>-0.99984110000000004</v>
      </c>
      <c r="N1376">
        <v>0</v>
      </c>
      <c r="O1376">
        <v>-1.3796269999999999E-2</v>
      </c>
      <c r="P1376">
        <v>-0.99188120000000002</v>
      </c>
      <c r="Q1376">
        <v>0.12561449999999999</v>
      </c>
      <c r="R1376">
        <v>-1.9824339999999999E-2</v>
      </c>
      <c r="S1376">
        <v>-3.0677189999999999</v>
      </c>
      <c r="T1376">
        <v>-0.28352690000000003</v>
      </c>
      <c r="U1376">
        <v>0.35006710000000002</v>
      </c>
      <c r="V1376">
        <v>-6.1299880000000003E-3</v>
      </c>
      <c r="W1376">
        <v>0.1368164</v>
      </c>
      <c r="X1376">
        <v>0.9905775</v>
      </c>
      <c r="Y1376">
        <v>0.1264844</v>
      </c>
      <c r="Z1376">
        <v>7.082428E-3</v>
      </c>
      <c r="AA1376">
        <v>0.99194329999999997</v>
      </c>
      <c r="AB1376">
        <v>33</v>
      </c>
      <c r="AC1376">
        <v>-0.64709999999996604</v>
      </c>
      <c r="AD1376">
        <v>-9.0505000000000002E-2</v>
      </c>
      <c r="AE1376">
        <v>0.116500000000002</v>
      </c>
      <c r="AF1376">
        <v>0.123084909408486</v>
      </c>
      <c r="AG1376">
        <v>-9.0505000000000002E-2</v>
      </c>
      <c r="AH1376">
        <v>0.63342921280133402</v>
      </c>
      <c r="AI1376">
        <v>97.984084731205002</v>
      </c>
      <c r="AJ1376">
        <v>79.003595989851405</v>
      </c>
      <c r="AK1376">
        <v>0.65159313806946495</v>
      </c>
      <c r="AL1376">
        <v>82.136333705435604</v>
      </c>
      <c r="AM1376">
        <v>90.354558787789699</v>
      </c>
      <c r="AN1376">
        <v>1.0000000437840399</v>
      </c>
    </row>
    <row r="1377" spans="1:40" x14ac:dyDescent="0.3">
      <c r="A1377" t="str">
        <f>"20200111150341436"</f>
        <v>20200111150341436</v>
      </c>
      <c r="B1377" t="str">
        <f>"1578726221429658"</f>
        <v>1578726221429658</v>
      </c>
      <c r="C1377" t="s">
        <v>40</v>
      </c>
      <c r="D1377">
        <v>5.6268180000000001</v>
      </c>
      <c r="E1377">
        <v>0.55547119999999905</v>
      </c>
      <c r="F1377" t="s">
        <v>42</v>
      </c>
      <c r="G1377">
        <v>-335.6302</v>
      </c>
      <c r="H1377">
        <v>1.01549</v>
      </c>
      <c r="I1377">
        <v>141.72620000000001</v>
      </c>
      <c r="J1377">
        <v>-335.02440000000001</v>
      </c>
      <c r="K1377">
        <v>1.1040540000000001</v>
      </c>
      <c r="L1377">
        <v>141.60890000000001</v>
      </c>
      <c r="M1377">
        <v>-0.99984119999999999</v>
      </c>
      <c r="N1377">
        <v>0</v>
      </c>
      <c r="O1377">
        <v>-1.378863E-2</v>
      </c>
      <c r="P1377">
        <v>-0.9919171</v>
      </c>
      <c r="Q1377">
        <v>0.12536439999999999</v>
      </c>
      <c r="R1377">
        <v>-1.9603720000000002E-2</v>
      </c>
      <c r="S1377">
        <v>-3.0681759999999998</v>
      </c>
      <c r="T1377">
        <v>-0.28716540000000002</v>
      </c>
      <c r="U1377">
        <v>0.36340329999999998</v>
      </c>
      <c r="V1377">
        <v>-5.9166949999999996E-3</v>
      </c>
      <c r="W1377">
        <v>0.13656509999999999</v>
      </c>
      <c r="X1377">
        <v>0.99061339999999998</v>
      </c>
      <c r="Y1377">
        <v>0.1306803</v>
      </c>
      <c r="Z1377">
        <v>7.3646359999999999E-3</v>
      </c>
      <c r="AA1377">
        <v>0.99139719999999998</v>
      </c>
      <c r="AB1377">
        <v>33</v>
      </c>
      <c r="AC1377">
        <v>-0.60579999999998702</v>
      </c>
      <c r="AD1377">
        <v>-8.8564000000000004E-2</v>
      </c>
      <c r="AE1377">
        <v>0.1173</v>
      </c>
      <c r="AF1377">
        <v>0.12310651415679</v>
      </c>
      <c r="AG1377">
        <v>-8.8564000000000004E-2</v>
      </c>
      <c r="AH1377">
        <v>0.59193100113319697</v>
      </c>
      <c r="AI1377">
        <v>98.333665542773005</v>
      </c>
      <c r="AJ1377">
        <v>78.251420584782807</v>
      </c>
      <c r="AK1377">
        <v>0.61104918462132396</v>
      </c>
      <c r="AL1377">
        <v>82.150867987160794</v>
      </c>
      <c r="AM1377">
        <v>90.342209807668496</v>
      </c>
      <c r="AN1377">
        <v>0.99999997103864602</v>
      </c>
    </row>
    <row r="1378" spans="1:40" x14ac:dyDescent="0.3">
      <c r="A1378" t="str">
        <f>"20200111150341458"</f>
        <v>20200111150341458</v>
      </c>
      <c r="B1378" t="str">
        <f>"1578726221450154"</f>
        <v>1578726221450154</v>
      </c>
      <c r="C1378" t="s">
        <v>40</v>
      </c>
      <c r="D1378">
        <v>5.6285619999999996</v>
      </c>
      <c r="E1378">
        <v>0.55585560000000001</v>
      </c>
      <c r="F1378" t="s">
        <v>42</v>
      </c>
      <c r="G1378">
        <v>-335.93049999999999</v>
      </c>
      <c r="H1378">
        <v>1.0191079999999999</v>
      </c>
      <c r="I1378">
        <v>141.7166</v>
      </c>
      <c r="J1378">
        <v>-335.3578</v>
      </c>
      <c r="K1378">
        <v>1.1040509999999999</v>
      </c>
      <c r="L1378">
        <v>141.6044</v>
      </c>
      <c r="M1378">
        <v>-0.99984119999999999</v>
      </c>
      <c r="N1378">
        <v>0</v>
      </c>
      <c r="O1378">
        <v>-1.378099E-2</v>
      </c>
      <c r="P1378">
        <v>-0.99199610000000005</v>
      </c>
      <c r="Q1378">
        <v>0.12475310000000001</v>
      </c>
      <c r="R1378">
        <v>-1.950994E-2</v>
      </c>
      <c r="S1378">
        <v>-3.0680239999999999</v>
      </c>
      <c r="T1378">
        <v>-0.28766599999999998</v>
      </c>
      <c r="U1378">
        <v>0.3640137</v>
      </c>
      <c r="V1378">
        <v>-5.8288599999999999E-3</v>
      </c>
      <c r="W1378">
        <v>0.13595289999999999</v>
      </c>
      <c r="X1378">
        <v>0.99069819999999997</v>
      </c>
      <c r="Y1378">
        <v>0.13086999999999999</v>
      </c>
      <c r="Z1378">
        <v>7.3858279999999997E-3</v>
      </c>
      <c r="AA1378">
        <v>0.99137200000000003</v>
      </c>
      <c r="AB1378">
        <v>33</v>
      </c>
      <c r="AC1378">
        <v>-0.57269999999999699</v>
      </c>
      <c r="AD1378">
        <v>-8.4943000000000199E-2</v>
      </c>
      <c r="AE1378">
        <v>0.11220000000000099</v>
      </c>
      <c r="AF1378">
        <v>0.117590969538422</v>
      </c>
      <c r="AG1378">
        <v>-8.4943000000000199E-2</v>
      </c>
      <c r="AH1378">
        <v>0.55925113599714105</v>
      </c>
      <c r="AI1378">
        <v>98.454366543668897</v>
      </c>
      <c r="AJ1378">
        <v>78.125676691116695</v>
      </c>
      <c r="AK1378">
        <v>0.57775841186440502</v>
      </c>
      <c r="AL1378">
        <v>82.1862752765295</v>
      </c>
      <c r="AM1378">
        <v>90.3371008686875</v>
      </c>
      <c r="AN1378">
        <v>1.00000004505527</v>
      </c>
    </row>
    <row r="1379" spans="1:40" x14ac:dyDescent="0.3">
      <c r="A1379" t="str">
        <f>"20200111150341480"</f>
        <v>20200111150341480</v>
      </c>
      <c r="B1379" t="str">
        <f>"1578726221469674"</f>
        <v>1578726221469674</v>
      </c>
      <c r="C1379" t="s">
        <v>40</v>
      </c>
      <c r="D1379">
        <v>5.6754759999999997</v>
      </c>
      <c r="E1379">
        <v>0.55571819999999905</v>
      </c>
      <c r="F1379" t="s">
        <v>42</v>
      </c>
      <c r="G1379">
        <v>-336.23099999999999</v>
      </c>
      <c r="H1379">
        <v>1.0226959999999901</v>
      </c>
      <c r="I1379">
        <v>141.70939999999999</v>
      </c>
      <c r="J1379">
        <v>-335.68669999999997</v>
      </c>
      <c r="K1379">
        <v>1.1040449999999999</v>
      </c>
      <c r="L1379">
        <v>141.59979999999999</v>
      </c>
      <c r="M1379">
        <v>-0.99984139999999999</v>
      </c>
      <c r="N1379">
        <v>0</v>
      </c>
      <c r="O1379">
        <v>-1.3773580000000001E-2</v>
      </c>
      <c r="P1379">
        <v>-0.99203779999999997</v>
      </c>
      <c r="Q1379">
        <v>0.1243476</v>
      </c>
      <c r="R1379">
        <v>-1.9970249999999998E-2</v>
      </c>
      <c r="S1379">
        <v>-3.0673520000000001</v>
      </c>
      <c r="T1379">
        <v>-0.2859392</v>
      </c>
      <c r="U1379">
        <v>0.36769099999999999</v>
      </c>
      <c r="V1379">
        <v>-6.2964199999999996E-3</v>
      </c>
      <c r="W1379">
        <v>0.13554430000000001</v>
      </c>
      <c r="X1379">
        <v>0.9907513</v>
      </c>
      <c r="Y1379">
        <v>0.13206209999999999</v>
      </c>
      <c r="Z1379">
        <v>7.3973160000000001E-3</v>
      </c>
      <c r="AA1379">
        <v>0.99121389999999998</v>
      </c>
      <c r="AB1379">
        <v>33</v>
      </c>
      <c r="AC1379">
        <v>-0.54430000000002099</v>
      </c>
      <c r="AD1379">
        <v>-8.1349000000000296E-2</v>
      </c>
      <c r="AE1379">
        <v>0.1096</v>
      </c>
      <c r="AF1379">
        <v>0.114626381701389</v>
      </c>
      <c r="AG1379">
        <v>-8.1349000000000296E-2</v>
      </c>
      <c r="AH1379">
        <v>0.53133268591576899</v>
      </c>
      <c r="AI1379">
        <v>98.511747762000596</v>
      </c>
      <c r="AJ1379">
        <v>77.825943735872798</v>
      </c>
      <c r="AK1379">
        <v>0.549610125730429</v>
      </c>
      <c r="AL1379">
        <v>82.209904870659201</v>
      </c>
      <c r="AM1379">
        <v>90.364121081977601</v>
      </c>
      <c r="AN1379">
        <v>1.0000000203094901</v>
      </c>
    </row>
    <row r="1380" spans="1:40" x14ac:dyDescent="0.3">
      <c r="A1380" t="str">
        <f>"20200111150341502"</f>
        <v>20200111150341502</v>
      </c>
      <c r="B1380" t="str">
        <f>"1578726221499931"</f>
        <v>1578726221499931</v>
      </c>
      <c r="C1380" t="s">
        <v>40</v>
      </c>
      <c r="D1380">
        <v>5.6066159999999998</v>
      </c>
      <c r="E1380">
        <v>0.5560233</v>
      </c>
      <c r="F1380" t="s">
        <v>42</v>
      </c>
      <c r="G1380">
        <v>-336.5317</v>
      </c>
      <c r="H1380">
        <v>1.026408</v>
      </c>
      <c r="I1380">
        <v>141.70089999999999</v>
      </c>
      <c r="J1380">
        <v>-336.01440000000002</v>
      </c>
      <c r="K1380">
        <v>1.1040410000000001</v>
      </c>
      <c r="L1380">
        <v>141.59530000000001</v>
      </c>
      <c r="M1380">
        <v>-0.9998416</v>
      </c>
      <c r="N1380">
        <v>0</v>
      </c>
      <c r="O1380">
        <v>-1.376639E-2</v>
      </c>
      <c r="P1380">
        <v>-0.99198909999999996</v>
      </c>
      <c r="Q1380">
        <v>0.1246342</v>
      </c>
      <c r="R1380">
        <v>-2.0593549999999999E-2</v>
      </c>
      <c r="S1380">
        <v>-3.0667719999999998</v>
      </c>
      <c r="T1380">
        <v>-0.28191319999999997</v>
      </c>
      <c r="U1380">
        <v>0.3656006</v>
      </c>
      <c r="V1380">
        <v>-6.9268419999999999E-3</v>
      </c>
      <c r="W1380">
        <v>0.135823</v>
      </c>
      <c r="X1380">
        <v>0.9907089</v>
      </c>
      <c r="Y1380">
        <v>0.13143060000000001</v>
      </c>
      <c r="Z1380">
        <v>7.2657340000000003E-3</v>
      </c>
      <c r="AA1380">
        <v>0.99129869999999998</v>
      </c>
      <c r="AB1380">
        <v>33</v>
      </c>
      <c r="AC1380">
        <v>-0.517299999999977</v>
      </c>
      <c r="AD1380">
        <v>-7.7632999999999994E-2</v>
      </c>
      <c r="AE1380">
        <v>0.105599999999981</v>
      </c>
      <c r="AF1380">
        <v>0.110326425137359</v>
      </c>
      <c r="AG1380">
        <v>-7.7632999999999994E-2</v>
      </c>
      <c r="AH1380">
        <v>0.50488108948160904</v>
      </c>
      <c r="AI1380">
        <v>98.543102625458701</v>
      </c>
      <c r="AJ1380">
        <v>77.673510199359498</v>
      </c>
      <c r="AK1380">
        <v>0.52259326180953203</v>
      </c>
      <c r="AL1380">
        <v>82.193787300061501</v>
      </c>
      <c r="AM1380">
        <v>90.400594306724699</v>
      </c>
      <c r="AN1380">
        <v>0.99999999650415095</v>
      </c>
    </row>
    <row r="1381" spans="1:40" x14ac:dyDescent="0.3">
      <c r="A1381" t="str">
        <f>"20200111150341525"</f>
        <v>20200111150341525</v>
      </c>
      <c r="B1381" t="str">
        <f>"1578726221519464"</f>
        <v>1578726221519464</v>
      </c>
      <c r="C1381" t="s">
        <v>40</v>
      </c>
      <c r="D1381">
        <v>5.6468400000000001</v>
      </c>
      <c r="E1381">
        <v>0.55592819999999898</v>
      </c>
      <c r="F1381" t="s">
        <v>42</v>
      </c>
      <c r="G1381">
        <v>-336.83210000000003</v>
      </c>
      <c r="H1381">
        <v>1.0291939999999999</v>
      </c>
      <c r="I1381">
        <v>141.69319999999999</v>
      </c>
      <c r="J1381">
        <v>-336.3571</v>
      </c>
      <c r="K1381">
        <v>1.104031</v>
      </c>
      <c r="L1381">
        <v>141.59059999999999</v>
      </c>
      <c r="M1381">
        <v>-0.99984189999999995</v>
      </c>
      <c r="N1381">
        <v>0</v>
      </c>
      <c r="O1381">
        <v>-1.375882E-2</v>
      </c>
      <c r="P1381">
        <v>-0.99204230000000004</v>
      </c>
      <c r="Q1381">
        <v>0.12410400000000001</v>
      </c>
      <c r="R1381">
        <v>-2.1224280000000002E-2</v>
      </c>
      <c r="S1381">
        <v>-3.0671080000000002</v>
      </c>
      <c r="T1381">
        <v>-0.2808853</v>
      </c>
      <c r="U1381">
        <v>0.36621090000000001</v>
      </c>
      <c r="V1381">
        <v>-7.5646819999999997E-3</v>
      </c>
      <c r="W1381">
        <v>0.13528399999999999</v>
      </c>
      <c r="X1381">
        <v>0.99077800000000005</v>
      </c>
      <c r="Y1381">
        <v>0.1316087</v>
      </c>
      <c r="Z1381">
        <v>7.2459059999999999E-3</v>
      </c>
      <c r="AA1381">
        <v>0.99127529999999997</v>
      </c>
      <c r="AB1381">
        <v>33</v>
      </c>
      <c r="AC1381">
        <v>-0.47500000000002202</v>
      </c>
      <c r="AD1381">
        <v>-7.4837000000000001E-2</v>
      </c>
      <c r="AE1381">
        <v>0.102599999999995</v>
      </c>
      <c r="AF1381">
        <v>0.10659806081435</v>
      </c>
      <c r="AG1381">
        <v>-7.4837000000000001E-2</v>
      </c>
      <c r="AH1381">
        <v>0.46257290587553901</v>
      </c>
      <c r="AI1381">
        <v>98.959072544522002</v>
      </c>
      <c r="AJ1381">
        <v>77.022969589956006</v>
      </c>
      <c r="AK1381">
        <v>0.48055948267464299</v>
      </c>
      <c r="AL1381">
        <v>82.224957571187602</v>
      </c>
      <c r="AM1381">
        <v>90.437450094922596</v>
      </c>
      <c r="AN1381">
        <v>1.00000001517688</v>
      </c>
    </row>
    <row r="1382" spans="1:40" x14ac:dyDescent="0.3">
      <c r="A1382" t="str">
        <f>"20200111150341547"</f>
        <v>20200111150341547</v>
      </c>
      <c r="B1382" t="str">
        <f>"1578726221539949"</f>
        <v>1578726221539949</v>
      </c>
      <c r="C1382" t="s">
        <v>40</v>
      </c>
      <c r="D1382">
        <v>5.5987710000000002</v>
      </c>
      <c r="E1382">
        <v>0.55604730000000002</v>
      </c>
      <c r="F1382" t="s">
        <v>42</v>
      </c>
      <c r="G1382">
        <v>-337.13290000000001</v>
      </c>
      <c r="H1382">
        <v>1.0326690000000001</v>
      </c>
      <c r="I1382">
        <v>141.68270000000001</v>
      </c>
      <c r="J1382">
        <v>-336.6986</v>
      </c>
      <c r="K1382">
        <v>1.104026</v>
      </c>
      <c r="L1382">
        <v>141.58590000000001</v>
      </c>
      <c r="M1382">
        <v>-0.99984220000000001</v>
      </c>
      <c r="N1382">
        <v>0</v>
      </c>
      <c r="O1382">
        <v>-1.375114E-2</v>
      </c>
      <c r="P1382">
        <v>-0.99215969999999998</v>
      </c>
      <c r="Q1382">
        <v>0.12310939999999999</v>
      </c>
      <c r="R1382">
        <v>-2.153118E-2</v>
      </c>
      <c r="S1382">
        <v>-3.0671080000000002</v>
      </c>
      <c r="T1382">
        <v>-0.282178599999999</v>
      </c>
      <c r="U1382">
        <v>0.36360170000000003</v>
      </c>
      <c r="V1382">
        <v>-7.8775749999999995E-3</v>
      </c>
      <c r="W1382">
        <v>0.13428090000000001</v>
      </c>
      <c r="X1382">
        <v>0.99091200000000002</v>
      </c>
      <c r="Y1382">
        <v>0.13076750000000001</v>
      </c>
      <c r="Z1382">
        <v>7.2403049999999998E-3</v>
      </c>
      <c r="AA1382">
        <v>0.99138669999999995</v>
      </c>
      <c r="AB1382">
        <v>33</v>
      </c>
      <c r="AC1382">
        <v>-0.43430000000000701</v>
      </c>
      <c r="AD1382">
        <v>-7.1356999999999796E-2</v>
      </c>
      <c r="AE1382">
        <v>9.6800000000001704E-2</v>
      </c>
      <c r="AF1382">
        <v>0.100186742096512</v>
      </c>
      <c r="AG1382">
        <v>-7.1356999999999796E-2</v>
      </c>
      <c r="AH1382">
        <v>0.42207286925653198</v>
      </c>
      <c r="AI1382">
        <v>99.341084601703798</v>
      </c>
      <c r="AJ1382">
        <v>76.646921803930994</v>
      </c>
      <c r="AK1382">
        <v>0.43963019880731002</v>
      </c>
      <c r="AL1382">
        <v>82.282960144500805</v>
      </c>
      <c r="AM1382">
        <v>90.4554817100082</v>
      </c>
      <c r="AN1382">
        <v>1.0000000040183401</v>
      </c>
    </row>
    <row r="1383" spans="1:40" x14ac:dyDescent="0.3">
      <c r="A1383" t="str">
        <f>"20200111150341569"</f>
        <v>20200111150341569</v>
      </c>
      <c r="B1383" t="str">
        <f>"1578726221559466"</f>
        <v>1578726221559466</v>
      </c>
      <c r="C1383" t="s">
        <v>40</v>
      </c>
      <c r="D1383">
        <v>5.6933939999999996</v>
      </c>
      <c r="E1383">
        <v>0.55601009999999995</v>
      </c>
      <c r="F1383" t="s">
        <v>42</v>
      </c>
      <c r="G1383">
        <v>-337.43389999999999</v>
      </c>
      <c r="H1383">
        <v>1.035989</v>
      </c>
      <c r="I1383">
        <v>141.67359999999999</v>
      </c>
      <c r="J1383">
        <v>-337.01679999999999</v>
      </c>
      <c r="K1383">
        <v>1.1040160000000001</v>
      </c>
      <c r="L1383">
        <v>141.58160000000001</v>
      </c>
      <c r="M1383">
        <v>-0.99984229999999996</v>
      </c>
      <c r="N1383">
        <v>0</v>
      </c>
      <c r="O1383">
        <v>-1.374383E-2</v>
      </c>
      <c r="P1383">
        <v>-0.99232140000000002</v>
      </c>
      <c r="Q1383">
        <v>0.1217796</v>
      </c>
      <c r="R1383">
        <v>-2.1645950000000001E-2</v>
      </c>
      <c r="S1383">
        <v>-3.0668329999999999</v>
      </c>
      <c r="T1383">
        <v>-0.28389809999999999</v>
      </c>
      <c r="U1383">
        <v>0.364151</v>
      </c>
      <c r="V1383">
        <v>-7.9976259999999903E-3</v>
      </c>
      <c r="W1383">
        <v>0.13294539999999999</v>
      </c>
      <c r="X1383">
        <v>0.9910911</v>
      </c>
      <c r="Y1383">
        <v>0.13093759999999999</v>
      </c>
      <c r="Z1383">
        <v>7.2919619999999999E-3</v>
      </c>
      <c r="AA1383">
        <v>0.99136380000000002</v>
      </c>
      <c r="AB1383">
        <v>33</v>
      </c>
      <c r="AC1383">
        <v>-0.41710000000000402</v>
      </c>
      <c r="AD1383">
        <v>-6.8026999999999796E-2</v>
      </c>
      <c r="AE1383">
        <v>9.1999999999984497E-2</v>
      </c>
      <c r="AF1383">
        <v>9.5306679088123694E-2</v>
      </c>
      <c r="AG1383">
        <v>-6.8026999999999796E-2</v>
      </c>
      <c r="AH1383">
        <v>0.40550994256821499</v>
      </c>
      <c r="AI1383">
        <v>99.274921287909606</v>
      </c>
      <c r="AJ1383">
        <v>76.773863112538905</v>
      </c>
      <c r="AK1383">
        <v>0.42207742101359003</v>
      </c>
      <c r="AL1383">
        <v>82.360170976877995</v>
      </c>
      <c r="AM1383">
        <v>90.462339203838596</v>
      </c>
      <c r="AN1383">
        <v>1.0000000049510001</v>
      </c>
    </row>
    <row r="1384" spans="1:40" x14ac:dyDescent="0.3">
      <c r="A1384" t="str">
        <f>"20200111150341592"</f>
        <v>20200111150341592</v>
      </c>
      <c r="B1384" t="str">
        <f>"1578726221589723"</f>
        <v>1578726221589723</v>
      </c>
      <c r="C1384" t="s">
        <v>40</v>
      </c>
      <c r="D1384">
        <v>5.637715</v>
      </c>
      <c r="E1384">
        <v>0.55554539999999997</v>
      </c>
      <c r="F1384" t="s">
        <v>42</v>
      </c>
      <c r="G1384">
        <v>-338.02170000000001</v>
      </c>
      <c r="H1384">
        <v>1.0103899999999999</v>
      </c>
      <c r="I1384">
        <v>141.7011</v>
      </c>
      <c r="J1384">
        <v>-337.35899999999998</v>
      </c>
      <c r="K1384">
        <v>1.1040080000000001</v>
      </c>
      <c r="L1384">
        <v>141.57689999999999</v>
      </c>
      <c r="M1384">
        <v>-0.99984229999999996</v>
      </c>
      <c r="N1384">
        <v>0</v>
      </c>
      <c r="O1384">
        <v>-1.373627E-2</v>
      </c>
      <c r="P1384">
        <v>-0.99261619999999995</v>
      </c>
      <c r="Q1384">
        <v>0.1194812</v>
      </c>
      <c r="R1384">
        <v>-2.0910479999999999E-2</v>
      </c>
      <c r="S1384">
        <v>-3.0661930000000002</v>
      </c>
      <c r="T1384">
        <v>-0.28575899999999999</v>
      </c>
      <c r="U1384">
        <v>0.36390689999999998</v>
      </c>
      <c r="V1384">
        <v>-7.2654629999999998E-3</v>
      </c>
      <c r="W1384">
        <v>0.13064249999999999</v>
      </c>
      <c r="X1384">
        <v>0.99140289999999998</v>
      </c>
      <c r="Y1384">
        <v>0.1308686</v>
      </c>
      <c r="Z1384">
        <v>7.3372069999999897E-3</v>
      </c>
      <c r="AA1384">
        <v>0.99137260000000005</v>
      </c>
      <c r="AB1384">
        <v>34</v>
      </c>
      <c r="AC1384">
        <v>-0.66269999999997198</v>
      </c>
      <c r="AD1384">
        <v>-9.3618000000000201E-2</v>
      </c>
      <c r="AE1384">
        <v>0.124200000000001</v>
      </c>
      <c r="AF1384">
        <v>0.13077071011939501</v>
      </c>
      <c r="AG1384">
        <v>-9.3618000000000201E-2</v>
      </c>
      <c r="AH1384">
        <v>0.64843001121268695</v>
      </c>
      <c r="AI1384">
        <v>98.055401718559295</v>
      </c>
      <c r="AJ1384">
        <v>78.597937982931398</v>
      </c>
      <c r="AK1384">
        <v>0.66807693268845603</v>
      </c>
      <c r="AL1384">
        <v>82.493278348820994</v>
      </c>
      <c r="AM1384">
        <v>90.419882687491494</v>
      </c>
      <c r="AN1384">
        <v>0.99999997994363199</v>
      </c>
    </row>
    <row r="1385" spans="1:40" x14ac:dyDescent="0.3">
      <c r="A1385" t="str">
        <f>"20200111150341615"</f>
        <v>20200111150341615</v>
      </c>
      <c r="B1385" t="str">
        <f>"1578726221610219"</f>
        <v>1578726221610219</v>
      </c>
      <c r="C1385" t="s">
        <v>40</v>
      </c>
      <c r="D1385">
        <v>5.6694149999999999</v>
      </c>
      <c r="E1385">
        <v>0.55552699999999999</v>
      </c>
      <c r="F1385" t="s">
        <v>42</v>
      </c>
      <c r="G1385">
        <v>-338.3227</v>
      </c>
      <c r="H1385">
        <v>1.0132760000000001</v>
      </c>
      <c r="I1385">
        <v>141.69120000000001</v>
      </c>
      <c r="J1385">
        <v>-337.69749999999999</v>
      </c>
      <c r="K1385">
        <v>1.1039909999999999</v>
      </c>
      <c r="L1385">
        <v>141.57220000000001</v>
      </c>
      <c r="M1385">
        <v>-0.99984269999999997</v>
      </c>
      <c r="N1385">
        <v>0</v>
      </c>
      <c r="O1385">
        <v>-1.372872E-2</v>
      </c>
      <c r="P1385">
        <v>-0.99298649999999999</v>
      </c>
      <c r="Q1385">
        <v>0.11679009999999999</v>
      </c>
      <c r="R1385">
        <v>-1.8395410000000001E-2</v>
      </c>
      <c r="S1385">
        <v>-3.0647280000000001</v>
      </c>
      <c r="T1385">
        <v>-0.28859380000000001</v>
      </c>
      <c r="U1385">
        <v>0.36317440000000001</v>
      </c>
      <c r="V1385">
        <v>-4.7531079999999998E-3</v>
      </c>
      <c r="W1385">
        <v>0.1279479</v>
      </c>
      <c r="X1385">
        <v>0.99176949999999997</v>
      </c>
      <c r="Y1385">
        <v>0.13067089999999901</v>
      </c>
      <c r="Z1385">
        <v>7.403321E-3</v>
      </c>
      <c r="AA1385">
        <v>0.99139820000000001</v>
      </c>
      <c r="AB1385">
        <v>34</v>
      </c>
      <c r="AC1385">
        <v>-0.62520000000000597</v>
      </c>
      <c r="AD1385">
        <v>-9.0714999999999796E-2</v>
      </c>
      <c r="AE1385">
        <v>0.118999999999999</v>
      </c>
      <c r="AF1385">
        <v>0.12503221211490201</v>
      </c>
      <c r="AG1385">
        <v>-9.0714999999999796E-2</v>
      </c>
      <c r="AH1385">
        <v>0.61109156186938596</v>
      </c>
      <c r="AI1385">
        <v>98.274769040311398</v>
      </c>
      <c r="AJ1385">
        <v>78.436610470009001</v>
      </c>
      <c r="AK1385">
        <v>0.63031354283349506</v>
      </c>
      <c r="AL1385">
        <v>82.648974641831799</v>
      </c>
      <c r="AM1385">
        <v>90.2745909638939</v>
      </c>
      <c r="AN1385">
        <v>0.99999999914015902</v>
      </c>
    </row>
    <row r="1386" spans="1:40" x14ac:dyDescent="0.3">
      <c r="A1386" t="str">
        <f>"20200111150341637"</f>
        <v>20200111150341637</v>
      </c>
      <c r="B1386" t="str">
        <f>"1578726221629738"</f>
        <v>1578726221629738</v>
      </c>
      <c r="C1386" t="s">
        <v>40</v>
      </c>
      <c r="D1386">
        <v>5.6984760000000003</v>
      </c>
      <c r="E1386">
        <v>0.55547930000000001</v>
      </c>
      <c r="F1386" t="s">
        <v>42</v>
      </c>
      <c r="G1386">
        <v>-338.62349999999998</v>
      </c>
      <c r="H1386">
        <v>1.0150669999999999</v>
      </c>
      <c r="I1386">
        <v>141.68520000000001</v>
      </c>
      <c r="J1386">
        <v>-338.0394</v>
      </c>
      <c r="K1386">
        <v>1.103972</v>
      </c>
      <c r="L1386">
        <v>141.5676</v>
      </c>
      <c r="M1386">
        <v>-0.99984289999999998</v>
      </c>
      <c r="N1386">
        <v>0</v>
      </c>
      <c r="O1386">
        <v>-1.372106E-2</v>
      </c>
      <c r="P1386">
        <v>-0.99349980000000004</v>
      </c>
      <c r="Q1386">
        <v>0.112941</v>
      </c>
      <c r="R1386">
        <v>-1.4240849999999999E-2</v>
      </c>
      <c r="S1386">
        <v>-3.0626829999999998</v>
      </c>
      <c r="T1386">
        <v>-0.29423329999999998</v>
      </c>
      <c r="U1386">
        <v>0.37188719999999997</v>
      </c>
      <c r="V1386">
        <v>-5.9978199999999998E-4</v>
      </c>
      <c r="W1386">
        <v>0.12409779999999999</v>
      </c>
      <c r="X1386">
        <v>0.99226979999999998</v>
      </c>
      <c r="Y1386">
        <v>0.1334822</v>
      </c>
      <c r="Z1386">
        <v>7.6845790000000004E-3</v>
      </c>
      <c r="AA1386">
        <v>0.99102140000000005</v>
      </c>
      <c r="AB1386">
        <v>34</v>
      </c>
      <c r="AC1386">
        <v>-0.58409999999997797</v>
      </c>
      <c r="AD1386">
        <v>-8.8904999999999998E-2</v>
      </c>
      <c r="AE1386">
        <v>0.11760000000001</v>
      </c>
      <c r="AF1386">
        <v>0.122868253517292</v>
      </c>
      <c r="AG1386">
        <v>-8.8904999999999998E-2</v>
      </c>
      <c r="AH1386">
        <v>0.56974596801852495</v>
      </c>
      <c r="AI1386">
        <v>98.6728474243221</v>
      </c>
      <c r="AJ1386">
        <v>77.830284143712404</v>
      </c>
      <c r="AK1386">
        <v>0.58958559583893899</v>
      </c>
      <c r="AL1386">
        <v>82.871342061883297</v>
      </c>
      <c r="AM1386">
        <v>90.034632690668005</v>
      </c>
      <c r="AN1386">
        <v>0.99999998984766303</v>
      </c>
    </row>
    <row r="1387" spans="1:40" x14ac:dyDescent="0.3">
      <c r="A1387" t="str">
        <f>"20200111150341659"</f>
        <v>20200111150341659</v>
      </c>
      <c r="B1387" t="str">
        <f>"1578726221650234"</f>
        <v>1578726221650234</v>
      </c>
      <c r="C1387" t="s">
        <v>40</v>
      </c>
      <c r="D1387">
        <v>5.7184710000000001</v>
      </c>
      <c r="E1387">
        <v>0.55555759999999998</v>
      </c>
      <c r="F1387" t="s">
        <v>42</v>
      </c>
      <c r="G1387">
        <v>-338.92430000000002</v>
      </c>
      <c r="H1387">
        <v>1.0163679999999999</v>
      </c>
      <c r="I1387">
        <v>141.679</v>
      </c>
      <c r="J1387">
        <v>-338.3623</v>
      </c>
      <c r="K1387">
        <v>1.1039570000000001</v>
      </c>
      <c r="L1387">
        <v>141.56309999999999</v>
      </c>
      <c r="M1387">
        <v>-0.99984280000000003</v>
      </c>
      <c r="N1387">
        <v>0</v>
      </c>
      <c r="O1387">
        <v>-1.3713639999999999E-2</v>
      </c>
      <c r="P1387">
        <v>-0.9940734</v>
      </c>
      <c r="Q1387">
        <v>0.10834340000000001</v>
      </c>
      <c r="R1387">
        <v>-8.9288869999999999E-3</v>
      </c>
      <c r="S1387">
        <v>-3.0595400000000001</v>
      </c>
      <c r="T1387">
        <v>-0.30295470000000002</v>
      </c>
      <c r="U1387">
        <v>0.38461299999999998</v>
      </c>
      <c r="V1387">
        <v>4.7115689999999997E-3</v>
      </c>
      <c r="W1387">
        <v>0.1195008</v>
      </c>
      <c r="X1387">
        <v>0.99282289999999995</v>
      </c>
      <c r="Y1387">
        <v>0.13759460000000001</v>
      </c>
      <c r="Z1387">
        <v>8.1189069999999999E-3</v>
      </c>
      <c r="AA1387">
        <v>0.99045530000000004</v>
      </c>
      <c r="AB1387">
        <v>34</v>
      </c>
      <c r="AC1387">
        <v>-0.56200000000001105</v>
      </c>
      <c r="AD1387">
        <v>-8.7589000000000097E-2</v>
      </c>
      <c r="AE1387">
        <v>0.11590000000001</v>
      </c>
      <c r="AF1387">
        <v>0.12078253539119101</v>
      </c>
      <c r="AG1387">
        <v>-8.7589000000000097E-2</v>
      </c>
      <c r="AH1387">
        <v>0.547599101319863</v>
      </c>
      <c r="AI1387">
        <v>98.8776721446811</v>
      </c>
      <c r="AJ1387">
        <v>77.561573836442605</v>
      </c>
      <c r="AK1387">
        <v>0.56756059548108695</v>
      </c>
      <c r="AL1387">
        <v>83.136706615944306</v>
      </c>
      <c r="AM1387">
        <v>89.728097536755698</v>
      </c>
      <c r="AN1387">
        <v>0.99999997542374497</v>
      </c>
    </row>
    <row r="1388" spans="1:40" x14ac:dyDescent="0.3">
      <c r="A1388" t="str">
        <f>"20200111150341681"</f>
        <v>20200111150341681</v>
      </c>
      <c r="B1388" t="str">
        <f>"1578726221669754"</f>
        <v>1578726221669754</v>
      </c>
      <c r="C1388" t="s">
        <v>40</v>
      </c>
      <c r="D1388">
        <v>5.7158059999999997</v>
      </c>
      <c r="E1388">
        <v>0.5556257</v>
      </c>
      <c r="F1388" t="s">
        <v>42</v>
      </c>
      <c r="G1388">
        <v>-339.22379999999998</v>
      </c>
      <c r="H1388">
        <v>1.0147539999999999</v>
      </c>
      <c r="I1388">
        <v>141.6763</v>
      </c>
      <c r="J1388">
        <v>-338.69690000000003</v>
      </c>
      <c r="K1388">
        <v>1.1039369999999999</v>
      </c>
      <c r="L1388">
        <v>141.55860000000001</v>
      </c>
      <c r="M1388">
        <v>-0.99984309999999998</v>
      </c>
      <c r="N1388">
        <v>0</v>
      </c>
      <c r="O1388">
        <v>-1.3706339999999999E-2</v>
      </c>
      <c r="P1388">
        <v>-0.99433859999999996</v>
      </c>
      <c r="Q1388">
        <v>0.1060601</v>
      </c>
      <c r="R1388">
        <v>-6.4954130000000002E-3</v>
      </c>
      <c r="S1388">
        <v>-3.055939</v>
      </c>
      <c r="T1388">
        <v>-0.31649290000000002</v>
      </c>
      <c r="U1388">
        <v>0.4000244</v>
      </c>
      <c r="V1388">
        <v>7.1410789999999998E-3</v>
      </c>
      <c r="W1388">
        <v>0.11721529999999999</v>
      </c>
      <c r="X1388">
        <v>0.99308090000000004</v>
      </c>
      <c r="Y1388">
        <v>0.14255029999999999</v>
      </c>
      <c r="Z1388">
        <v>8.7411439999999993E-3</v>
      </c>
      <c r="AA1388">
        <v>0.98974899999999999</v>
      </c>
      <c r="AB1388">
        <v>34</v>
      </c>
      <c r="AC1388">
        <v>-0.52689999999995496</v>
      </c>
      <c r="AD1388">
        <v>-8.9182999999999998E-2</v>
      </c>
      <c r="AE1388">
        <v>0.117699999999985</v>
      </c>
      <c r="AF1388">
        <v>0.12159331841974701</v>
      </c>
      <c r="AG1388">
        <v>-8.9182999999999998E-2</v>
      </c>
      <c r="AH1388">
        <v>0.51128557581193701</v>
      </c>
      <c r="AI1388">
        <v>99.631122433477003</v>
      </c>
      <c r="AJ1388">
        <v>76.622492588155296</v>
      </c>
      <c r="AK1388">
        <v>0.53305861085500705</v>
      </c>
      <c r="AL1388">
        <v>83.268583604791402</v>
      </c>
      <c r="AM1388">
        <v>89.588002713671798</v>
      </c>
      <c r="AN1388">
        <v>1.00000004775409</v>
      </c>
    </row>
    <row r="1389" spans="1:40" x14ac:dyDescent="0.3">
      <c r="A1389" t="str">
        <f>"20200111150341703"</f>
        <v>20200111150341703</v>
      </c>
      <c r="B1389" t="str">
        <f>"1578726221700010"</f>
        <v>1578726221700010</v>
      </c>
      <c r="C1389" t="s">
        <v>40</v>
      </c>
      <c r="D1389">
        <v>5.6926819999999996</v>
      </c>
      <c r="E1389">
        <v>0.55554230000000004</v>
      </c>
      <c r="F1389" t="s">
        <v>42</v>
      </c>
      <c r="G1389">
        <v>-339.52519999999998</v>
      </c>
      <c r="H1389">
        <v>1.016888</v>
      </c>
      <c r="I1389">
        <v>141.66970000000001</v>
      </c>
      <c r="J1389">
        <v>-339.03289999999998</v>
      </c>
      <c r="K1389">
        <v>1.103923</v>
      </c>
      <c r="L1389">
        <v>141.554</v>
      </c>
      <c r="M1389">
        <v>-0.99984340000000005</v>
      </c>
      <c r="N1389">
        <v>0</v>
      </c>
      <c r="O1389">
        <v>-1.369893E-2</v>
      </c>
      <c r="P1389">
        <v>-0.99453740000000002</v>
      </c>
      <c r="Q1389">
        <v>0.104299</v>
      </c>
      <c r="R1389">
        <v>-4.2050610000000004E-3</v>
      </c>
      <c r="S1389">
        <v>-3.0539550000000002</v>
      </c>
      <c r="T1389">
        <v>-0.32100959999999901</v>
      </c>
      <c r="U1389">
        <v>0.40913389999999999</v>
      </c>
      <c r="V1389">
        <v>9.4267369999999993E-3</v>
      </c>
      <c r="W1389">
        <v>0.1154521</v>
      </c>
      <c r="X1389">
        <v>0.99326829999999999</v>
      </c>
      <c r="Y1389">
        <v>0.14548639999999999</v>
      </c>
      <c r="Z1389">
        <v>9.0216189999999998E-3</v>
      </c>
      <c r="AA1389">
        <v>0.98931910000000001</v>
      </c>
      <c r="AB1389">
        <v>34</v>
      </c>
      <c r="AC1389">
        <v>-0.49230000000000002</v>
      </c>
      <c r="AD1389">
        <v>-8.7034999999999904E-2</v>
      </c>
      <c r="AE1389">
        <v>0.11570000000000299</v>
      </c>
      <c r="AF1389">
        <v>0.118911437616729</v>
      </c>
      <c r="AG1389">
        <v>-8.7034999999999904E-2</v>
      </c>
      <c r="AH1389">
        <v>0.476553405858885</v>
      </c>
      <c r="AI1389">
        <v>100.048567896751</v>
      </c>
      <c r="AJ1389">
        <v>75.989436338585193</v>
      </c>
      <c r="AK1389">
        <v>0.498816769823129</v>
      </c>
      <c r="AL1389">
        <v>83.370297725802999</v>
      </c>
      <c r="AM1389">
        <v>89.456243565577694</v>
      </c>
      <c r="AN1389">
        <v>0.99999998327488304</v>
      </c>
    </row>
    <row r="1390" spans="1:40" x14ac:dyDescent="0.3">
      <c r="A1390" t="str">
        <f>"20200111150341727"</f>
        <v>20200111150341727</v>
      </c>
      <c r="B1390" t="str">
        <f>"1578726221719530"</f>
        <v>1578726221719530</v>
      </c>
      <c r="C1390" t="s">
        <v>40</v>
      </c>
      <c r="D1390">
        <v>5.6875070000000001</v>
      </c>
      <c r="E1390">
        <v>0.55553850000000005</v>
      </c>
      <c r="F1390" t="s">
        <v>42</v>
      </c>
      <c r="G1390">
        <v>-339.82729999999998</v>
      </c>
      <c r="H1390">
        <v>1.02003</v>
      </c>
      <c r="I1390">
        <v>141.6628</v>
      </c>
      <c r="J1390">
        <v>-339.38959999999997</v>
      </c>
      <c r="K1390">
        <v>1.1039209999999999</v>
      </c>
      <c r="L1390">
        <v>141.54910000000001</v>
      </c>
      <c r="M1390">
        <v>-0.99984329999999999</v>
      </c>
      <c r="N1390">
        <v>0</v>
      </c>
      <c r="O1390">
        <v>-1.369069E-2</v>
      </c>
      <c r="P1390">
        <v>-0.99450870000000002</v>
      </c>
      <c r="Q1390">
        <v>0.1046092</v>
      </c>
      <c r="R1390">
        <v>-3.066268E-3</v>
      </c>
      <c r="S1390">
        <v>-3.052063</v>
      </c>
      <c r="T1390">
        <v>-0.32241350000000002</v>
      </c>
      <c r="U1390">
        <v>0.41688540000000002</v>
      </c>
      <c r="V1390">
        <v>1.0556660000000001E-2</v>
      </c>
      <c r="W1390">
        <v>0.1157585</v>
      </c>
      <c r="X1390">
        <v>0.99322129999999997</v>
      </c>
      <c r="Y1390">
        <v>0.14800389999999999</v>
      </c>
      <c r="Z1390">
        <v>9.1960150000000001E-3</v>
      </c>
      <c r="AA1390">
        <v>0.98894400000000005</v>
      </c>
      <c r="AB1390">
        <v>34</v>
      </c>
      <c r="AC1390">
        <v>-0.43770000000000597</v>
      </c>
      <c r="AD1390">
        <v>-8.3890999999999896E-2</v>
      </c>
      <c r="AE1390">
        <v>0.113699999999994</v>
      </c>
      <c r="AF1390">
        <v>0.115700569446616</v>
      </c>
      <c r="AG1390">
        <v>-8.3890999999999896E-2</v>
      </c>
      <c r="AH1390">
        <v>0.42159406613608003</v>
      </c>
      <c r="AI1390">
        <v>100.862463071379</v>
      </c>
      <c r="AJ1390">
        <v>74.653798399847005</v>
      </c>
      <c r="AK1390">
        <v>0.445158262028714</v>
      </c>
      <c r="AL1390">
        <v>83.352623991345098</v>
      </c>
      <c r="AM1390">
        <v>89.391042772948595</v>
      </c>
      <c r="AN1390">
        <v>1.00000001208314</v>
      </c>
    </row>
    <row r="1391" spans="1:40" x14ac:dyDescent="0.3">
      <c r="A1391" t="str">
        <f>"20200111150341748"</f>
        <v>20200111150341748</v>
      </c>
      <c r="B1391" t="str">
        <f>"1578726221740029"</f>
        <v>1578726221740029</v>
      </c>
      <c r="C1391" t="s">
        <v>40</v>
      </c>
      <c r="D1391">
        <v>5.7176790000000004</v>
      </c>
      <c r="E1391">
        <v>0.55551729999999999</v>
      </c>
      <c r="F1391" t="s">
        <v>42</v>
      </c>
      <c r="G1391">
        <v>-340.1309</v>
      </c>
      <c r="H1391">
        <v>1.026335</v>
      </c>
      <c r="I1391">
        <v>141.6516</v>
      </c>
      <c r="J1391">
        <v>-339.70800000000003</v>
      </c>
      <c r="K1391">
        <v>1.1039129999999999</v>
      </c>
      <c r="L1391">
        <v>141.54470000000001</v>
      </c>
      <c r="M1391">
        <v>-0.9998435</v>
      </c>
      <c r="N1391">
        <v>0</v>
      </c>
      <c r="O1391">
        <v>-1.368364E-2</v>
      </c>
      <c r="P1391">
        <v>-0.99457779999999996</v>
      </c>
      <c r="Q1391">
        <v>0.10396809999999999</v>
      </c>
      <c r="R1391">
        <v>-2.4672499999999998E-3</v>
      </c>
      <c r="S1391">
        <v>-3.0514220000000001</v>
      </c>
      <c r="T1391">
        <v>-0.31940279999999999</v>
      </c>
      <c r="U1391">
        <v>0.42079159999999999</v>
      </c>
      <c r="V1391">
        <v>1.114969E-2</v>
      </c>
      <c r="W1391">
        <v>0.1151162</v>
      </c>
      <c r="X1391">
        <v>0.99328950000000005</v>
      </c>
      <c r="Y1391">
        <v>0.14927670000000001</v>
      </c>
      <c r="Z1391">
        <v>9.1770970000000004E-3</v>
      </c>
      <c r="AA1391">
        <v>0.98875290000000005</v>
      </c>
      <c r="AB1391">
        <v>34</v>
      </c>
      <c r="AC1391">
        <v>-0.42289999999997002</v>
      </c>
      <c r="AD1391">
        <v>-7.7577999999999897E-2</v>
      </c>
      <c r="AE1391">
        <v>0.106899999999996</v>
      </c>
      <c r="AF1391">
        <v>0.10922243557693399</v>
      </c>
      <c r="AG1391">
        <v>-7.7577999999999897E-2</v>
      </c>
      <c r="AH1391">
        <v>0.40847730038728097</v>
      </c>
      <c r="AI1391">
        <v>100.39667016560399</v>
      </c>
      <c r="AJ1391">
        <v>75.029937864145296</v>
      </c>
      <c r="AK1391">
        <v>0.42988555622286101</v>
      </c>
      <c r="AL1391">
        <v>83.389672955430697</v>
      </c>
      <c r="AM1391">
        <v>89.356880999111596</v>
      </c>
      <c r="AN1391">
        <v>1.0000000429498901</v>
      </c>
    </row>
    <row r="1392" spans="1:40" x14ac:dyDescent="0.3">
      <c r="A1392" t="str">
        <f>"20200111150341765"</f>
        <v>20200111150341765</v>
      </c>
      <c r="B1392" t="str">
        <f>"1578726221759546"</f>
        <v>1578726221759546</v>
      </c>
      <c r="C1392" t="s">
        <v>40</v>
      </c>
      <c r="D1392">
        <v>5.6968050000000003</v>
      </c>
      <c r="E1392">
        <v>0.55525019999999903</v>
      </c>
      <c r="F1392" t="s">
        <v>42</v>
      </c>
      <c r="G1392">
        <v>-340.43239999999997</v>
      </c>
      <c r="H1392">
        <v>1.027882</v>
      </c>
      <c r="I1392">
        <v>141.6454</v>
      </c>
      <c r="J1392">
        <v>-339.96800000000002</v>
      </c>
      <c r="K1392">
        <v>1.103909</v>
      </c>
      <c r="L1392">
        <v>141.5411</v>
      </c>
      <c r="M1392">
        <v>-0.9998435</v>
      </c>
      <c r="N1392">
        <v>0</v>
      </c>
      <c r="O1392">
        <v>-1.367791E-2</v>
      </c>
      <c r="P1392">
        <v>-0.99458709999999995</v>
      </c>
      <c r="Q1392">
        <v>0.10385220000000001</v>
      </c>
      <c r="R1392">
        <v>-3.348148E-3</v>
      </c>
      <c r="S1392">
        <v>-3.0509029999999999</v>
      </c>
      <c r="T1392">
        <v>-0.32041999999999998</v>
      </c>
      <c r="U1392">
        <v>0.42233280000000001</v>
      </c>
      <c r="V1392">
        <v>1.026327E-2</v>
      </c>
      <c r="W1392">
        <v>0.1149992</v>
      </c>
      <c r="X1392">
        <v>0.99331250000000004</v>
      </c>
      <c r="Y1392">
        <v>0.1497754</v>
      </c>
      <c r="Z1392">
        <v>9.2327940000000008E-3</v>
      </c>
      <c r="AA1392">
        <v>0.98867700000000003</v>
      </c>
      <c r="AB1392">
        <v>34</v>
      </c>
      <c r="AC1392">
        <v>-0.46439999999995502</v>
      </c>
      <c r="AD1392">
        <v>-7.6026999999999997E-2</v>
      </c>
      <c r="AE1392">
        <v>0.10429999999999399</v>
      </c>
      <c r="AF1392">
        <v>0.107889952224884</v>
      </c>
      <c r="AG1392">
        <v>-7.6026999999999997E-2</v>
      </c>
      <c r="AH1392">
        <v>0.45141248951152002</v>
      </c>
      <c r="AI1392">
        <v>99.302808258488994</v>
      </c>
      <c r="AJ1392">
        <v>76.558170056454003</v>
      </c>
      <c r="AK1392">
        <v>0.47031221779481402</v>
      </c>
      <c r="AL1392">
        <v>83.3964206740485</v>
      </c>
      <c r="AM1392">
        <v>89.408020003459299</v>
      </c>
      <c r="AN1392">
        <v>0.99999993668398901</v>
      </c>
    </row>
    <row r="1393" spans="1:40" x14ac:dyDescent="0.3">
      <c r="A1393" t="str">
        <f>"20200111150341781"</f>
        <v>20200111150341781</v>
      </c>
      <c r="B1393" t="str">
        <f>"1578726221770281"</f>
        <v>1578726221770281</v>
      </c>
      <c r="C1393" t="s">
        <v>40</v>
      </c>
      <c r="D1393">
        <v>5.6571499999999997</v>
      </c>
      <c r="E1393">
        <v>0.55521140000000002</v>
      </c>
      <c r="F1393" t="s">
        <v>42</v>
      </c>
      <c r="G1393">
        <v>-340.73160000000001</v>
      </c>
      <c r="H1393">
        <v>1.02382</v>
      </c>
      <c r="I1393">
        <v>141.64580000000001</v>
      </c>
      <c r="J1393">
        <v>-340.20929999999998</v>
      </c>
      <c r="K1393">
        <v>1.1039060000000001</v>
      </c>
      <c r="L1393">
        <v>141.5378</v>
      </c>
      <c r="M1393">
        <v>-0.99984379999999995</v>
      </c>
      <c r="N1393">
        <v>0</v>
      </c>
      <c r="O1393">
        <v>-1.367266E-2</v>
      </c>
      <c r="P1393">
        <v>-0.99460910000000002</v>
      </c>
      <c r="Q1393">
        <v>0.1035493</v>
      </c>
      <c r="R1393">
        <v>-5.5209459999999997E-3</v>
      </c>
      <c r="S1393">
        <v>-3.0511469999999998</v>
      </c>
      <c r="T1393">
        <v>-0.32006770000000001</v>
      </c>
      <c r="U1393">
        <v>0.41781620000000003</v>
      </c>
      <c r="V1393">
        <v>8.0855719999999992E-3</v>
      </c>
      <c r="W1393">
        <v>0.1146961</v>
      </c>
      <c r="X1393">
        <v>0.99336769999999996</v>
      </c>
      <c r="Y1393">
        <v>0.14833270000000001</v>
      </c>
      <c r="Z1393">
        <v>9.1472189999999998E-3</v>
      </c>
      <c r="AA1393">
        <v>0.98889519999999997</v>
      </c>
      <c r="AB1393">
        <v>34</v>
      </c>
      <c r="AC1393">
        <v>-0.52230000000002896</v>
      </c>
      <c r="AD1393">
        <v>-8.0085999999999796E-2</v>
      </c>
      <c r="AE1393">
        <v>0.108000000000004</v>
      </c>
      <c r="AF1393">
        <v>0.112592941206885</v>
      </c>
      <c r="AG1393">
        <v>-8.0085999999999796E-2</v>
      </c>
      <c r="AH1393">
        <v>0.50929140511277704</v>
      </c>
      <c r="AI1393">
        <v>98.7291600202322</v>
      </c>
      <c r="AJ1393">
        <v>77.533701118635904</v>
      </c>
      <c r="AK1393">
        <v>0.52770131052268998</v>
      </c>
      <c r="AL1393">
        <v>83.413902986549004</v>
      </c>
      <c r="AM1393">
        <v>89.5336480941925</v>
      </c>
      <c r="AN1393">
        <v>0.99999997961653297</v>
      </c>
    </row>
    <row r="1394" spans="1:40" x14ac:dyDescent="0.3">
      <c r="A1394" t="str">
        <f>"20200111150341805"</f>
        <v>20200111150341805</v>
      </c>
      <c r="B1394" t="str">
        <f>"1578726221799562"</f>
        <v>1578726221799562</v>
      </c>
      <c r="C1394" t="s">
        <v>40</v>
      </c>
      <c r="D1394">
        <v>5.7128269999999999</v>
      </c>
      <c r="E1394">
        <v>0.55505640000000001</v>
      </c>
      <c r="F1394" t="s">
        <v>42</v>
      </c>
      <c r="G1394">
        <v>-341.0301</v>
      </c>
      <c r="H1394">
        <v>1.0178229999999999</v>
      </c>
      <c r="I1394">
        <v>141.64879999999999</v>
      </c>
      <c r="J1394">
        <v>-340.5609</v>
      </c>
      <c r="K1394">
        <v>1.103904</v>
      </c>
      <c r="L1394">
        <v>141.53299999999999</v>
      </c>
      <c r="M1394">
        <v>-0.99984379999999995</v>
      </c>
      <c r="N1394">
        <v>0</v>
      </c>
      <c r="O1394">
        <v>-1.366467E-2</v>
      </c>
      <c r="P1394">
        <v>-0.99463550000000001</v>
      </c>
      <c r="Q1394">
        <v>0.10311439999999999</v>
      </c>
      <c r="R1394">
        <v>-8.2331580000000008E-3</v>
      </c>
      <c r="S1394">
        <v>-3.0519099999999999</v>
      </c>
      <c r="T1394">
        <v>-0.32020480000000001</v>
      </c>
      <c r="U1394">
        <v>0.41152949999999999</v>
      </c>
      <c r="V1394">
        <v>5.3659700000000003E-3</v>
      </c>
      <c r="W1394">
        <v>0.11426119999999999</v>
      </c>
      <c r="X1394">
        <v>0.99343630000000005</v>
      </c>
      <c r="Y1394">
        <v>0.1463015</v>
      </c>
      <c r="Z1394">
        <v>9.0434910000000007E-3</v>
      </c>
      <c r="AA1394">
        <v>0.98919869999999999</v>
      </c>
      <c r="AB1394">
        <v>34</v>
      </c>
      <c r="AC1394">
        <v>-0.46920000000000001</v>
      </c>
      <c r="AD1394">
        <v>-8.6081000000000005E-2</v>
      </c>
      <c r="AE1394">
        <v>0.11580000000000699</v>
      </c>
      <c r="AF1394">
        <v>0.11844328639509499</v>
      </c>
      <c r="AG1394">
        <v>-8.6081000000000005E-2</v>
      </c>
      <c r="AH1394">
        <v>0.45319550532151498</v>
      </c>
      <c r="AI1394">
        <v>100.413051030831</v>
      </c>
      <c r="AJ1394">
        <v>75.3532802099798</v>
      </c>
      <c r="AK1394">
        <v>0.476261395345764</v>
      </c>
      <c r="AL1394">
        <v>83.438986279623506</v>
      </c>
      <c r="AM1394">
        <v>89.690524249937695</v>
      </c>
      <c r="AN1394">
        <v>1.0000000488085801</v>
      </c>
    </row>
    <row r="1395" spans="1:40" x14ac:dyDescent="0.3">
      <c r="A1395" t="str">
        <f>"20200111150341827"</f>
        <v>20200111150341827</v>
      </c>
      <c r="B1395" t="str">
        <f>"1578726221820058"</f>
        <v>1578726221820058</v>
      </c>
      <c r="C1395" t="s">
        <v>40</v>
      </c>
      <c r="D1395">
        <v>5.6635049999999998</v>
      </c>
      <c r="E1395">
        <v>0.55495830000000002</v>
      </c>
      <c r="F1395" t="s">
        <v>42</v>
      </c>
      <c r="G1395">
        <v>-341.33370000000002</v>
      </c>
      <c r="H1395">
        <v>1.0231380000000001</v>
      </c>
      <c r="I1395">
        <v>141.63499999999999</v>
      </c>
      <c r="J1395">
        <v>-340.89109999999999</v>
      </c>
      <c r="K1395">
        <v>1.103904</v>
      </c>
      <c r="L1395">
        <v>141.52850000000001</v>
      </c>
      <c r="M1395">
        <v>-0.99984399999999996</v>
      </c>
      <c r="N1395">
        <v>0</v>
      </c>
      <c r="O1395">
        <v>-1.3657280000000001E-2</v>
      </c>
      <c r="P1395">
        <v>-0.99463630000000003</v>
      </c>
      <c r="Q1395">
        <v>0.1028025</v>
      </c>
      <c r="R1395">
        <v>-1.1433E-2</v>
      </c>
      <c r="S1395">
        <v>-3.0525820000000001</v>
      </c>
      <c r="T1395">
        <v>-0.31904470000000001</v>
      </c>
      <c r="U1395">
        <v>0.4021149</v>
      </c>
      <c r="V1395">
        <v>2.1592109999999999E-3</v>
      </c>
      <c r="W1395">
        <v>0.1139495</v>
      </c>
      <c r="X1395">
        <v>0.99348420000000004</v>
      </c>
      <c r="Y1395">
        <v>0.14328940000000001</v>
      </c>
      <c r="Z1395">
        <v>8.8536759999999996E-3</v>
      </c>
      <c r="AA1395">
        <v>0.9896412</v>
      </c>
      <c r="AB1395">
        <v>34</v>
      </c>
      <c r="AC1395">
        <v>-0.44260000000002703</v>
      </c>
      <c r="AD1395">
        <v>-8.0766000000000102E-2</v>
      </c>
      <c r="AE1395">
        <v>0.106499999999982</v>
      </c>
      <c r="AF1395">
        <v>0.109101012488399</v>
      </c>
      <c r="AG1395">
        <v>-8.0766000000000102E-2</v>
      </c>
      <c r="AH1395">
        <v>0.42764330443221998</v>
      </c>
      <c r="AI1395">
        <v>100.37045551543299</v>
      </c>
      <c r="AJ1395">
        <v>75.687910527762199</v>
      </c>
      <c r="AK1395">
        <v>0.44867022801574702</v>
      </c>
      <c r="AL1395">
        <v>83.456962484288297</v>
      </c>
      <c r="AM1395">
        <v>89.875475138316602</v>
      </c>
      <c r="AN1395">
        <v>1.0000000031960099</v>
      </c>
    </row>
    <row r="1396" spans="1:40" x14ac:dyDescent="0.3">
      <c r="A1396" t="str">
        <f>"20200111150341849"</f>
        <v>20200111150341849</v>
      </c>
      <c r="B1396" t="str">
        <f>"1578726221839578"</f>
        <v>1578726221839578</v>
      </c>
      <c r="C1396" t="s">
        <v>40</v>
      </c>
      <c r="D1396">
        <v>5.6538490000000001</v>
      </c>
      <c r="E1396">
        <v>0.55488459999999995</v>
      </c>
      <c r="F1396" t="s">
        <v>42</v>
      </c>
      <c r="G1396">
        <v>-341.63639999999998</v>
      </c>
      <c r="H1396">
        <v>1.02627</v>
      </c>
      <c r="I1396">
        <v>141.62440000000001</v>
      </c>
      <c r="J1396">
        <v>-341.22190000000001</v>
      </c>
      <c r="K1396">
        <v>1.1039099999999999</v>
      </c>
      <c r="L1396">
        <v>141.5239</v>
      </c>
      <c r="M1396">
        <v>-0.99984399999999996</v>
      </c>
      <c r="N1396">
        <v>0</v>
      </c>
      <c r="O1396">
        <v>-1.3649649999999999E-2</v>
      </c>
      <c r="P1396">
        <v>-0.99455340000000003</v>
      </c>
      <c r="Q1396">
        <v>0.1032455</v>
      </c>
      <c r="R1396">
        <v>-1.4275629999999999E-2</v>
      </c>
      <c r="S1396">
        <v>-3.0535890000000001</v>
      </c>
      <c r="T1396">
        <v>-0.31817889999999999</v>
      </c>
      <c r="U1396">
        <v>0.3920593</v>
      </c>
      <c r="V1396">
        <v>-6.9238609999999995E-4</v>
      </c>
      <c r="W1396">
        <v>0.11439199999999999</v>
      </c>
      <c r="X1396">
        <v>0.99343539999999997</v>
      </c>
      <c r="Y1396">
        <v>0.14005609999999999</v>
      </c>
      <c r="Z1396">
        <v>8.6606410000000002E-3</v>
      </c>
      <c r="AA1396">
        <v>0.99010569999999998</v>
      </c>
      <c r="AB1396">
        <v>34</v>
      </c>
      <c r="AC1396">
        <v>-0.414499999999975</v>
      </c>
      <c r="AD1396">
        <v>-7.7639999999999904E-2</v>
      </c>
      <c r="AE1396">
        <v>0.10050000000001</v>
      </c>
      <c r="AF1396">
        <v>0.102744138325496</v>
      </c>
      <c r="AG1396">
        <v>-7.7639999999999904E-2</v>
      </c>
      <c r="AH1396">
        <v>0.39984000280015097</v>
      </c>
      <c r="AI1396">
        <v>100.651082513288</v>
      </c>
      <c r="AJ1396">
        <v>75.588886264895606</v>
      </c>
      <c r="AK1396">
        <v>0.42006708440375701</v>
      </c>
      <c r="AL1396">
        <v>83.431441887431802</v>
      </c>
      <c r="AM1396">
        <v>90.039932938669196</v>
      </c>
      <c r="AN1396">
        <v>0.99999995151783405</v>
      </c>
    </row>
    <row r="1397" spans="1:40" x14ac:dyDescent="0.3">
      <c r="A1397" t="str">
        <f>"20200111150341871"</f>
        <v>20200111150341871</v>
      </c>
      <c r="B1397" t="str">
        <f>"1578726221860074"</f>
        <v>1578726221860074</v>
      </c>
      <c r="C1397" t="s">
        <v>40</v>
      </c>
      <c r="D1397">
        <v>5.6712400000000001</v>
      </c>
      <c r="E1397">
        <v>0.5548244</v>
      </c>
      <c r="F1397" t="s">
        <v>42</v>
      </c>
      <c r="G1397">
        <v>-342.22820000000002</v>
      </c>
      <c r="H1397">
        <v>1.000178</v>
      </c>
      <c r="I1397">
        <v>141.6507</v>
      </c>
      <c r="J1397">
        <v>-341.55520000000001</v>
      </c>
      <c r="K1397">
        <v>1.1039110000000001</v>
      </c>
      <c r="L1397">
        <v>141.51939999999999</v>
      </c>
      <c r="M1397">
        <v>-0.99984410000000001</v>
      </c>
      <c r="N1397">
        <v>0</v>
      </c>
      <c r="O1397">
        <v>-1.3642369999999999E-2</v>
      </c>
      <c r="P1397">
        <v>-0.99445019999999995</v>
      </c>
      <c r="Q1397">
        <v>0.103739899999999</v>
      </c>
      <c r="R1397">
        <v>-1.7523569999999999E-2</v>
      </c>
      <c r="S1397">
        <v>-3.0545960000000001</v>
      </c>
      <c r="T1397">
        <v>-0.31494280000000002</v>
      </c>
      <c r="U1397">
        <v>0.38357540000000001</v>
      </c>
      <c r="V1397">
        <v>-3.9484109999999998E-3</v>
      </c>
      <c r="W1397">
        <v>0.1148856</v>
      </c>
      <c r="X1397">
        <v>0.99337089999999995</v>
      </c>
      <c r="Y1397">
        <v>0.1373318</v>
      </c>
      <c r="Z1397">
        <v>8.4314290000000007E-3</v>
      </c>
      <c r="AA1397">
        <v>0.99048919999999996</v>
      </c>
      <c r="AB1397">
        <v>34</v>
      </c>
      <c r="AC1397">
        <v>-0.67300000000000104</v>
      </c>
      <c r="AD1397">
        <v>-0.10373300000000001</v>
      </c>
      <c r="AE1397">
        <v>0.13130000000000999</v>
      </c>
      <c r="AF1397">
        <v>0.13732673733886699</v>
      </c>
      <c r="AG1397">
        <v>-0.10373300000000001</v>
      </c>
      <c r="AH1397">
        <v>0.65612947157429902</v>
      </c>
      <c r="AI1397">
        <v>98.796483231850701</v>
      </c>
      <c r="AJ1397">
        <v>78.178736446646298</v>
      </c>
      <c r="AK1397">
        <v>0.67832518127038999</v>
      </c>
      <c r="AL1397">
        <v>83.402973440992895</v>
      </c>
      <c r="AM1397">
        <v>90.227735777972995</v>
      </c>
      <c r="AN1397">
        <v>1.0000000180017901</v>
      </c>
    </row>
    <row r="1398" spans="1:40" x14ac:dyDescent="0.3">
      <c r="A1398" t="str">
        <f>"20200111150341894"</f>
        <v>20200111150341894</v>
      </c>
      <c r="B1398" t="str">
        <f>"1578726221889355"</f>
        <v>1578726221889355</v>
      </c>
      <c r="C1398" t="s">
        <v>40</v>
      </c>
      <c r="D1398">
        <v>5.7616209999999999</v>
      </c>
      <c r="E1398">
        <v>0.55433679999999996</v>
      </c>
      <c r="F1398" t="s">
        <v>42</v>
      </c>
      <c r="G1398">
        <v>-342.53190000000001</v>
      </c>
      <c r="H1398">
        <v>1.004461</v>
      </c>
      <c r="I1398">
        <v>141.63910000000001</v>
      </c>
      <c r="J1398">
        <v>-341.8963</v>
      </c>
      <c r="K1398">
        <v>1.103918</v>
      </c>
      <c r="L1398">
        <v>141.5147</v>
      </c>
      <c r="M1398">
        <v>-0.99984430000000002</v>
      </c>
      <c r="N1398">
        <v>0</v>
      </c>
      <c r="O1398">
        <v>-1.363463E-2</v>
      </c>
      <c r="P1398">
        <v>-0.9943033</v>
      </c>
      <c r="Q1398">
        <v>0.10464179999999999</v>
      </c>
      <c r="R1398">
        <v>-2.028232E-2</v>
      </c>
      <c r="S1398">
        <v>-3.0558169999999998</v>
      </c>
      <c r="T1398">
        <v>-0.31118820000000003</v>
      </c>
      <c r="U1398">
        <v>0.3743744</v>
      </c>
      <c r="V1398">
        <v>-6.7163240000000001E-3</v>
      </c>
      <c r="W1398">
        <v>0.1157864</v>
      </c>
      <c r="X1398">
        <v>0.99325140000000001</v>
      </c>
      <c r="Y1398">
        <v>0.1343714</v>
      </c>
      <c r="Z1398">
        <v>8.1790860000000003E-3</v>
      </c>
      <c r="AA1398">
        <v>0.99089729999999998</v>
      </c>
      <c r="AB1398">
        <v>34</v>
      </c>
      <c r="AC1398">
        <v>-0.63560000000001005</v>
      </c>
      <c r="AD1398">
        <v>-9.9456999999999907E-2</v>
      </c>
      <c r="AE1398">
        <v>0.124400000000008</v>
      </c>
      <c r="AF1398">
        <v>0.12998975426068199</v>
      </c>
      <c r="AG1398">
        <v>-9.9456999999999907E-2</v>
      </c>
      <c r="AH1398">
        <v>0.61924180590536004</v>
      </c>
      <c r="AI1398">
        <v>98.932949247463995</v>
      </c>
      <c r="AJ1398">
        <v>78.144742668158599</v>
      </c>
      <c r="AK1398">
        <v>0.64050717813517399</v>
      </c>
      <c r="AL1398">
        <v>83.351014346364707</v>
      </c>
      <c r="AM1398">
        <v>90.387425735387396</v>
      </c>
      <c r="AN1398">
        <v>0.99999997151749598</v>
      </c>
    </row>
    <row r="1399" spans="1:40" x14ac:dyDescent="0.3">
      <c r="A1399" t="str">
        <f>"20200111150341916"</f>
        <v>20200111150341916</v>
      </c>
      <c r="B1399" t="str">
        <f>"1578726221909850"</f>
        <v>1578726221909850</v>
      </c>
      <c r="C1399" t="s">
        <v>40</v>
      </c>
      <c r="D1399">
        <v>4.75284</v>
      </c>
      <c r="E1399">
        <v>0.55423120000000003</v>
      </c>
      <c r="F1399" t="s">
        <v>42</v>
      </c>
      <c r="G1399">
        <v>-342.83600000000001</v>
      </c>
      <c r="H1399">
        <v>1.0094270000000001</v>
      </c>
      <c r="I1399">
        <v>141.62639999999999</v>
      </c>
      <c r="J1399">
        <v>-342.24149999999997</v>
      </c>
      <c r="K1399">
        <v>1.103918</v>
      </c>
      <c r="L1399">
        <v>141.51</v>
      </c>
      <c r="M1399">
        <v>-0.99984439999999997</v>
      </c>
      <c r="N1399">
        <v>0</v>
      </c>
      <c r="O1399">
        <v>-1.3627E-2</v>
      </c>
      <c r="P1399">
        <v>-0.99420399999999998</v>
      </c>
      <c r="Q1399">
        <v>0.1050987</v>
      </c>
      <c r="R1399">
        <v>-2.2651359999999999E-2</v>
      </c>
      <c r="S1399">
        <v>-3.056915</v>
      </c>
      <c r="T1399">
        <v>-0.30739870000000002</v>
      </c>
      <c r="U1399">
        <v>0.3625488</v>
      </c>
      <c r="V1399">
        <v>-9.0943280000000005E-3</v>
      </c>
      <c r="W1399">
        <v>0.1162435</v>
      </c>
      <c r="X1399">
        <v>0.99317909999999998</v>
      </c>
      <c r="Y1399">
        <v>0.13057869999999999</v>
      </c>
      <c r="Z1399">
        <v>7.8886410000000001E-3</v>
      </c>
      <c r="AA1399">
        <v>0.99140660000000003</v>
      </c>
      <c r="AB1399">
        <v>34</v>
      </c>
      <c r="AC1399">
        <v>-0.594500000000039</v>
      </c>
      <c r="AD1399">
        <v>-9.4490999999999797E-2</v>
      </c>
      <c r="AE1399">
        <v>0.11639999999999801</v>
      </c>
      <c r="AF1399">
        <v>0.12153404543014899</v>
      </c>
      <c r="AG1399">
        <v>-9.4490999999999797E-2</v>
      </c>
      <c r="AH1399">
        <v>0.57877695391433703</v>
      </c>
      <c r="AI1399">
        <v>99.077721449566596</v>
      </c>
      <c r="AJ1399">
        <v>78.141085094854006</v>
      </c>
      <c r="AK1399">
        <v>0.59890052234238</v>
      </c>
      <c r="AL1399">
        <v>83.3246465273224</v>
      </c>
      <c r="AM1399">
        <v>90.524630501586202</v>
      </c>
      <c r="AN1399">
        <v>0.99999999138541495</v>
      </c>
    </row>
    <row r="1400" spans="1:40" x14ac:dyDescent="0.3">
      <c r="A1400" t="str">
        <f>"20200111150341938"</f>
        <v>20200111150341938</v>
      </c>
      <c r="B1400" t="str">
        <f>"1578726221930064"</f>
        <v>1578726221930064</v>
      </c>
      <c r="C1400" t="s">
        <v>40</v>
      </c>
      <c r="D1400">
        <v>7.7886429999999898</v>
      </c>
      <c r="E1400">
        <v>0.44421070000000001</v>
      </c>
      <c r="F1400" t="s">
        <v>42</v>
      </c>
      <c r="G1400">
        <v>-343.14019999999999</v>
      </c>
      <c r="H1400">
        <v>1.0142139999999999</v>
      </c>
      <c r="I1400">
        <v>141.61439999999999</v>
      </c>
      <c r="J1400">
        <v>-342.57569999999998</v>
      </c>
      <c r="K1400">
        <v>1.1039209999999999</v>
      </c>
      <c r="L1400">
        <v>141.50540000000001</v>
      </c>
      <c r="M1400">
        <v>-0.99984439999999997</v>
      </c>
      <c r="N1400">
        <v>0</v>
      </c>
      <c r="O1400">
        <v>-1.361937E-2</v>
      </c>
      <c r="P1400">
        <v>-0.99410869999999996</v>
      </c>
      <c r="Q1400">
        <v>0.1054465</v>
      </c>
      <c r="R1400">
        <v>-2.5081200000000001E-2</v>
      </c>
      <c r="S1400">
        <v>-3.0578310000000002</v>
      </c>
      <c r="T1400">
        <v>-0.30522670000000002</v>
      </c>
      <c r="U1400">
        <v>0.3547363</v>
      </c>
      <c r="V1400">
        <v>-1.153231E-2</v>
      </c>
      <c r="W1400">
        <v>0.1165911</v>
      </c>
      <c r="X1400">
        <v>0.99311300000000002</v>
      </c>
      <c r="Y1400">
        <v>0.12806010000000001</v>
      </c>
      <c r="Z1400">
        <v>7.7062729999999996E-3</v>
      </c>
      <c r="AA1400">
        <v>0.99173650000000002</v>
      </c>
      <c r="AB1400">
        <v>34</v>
      </c>
      <c r="AC1400">
        <v>-0.56450000000000899</v>
      </c>
      <c r="AD1400">
        <v>-8.9706999999999898E-2</v>
      </c>
      <c r="AE1400">
        <v>0.10899999999998</v>
      </c>
      <c r="AF1400">
        <v>0.11390537055653201</v>
      </c>
      <c r="AG1400">
        <v>-8.9706999999999898E-2</v>
      </c>
      <c r="AH1400">
        <v>0.54958290614579197</v>
      </c>
      <c r="AI1400">
        <v>99.080817805749604</v>
      </c>
      <c r="AJ1400">
        <v>78.290781229146603</v>
      </c>
      <c r="AK1400">
        <v>0.56838644425977902</v>
      </c>
      <c r="AL1400">
        <v>83.304593919551607</v>
      </c>
      <c r="AM1400">
        <v>90.665304948859998</v>
      </c>
      <c r="AN1400">
        <v>0.99999995477107195</v>
      </c>
    </row>
    <row r="1401" spans="1:40" x14ac:dyDescent="0.3">
      <c r="A1401" t="str">
        <f>"20200111150341982"</f>
        <v>20200111150341982</v>
      </c>
      <c r="B1401" t="str">
        <f>"1578726221979841"</f>
        <v>1578726221979841</v>
      </c>
      <c r="C1401" t="s">
        <v>40</v>
      </c>
      <c r="D1401">
        <v>5.7341470000000001</v>
      </c>
      <c r="E1401">
        <v>0.4239231</v>
      </c>
      <c r="F1401" t="s">
        <v>63</v>
      </c>
      <c r="G1401">
        <v>-468.15800000000002</v>
      </c>
      <c r="H1401">
        <v>45.401440000000001</v>
      </c>
      <c r="I1401">
        <v>119.395</v>
      </c>
      <c r="J1401">
        <v>-343.2457</v>
      </c>
      <c r="K1401">
        <v>1.1039219999999901</v>
      </c>
      <c r="L1401">
        <v>141.49629999999999</v>
      </c>
      <c r="M1401">
        <v>-0.99984470000000003</v>
      </c>
      <c r="N1401">
        <v>0</v>
      </c>
      <c r="O1401">
        <v>-1.3604359999999999E-2</v>
      </c>
      <c r="P1401">
        <v>-0.99401680000000003</v>
      </c>
      <c r="Q1401">
        <v>0.10536769999999999</v>
      </c>
      <c r="R1401">
        <v>-2.8783719999999999E-2</v>
      </c>
      <c r="S1401">
        <v>-2.896576</v>
      </c>
      <c r="T1401">
        <v>1.021728</v>
      </c>
      <c r="U1401">
        <v>-0.50997919999999997</v>
      </c>
      <c r="V1401">
        <v>-1.5250700000000001E-2</v>
      </c>
      <c r="W1401">
        <v>0.1165139</v>
      </c>
      <c r="X1401">
        <v>0.99307199999999995</v>
      </c>
      <c r="Y1401">
        <v>-0.1518796</v>
      </c>
      <c r="Z1401">
        <v>2.119536E-2</v>
      </c>
      <c r="AA1401">
        <v>0.98817169999999999</v>
      </c>
      <c r="AB1401">
        <v>34</v>
      </c>
      <c r="AC1401">
        <v>-124.9123</v>
      </c>
      <c r="AD1401">
        <v>44.297517999999997</v>
      </c>
      <c r="AE1401">
        <v>-22.101299999999899</v>
      </c>
      <c r="AF1401">
        <v>-18.182541630268499</v>
      </c>
      <c r="AG1401">
        <v>44.297517999999997</v>
      </c>
      <c r="AH1401">
        <v>111.593285405095</v>
      </c>
      <c r="AI1401">
        <v>68.605325361166194</v>
      </c>
      <c r="AJ1401">
        <v>99.254211875948201</v>
      </c>
      <c r="AK1401">
        <v>121.432846745021</v>
      </c>
      <c r="AL1401">
        <v>83.309048046236398</v>
      </c>
      <c r="AM1401">
        <v>90.879827506819396</v>
      </c>
      <c r="AN1401">
        <v>1.00000003496384</v>
      </c>
    </row>
    <row r="1402" spans="1:40" x14ac:dyDescent="0.3">
      <c r="A1402" t="str">
        <f>"20200111150342006"</f>
        <v>20200111150342006</v>
      </c>
      <c r="B1402" t="str">
        <f>"1578726221999360"</f>
        <v>1578726221999360</v>
      </c>
      <c r="C1402" t="s">
        <v>40</v>
      </c>
      <c r="D1402">
        <v>8.5898470000000007</v>
      </c>
      <c r="E1402">
        <v>0.42453429999999998</v>
      </c>
      <c r="F1402" t="s">
        <v>41</v>
      </c>
      <c r="G1402">
        <v>-357.5249</v>
      </c>
      <c r="H1402" s="1">
        <v>-1.2980140000000001E-6</v>
      </c>
      <c r="I1402">
        <v>138.185</v>
      </c>
      <c r="J1402">
        <v>-343.58949999999999</v>
      </c>
      <c r="K1402">
        <v>1.103918</v>
      </c>
      <c r="L1402">
        <v>141.49160000000001</v>
      </c>
      <c r="M1402">
        <v>-0.99984459999999997</v>
      </c>
      <c r="N1402">
        <v>0</v>
      </c>
      <c r="O1402">
        <v>-1.359638E-2</v>
      </c>
      <c r="P1402">
        <v>-0.99406709999999998</v>
      </c>
      <c r="Q1402">
        <v>0.1044238</v>
      </c>
      <c r="R1402">
        <v>-3.0439509999999999E-2</v>
      </c>
      <c r="S1402">
        <v>-3.0225219999999999</v>
      </c>
      <c r="T1402">
        <v>-0.2336712</v>
      </c>
      <c r="U1402">
        <v>-0.7008972</v>
      </c>
      <c r="V1402">
        <v>-1.6913709999999998E-2</v>
      </c>
      <c r="W1402">
        <v>0.11557240000000001</v>
      </c>
      <c r="X1402">
        <v>0.99315509999999996</v>
      </c>
      <c r="Y1402">
        <v>-0.21206910000000001</v>
      </c>
      <c r="Z1402">
        <v>-7.0430819999999896E-3</v>
      </c>
      <c r="AA1402">
        <v>0.97722929999999997</v>
      </c>
      <c r="AB1402">
        <v>34</v>
      </c>
      <c r="AC1402">
        <v>-13.9354</v>
      </c>
      <c r="AD1402">
        <v>-1.103919298014</v>
      </c>
      <c r="AE1402">
        <v>-3.3066</v>
      </c>
      <c r="AF1402">
        <v>-3.0984042774498501</v>
      </c>
      <c r="AG1402">
        <v>-1.103919298014</v>
      </c>
      <c r="AH1402">
        <v>13.8965154061977</v>
      </c>
      <c r="AI1402">
        <v>94.433542498264899</v>
      </c>
      <c r="AJ1402">
        <v>102.569229836326</v>
      </c>
      <c r="AK1402">
        <v>14.2804722372104</v>
      </c>
      <c r="AL1402">
        <v>83.363359057672497</v>
      </c>
      <c r="AM1402">
        <v>90.975668883169206</v>
      </c>
      <c r="AN1402">
        <v>1.00000005294186</v>
      </c>
    </row>
    <row r="1403" spans="1:40" x14ac:dyDescent="0.3">
      <c r="A1403" t="str">
        <f>"20200111150342028"</f>
        <v>20200111150342028</v>
      </c>
      <c r="B1403" t="str">
        <f>"1578726222019507"</f>
        <v>1578726222019507</v>
      </c>
      <c r="C1403" t="s">
        <v>40</v>
      </c>
      <c r="D1403">
        <v>5.7464430000000002</v>
      </c>
      <c r="E1403">
        <v>0.42279109999999998</v>
      </c>
      <c r="F1403" t="s">
        <v>41</v>
      </c>
      <c r="G1403">
        <v>-357.15539999999999</v>
      </c>
      <c r="H1403" s="1">
        <v>-1.428157E-6</v>
      </c>
      <c r="I1403">
        <v>138.3449</v>
      </c>
      <c r="J1403">
        <v>-343.92779999999999</v>
      </c>
      <c r="K1403">
        <v>1.1039110000000001</v>
      </c>
      <c r="L1403">
        <v>141.48699999999999</v>
      </c>
      <c r="M1403">
        <v>-0.99984470000000003</v>
      </c>
      <c r="N1403">
        <v>0</v>
      </c>
      <c r="O1403">
        <v>-1.358876E-2</v>
      </c>
      <c r="P1403">
        <v>-0.99413339999999994</v>
      </c>
      <c r="Q1403">
        <v>0.1033767</v>
      </c>
      <c r="R1403">
        <v>-3.1811510000000001E-2</v>
      </c>
      <c r="S1403">
        <v>-3.0223080000000002</v>
      </c>
      <c r="T1403">
        <v>-0.2459404</v>
      </c>
      <c r="U1403">
        <v>-0.7010345</v>
      </c>
      <c r="V1403">
        <v>-1.8292599999999999E-2</v>
      </c>
      <c r="W1403">
        <v>0.1145274</v>
      </c>
      <c r="X1403">
        <v>0.99325169999999996</v>
      </c>
      <c r="Y1403">
        <v>-0.2120734</v>
      </c>
      <c r="Z1403">
        <v>-7.4129969999999898E-3</v>
      </c>
      <c r="AA1403">
        <v>0.97722569999999997</v>
      </c>
      <c r="AB1403">
        <v>34</v>
      </c>
      <c r="AC1403">
        <v>-13.227599999999899</v>
      </c>
      <c r="AD1403">
        <v>-1.1039124281569901</v>
      </c>
      <c r="AE1403">
        <v>-3.1420999999999899</v>
      </c>
      <c r="AF1403">
        <v>-2.9426516144833701</v>
      </c>
      <c r="AG1403">
        <v>-1.1039124281569901</v>
      </c>
      <c r="AH1403">
        <v>13.182171388654201</v>
      </c>
      <c r="AI1403">
        <v>94.672467249651007</v>
      </c>
      <c r="AJ1403">
        <v>102.583801472575</v>
      </c>
      <c r="AK1403">
        <v>13.5516590752983</v>
      </c>
      <c r="AL1403">
        <v>83.4236333138427</v>
      </c>
      <c r="AM1403">
        <v>91.055090369305304</v>
      </c>
      <c r="AN1403">
        <v>1.0000000420591999</v>
      </c>
    </row>
    <row r="1404" spans="1:40" x14ac:dyDescent="0.3">
      <c r="A1404" t="str">
        <f>"20200111150342049"</f>
        <v>20200111150342049</v>
      </c>
      <c r="B1404" t="str">
        <f>"1578726222040008"</f>
        <v>1578726222040008</v>
      </c>
      <c r="C1404" t="s">
        <v>40</v>
      </c>
      <c r="D1404">
        <v>5.6645110000000001</v>
      </c>
      <c r="E1404">
        <v>0.42405860000000001</v>
      </c>
      <c r="F1404" t="s">
        <v>63</v>
      </c>
      <c r="G1404">
        <v>-440.20710000000003</v>
      </c>
      <c r="H1404">
        <v>25.599920000000001</v>
      </c>
      <c r="I1404">
        <v>118.2418</v>
      </c>
      <c r="J1404">
        <v>-344.2552</v>
      </c>
      <c r="K1404">
        <v>1.1039019999999999</v>
      </c>
      <c r="L1404">
        <v>141.48259999999999</v>
      </c>
      <c r="M1404">
        <v>-0.99984490000000004</v>
      </c>
      <c r="N1404">
        <v>0</v>
      </c>
      <c r="O1404">
        <v>-1.3581849999999999E-2</v>
      </c>
      <c r="P1404">
        <v>-0.9943495</v>
      </c>
      <c r="Q1404">
        <v>0.1009539</v>
      </c>
      <c r="R1404">
        <v>-3.2825119999999999E-2</v>
      </c>
      <c r="S1404">
        <v>-2.9180299999999999</v>
      </c>
      <c r="T1404">
        <v>0.74242369999999902</v>
      </c>
      <c r="U1404">
        <v>-0.70451350000000001</v>
      </c>
      <c r="V1404">
        <v>-1.931008E-2</v>
      </c>
      <c r="W1404">
        <v>0.112108399999999</v>
      </c>
      <c r="X1404">
        <v>0.99350830000000001</v>
      </c>
      <c r="Y1404">
        <v>-0.215391</v>
      </c>
      <c r="Z1404">
        <v>2.3251839999999999E-2</v>
      </c>
      <c r="AA1404">
        <v>0.97625099999999998</v>
      </c>
      <c r="AB1404">
        <v>34</v>
      </c>
      <c r="AC1404">
        <v>-95.951899999999995</v>
      </c>
      <c r="AD1404">
        <v>24.496017999999999</v>
      </c>
      <c r="AE1404">
        <v>-23.2408</v>
      </c>
      <c r="AF1404">
        <v>-20.663263795494899</v>
      </c>
      <c r="AG1404">
        <v>24.496017999999999</v>
      </c>
      <c r="AH1404">
        <v>90.676353733747106</v>
      </c>
      <c r="AI1404">
        <v>75.243709594633401</v>
      </c>
      <c r="AJ1404">
        <v>102.83730867804501</v>
      </c>
      <c r="AK1404">
        <v>96.172898963201604</v>
      </c>
      <c r="AL1404">
        <v>83.563129817508596</v>
      </c>
      <c r="AM1404">
        <v>91.113475145149494</v>
      </c>
      <c r="AN1404">
        <v>0.99999995735452696</v>
      </c>
    </row>
    <row r="1405" spans="1:40" x14ac:dyDescent="0.3">
      <c r="A1405" t="str">
        <f>"20200111150342072"</f>
        <v>20200111150342072</v>
      </c>
      <c r="B1405" t="str">
        <f>"1578726222070261"</f>
        <v>1578726222070261</v>
      </c>
      <c r="C1405" t="s">
        <v>40</v>
      </c>
      <c r="D1405">
        <v>5.7360550000000003</v>
      </c>
      <c r="E1405">
        <v>0.42488480000000001</v>
      </c>
      <c r="F1405" t="s">
        <v>41</v>
      </c>
      <c r="G1405">
        <v>-357.32850000000002</v>
      </c>
      <c r="H1405" s="1">
        <v>-1.3445480000000001E-6</v>
      </c>
      <c r="I1405">
        <v>138.39769999999999</v>
      </c>
      <c r="J1405">
        <v>-344.59449999999998</v>
      </c>
      <c r="K1405">
        <v>1.1038859999999999</v>
      </c>
      <c r="L1405">
        <v>141.47799999999901</v>
      </c>
      <c r="M1405">
        <v>-0.99984499999999998</v>
      </c>
      <c r="N1405">
        <v>0</v>
      </c>
      <c r="O1405">
        <v>-1.357423E-2</v>
      </c>
      <c r="P1405">
        <v>-0.99465049999999999</v>
      </c>
      <c r="Q1405">
        <v>9.7799819999999996E-2</v>
      </c>
      <c r="R1405">
        <v>-3.3255989999999999E-2</v>
      </c>
      <c r="S1405">
        <v>-3.0194399999999999</v>
      </c>
      <c r="T1405">
        <v>-0.25496039999999998</v>
      </c>
      <c r="U1405">
        <v>-0.71247859999999996</v>
      </c>
      <c r="V1405">
        <v>-1.9744339999999999E-2</v>
      </c>
      <c r="W1405">
        <v>0.10895970000000001</v>
      </c>
      <c r="X1405">
        <v>0.99385009999999996</v>
      </c>
      <c r="Y1405">
        <v>-0.2157425</v>
      </c>
      <c r="Z1405">
        <v>-7.8415559999999995E-3</v>
      </c>
      <c r="AA1405">
        <v>0.97641880000000003</v>
      </c>
      <c r="AB1405">
        <v>34</v>
      </c>
      <c r="AC1405">
        <v>-12.734</v>
      </c>
      <c r="AD1405">
        <v>-1.103887344548</v>
      </c>
      <c r="AE1405">
        <v>-3.08029999999999</v>
      </c>
      <c r="AF1405">
        <v>-2.8866574338609499</v>
      </c>
      <c r="AG1405">
        <v>-1.103887344548</v>
      </c>
      <c r="AH1405">
        <v>12.6845886135242</v>
      </c>
      <c r="AI1405">
        <v>94.850288023913606</v>
      </c>
      <c r="AJ1405">
        <v>102.82057088536899</v>
      </c>
      <c r="AK1405">
        <v>13.055655736280199</v>
      </c>
      <c r="AL1405">
        <v>83.744649923191901</v>
      </c>
      <c r="AM1405">
        <v>91.138117868617698</v>
      </c>
      <c r="AN1405">
        <v>1.0000000382280601</v>
      </c>
    </row>
    <row r="1406" spans="1:40" x14ac:dyDescent="0.3">
      <c r="A1406" t="str">
        <f>"20200111150342088"</f>
        <v>20200111150342088</v>
      </c>
      <c r="B1406" t="str">
        <f>"1578726222080020"</f>
        <v>1578726222080020</v>
      </c>
      <c r="C1406" t="s">
        <v>40</v>
      </c>
      <c r="D1406">
        <v>5.671665</v>
      </c>
      <c r="E1406">
        <v>0.42574060000000002</v>
      </c>
      <c r="F1406" t="s">
        <v>41</v>
      </c>
      <c r="G1406">
        <v>-357.0675</v>
      </c>
      <c r="H1406" s="1">
        <v>-1.428211E-6</v>
      </c>
      <c r="I1406">
        <v>138.5573</v>
      </c>
      <c r="J1406">
        <v>-344.85820000000001</v>
      </c>
      <c r="K1406">
        <v>1.1038749999999999</v>
      </c>
      <c r="L1406">
        <v>141.4744</v>
      </c>
      <c r="M1406">
        <v>-0.99984499999999998</v>
      </c>
      <c r="N1406">
        <v>0</v>
      </c>
      <c r="O1406">
        <v>-1.3568159999999999E-2</v>
      </c>
      <c r="P1406">
        <v>-0.99485619999999997</v>
      </c>
      <c r="Q1406">
        <v>9.5620720000000006E-2</v>
      </c>
      <c r="R1406">
        <v>-3.3439450000000003E-2</v>
      </c>
      <c r="S1406">
        <v>-3.0187680000000001</v>
      </c>
      <c r="T1406">
        <v>-0.2671694</v>
      </c>
      <c r="U1406">
        <v>-0.70686340000000003</v>
      </c>
      <c r="V1406">
        <v>-1.9931529999999999E-2</v>
      </c>
      <c r="W1406">
        <v>0.1067838</v>
      </c>
      <c r="X1406">
        <v>0.99408249999999998</v>
      </c>
      <c r="Y1406">
        <v>-0.2140145</v>
      </c>
      <c r="Z1406">
        <v>-8.1443959999999999E-3</v>
      </c>
      <c r="AA1406">
        <v>0.97679649999999996</v>
      </c>
      <c r="AB1406">
        <v>34</v>
      </c>
      <c r="AC1406">
        <v>-12.209299999999899</v>
      </c>
      <c r="AD1406">
        <v>-1.1038764282109901</v>
      </c>
      <c r="AE1406">
        <v>-2.9171</v>
      </c>
      <c r="AF1406">
        <v>-2.7300517149937198</v>
      </c>
      <c r="AG1406">
        <v>-1.1038764282109901</v>
      </c>
      <c r="AH1406">
        <v>12.1537726897923</v>
      </c>
      <c r="AI1406">
        <v>95.064188789345295</v>
      </c>
      <c r="AJ1406">
        <v>102.659978476826</v>
      </c>
      <c r="AK1406">
        <v>12.505435463447199</v>
      </c>
      <c r="AL1406">
        <v>83.870051529688993</v>
      </c>
      <c r="AM1406">
        <v>91.148636611635197</v>
      </c>
      <c r="AN1406">
        <v>1.0000000313184101</v>
      </c>
    </row>
    <row r="1407" spans="1:40" x14ac:dyDescent="0.3">
      <c r="A1407" t="str">
        <f>"20200111150342106"</f>
        <v>20200111150342106</v>
      </c>
      <c r="B1407" t="str">
        <f>"1578726222099539"</f>
        <v>1578726222099539</v>
      </c>
      <c r="C1407" t="s">
        <v>40</v>
      </c>
      <c r="D1407">
        <v>5.6719569999999999</v>
      </c>
      <c r="E1407">
        <v>0.42612850000000002</v>
      </c>
      <c r="F1407" t="s">
        <v>41</v>
      </c>
      <c r="G1407">
        <v>-356.92809999999997</v>
      </c>
      <c r="H1407" s="1">
        <v>-1.467179E-6</v>
      </c>
      <c r="I1407">
        <v>138.6747</v>
      </c>
      <c r="J1407">
        <v>-345.1198</v>
      </c>
      <c r="K1407">
        <v>1.103858</v>
      </c>
      <c r="L1407">
        <v>141.4708</v>
      </c>
      <c r="M1407">
        <v>-0.99984510000000004</v>
      </c>
      <c r="N1407">
        <v>0</v>
      </c>
      <c r="O1407">
        <v>-1.35622E-2</v>
      </c>
      <c r="P1407">
        <v>-0.99524489999999999</v>
      </c>
      <c r="Q1407">
        <v>9.1167059999999994E-2</v>
      </c>
      <c r="R1407">
        <v>-3.429836E-2</v>
      </c>
      <c r="S1407">
        <v>-3.018494</v>
      </c>
      <c r="T1407">
        <v>-0.2760628</v>
      </c>
      <c r="U1407">
        <v>-0.70013429999999999</v>
      </c>
      <c r="V1407">
        <v>-2.0791210000000001E-2</v>
      </c>
      <c r="W1407">
        <v>0.1023365</v>
      </c>
      <c r="X1407">
        <v>0.99453250000000004</v>
      </c>
      <c r="Y1407">
        <v>-0.2119316</v>
      </c>
      <c r="Z1407">
        <v>-8.3239860000000002E-3</v>
      </c>
      <c r="AA1407">
        <v>0.97724900000000003</v>
      </c>
      <c r="AB1407">
        <v>34</v>
      </c>
      <c r="AC1407">
        <v>-11.8082999999999</v>
      </c>
      <c r="AD1407">
        <v>-1.1038594671789901</v>
      </c>
      <c r="AE1407">
        <v>-2.7960999999999898</v>
      </c>
      <c r="AF1407">
        <v>-2.6140552897993401</v>
      </c>
      <c r="AG1407">
        <v>-1.1038594671789901</v>
      </c>
      <c r="AH1407">
        <v>11.7479251839809</v>
      </c>
      <c r="AI1407">
        <v>95.240445664916606</v>
      </c>
      <c r="AJ1407">
        <v>102.54463292887201</v>
      </c>
      <c r="AK1407">
        <v>12.0857576059518</v>
      </c>
      <c r="AL1407">
        <v>84.126267294437994</v>
      </c>
      <c r="AM1407">
        <v>91.197623092474103</v>
      </c>
      <c r="AN1407">
        <v>0.99999996360088095</v>
      </c>
    </row>
    <row r="1408" spans="1:40" x14ac:dyDescent="0.3">
      <c r="A1408" t="str">
        <f>"20200111150342130"</f>
        <v>20200111150342130</v>
      </c>
      <c r="B1408" t="str">
        <f>"1578726222120035"</f>
        <v>1578726222120035</v>
      </c>
      <c r="C1408" t="s">
        <v>40</v>
      </c>
      <c r="D1408">
        <v>5.7236010000000004</v>
      </c>
      <c r="E1408">
        <v>0.42628280000000002</v>
      </c>
      <c r="F1408" t="s">
        <v>41</v>
      </c>
      <c r="G1408">
        <v>-356.76850000000002</v>
      </c>
      <c r="H1408" s="1">
        <v>-1.518011E-6</v>
      </c>
      <c r="I1408">
        <v>138.774</v>
      </c>
      <c r="J1408">
        <v>-345.47269999999997</v>
      </c>
      <c r="K1408">
        <v>1.103845</v>
      </c>
      <c r="L1408">
        <v>141.46610000000001</v>
      </c>
      <c r="M1408">
        <v>-0.99984510000000004</v>
      </c>
      <c r="N1408">
        <v>0</v>
      </c>
      <c r="O1408">
        <v>-1.3554220000000001E-2</v>
      </c>
      <c r="P1408">
        <v>-0.9954518</v>
      </c>
      <c r="Q1408">
        <v>8.8456859999999998E-2</v>
      </c>
      <c r="R1408">
        <v>-3.5367759999999998E-2</v>
      </c>
      <c r="S1408">
        <v>-3.0164789999999999</v>
      </c>
      <c r="T1408">
        <v>-0.28584999999999999</v>
      </c>
      <c r="U1408">
        <v>-0.698349</v>
      </c>
      <c r="V1408">
        <v>-2.186567E-2</v>
      </c>
      <c r="W1408">
        <v>9.9630090000000004E-2</v>
      </c>
      <c r="X1408">
        <v>0.99478429999999995</v>
      </c>
      <c r="Y1408">
        <v>-0.21147830000000001</v>
      </c>
      <c r="Z1408">
        <v>-8.6035909999999903E-3</v>
      </c>
      <c r="AA1408">
        <v>0.97734480000000001</v>
      </c>
      <c r="AB1408">
        <v>34</v>
      </c>
      <c r="AC1408">
        <v>-11.2958</v>
      </c>
      <c r="AD1408">
        <v>-1.103846518011</v>
      </c>
      <c r="AE1408">
        <v>-2.6921000000000102</v>
      </c>
      <c r="AF1408">
        <v>-2.5160019106710299</v>
      </c>
      <c r="AG1408">
        <v>-1.103846518011</v>
      </c>
      <c r="AH1408">
        <v>11.2297781903826</v>
      </c>
      <c r="AI1408">
        <v>95.478959749215406</v>
      </c>
      <c r="AJ1408">
        <v>102.628419535747</v>
      </c>
      <c r="AK1408">
        <v>11.5609974031231</v>
      </c>
      <c r="AL1408">
        <v>84.2821303689486</v>
      </c>
      <c r="AM1408">
        <v>91.259176393478896</v>
      </c>
      <c r="AN1408">
        <v>1.0000000329422201</v>
      </c>
    </row>
    <row r="1409" spans="1:40" x14ac:dyDescent="0.3">
      <c r="A1409" t="str">
        <f>"20200111150342150"</f>
        <v>20200111150342150</v>
      </c>
      <c r="B1409" t="str">
        <f>"1578726222139556"</f>
        <v>1578726222139556</v>
      </c>
      <c r="C1409" t="s">
        <v>40</v>
      </c>
      <c r="D1409">
        <v>5.5791529999999998</v>
      </c>
      <c r="E1409">
        <v>0.42601899999999998</v>
      </c>
      <c r="F1409" t="s">
        <v>41</v>
      </c>
      <c r="G1409">
        <v>-356.7826</v>
      </c>
      <c r="H1409" s="1">
        <v>-1.499916E-6</v>
      </c>
      <c r="I1409">
        <v>138.84190000000001</v>
      </c>
      <c r="J1409">
        <v>-345.78210000000001</v>
      </c>
      <c r="K1409">
        <v>1.103839</v>
      </c>
      <c r="L1409">
        <v>141.46190000000001</v>
      </c>
      <c r="M1409">
        <v>-0.99984530000000005</v>
      </c>
      <c r="N1409">
        <v>0</v>
      </c>
      <c r="O1409">
        <v>-1.3547439999999999E-2</v>
      </c>
      <c r="P1409">
        <v>-0.99551429999999996</v>
      </c>
      <c r="Q1409">
        <v>8.7430880000000002E-2</v>
      </c>
      <c r="R1409">
        <v>-3.6158330000000002E-2</v>
      </c>
      <c r="S1409">
        <v>-3.0149539999999999</v>
      </c>
      <c r="T1409">
        <v>-0.29425899999999999</v>
      </c>
      <c r="U1409">
        <v>-0.69952389999999998</v>
      </c>
      <c r="V1409">
        <v>-2.266205E-2</v>
      </c>
      <c r="W1409">
        <v>9.8606620000000006E-2</v>
      </c>
      <c r="X1409">
        <v>0.99486839999999999</v>
      </c>
      <c r="Y1409">
        <v>-0.21190220000000001</v>
      </c>
      <c r="Z1409">
        <v>-8.8805399999999993E-3</v>
      </c>
      <c r="AA1409">
        <v>0.97725050000000002</v>
      </c>
      <c r="AB1409">
        <v>34</v>
      </c>
      <c r="AC1409">
        <v>-11.000499999999899</v>
      </c>
      <c r="AD1409">
        <v>-1.1038404999160001</v>
      </c>
      <c r="AE1409">
        <v>-2.62</v>
      </c>
      <c r="AF1409">
        <v>-2.44740141492507</v>
      </c>
      <c r="AG1409">
        <v>-1.1038404999160001</v>
      </c>
      <c r="AH1409">
        <v>10.930832175675</v>
      </c>
      <c r="AI1409">
        <v>95.628000421611105</v>
      </c>
      <c r="AJ1409">
        <v>102.62032149203201</v>
      </c>
      <c r="AK1409">
        <v>11.2557243031182</v>
      </c>
      <c r="AL1409">
        <v>84.341060796725401</v>
      </c>
      <c r="AM1409">
        <v>91.304911596107004</v>
      </c>
      <c r="AN1409">
        <v>0.99999998366829301</v>
      </c>
    </row>
    <row r="1410" spans="1:40" x14ac:dyDescent="0.3">
      <c r="A1410" t="str">
        <f>"20200111150342172"</f>
        <v>20200111150342172</v>
      </c>
      <c r="B1410" t="str">
        <f>"1578726222169812"</f>
        <v>1578726222169812</v>
      </c>
      <c r="C1410" t="s">
        <v>40</v>
      </c>
      <c r="D1410">
        <v>5.7314040000000004</v>
      </c>
      <c r="E1410">
        <v>0.4266585</v>
      </c>
      <c r="F1410" t="s">
        <v>41</v>
      </c>
      <c r="G1410">
        <v>-356.95499999999998</v>
      </c>
      <c r="H1410" s="1">
        <v>-1.423668E-6</v>
      </c>
      <c r="I1410">
        <v>138.85480000000001</v>
      </c>
      <c r="J1410">
        <v>-346.12380000000002</v>
      </c>
      <c r="K1410">
        <v>1.103834</v>
      </c>
      <c r="L1410">
        <v>141.4572</v>
      </c>
      <c r="M1410">
        <v>-0.99984530000000005</v>
      </c>
      <c r="N1410">
        <v>0</v>
      </c>
      <c r="O1410">
        <v>-1.3540170000000001E-2</v>
      </c>
      <c r="P1410">
        <v>-0.99558809999999998</v>
      </c>
      <c r="Q1410">
        <v>8.61822E-2</v>
      </c>
      <c r="R1410">
        <v>-3.7110450000000003E-2</v>
      </c>
      <c r="S1410">
        <v>-3.01416</v>
      </c>
      <c r="T1410">
        <v>-0.29778909999999997</v>
      </c>
      <c r="U1410">
        <v>-0.70329280000000005</v>
      </c>
      <c r="V1410">
        <v>-2.3620849999999999E-2</v>
      </c>
      <c r="W1410">
        <v>9.7360950000000002E-2</v>
      </c>
      <c r="X1410">
        <v>0.99496879999999999</v>
      </c>
      <c r="Y1410">
        <v>-0.2130978</v>
      </c>
      <c r="Z1410">
        <v>-9.0464759999999995E-3</v>
      </c>
      <c r="AA1410">
        <v>0.976989</v>
      </c>
      <c r="AB1410">
        <v>34</v>
      </c>
      <c r="AC1410">
        <v>-10.8311999999999</v>
      </c>
      <c r="AD1410">
        <v>-1.1038354236679999</v>
      </c>
      <c r="AE1410">
        <v>-2.6023999999999798</v>
      </c>
      <c r="AF1410">
        <v>-2.4316190443753398</v>
      </c>
      <c r="AG1410">
        <v>-1.1038354236679999</v>
      </c>
      <c r="AH1410">
        <v>10.759792359049399</v>
      </c>
      <c r="AI1410">
        <v>95.714306517381004</v>
      </c>
      <c r="AJ1410">
        <v>102.73443037457299</v>
      </c>
      <c r="AK1410">
        <v>11.0862236775816</v>
      </c>
      <c r="AL1410">
        <v>84.412777661989097</v>
      </c>
      <c r="AM1410">
        <v>91.359963091043099</v>
      </c>
      <c r="AN1410">
        <v>1.0000000060565299</v>
      </c>
    </row>
    <row r="1411" spans="1:40" x14ac:dyDescent="0.3">
      <c r="A1411" t="str">
        <f>"20200111150342206"</f>
        <v>20200111150342206</v>
      </c>
      <c r="B1411" t="str">
        <f>"1578726222200068"</f>
        <v>1578726222200068</v>
      </c>
      <c r="C1411" t="s">
        <v>40</v>
      </c>
      <c r="D1411">
        <v>5.6911849999999999</v>
      </c>
      <c r="E1411">
        <v>0.42633140000000003</v>
      </c>
      <c r="F1411" t="s">
        <v>41</v>
      </c>
      <c r="G1411">
        <v>-357.04689999999999</v>
      </c>
      <c r="H1411" s="1">
        <v>-1.3730719999999999E-6</v>
      </c>
      <c r="I1411">
        <v>138.9178</v>
      </c>
      <c r="J1411">
        <v>-346.64550000000003</v>
      </c>
      <c r="K1411">
        <v>1.1038349999999999</v>
      </c>
      <c r="L1411">
        <v>141.4502</v>
      </c>
      <c r="M1411">
        <v>-0.9998454</v>
      </c>
      <c r="N1411">
        <v>0</v>
      </c>
      <c r="O1411">
        <v>-1.3528739999999999E-2</v>
      </c>
      <c r="P1411">
        <v>-0.99552320000000005</v>
      </c>
      <c r="Q1411">
        <v>8.651383E-2</v>
      </c>
      <c r="R1411">
        <v>-3.8067400000000001E-2</v>
      </c>
      <c r="S1411">
        <v>-3.01355</v>
      </c>
      <c r="T1411">
        <v>-0.30453550000000001</v>
      </c>
      <c r="U1411">
        <v>-0.7005768</v>
      </c>
      <c r="V1411">
        <v>-2.4589300000000001E-2</v>
      </c>
      <c r="W1411">
        <v>9.7694550000000005E-2</v>
      </c>
      <c r="X1411">
        <v>0.99491260000000004</v>
      </c>
      <c r="Y1411">
        <v>-0.21227860000000001</v>
      </c>
      <c r="Z1411">
        <v>-9.2135649999999999E-3</v>
      </c>
      <c r="AA1411">
        <v>0.97716579999999997</v>
      </c>
      <c r="AB1411">
        <v>34</v>
      </c>
      <c r="AC1411">
        <v>-10.401399999999899</v>
      </c>
      <c r="AD1411">
        <v>-1.103836373072</v>
      </c>
      <c r="AE1411">
        <v>-2.5323999999999902</v>
      </c>
      <c r="AF1411">
        <v>-2.3662830851888801</v>
      </c>
      <c r="AG1411">
        <v>-1.103836373072</v>
      </c>
      <c r="AH1411">
        <v>10.324935199310399</v>
      </c>
      <c r="AI1411">
        <v>95.949209629419201</v>
      </c>
      <c r="AJ1411">
        <v>102.908210607062</v>
      </c>
      <c r="AK1411">
        <v>10.649978274519</v>
      </c>
      <c r="AL1411">
        <v>84.393572032330894</v>
      </c>
      <c r="AM1411">
        <v>91.415778990292395</v>
      </c>
      <c r="AN1411">
        <v>0.99999997020647502</v>
      </c>
    </row>
    <row r="1412" spans="1:40" x14ac:dyDescent="0.3">
      <c r="A1412" t="str">
        <f>"20200111150342230"</f>
        <v>20200111150342230</v>
      </c>
      <c r="B1412" t="str">
        <f>"1578726222219588"</f>
        <v>1578726222219588</v>
      </c>
      <c r="C1412" t="s">
        <v>40</v>
      </c>
      <c r="D1412">
        <v>5.624568</v>
      </c>
      <c r="E1412">
        <v>0.42642249999999998</v>
      </c>
      <c r="F1412" t="s">
        <v>41</v>
      </c>
      <c r="G1412">
        <v>-357.63229999999999</v>
      </c>
      <c r="H1412" s="1">
        <v>-1.1299979999999999E-6</v>
      </c>
      <c r="I1412">
        <v>138.8724</v>
      </c>
      <c r="J1412">
        <v>-346.98329999999999</v>
      </c>
      <c r="K1412">
        <v>1.103839</v>
      </c>
      <c r="L1412">
        <v>141.44560000000001</v>
      </c>
      <c r="M1412">
        <v>-0.99984550000000005</v>
      </c>
      <c r="N1412">
        <v>0</v>
      </c>
      <c r="O1412">
        <v>-1.352159E-2</v>
      </c>
      <c r="P1412">
        <v>-0.99543329999999997</v>
      </c>
      <c r="Q1412">
        <v>8.7299370000000001E-2</v>
      </c>
      <c r="R1412">
        <v>-3.8619309999999997E-2</v>
      </c>
      <c r="S1412">
        <v>-3.0127869999999999</v>
      </c>
      <c r="T1412">
        <v>-0.30269410000000002</v>
      </c>
      <c r="U1412">
        <v>-0.70686340000000003</v>
      </c>
      <c r="V1412">
        <v>-2.514951E-2</v>
      </c>
      <c r="W1412">
        <v>9.8480849999999995E-2</v>
      </c>
      <c r="X1412">
        <v>0.99482110000000001</v>
      </c>
      <c r="Y1412">
        <v>-0.2142753</v>
      </c>
      <c r="Z1412">
        <v>-9.2576759999999994E-3</v>
      </c>
      <c r="AA1412">
        <v>0.97672950000000003</v>
      </c>
      <c r="AB1412">
        <v>34</v>
      </c>
      <c r="AC1412">
        <v>-10.648999999999999</v>
      </c>
      <c r="AD1412">
        <v>-1.1038401299980001</v>
      </c>
      <c r="AE1412">
        <v>-2.5732000000000101</v>
      </c>
      <c r="AF1412">
        <v>-2.4045533262285699</v>
      </c>
      <c r="AG1412">
        <v>-1.1038401299980001</v>
      </c>
      <c r="AH1412">
        <v>10.5754607366299</v>
      </c>
      <c r="AI1412">
        <v>95.811538634720804</v>
      </c>
      <c r="AJ1412">
        <v>102.809621263626</v>
      </c>
      <c r="AK1412">
        <v>10.901408602711401</v>
      </c>
      <c r="AL1412">
        <v>84.348302215817597</v>
      </c>
      <c r="AM1412">
        <v>91.448153768166705</v>
      </c>
      <c r="AN1412">
        <v>0.99999999833758602</v>
      </c>
    </row>
    <row r="1413" spans="1:40" x14ac:dyDescent="0.3">
      <c r="A1413" t="str">
        <f>"20200111150342251"</f>
        <v>20200111150342251</v>
      </c>
      <c r="B1413" t="str">
        <f>"1578726222240084"</f>
        <v>1578726222240084</v>
      </c>
      <c r="C1413" t="s">
        <v>40</v>
      </c>
      <c r="D1413">
        <v>5.827318</v>
      </c>
      <c r="E1413">
        <v>0.42651210000000001</v>
      </c>
      <c r="F1413" t="s">
        <v>41</v>
      </c>
      <c r="G1413">
        <v>-358.03129999999999</v>
      </c>
      <c r="H1413" s="1">
        <v>-9.6313829999999995E-7</v>
      </c>
      <c r="I1413">
        <v>138.84809999999999</v>
      </c>
      <c r="J1413">
        <v>-347.31689999999998</v>
      </c>
      <c r="K1413">
        <v>1.1038349999999999</v>
      </c>
      <c r="L1413">
        <v>141.44110000000001</v>
      </c>
      <c r="M1413">
        <v>-0.9998456</v>
      </c>
      <c r="N1413">
        <v>0</v>
      </c>
      <c r="O1413">
        <v>-1.351457E-2</v>
      </c>
      <c r="P1413">
        <v>-0.99538059999999995</v>
      </c>
      <c r="Q1413">
        <v>8.7799399999999903E-2</v>
      </c>
      <c r="R1413">
        <v>-3.884808E-2</v>
      </c>
      <c r="S1413">
        <v>-3.0126949999999999</v>
      </c>
      <c r="T1413">
        <v>-0.3010082</v>
      </c>
      <c r="U1413">
        <v>-0.70831299999999997</v>
      </c>
      <c r="V1413">
        <v>-2.538638E-2</v>
      </c>
      <c r="W1413">
        <v>9.8981949999999999E-2</v>
      </c>
      <c r="X1413">
        <v>0.99476529999999996</v>
      </c>
      <c r="Y1413">
        <v>-0.21474260000000001</v>
      </c>
      <c r="Z1413">
        <v>-9.2298020000000005E-3</v>
      </c>
      <c r="AA1413">
        <v>0.97662709999999997</v>
      </c>
      <c r="AB1413">
        <v>34</v>
      </c>
      <c r="AC1413">
        <v>-10.714399999999999</v>
      </c>
      <c r="AD1413">
        <v>-1.1038359631382999</v>
      </c>
      <c r="AE1413">
        <v>-2.5930000000000102</v>
      </c>
      <c r="AF1413">
        <v>-2.4236525023807598</v>
      </c>
      <c r="AG1413">
        <v>-1.1038359631382999</v>
      </c>
      <c r="AH1413">
        <v>10.641766028865099</v>
      </c>
      <c r="AI1413">
        <v>95.775083564973301</v>
      </c>
      <c r="AJ1413">
        <v>102.83021628039199</v>
      </c>
      <c r="AK1413">
        <v>10.969946649775499</v>
      </c>
      <c r="AL1413">
        <v>84.319450048883496</v>
      </c>
      <c r="AM1413">
        <v>91.461869237461798</v>
      </c>
      <c r="AN1413">
        <v>0.99999994839969697</v>
      </c>
    </row>
    <row r="1414" spans="1:40" x14ac:dyDescent="0.3">
      <c r="A1414" t="str">
        <f>"20200111150342273"</f>
        <v>20200111150342273</v>
      </c>
      <c r="B1414" t="str">
        <f>"1578726222269365"</f>
        <v>1578726222269365</v>
      </c>
      <c r="C1414" t="s">
        <v>40</v>
      </c>
      <c r="D1414">
        <v>5.6083590000000001</v>
      </c>
      <c r="E1414">
        <v>0.46142929999999999</v>
      </c>
      <c r="F1414" t="s">
        <v>41</v>
      </c>
      <c r="G1414">
        <v>-358.38459999999998</v>
      </c>
      <c r="H1414" s="1">
        <v>-8.1333349999999998E-7</v>
      </c>
      <c r="I1414">
        <v>138.8383</v>
      </c>
      <c r="J1414">
        <v>-347.65289999999999</v>
      </c>
      <c r="K1414">
        <v>1.1038330000000001</v>
      </c>
      <c r="L1414">
        <v>141.4366</v>
      </c>
      <c r="M1414">
        <v>-0.99984569999999995</v>
      </c>
      <c r="N1414">
        <v>0</v>
      </c>
      <c r="O1414">
        <v>-1.3507190000000001E-2</v>
      </c>
      <c r="P1414">
        <v>-0.99533130000000003</v>
      </c>
      <c r="Q1414">
        <v>8.7750140000000004E-2</v>
      </c>
      <c r="R1414">
        <v>-4.0195349999999998E-2</v>
      </c>
      <c r="S1414">
        <v>-3.0127869999999999</v>
      </c>
      <c r="T1414">
        <v>-0.30048079999999999</v>
      </c>
      <c r="U1414">
        <v>-0.70851140000000001</v>
      </c>
      <c r="V1414">
        <v>-2.67412E-2</v>
      </c>
      <c r="W1414">
        <v>9.8934019999999998E-2</v>
      </c>
      <c r="X1414">
        <v>0.99473460000000002</v>
      </c>
      <c r="Y1414">
        <v>-0.2148072</v>
      </c>
      <c r="Z1414">
        <v>-9.2172609999999992E-3</v>
      </c>
      <c r="AA1414">
        <v>0.97661299999999995</v>
      </c>
      <c r="AB1414">
        <v>34</v>
      </c>
      <c r="AC1414">
        <v>-10.731699999999901</v>
      </c>
      <c r="AD1414">
        <v>-1.1038338133334999</v>
      </c>
      <c r="AE1414">
        <v>-2.5982999999999898</v>
      </c>
      <c r="AF1414">
        <v>-2.4288254967706</v>
      </c>
      <c r="AG1414">
        <v>-1.1038338133334999</v>
      </c>
      <c r="AH1414">
        <v>10.6592920187062</v>
      </c>
      <c r="AI1414">
        <v>95.765503589392495</v>
      </c>
      <c r="AJ1414">
        <v>102.836253586903</v>
      </c>
      <c r="AK1414">
        <v>10.988091222831899</v>
      </c>
      <c r="AL1414">
        <v>84.322209951696806</v>
      </c>
      <c r="AM1414">
        <v>91.539897145775797</v>
      </c>
      <c r="AN1414">
        <v>0.99999997826397902</v>
      </c>
    </row>
    <row r="1415" spans="1:40" x14ac:dyDescent="0.3">
      <c r="A1415" t="str">
        <f>"20200111150342296"</f>
        <v>20200111150342296</v>
      </c>
      <c r="B1415" t="str">
        <f>"1578726222289864"</f>
        <v>1578726222289864</v>
      </c>
      <c r="C1415" t="s">
        <v>40</v>
      </c>
      <c r="D1415">
        <v>5.5509690000000003</v>
      </c>
      <c r="E1415">
        <v>0.46060689999999999</v>
      </c>
      <c r="F1415" t="s">
        <v>41</v>
      </c>
      <c r="G1415">
        <v>-358.28019999999998</v>
      </c>
      <c r="H1415" s="1">
        <v>-7.9899609999999898E-7</v>
      </c>
      <c r="I1415">
        <v>139.9127</v>
      </c>
      <c r="J1415">
        <v>-348.0034</v>
      </c>
      <c r="K1415">
        <v>1.1038330000000001</v>
      </c>
      <c r="L1415">
        <v>141.43190000000001</v>
      </c>
      <c r="M1415">
        <v>-0.99984569999999995</v>
      </c>
      <c r="N1415">
        <v>0</v>
      </c>
      <c r="O1415">
        <v>-1.3499570000000001E-2</v>
      </c>
      <c r="P1415">
        <v>-0.99532960000000004</v>
      </c>
      <c r="Q1415">
        <v>8.7105009999999997E-2</v>
      </c>
      <c r="R1415">
        <v>-4.161604E-2</v>
      </c>
      <c r="S1415">
        <v>-3.0242610000000001</v>
      </c>
      <c r="T1415">
        <v>-0.31412639999999997</v>
      </c>
      <c r="U1415">
        <v>-0.43363950000000001</v>
      </c>
      <c r="V1415">
        <v>-2.816927E-2</v>
      </c>
      <c r="W1415">
        <v>9.8291039999999996E-2</v>
      </c>
      <c r="X1415">
        <v>0.99475899999999995</v>
      </c>
      <c r="Y1415">
        <v>-0.1279555</v>
      </c>
      <c r="Z1415">
        <v>-5.2029270000000004E-3</v>
      </c>
      <c r="AA1415">
        <v>0.99176629999999999</v>
      </c>
      <c r="AB1415">
        <v>34</v>
      </c>
      <c r="AC1415">
        <v>-10.2767999999999</v>
      </c>
      <c r="AD1415">
        <v>-1.1038337989961</v>
      </c>
      <c r="AE1415">
        <v>-1.5192000000000101</v>
      </c>
      <c r="AF1415">
        <v>-1.36491024176015</v>
      </c>
      <c r="AG1415">
        <v>-1.1038337989961</v>
      </c>
      <c r="AH1415">
        <v>10.181422588628701</v>
      </c>
      <c r="AI1415">
        <v>96.133194633214899</v>
      </c>
      <c r="AJ1415">
        <v>97.635484848469304</v>
      </c>
      <c r="AK1415">
        <v>10.3316404772963</v>
      </c>
      <c r="AL1415">
        <v>84.359230853190397</v>
      </c>
      <c r="AM1415">
        <v>91.622050243560807</v>
      </c>
      <c r="AN1415">
        <v>1.0000000521987999</v>
      </c>
    </row>
    <row r="1416" spans="1:40" x14ac:dyDescent="0.3">
      <c r="A1416" t="str">
        <f>"20200111150342318"</f>
        <v>20200111150342318</v>
      </c>
      <c r="B1416" t="str">
        <f>"1578726222309383"</f>
        <v>1578726222309383</v>
      </c>
      <c r="C1416" t="s">
        <v>40</v>
      </c>
      <c r="D1416">
        <v>5.5577750000000004</v>
      </c>
      <c r="E1416">
        <v>0.46007589999999998</v>
      </c>
      <c r="F1416" t="s">
        <v>41</v>
      </c>
      <c r="G1416">
        <v>-358.07049999999998</v>
      </c>
      <c r="H1416" s="1">
        <v>-8.9888159999999899E-7</v>
      </c>
      <c r="I1416">
        <v>139.95009999999999</v>
      </c>
      <c r="J1416">
        <v>-348.3408</v>
      </c>
      <c r="K1416">
        <v>1.1038220000000001</v>
      </c>
      <c r="L1416">
        <v>141.4273</v>
      </c>
      <c r="M1416">
        <v>-0.99984580000000001</v>
      </c>
      <c r="N1416">
        <v>0</v>
      </c>
      <c r="O1416">
        <v>-1.349231E-2</v>
      </c>
      <c r="P1416">
        <v>-0.99532489999999996</v>
      </c>
      <c r="Q1416">
        <v>8.666836E-2</v>
      </c>
      <c r="R1416">
        <v>-4.2624820000000001E-2</v>
      </c>
      <c r="S1416">
        <v>-3.0244140000000002</v>
      </c>
      <c r="T1416">
        <v>-0.33161879999999999</v>
      </c>
      <c r="U1416">
        <v>-0.44512940000000001</v>
      </c>
      <c r="V1416">
        <v>-2.9185599999999999E-2</v>
      </c>
      <c r="W1416">
        <v>9.7856390000000001E-2</v>
      </c>
      <c r="X1416">
        <v>0.99477249999999995</v>
      </c>
      <c r="Y1416">
        <v>-0.13155520000000001</v>
      </c>
      <c r="Z1416">
        <v>-5.6857629999999999E-3</v>
      </c>
      <c r="AA1416">
        <v>0.99129250000000002</v>
      </c>
      <c r="AB1416">
        <v>34</v>
      </c>
      <c r="AC1416">
        <v>-9.7296999999999798</v>
      </c>
      <c r="AD1416">
        <v>-1.1038228988815999</v>
      </c>
      <c r="AE1416">
        <v>-1.4772000000000101</v>
      </c>
      <c r="AF1416">
        <v>-1.32906066082549</v>
      </c>
      <c r="AG1416">
        <v>-1.1038228988815999</v>
      </c>
      <c r="AH1416">
        <v>9.6276246287680802</v>
      </c>
      <c r="AI1416">
        <v>96.479577413781499</v>
      </c>
      <c r="AJ1416">
        <v>97.859809914475903</v>
      </c>
      <c r="AK1416">
        <v>9.7814100836592601</v>
      </c>
      <c r="AL1416">
        <v>84.384254804012897</v>
      </c>
      <c r="AM1416">
        <v>91.680517053687794</v>
      </c>
      <c r="AN1416">
        <v>0.99999999953371999</v>
      </c>
    </row>
    <row r="1417" spans="1:40" x14ac:dyDescent="0.3">
      <c r="A1417" t="str">
        <f>"20200111150342339"</f>
        <v>20200111150342339</v>
      </c>
      <c r="B1417" t="str">
        <f>"1578726222329875"</f>
        <v>1578726222329875</v>
      </c>
      <c r="C1417" t="s">
        <v>40</v>
      </c>
      <c r="D1417">
        <v>5.6092040000000001</v>
      </c>
      <c r="E1417">
        <v>0.45933990000000002</v>
      </c>
      <c r="F1417" t="s">
        <v>41</v>
      </c>
      <c r="G1417">
        <v>-358.25670000000002</v>
      </c>
      <c r="H1417" s="1">
        <v>-8.1656509999999997E-7</v>
      </c>
      <c r="I1417">
        <v>139.9409</v>
      </c>
      <c r="J1417">
        <v>-348.66730000000001</v>
      </c>
      <c r="K1417">
        <v>1.103817</v>
      </c>
      <c r="L1417">
        <v>141.4229</v>
      </c>
      <c r="M1417">
        <v>-0.99984589999999995</v>
      </c>
      <c r="N1417">
        <v>0</v>
      </c>
      <c r="O1417">
        <v>-1.3485399999999899E-2</v>
      </c>
      <c r="P1417">
        <v>-0.99527619999999895</v>
      </c>
      <c r="Q1417">
        <v>8.6210729999999999E-2</v>
      </c>
      <c r="R1417">
        <v>-4.464808E-2</v>
      </c>
      <c r="S1417">
        <v>-3.0240170000000002</v>
      </c>
      <c r="T1417">
        <v>-0.33662979999999998</v>
      </c>
      <c r="U1417">
        <v>-0.4532928</v>
      </c>
      <c r="V1417">
        <v>-3.1216190000000001E-2</v>
      </c>
      <c r="W1417">
        <v>9.7400810000000004E-2</v>
      </c>
      <c r="X1417">
        <v>0.99475559999999996</v>
      </c>
      <c r="Y1417">
        <v>-0.1341619</v>
      </c>
      <c r="Z1417">
        <v>-5.915394E-3</v>
      </c>
      <c r="AA1417">
        <v>0.99094179999999998</v>
      </c>
      <c r="AB1417">
        <v>34</v>
      </c>
      <c r="AC1417">
        <v>-9.5894000000000101</v>
      </c>
      <c r="AD1417">
        <v>-1.1038178165651</v>
      </c>
      <c r="AE1417">
        <v>-1.48199999999999</v>
      </c>
      <c r="AF1417">
        <v>-1.33526081920989</v>
      </c>
      <c r="AG1417">
        <v>-1.1038178165651</v>
      </c>
      <c r="AH1417">
        <v>9.48576122055624</v>
      </c>
      <c r="AI1417">
        <v>96.573187269337396</v>
      </c>
      <c r="AJ1417">
        <v>98.012580592131201</v>
      </c>
      <c r="AK1417">
        <v>9.6426656667589796</v>
      </c>
      <c r="AL1417">
        <v>84.410483113885505</v>
      </c>
      <c r="AM1417">
        <v>91.7973954519682</v>
      </c>
      <c r="AN1417">
        <v>1.00000003601906</v>
      </c>
    </row>
    <row r="1418" spans="1:40" x14ac:dyDescent="0.3">
      <c r="A1418" t="str">
        <f>"20200111150342362"</f>
        <v>20200111150342362</v>
      </c>
      <c r="B1418" t="str">
        <f>"1578726222360134"</f>
        <v>1578726222360134</v>
      </c>
      <c r="C1418" t="s">
        <v>40</v>
      </c>
      <c r="D1418">
        <v>5.5993370000000002</v>
      </c>
      <c r="E1418">
        <v>0.45934740000000002</v>
      </c>
      <c r="F1418" t="s">
        <v>41</v>
      </c>
      <c r="G1418">
        <v>-358.50319999999999</v>
      </c>
      <c r="H1418" s="1">
        <v>-7.0329619999999903E-7</v>
      </c>
      <c r="I1418">
        <v>139.9127</v>
      </c>
      <c r="J1418">
        <v>-349.01249999999999</v>
      </c>
      <c r="K1418">
        <v>1.1038110000000001</v>
      </c>
      <c r="L1418">
        <v>141.41829999999999</v>
      </c>
      <c r="M1418">
        <v>-0.99984600000000001</v>
      </c>
      <c r="N1418">
        <v>0</v>
      </c>
      <c r="O1418">
        <v>-1.347778E-2</v>
      </c>
      <c r="P1418">
        <v>-0.99523589999999995</v>
      </c>
      <c r="Q1418">
        <v>8.5789219999999999E-2</v>
      </c>
      <c r="R1418">
        <v>-4.6324980000000002E-2</v>
      </c>
      <c r="S1418">
        <v>-3.0228269999999999</v>
      </c>
      <c r="T1418">
        <v>-0.33923019999999998</v>
      </c>
      <c r="U1418">
        <v>-0.46409610000000001</v>
      </c>
      <c r="V1418">
        <v>-3.290092E-2</v>
      </c>
      <c r="W1418">
        <v>9.6980800000000006E-2</v>
      </c>
      <c r="X1418">
        <v>0.99474229999999997</v>
      </c>
      <c r="Y1418">
        <v>-0.1376549</v>
      </c>
      <c r="Z1418">
        <v>-6.1566499999999996E-3</v>
      </c>
      <c r="AA1418">
        <v>0.99046109999999998</v>
      </c>
      <c r="AB1418">
        <v>34</v>
      </c>
      <c r="AC1418">
        <v>-9.4907000000000004</v>
      </c>
      <c r="AD1418">
        <v>-1.10381170329619</v>
      </c>
      <c r="AE1418">
        <v>-1.5055999999999801</v>
      </c>
      <c r="AF1418">
        <v>-1.35960205949254</v>
      </c>
      <c r="AG1418">
        <v>-1.10381170329619</v>
      </c>
      <c r="AH1418">
        <v>9.3862822273596098</v>
      </c>
      <c r="AI1418">
        <v>96.638433847348693</v>
      </c>
      <c r="AJ1418">
        <v>98.241964151100206</v>
      </c>
      <c r="AK1418">
        <v>9.5482570183336009</v>
      </c>
      <c r="AL1418">
        <v>84.434662153479394</v>
      </c>
      <c r="AM1418">
        <v>91.894356877303494</v>
      </c>
      <c r="AN1418">
        <v>0.99999999475738799</v>
      </c>
    </row>
    <row r="1419" spans="1:40" x14ac:dyDescent="0.3">
      <c r="A1419" t="str">
        <f>"20200111150342387"</f>
        <v>20200111150342387</v>
      </c>
      <c r="B1419" t="str">
        <f>"1578726222379652"</f>
        <v>1578726222379652</v>
      </c>
      <c r="C1419" t="s">
        <v>40</v>
      </c>
      <c r="D1419">
        <v>5.5590250000000001</v>
      </c>
      <c r="E1419">
        <v>0.45982840000000003</v>
      </c>
      <c r="F1419" t="s">
        <v>41</v>
      </c>
      <c r="G1419">
        <v>-358.71</v>
      </c>
      <c r="H1419" s="1">
        <v>-6.1480800000000004E-7</v>
      </c>
      <c r="I1419">
        <v>139.9135</v>
      </c>
      <c r="J1419">
        <v>-349.3802</v>
      </c>
      <c r="K1419">
        <v>1.103804</v>
      </c>
      <c r="L1419">
        <v>141.41329999999999</v>
      </c>
      <c r="M1419">
        <v>-0.99984620000000002</v>
      </c>
      <c r="N1419">
        <v>0</v>
      </c>
      <c r="O1419">
        <v>-1.346981E-2</v>
      </c>
      <c r="P1419">
        <v>-0.99526789999999998</v>
      </c>
      <c r="Q1419">
        <v>8.4799769999999997E-2</v>
      </c>
      <c r="R1419">
        <v>-4.7447929999999999E-2</v>
      </c>
      <c r="S1419">
        <v>-3.022186</v>
      </c>
      <c r="T1419">
        <v>-0.34400120000000001</v>
      </c>
      <c r="U1419">
        <v>-0.46894839999999999</v>
      </c>
      <c r="V1419">
        <v>-3.4031180000000001E-2</v>
      </c>
      <c r="W1419">
        <v>9.5993599999999998E-2</v>
      </c>
      <c r="X1419">
        <v>0.99480000000000002</v>
      </c>
      <c r="Y1419">
        <v>-0.139215899999999</v>
      </c>
      <c r="Z1419">
        <v>-6.3321799999999998E-3</v>
      </c>
      <c r="AA1419">
        <v>0.99024179999999995</v>
      </c>
      <c r="AB1419">
        <v>34</v>
      </c>
      <c r="AC1419">
        <v>-9.3297999999999703</v>
      </c>
      <c r="AD1419">
        <v>-1.1038046148080001</v>
      </c>
      <c r="AE1419">
        <v>-1.49979999999999</v>
      </c>
      <c r="AF1419">
        <v>-1.3554902961695801</v>
      </c>
      <c r="AG1419">
        <v>-1.1038046148080001</v>
      </c>
      <c r="AH1419">
        <v>9.2233088275963606</v>
      </c>
      <c r="AI1419">
        <v>96.7525951349986</v>
      </c>
      <c r="AJ1419">
        <v>98.360543369470093</v>
      </c>
      <c r="AK1419">
        <v>9.3875004287562192</v>
      </c>
      <c r="AL1419">
        <v>84.491489536545998</v>
      </c>
      <c r="AM1419">
        <v>91.959271121370904</v>
      </c>
      <c r="AN1419">
        <v>0.99999996622657505</v>
      </c>
    </row>
    <row r="1420" spans="1:40" x14ac:dyDescent="0.3">
      <c r="A1420" t="str">
        <f>"20200111150342408"</f>
        <v>20200111150342408</v>
      </c>
      <c r="B1420" t="str">
        <f>"1578726222400147"</f>
        <v>1578726222400147</v>
      </c>
      <c r="C1420" t="s">
        <v>40</v>
      </c>
      <c r="D1420">
        <v>5.4953560000000001</v>
      </c>
      <c r="E1420">
        <v>0.46001039999999999</v>
      </c>
      <c r="F1420" t="s">
        <v>41</v>
      </c>
      <c r="G1420">
        <v>-358.95240000000001</v>
      </c>
      <c r="H1420" s="1">
        <v>-5.1440309999999896E-7</v>
      </c>
      <c r="I1420">
        <v>139.92699999999999</v>
      </c>
      <c r="J1420">
        <v>-349.71679999999998</v>
      </c>
      <c r="K1420">
        <v>1.103799</v>
      </c>
      <c r="L1420">
        <v>141.40880000000001</v>
      </c>
      <c r="M1420">
        <v>-0.99984609999999996</v>
      </c>
      <c r="N1420">
        <v>0</v>
      </c>
      <c r="O1420">
        <v>-1.346231E-2</v>
      </c>
      <c r="P1420">
        <v>-0.99524239999999997</v>
      </c>
      <c r="Q1420">
        <v>8.4098199999999998E-2</v>
      </c>
      <c r="R1420">
        <v>-4.9193769999999998E-2</v>
      </c>
      <c r="S1420">
        <v>-3.021576</v>
      </c>
      <c r="T1420">
        <v>-0.34842899999999999</v>
      </c>
      <c r="U1420">
        <v>-0.46916200000000002</v>
      </c>
      <c r="V1420">
        <v>-3.5784389999999999E-2</v>
      </c>
      <c r="W1420">
        <v>9.5294450000000003E-2</v>
      </c>
      <c r="X1420">
        <v>0.99480579999999996</v>
      </c>
      <c r="Y1420">
        <v>-0.1393006</v>
      </c>
      <c r="Z1420">
        <v>-6.4200940000000003E-3</v>
      </c>
      <c r="AA1420">
        <v>0.99022929999999998</v>
      </c>
      <c r="AB1420">
        <v>34</v>
      </c>
      <c r="AC1420">
        <v>-9.23560000000003</v>
      </c>
      <c r="AD1420">
        <v>-1.1037995144031001</v>
      </c>
      <c r="AE1420">
        <v>-1.48179999999999</v>
      </c>
      <c r="AF1420">
        <v>-1.3386834412222799</v>
      </c>
      <c r="AG1420">
        <v>-1.1037995144031001</v>
      </c>
      <c r="AH1420">
        <v>9.1276058809446798</v>
      </c>
      <c r="AI1420">
        <v>96.822992662883195</v>
      </c>
      <c r="AJ1420">
        <v>98.343694402928406</v>
      </c>
      <c r="AK1420">
        <v>9.29105138515847</v>
      </c>
      <c r="AL1420">
        <v>84.531732926241403</v>
      </c>
      <c r="AM1420">
        <v>92.060111524441197</v>
      </c>
      <c r="AN1420">
        <v>1.0000000672410501</v>
      </c>
    </row>
    <row r="1421" spans="1:40" x14ac:dyDescent="0.3">
      <c r="A1421" t="str">
        <f>"20200111150342431"</f>
        <v>20200111150342431</v>
      </c>
      <c r="B1421" t="str">
        <f>"1578726222419667"</f>
        <v>1578726222419667</v>
      </c>
      <c r="C1421" t="s">
        <v>40</v>
      </c>
      <c r="D1421">
        <v>5.5696979999999998</v>
      </c>
      <c r="E1421">
        <v>0.46018290000000001</v>
      </c>
      <c r="F1421" t="s">
        <v>41</v>
      </c>
      <c r="G1421">
        <v>-359.2484</v>
      </c>
      <c r="H1421" s="1">
        <v>-3.8455949999999998E-7</v>
      </c>
      <c r="I1421">
        <v>139.9162</v>
      </c>
      <c r="J1421">
        <v>-350.0532</v>
      </c>
      <c r="K1421">
        <v>1.1037950000000001</v>
      </c>
      <c r="L1421">
        <v>141.40430000000001</v>
      </c>
      <c r="M1421">
        <v>-0.99984629999999997</v>
      </c>
      <c r="N1421">
        <v>0</v>
      </c>
      <c r="O1421">
        <v>-1.345505E-2</v>
      </c>
      <c r="P1421">
        <v>-0.99514250000000004</v>
      </c>
      <c r="Q1421">
        <v>8.3639279999999996E-2</v>
      </c>
      <c r="R1421">
        <v>-5.1923759999999999E-2</v>
      </c>
      <c r="S1421">
        <v>-3.0205380000000002</v>
      </c>
      <c r="T1421">
        <v>-0.34979080000000001</v>
      </c>
      <c r="U1421">
        <v>-0.47296139999999998</v>
      </c>
      <c r="V1421">
        <v>-3.8523469999999997E-2</v>
      </c>
      <c r="W1421">
        <v>9.4836829999999997E-2</v>
      </c>
      <c r="X1421">
        <v>0.99474720000000005</v>
      </c>
      <c r="Y1421">
        <v>-0.140560299999999</v>
      </c>
      <c r="Z1421">
        <v>-6.5196769999999998E-3</v>
      </c>
      <c r="AA1421">
        <v>0.99005069999999995</v>
      </c>
      <c r="AB1421">
        <v>34</v>
      </c>
      <c r="AC1421">
        <v>-9.1951999999999998</v>
      </c>
      <c r="AD1421">
        <v>-1.1037953845595001</v>
      </c>
      <c r="AE1421">
        <v>-1.4881</v>
      </c>
      <c r="AF1421">
        <v>-1.3453443503177001</v>
      </c>
      <c r="AG1421">
        <v>-1.1037953845595001</v>
      </c>
      <c r="AH1421">
        <v>9.0867950867084293</v>
      </c>
      <c r="AI1421">
        <v>96.851957600262807</v>
      </c>
      <c r="AJ1421">
        <v>98.421739811276794</v>
      </c>
      <c r="AK1421">
        <v>9.2519274002628809</v>
      </c>
      <c r="AL1421">
        <v>84.558071743268698</v>
      </c>
      <c r="AM1421">
        <v>92.217779337752205</v>
      </c>
      <c r="AN1421">
        <v>1.00000003698656</v>
      </c>
    </row>
    <row r="1422" spans="1:40" x14ac:dyDescent="0.3">
      <c r="A1422" t="str">
        <f>"20200111150342452"</f>
        <v>20200111150342452</v>
      </c>
      <c r="B1422" t="str">
        <f>"1578726222449923"</f>
        <v>1578726222449923</v>
      </c>
      <c r="C1422" t="s">
        <v>40</v>
      </c>
      <c r="D1422">
        <v>5.6279130000000004</v>
      </c>
      <c r="E1422">
        <v>0.4602118</v>
      </c>
      <c r="F1422" t="s">
        <v>41</v>
      </c>
      <c r="G1422">
        <v>-359.58109999999999</v>
      </c>
      <c r="H1422" s="1">
        <v>-2.349313E-7</v>
      </c>
      <c r="I1422">
        <v>139.8903</v>
      </c>
      <c r="J1422">
        <v>-350.38350000000003</v>
      </c>
      <c r="K1422">
        <v>1.1037870000000001</v>
      </c>
      <c r="L1422">
        <v>141.3998</v>
      </c>
      <c r="M1422">
        <v>-0.99984629999999997</v>
      </c>
      <c r="N1422">
        <v>0</v>
      </c>
      <c r="O1422">
        <v>-1.3447789999999999E-2</v>
      </c>
      <c r="P1422">
        <v>-0.99504490000000001</v>
      </c>
      <c r="Q1422">
        <v>8.3242129999999998E-2</v>
      </c>
      <c r="R1422">
        <v>-5.4373339999999999E-2</v>
      </c>
      <c r="S1422">
        <v>-3.0190429999999999</v>
      </c>
      <c r="T1422">
        <v>-0.349751599999999</v>
      </c>
      <c r="U1422">
        <v>-0.47969060000000002</v>
      </c>
      <c r="V1422">
        <v>-4.0980999999999997E-2</v>
      </c>
      <c r="W1422">
        <v>9.4441440000000001E-2</v>
      </c>
      <c r="X1422">
        <v>0.99468650000000003</v>
      </c>
      <c r="Y1422">
        <v>-0.142780399999999</v>
      </c>
      <c r="Z1422">
        <v>-6.6492209999999899E-3</v>
      </c>
      <c r="AA1422">
        <v>0.9897321</v>
      </c>
      <c r="AB1422">
        <v>34</v>
      </c>
      <c r="AC1422">
        <v>-9.1975999999999605</v>
      </c>
      <c r="AD1422">
        <v>-1.1037872349313</v>
      </c>
      <c r="AE1422">
        <v>-1.5095000000000001</v>
      </c>
      <c r="AF1422">
        <v>-1.36650411074585</v>
      </c>
      <c r="AG1422">
        <v>-1.1037872349313</v>
      </c>
      <c r="AH1422">
        <v>9.0895944413777503</v>
      </c>
      <c r="AI1422">
        <v>96.847557727422796</v>
      </c>
      <c r="AJ1422">
        <v>98.549659262809499</v>
      </c>
      <c r="AK1422">
        <v>9.2577754808273394</v>
      </c>
      <c r="AL1422">
        <v>84.580827481112294</v>
      </c>
      <c r="AM1422">
        <v>92.359247004650399</v>
      </c>
      <c r="AN1422">
        <v>0.99999993061625903</v>
      </c>
    </row>
    <row r="1423" spans="1:40" x14ac:dyDescent="0.3">
      <c r="A1423" t="str">
        <f>"20200111150342475"</f>
        <v>20200111150342475</v>
      </c>
      <c r="B1423" t="str">
        <f>"1578726222469444"</f>
        <v>1578726222469444</v>
      </c>
      <c r="C1423" t="s">
        <v>40</v>
      </c>
      <c r="D1423">
        <v>5.5239909999999997</v>
      </c>
      <c r="E1423">
        <v>0.46018540000000002</v>
      </c>
      <c r="F1423" t="s">
        <v>41</v>
      </c>
      <c r="G1423">
        <v>-359.9436</v>
      </c>
      <c r="H1423" s="1">
        <v>-7.0471069999999999E-8</v>
      </c>
      <c r="I1423">
        <v>139.85669999999999</v>
      </c>
      <c r="J1423">
        <v>-350.73169999999999</v>
      </c>
      <c r="K1423">
        <v>1.103788</v>
      </c>
      <c r="L1423">
        <v>141.39510000000001</v>
      </c>
      <c r="M1423">
        <v>-0.99984629999999997</v>
      </c>
      <c r="N1423">
        <v>0</v>
      </c>
      <c r="O1423">
        <v>-1.3439929999999999E-2</v>
      </c>
      <c r="P1423">
        <v>-0.99495069999999997</v>
      </c>
      <c r="Q1423">
        <v>8.3400189999999999E-2</v>
      </c>
      <c r="R1423">
        <v>-5.583809E-2</v>
      </c>
      <c r="S1423">
        <v>-3.0174560000000001</v>
      </c>
      <c r="T1423">
        <v>-0.34839109999999901</v>
      </c>
      <c r="U1423">
        <v>-0.48704530000000001</v>
      </c>
      <c r="V1423">
        <v>-4.245492E-2</v>
      </c>
      <c r="W1423">
        <v>9.4600450000000003E-2</v>
      </c>
      <c r="X1423">
        <v>0.99460970000000004</v>
      </c>
      <c r="Y1423">
        <v>-0.1452107</v>
      </c>
      <c r="Z1423">
        <v>-6.7655340000000001E-3</v>
      </c>
      <c r="AA1423">
        <v>0.98937759999999997</v>
      </c>
      <c r="AB1423">
        <v>34</v>
      </c>
      <c r="AC1423">
        <v>-9.2119000000000106</v>
      </c>
      <c r="AD1423">
        <v>-1.1037880704710701</v>
      </c>
      <c r="AE1423">
        <v>-1.53840000000002</v>
      </c>
      <c r="AF1423">
        <v>-1.3949614196461699</v>
      </c>
      <c r="AG1423">
        <v>-1.1037880704710701</v>
      </c>
      <c r="AH1423">
        <v>9.1045747232999794</v>
      </c>
      <c r="AI1423">
        <v>96.833511888197904</v>
      </c>
      <c r="AJ1423">
        <v>98.710857206201993</v>
      </c>
      <c r="AK1423">
        <v>9.2767206683702792</v>
      </c>
      <c r="AL1423">
        <v>84.571676612169696</v>
      </c>
      <c r="AM1423">
        <v>92.444186910496001</v>
      </c>
      <c r="AN1423">
        <v>1.00000006035324</v>
      </c>
    </row>
    <row r="1424" spans="1:40" x14ac:dyDescent="0.3">
      <c r="A1424" t="str">
        <f>"20200111150342496"</f>
        <v>20200111150342496</v>
      </c>
      <c r="B1424" t="str">
        <f>"1578726222489942"</f>
        <v>1578726222489942</v>
      </c>
      <c r="C1424" t="s">
        <v>40</v>
      </c>
      <c r="D1424">
        <v>5.6097440000000001</v>
      </c>
      <c r="E1424">
        <v>0.46014329999999998</v>
      </c>
      <c r="F1424" t="s">
        <v>41</v>
      </c>
      <c r="G1424">
        <v>-360.16219999999998</v>
      </c>
      <c r="H1424" s="1">
        <v>-4.2635419999999998E-6</v>
      </c>
      <c r="I1424">
        <v>139.85720000000001</v>
      </c>
      <c r="J1424">
        <v>-351.07220000000001</v>
      </c>
      <c r="K1424">
        <v>1.103783</v>
      </c>
      <c r="L1424">
        <v>141.39060000000001</v>
      </c>
      <c r="M1424">
        <v>-0.99984649999999997</v>
      </c>
      <c r="N1424">
        <v>0</v>
      </c>
      <c r="O1424">
        <v>-1.3432670000000001E-2</v>
      </c>
      <c r="P1424">
        <v>-0.99483960000000005</v>
      </c>
      <c r="Q1424">
        <v>8.3972710000000006E-2</v>
      </c>
      <c r="R1424">
        <v>-5.6948119999999998E-2</v>
      </c>
      <c r="S1424">
        <v>-3.0172119999999998</v>
      </c>
      <c r="T1424">
        <v>-0.35315069999999998</v>
      </c>
      <c r="U1424">
        <v>-0.4920349</v>
      </c>
      <c r="V1424">
        <v>-4.3573670000000002E-2</v>
      </c>
      <c r="W1424">
        <v>9.5173869999999994E-2</v>
      </c>
      <c r="X1424">
        <v>0.99450649999999996</v>
      </c>
      <c r="Y1424">
        <v>-0.14679059999999999</v>
      </c>
      <c r="Z1424">
        <v>-6.9493999999999997E-3</v>
      </c>
      <c r="AA1424">
        <v>0.9891432</v>
      </c>
      <c r="AB1424">
        <v>34</v>
      </c>
      <c r="AC1424">
        <v>-9.0899999999999697</v>
      </c>
      <c r="AD1424">
        <v>-1.1037872635420001</v>
      </c>
      <c r="AE1424">
        <v>-1.5334000000000001</v>
      </c>
      <c r="AF1424">
        <v>-1.39120528705693</v>
      </c>
      <c r="AG1424">
        <v>-1.1037872635420001</v>
      </c>
      <c r="AH1424">
        <v>8.9810182515918502</v>
      </c>
      <c r="AI1424">
        <v>96.924867882541506</v>
      </c>
      <c r="AJ1424">
        <v>98.805421592386693</v>
      </c>
      <c r="AK1424">
        <v>9.1549160186928304</v>
      </c>
      <c r="AL1424">
        <v>84.538672576935994</v>
      </c>
      <c r="AM1424">
        <v>92.508773609273703</v>
      </c>
      <c r="AN1424">
        <v>0.999999954395146</v>
      </c>
    </row>
    <row r="1425" spans="1:40" x14ac:dyDescent="0.3">
      <c r="A1425" t="str">
        <f>"20200111150342519"</f>
        <v>20200111150342519</v>
      </c>
      <c r="B1425" t="str">
        <f>"1578726222509460"</f>
        <v>1578726222509460</v>
      </c>
      <c r="C1425" t="s">
        <v>40</v>
      </c>
      <c r="D1425">
        <v>5.6342379999999999</v>
      </c>
      <c r="E1425">
        <v>0.45979589999999998</v>
      </c>
      <c r="F1425" t="s">
        <v>41</v>
      </c>
      <c r="G1425">
        <v>-360.55099999999999</v>
      </c>
      <c r="H1425" s="1">
        <v>-4.092839E-6</v>
      </c>
      <c r="I1425">
        <v>139.83019999999999</v>
      </c>
      <c r="J1425">
        <v>-351.40249999999997</v>
      </c>
      <c r="K1425">
        <v>1.103788</v>
      </c>
      <c r="L1425">
        <v>141.3862</v>
      </c>
      <c r="M1425">
        <v>-0.99984649999999997</v>
      </c>
      <c r="N1425">
        <v>0</v>
      </c>
      <c r="O1425">
        <v>-1.342553E-2</v>
      </c>
      <c r="P1425">
        <v>-0.99472890000000003</v>
      </c>
      <c r="Q1425">
        <v>8.412037E-2</v>
      </c>
      <c r="R1425">
        <v>-5.8638559999999999E-2</v>
      </c>
      <c r="S1425">
        <v>-3.016785</v>
      </c>
      <c r="T1425">
        <v>-0.3513018</v>
      </c>
      <c r="U1425">
        <v>-0.49658200000000002</v>
      </c>
      <c r="V1425">
        <v>-4.5272079999999999E-2</v>
      </c>
      <c r="W1425">
        <v>9.5322450000000003E-2</v>
      </c>
      <c r="X1425">
        <v>0.99441650000000004</v>
      </c>
      <c r="Y1425">
        <v>-0.14827119999999999</v>
      </c>
      <c r="Z1425">
        <v>-6.9995639999999998E-3</v>
      </c>
      <c r="AA1425">
        <v>0.98892190000000002</v>
      </c>
      <c r="AB1425">
        <v>34</v>
      </c>
      <c r="AC1425">
        <v>-9.1485000000000092</v>
      </c>
      <c r="AD1425">
        <v>-1.1037920928389999</v>
      </c>
      <c r="AE1425">
        <v>-1.55600000000001</v>
      </c>
      <c r="AF1425">
        <v>-1.4130370954495299</v>
      </c>
      <c r="AG1425">
        <v>-1.1037920928389999</v>
      </c>
      <c r="AH1425">
        <v>9.0406611071679102</v>
      </c>
      <c r="AI1425">
        <v>96.878210631579805</v>
      </c>
      <c r="AJ1425">
        <v>98.8833428305322</v>
      </c>
      <c r="AK1425">
        <v>9.2167556152905004</v>
      </c>
      <c r="AL1425">
        <v>84.530121230439306</v>
      </c>
      <c r="AM1425">
        <v>92.606663570549301</v>
      </c>
      <c r="AN1425">
        <v>1.00000005308688</v>
      </c>
    </row>
    <row r="1426" spans="1:40" x14ac:dyDescent="0.3">
      <c r="A1426" t="str">
        <f>"20200111150342541"</f>
        <v>20200111150342541</v>
      </c>
      <c r="B1426" t="str">
        <f>"1578726222529956"</f>
        <v>1578726222529956</v>
      </c>
      <c r="C1426" t="s">
        <v>40</v>
      </c>
      <c r="D1426">
        <v>5.701759</v>
      </c>
      <c r="E1426">
        <v>0.42559439999999998</v>
      </c>
      <c r="F1426" t="s">
        <v>41</v>
      </c>
      <c r="G1426">
        <v>-360.78739999999999</v>
      </c>
      <c r="H1426" s="1">
        <v>-3.9873139999999999E-6</v>
      </c>
      <c r="I1426">
        <v>139.81489999999999</v>
      </c>
      <c r="J1426">
        <v>-351.74560000000002</v>
      </c>
      <c r="K1426">
        <v>1.10379</v>
      </c>
      <c r="L1426">
        <v>141.38159999999999</v>
      </c>
      <c r="M1426">
        <v>-0.99984660000000003</v>
      </c>
      <c r="N1426">
        <v>0</v>
      </c>
      <c r="O1426">
        <v>-1.341815E-2</v>
      </c>
      <c r="P1426">
        <v>-0.99469450000000004</v>
      </c>
      <c r="Q1426">
        <v>8.4331420000000004E-2</v>
      </c>
      <c r="R1426">
        <v>-5.8917410000000003E-2</v>
      </c>
      <c r="S1426">
        <v>-3.0161129999999998</v>
      </c>
      <c r="T1426">
        <v>-0.35473749999999998</v>
      </c>
      <c r="U1426">
        <v>-0.50494380000000005</v>
      </c>
      <c r="V1426">
        <v>-4.555849E-2</v>
      </c>
      <c r="W1426">
        <v>9.5535079999999994E-2</v>
      </c>
      <c r="X1426">
        <v>0.99438300000000002</v>
      </c>
      <c r="Y1426">
        <v>-0.1509461</v>
      </c>
      <c r="Z1426">
        <v>-7.2240809999999898E-3</v>
      </c>
      <c r="AA1426">
        <v>0.98851560000000005</v>
      </c>
      <c r="AB1426">
        <v>34</v>
      </c>
      <c r="AC1426">
        <v>-9.0417999999999594</v>
      </c>
      <c r="AD1426">
        <v>-1.1037939873139999</v>
      </c>
      <c r="AE1426">
        <v>-1.56669999999999</v>
      </c>
      <c r="AF1426">
        <v>-1.42461518327231</v>
      </c>
      <c r="AG1426">
        <v>-1.1037939873139999</v>
      </c>
      <c r="AH1426">
        <v>8.9327670056605193</v>
      </c>
      <c r="AI1426">
        <v>96.957110736313894</v>
      </c>
      <c r="AJ1426">
        <v>99.061333914712193</v>
      </c>
      <c r="AK1426">
        <v>9.1127501866482596</v>
      </c>
      <c r="AL1426">
        <v>84.517882498566706</v>
      </c>
      <c r="AM1426">
        <v>92.623219694379003</v>
      </c>
      <c r="AN1426">
        <v>1.0000000391053401</v>
      </c>
    </row>
    <row r="1427" spans="1:40" x14ac:dyDescent="0.3">
      <c r="A1427" t="str">
        <f>"20200111150342564"</f>
        <v>20200111150342564</v>
      </c>
      <c r="B1427" t="str">
        <f>"1578726222560211"</f>
        <v>1578726222560211</v>
      </c>
      <c r="C1427" t="s">
        <v>40</v>
      </c>
      <c r="D1427">
        <v>5.6868840000000001</v>
      </c>
      <c r="E1427">
        <v>0.4240488</v>
      </c>
      <c r="F1427" t="s">
        <v>41</v>
      </c>
      <c r="G1427">
        <v>-363.2405</v>
      </c>
      <c r="H1427" s="1">
        <v>-3.0985979999999998E-6</v>
      </c>
      <c r="I1427">
        <v>138.39590000000001</v>
      </c>
      <c r="J1427">
        <v>-352.0949</v>
      </c>
      <c r="K1427">
        <v>1.10379</v>
      </c>
      <c r="L1427">
        <v>141.37690000000001</v>
      </c>
      <c r="M1427">
        <v>-0.99984680000000004</v>
      </c>
      <c r="N1427">
        <v>0</v>
      </c>
      <c r="O1427">
        <v>-1.341053E-2</v>
      </c>
      <c r="P1427">
        <v>-0.99479229999999996</v>
      </c>
      <c r="Q1427">
        <v>8.4065050000000002E-2</v>
      </c>
      <c r="R1427">
        <v>-5.7634499999999998E-2</v>
      </c>
      <c r="S1427">
        <v>-2.9943240000000002</v>
      </c>
      <c r="T1427">
        <v>-0.28753129999999999</v>
      </c>
      <c r="U1427">
        <v>-0.77772519999999901</v>
      </c>
      <c r="V1427">
        <v>-4.4282200000000001E-2</v>
      </c>
      <c r="W1427">
        <v>9.5271649999999999E-2</v>
      </c>
      <c r="X1427">
        <v>0.99446590000000001</v>
      </c>
      <c r="Y1427">
        <v>-0.237424</v>
      </c>
      <c r="Z1427">
        <v>-9.9253589999999999E-3</v>
      </c>
      <c r="AA1427">
        <v>0.97135539999999998</v>
      </c>
      <c r="AB1427">
        <v>34</v>
      </c>
      <c r="AC1427">
        <v>-11.1456</v>
      </c>
      <c r="AD1427">
        <v>-1.103793098598</v>
      </c>
      <c r="AE1427">
        <v>-2.9809999999999901</v>
      </c>
      <c r="AF1427">
        <v>-2.8055746889862099</v>
      </c>
      <c r="AG1427">
        <v>-1.103793098598</v>
      </c>
      <c r="AH1427">
        <v>11.083133301617099</v>
      </c>
      <c r="AI1427">
        <v>95.514634744754105</v>
      </c>
      <c r="AJ1427">
        <v>104.20539684249</v>
      </c>
      <c r="AK1427">
        <v>11.485880563605299</v>
      </c>
      <c r="AL1427">
        <v>84.533044945406303</v>
      </c>
      <c r="AM1427">
        <v>92.549618093528494</v>
      </c>
      <c r="AN1427">
        <v>1.00000001339668</v>
      </c>
    </row>
    <row r="1428" spans="1:40" x14ac:dyDescent="0.3">
      <c r="A1428" t="str">
        <f>"20200111150342588"</f>
        <v>20200111150342588</v>
      </c>
      <c r="B1428" t="str">
        <f>"1578726222579731"</f>
        <v>1578726222579731</v>
      </c>
      <c r="C1428" t="s">
        <v>40</v>
      </c>
      <c r="D1428">
        <v>5.6640030000000001</v>
      </c>
      <c r="E1428">
        <v>0.42438989999999999</v>
      </c>
      <c r="F1428" t="s">
        <v>41</v>
      </c>
      <c r="G1428">
        <v>-363.78019999999998</v>
      </c>
      <c r="H1428" s="1">
        <v>-2.8829010000000002E-6</v>
      </c>
      <c r="I1428">
        <v>138.3065</v>
      </c>
      <c r="J1428">
        <v>-352.47340000000003</v>
      </c>
      <c r="K1428">
        <v>1.1037889999999999</v>
      </c>
      <c r="L1428">
        <v>141.37180000000001</v>
      </c>
      <c r="M1428">
        <v>-0.99984680000000004</v>
      </c>
      <c r="N1428">
        <v>0</v>
      </c>
      <c r="O1428">
        <v>-1.3402549999999999E-2</v>
      </c>
      <c r="P1428">
        <v>-0.99493750000000003</v>
      </c>
      <c r="Q1428">
        <v>8.3633799999999994E-2</v>
      </c>
      <c r="R1428">
        <v>-5.5719280000000003E-2</v>
      </c>
      <c r="S1428">
        <v>-2.9939879999999999</v>
      </c>
      <c r="T1428">
        <v>-0.28281339999999999</v>
      </c>
      <c r="U1428">
        <v>-0.78666689999999995</v>
      </c>
      <c r="V1428">
        <v>-4.2373300000000003E-2</v>
      </c>
      <c r="W1428">
        <v>9.4843490000000003E-2</v>
      </c>
      <c r="X1428">
        <v>0.99458999999999997</v>
      </c>
      <c r="Y1428">
        <v>-0.2401934</v>
      </c>
      <c r="Z1428">
        <v>-9.8897380000000003E-3</v>
      </c>
      <c r="AA1428">
        <v>0.9706747</v>
      </c>
      <c r="AB1428">
        <v>34</v>
      </c>
      <c r="AC1428">
        <v>-11.3067999999999</v>
      </c>
      <c r="AD1428">
        <v>-1.1037918829009901</v>
      </c>
      <c r="AE1428">
        <v>-3.0653000000000001</v>
      </c>
      <c r="AF1428">
        <v>-2.88783808939078</v>
      </c>
      <c r="AG1428">
        <v>-1.1037918829009901</v>
      </c>
      <c r="AH1428">
        <v>11.2470234616898</v>
      </c>
      <c r="AI1428">
        <v>95.430068244642996</v>
      </c>
      <c r="AJ1428">
        <v>104.400445808534</v>
      </c>
      <c r="AK1428">
        <v>11.664197447707</v>
      </c>
      <c r="AL1428">
        <v>84.557688366296901</v>
      </c>
      <c r="AM1428">
        <v>92.439541880568498</v>
      </c>
      <c r="AN1428">
        <v>1.00000002612413</v>
      </c>
    </row>
    <row r="1429" spans="1:40" x14ac:dyDescent="0.3">
      <c r="A1429" t="str">
        <f>"20200111150342609"</f>
        <v>20200111150342609</v>
      </c>
      <c r="B1429" t="str">
        <f>"1578726222599255"</f>
        <v>1578726222599255</v>
      </c>
      <c r="C1429" t="s">
        <v>40</v>
      </c>
      <c r="D1429">
        <v>5.7235209999999999</v>
      </c>
      <c r="E1429">
        <v>0.42464770000000002</v>
      </c>
      <c r="F1429" t="s">
        <v>41</v>
      </c>
      <c r="G1429">
        <v>-363.94529999999997</v>
      </c>
      <c r="H1429" s="1">
        <v>-2.7965440000000002E-6</v>
      </c>
      <c r="I1429">
        <v>138.39410000000001</v>
      </c>
      <c r="J1429">
        <v>-352.78680000000003</v>
      </c>
      <c r="K1429">
        <v>1.1037870000000001</v>
      </c>
      <c r="L1429">
        <v>141.36760000000001</v>
      </c>
      <c r="M1429">
        <v>-0.99984689999999998</v>
      </c>
      <c r="N1429">
        <v>0</v>
      </c>
      <c r="O1429">
        <v>-1.339577E-2</v>
      </c>
      <c r="P1429">
        <v>-0.99504570000000003</v>
      </c>
      <c r="Q1429">
        <v>8.3982500000000002E-2</v>
      </c>
      <c r="R1429">
        <v>-5.320892E-2</v>
      </c>
      <c r="S1429">
        <v>-2.9959720000000001</v>
      </c>
      <c r="T1429">
        <v>-0.28826420000000003</v>
      </c>
      <c r="U1429">
        <v>-0.77764889999999998</v>
      </c>
      <c r="V1429">
        <v>-3.9868699999999903E-2</v>
      </c>
      <c r="W1429">
        <v>9.5194760000000003E-2</v>
      </c>
      <c r="X1429">
        <v>0.99465999999999999</v>
      </c>
      <c r="Y1429">
        <v>-0.23728189999999999</v>
      </c>
      <c r="Z1429">
        <v>-9.9399829999999995E-3</v>
      </c>
      <c r="AA1429">
        <v>0.97138999999999998</v>
      </c>
      <c r="AB1429">
        <v>34</v>
      </c>
      <c r="AC1429">
        <v>-11.158499999999901</v>
      </c>
      <c r="AD1429">
        <v>-1.103789796544</v>
      </c>
      <c r="AE1429">
        <v>-2.9735</v>
      </c>
      <c r="AF1429">
        <v>-2.7981821395117699</v>
      </c>
      <c r="AG1429">
        <v>-1.103789796544</v>
      </c>
      <c r="AH1429">
        <v>11.095958211954599</v>
      </c>
      <c r="AI1429">
        <v>95.509530439450103</v>
      </c>
      <c r="AJ1429">
        <v>104.153756987433</v>
      </c>
      <c r="AK1429">
        <v>11.496454403088</v>
      </c>
      <c r="AL1429">
        <v>84.537470653747803</v>
      </c>
      <c r="AM1429">
        <v>92.295343212194396</v>
      </c>
      <c r="AN1429">
        <v>1.00000003558557</v>
      </c>
    </row>
    <row r="1430" spans="1:40" x14ac:dyDescent="0.3">
      <c r="A1430" t="str">
        <f>"20200111150342630"</f>
        <v>20200111150342630</v>
      </c>
      <c r="B1430" t="str">
        <f>"1578726222619748"</f>
        <v>1578726222619748</v>
      </c>
      <c r="C1430" t="s">
        <v>40</v>
      </c>
      <c r="D1430">
        <v>5.7256689999999999</v>
      </c>
      <c r="E1430">
        <v>0.4245526</v>
      </c>
      <c r="F1430" t="s">
        <v>41</v>
      </c>
      <c r="G1430">
        <v>-364.14400000000001</v>
      </c>
      <c r="H1430" s="1">
        <v>-2.699572E-6</v>
      </c>
      <c r="I1430">
        <v>138.46039999999999</v>
      </c>
      <c r="J1430">
        <v>-353.11649999999997</v>
      </c>
      <c r="K1430">
        <v>1.103785</v>
      </c>
      <c r="L1430">
        <v>141.36330000000001</v>
      </c>
      <c r="M1430">
        <v>-0.99984700000000004</v>
      </c>
      <c r="N1430">
        <v>0</v>
      </c>
      <c r="O1430">
        <v>-1.338839E-2</v>
      </c>
      <c r="P1430">
        <v>-0.99518759999999995</v>
      </c>
      <c r="Q1430">
        <v>8.3320089999999999E-2</v>
      </c>
      <c r="R1430">
        <v>-5.157204E-2</v>
      </c>
      <c r="S1430">
        <v>-2.9984739999999999</v>
      </c>
      <c r="T1430">
        <v>-0.2914195</v>
      </c>
      <c r="U1430">
        <v>-0.7675476</v>
      </c>
      <c r="V1430">
        <v>-3.8237140000000003E-2</v>
      </c>
      <c r="W1430">
        <v>9.4535439999999998E-2</v>
      </c>
      <c r="X1430">
        <v>0.99478690000000003</v>
      </c>
      <c r="Y1430">
        <v>-0.23401549999999999</v>
      </c>
      <c r="Z1430">
        <v>-9.8891829999999993E-3</v>
      </c>
      <c r="AA1430">
        <v>0.97218260000000001</v>
      </c>
      <c r="AB1430">
        <v>34</v>
      </c>
      <c r="AC1430">
        <v>-11.0275</v>
      </c>
      <c r="AD1430">
        <v>-1.103787699572</v>
      </c>
      <c r="AE1430">
        <v>-2.90290000000001</v>
      </c>
      <c r="AF1430">
        <v>-2.7294165428553998</v>
      </c>
      <c r="AG1430">
        <v>-1.103787699572</v>
      </c>
      <c r="AH1430">
        <v>10.9626638488272</v>
      </c>
      <c r="AI1430">
        <v>95.580280765089498</v>
      </c>
      <c r="AJ1430">
        <v>103.980894128735</v>
      </c>
      <c r="AK1430">
        <v>11.3511259623229</v>
      </c>
      <c r="AL1430">
        <v>84.575417863159899</v>
      </c>
      <c r="AM1430">
        <v>92.201223958276202</v>
      </c>
      <c r="AN1430">
        <v>1.0000000023514899</v>
      </c>
    </row>
    <row r="1431" spans="1:40" x14ac:dyDescent="0.3">
      <c r="A1431" t="str">
        <f>"20200111150342652"</f>
        <v>20200111150342652</v>
      </c>
      <c r="B1431" t="str">
        <f>"1578726222650004"</f>
        <v>1578726222650004</v>
      </c>
      <c r="C1431" t="s">
        <v>40</v>
      </c>
      <c r="D1431">
        <v>5.7452769999999997</v>
      </c>
      <c r="E1431">
        <v>0.42448069999999999</v>
      </c>
      <c r="F1431" t="s">
        <v>41</v>
      </c>
      <c r="G1431">
        <v>-364.45049999999998</v>
      </c>
      <c r="H1431" s="1">
        <v>-2.5648770000000002E-6</v>
      </c>
      <c r="I1431">
        <v>138.47839999999999</v>
      </c>
      <c r="J1431">
        <v>-353.45859999999999</v>
      </c>
      <c r="K1431">
        <v>1.1037779999999999</v>
      </c>
      <c r="L1431">
        <v>141.3587</v>
      </c>
      <c r="M1431">
        <v>-0.99984709999999999</v>
      </c>
      <c r="N1431">
        <v>0</v>
      </c>
      <c r="O1431">
        <v>-1.338101E-2</v>
      </c>
      <c r="P1431">
        <v>-0.99526610000000004</v>
      </c>
      <c r="Q1431">
        <v>8.3008139999999994E-2</v>
      </c>
      <c r="R1431">
        <v>-5.0550419999999999E-2</v>
      </c>
      <c r="S1431">
        <v>-2.9994200000000002</v>
      </c>
      <c r="T1431">
        <v>-0.292108799999999</v>
      </c>
      <c r="U1431">
        <v>-0.76344299999999998</v>
      </c>
      <c r="V1431">
        <v>-3.7222150000000002E-2</v>
      </c>
      <c r="W1431">
        <v>9.4226389999999993E-2</v>
      </c>
      <c r="X1431">
        <v>0.99485469999999998</v>
      </c>
      <c r="Y1431">
        <v>-0.2327012</v>
      </c>
      <c r="Z1431">
        <v>-9.8489389999999993E-3</v>
      </c>
      <c r="AA1431">
        <v>0.97249839999999999</v>
      </c>
      <c r="AB1431">
        <v>34</v>
      </c>
      <c r="AC1431">
        <v>-10.9918999999999</v>
      </c>
      <c r="AD1431">
        <v>-1.103780564877</v>
      </c>
      <c r="AE1431">
        <v>-2.8803000000000001</v>
      </c>
      <c r="AF1431">
        <v>-2.70740353297206</v>
      </c>
      <c r="AG1431">
        <v>-1.103780564877</v>
      </c>
      <c r="AH1431">
        <v>10.9263605881921</v>
      </c>
      <c r="AI1431">
        <v>95.600213538428207</v>
      </c>
      <c r="AJ1431">
        <v>103.916811972294</v>
      </c>
      <c r="AK1431">
        <v>11.310778979758499</v>
      </c>
      <c r="AL1431">
        <v>84.593204440497502</v>
      </c>
      <c r="AM1431">
        <v>92.142702637133894</v>
      </c>
      <c r="AN1431">
        <v>0.99999998756757202</v>
      </c>
    </row>
    <row r="1432" spans="1:40" x14ac:dyDescent="0.3">
      <c r="A1432" t="str">
        <f>"20200111150342676"</f>
        <v>20200111150342676</v>
      </c>
      <c r="B1432" t="str">
        <f>"1578726222669523"</f>
        <v>1578726222669523</v>
      </c>
      <c r="C1432" t="s">
        <v>40</v>
      </c>
      <c r="D1432">
        <v>5.7259710000000004</v>
      </c>
      <c r="E1432">
        <v>0.42424269999999997</v>
      </c>
      <c r="F1432" t="s">
        <v>41</v>
      </c>
      <c r="G1432">
        <v>-364.62220000000002</v>
      </c>
      <c r="H1432" s="1">
        <v>-2.483125E-6</v>
      </c>
      <c r="I1432">
        <v>138.5239</v>
      </c>
      <c r="J1432">
        <v>-353.82069999999999</v>
      </c>
      <c r="K1432">
        <v>1.103777</v>
      </c>
      <c r="L1432">
        <v>141.35390000000001</v>
      </c>
      <c r="M1432">
        <v>-0.99984720000000005</v>
      </c>
      <c r="N1432">
        <v>0</v>
      </c>
      <c r="O1432">
        <v>-1.337315E-2</v>
      </c>
      <c r="P1432">
        <v>-0.99522200000000005</v>
      </c>
      <c r="Q1432">
        <v>8.3793889999999996E-2</v>
      </c>
      <c r="R1432">
        <v>-5.0119770000000001E-2</v>
      </c>
      <c r="S1432">
        <v>-3.000305</v>
      </c>
      <c r="T1432">
        <v>-0.29665209999999997</v>
      </c>
      <c r="U1432">
        <v>-0.76185609999999904</v>
      </c>
      <c r="V1432">
        <v>-3.679955E-2</v>
      </c>
      <c r="W1432">
        <v>9.5013429999999996E-2</v>
      </c>
      <c r="X1432">
        <v>0.9947956</v>
      </c>
      <c r="Y1432">
        <v>-0.23212959999999999</v>
      </c>
      <c r="Z1432">
        <v>-9.9722189999999992E-3</v>
      </c>
      <c r="AA1432">
        <v>0.97263379999999999</v>
      </c>
      <c r="AB1432">
        <v>34</v>
      </c>
      <c r="AC1432">
        <v>-10.801500000000001</v>
      </c>
      <c r="AD1432">
        <v>-1.1037794831250001</v>
      </c>
      <c r="AE1432">
        <v>-2.8300000000000098</v>
      </c>
      <c r="AF1432">
        <v>-2.6593021674311101</v>
      </c>
      <c r="AG1432">
        <v>-1.1037794831250001</v>
      </c>
      <c r="AH1432">
        <v>10.733499481328799</v>
      </c>
      <c r="AI1432">
        <v>95.700215133277197</v>
      </c>
      <c r="AJ1432">
        <v>103.91523777417299</v>
      </c>
      <c r="AK1432">
        <v>11.1129756717432</v>
      </c>
      <c r="AL1432">
        <v>84.547907330581197</v>
      </c>
      <c r="AM1432">
        <v>92.118523588238403</v>
      </c>
      <c r="AN1432">
        <v>1.0000000222699601</v>
      </c>
    </row>
    <row r="1433" spans="1:40" x14ac:dyDescent="0.3">
      <c r="A1433" t="str">
        <f>"20200111150342697"</f>
        <v>20200111150342697</v>
      </c>
      <c r="B1433" t="str">
        <f>"1578726222690019"</f>
        <v>1578726222690019</v>
      </c>
      <c r="C1433" t="s">
        <v>40</v>
      </c>
      <c r="D1433">
        <v>5.7482930000000003</v>
      </c>
      <c r="E1433">
        <v>0.4239134</v>
      </c>
      <c r="F1433" t="s">
        <v>41</v>
      </c>
      <c r="G1433">
        <v>-365.16559999999998</v>
      </c>
      <c r="H1433" s="1">
        <v>-2.259862E-6</v>
      </c>
      <c r="I1433">
        <v>138.4683</v>
      </c>
      <c r="J1433">
        <v>-354.15309999999999</v>
      </c>
      <c r="K1433">
        <v>1.103785</v>
      </c>
      <c r="L1433">
        <v>141.3494</v>
      </c>
      <c r="M1433">
        <v>-0.99984720000000005</v>
      </c>
      <c r="N1433">
        <v>0</v>
      </c>
      <c r="O1433">
        <v>-1.336613E-2</v>
      </c>
      <c r="P1433">
        <v>-0.99517659999999997</v>
      </c>
      <c r="Q1433">
        <v>8.4469299999999997E-2</v>
      </c>
      <c r="R1433">
        <v>-4.9886239999999998E-2</v>
      </c>
      <c r="S1433">
        <v>-3.0005489999999999</v>
      </c>
      <c r="T1433">
        <v>-0.29193390000000002</v>
      </c>
      <c r="U1433">
        <v>-0.76316830000000002</v>
      </c>
      <c r="V1433">
        <v>-3.6573750000000002E-2</v>
      </c>
      <c r="W1433">
        <v>9.5689850000000007E-2</v>
      </c>
      <c r="X1433">
        <v>0.99473909999999999</v>
      </c>
      <c r="Y1433">
        <v>-0.232547</v>
      </c>
      <c r="Z1433">
        <v>-9.8336580000000003E-3</v>
      </c>
      <c r="AA1433">
        <v>0.97253540000000005</v>
      </c>
      <c r="AB1433">
        <v>34</v>
      </c>
      <c r="AC1433">
        <v>-11.0124999999999</v>
      </c>
      <c r="AD1433">
        <v>-1.103787259862</v>
      </c>
      <c r="AE1433">
        <v>-2.8811</v>
      </c>
      <c r="AF1433">
        <v>-2.70817494537628</v>
      </c>
      <c r="AG1433">
        <v>-1.103787259862</v>
      </c>
      <c r="AH1433">
        <v>10.9470968850943</v>
      </c>
      <c r="AI1433">
        <v>95.590223283021601</v>
      </c>
      <c r="AJ1433">
        <v>103.89527696097301</v>
      </c>
      <c r="AK1433">
        <v>11.3309967814592</v>
      </c>
      <c r="AL1433">
        <v>84.508973978004207</v>
      </c>
      <c r="AM1433">
        <v>92.105655665256805</v>
      </c>
      <c r="AN1433">
        <v>1.0000000318254401</v>
      </c>
    </row>
    <row r="1434" spans="1:40" x14ac:dyDescent="0.3">
      <c r="A1434" t="str">
        <f>"20200111150342719"</f>
        <v>20200111150342719</v>
      </c>
      <c r="B1434" t="str">
        <f>"1578726222709539"</f>
        <v>1578726222709539</v>
      </c>
      <c r="C1434" t="s">
        <v>40</v>
      </c>
      <c r="D1434">
        <v>5.7120360000000003</v>
      </c>
      <c r="E1434">
        <v>0.42376039999999998</v>
      </c>
      <c r="F1434" t="s">
        <v>41</v>
      </c>
      <c r="G1434">
        <v>-365.6345</v>
      </c>
      <c r="H1434" s="1">
        <v>-2.0671070000000001E-6</v>
      </c>
      <c r="I1434">
        <v>138.4211</v>
      </c>
      <c r="J1434">
        <v>-354.4862</v>
      </c>
      <c r="K1434">
        <v>1.1037870000000001</v>
      </c>
      <c r="L1434">
        <v>141.345</v>
      </c>
      <c r="M1434">
        <v>-0.99984729999999999</v>
      </c>
      <c r="N1434">
        <v>0</v>
      </c>
      <c r="O1434">
        <v>-1.3358750000000001E-2</v>
      </c>
      <c r="P1434">
        <v>-0.99512540000000005</v>
      </c>
      <c r="Q1434">
        <v>8.5432949999999994E-2</v>
      </c>
      <c r="R1434">
        <v>-4.9265400000000001E-2</v>
      </c>
      <c r="S1434">
        <v>-3.0006710000000001</v>
      </c>
      <c r="T1434">
        <v>-0.28847709999999999</v>
      </c>
      <c r="U1434">
        <v>-0.765304599999999</v>
      </c>
      <c r="V1434">
        <v>-3.5960859999999997E-2</v>
      </c>
      <c r="W1434">
        <v>9.6654290000000004E-2</v>
      </c>
      <c r="X1434">
        <v>0.9946682</v>
      </c>
      <c r="Y1434">
        <v>-0.23321500000000001</v>
      </c>
      <c r="Z1434">
        <v>-9.7487500000000005E-3</v>
      </c>
      <c r="AA1434">
        <v>0.97237629999999997</v>
      </c>
      <c r="AB1434">
        <v>34</v>
      </c>
      <c r="AC1434">
        <v>-11.148300000000001</v>
      </c>
      <c r="AD1434">
        <v>-1.1037890671070001</v>
      </c>
      <c r="AE1434">
        <v>-2.9239000000000002</v>
      </c>
      <c r="AF1434">
        <v>-2.74948401340888</v>
      </c>
      <c r="AG1434">
        <v>-1.1037890671070001</v>
      </c>
      <c r="AH1434">
        <v>11.084698458591999</v>
      </c>
      <c r="AI1434">
        <v>95.520429003050396</v>
      </c>
      <c r="AJ1434">
        <v>103.930673372225</v>
      </c>
      <c r="AK1434">
        <v>11.473820312457701</v>
      </c>
      <c r="AL1434">
        <v>84.453458304551305</v>
      </c>
      <c r="AM1434">
        <v>92.070548250144995</v>
      </c>
      <c r="AN1434">
        <v>1.0000000316592901</v>
      </c>
    </row>
    <row r="1435" spans="1:40" x14ac:dyDescent="0.3">
      <c r="A1435" t="str">
        <f>"20200111150342741"</f>
        <v>20200111150342741</v>
      </c>
      <c r="B1435" t="str">
        <f>"1578726222730036"</f>
        <v>1578726222730036</v>
      </c>
      <c r="C1435" t="s">
        <v>40</v>
      </c>
      <c r="D1435">
        <v>5.9170759999999998</v>
      </c>
      <c r="E1435">
        <v>0.42372860000000001</v>
      </c>
      <c r="F1435" t="s">
        <v>41</v>
      </c>
      <c r="G1435">
        <v>-366.08909999999997</v>
      </c>
      <c r="H1435" s="1">
        <v>-1.8779409999999999E-6</v>
      </c>
      <c r="I1435">
        <v>138.38800000000001</v>
      </c>
      <c r="J1435">
        <v>-354.83</v>
      </c>
      <c r="K1435">
        <v>1.103788</v>
      </c>
      <c r="L1435">
        <v>141.34039999999999</v>
      </c>
      <c r="M1435">
        <v>-0.99984740000000005</v>
      </c>
      <c r="N1435">
        <v>0</v>
      </c>
      <c r="O1435">
        <v>-1.335137E-2</v>
      </c>
      <c r="P1435">
        <v>-0.99512089999999997</v>
      </c>
      <c r="Q1435">
        <v>8.5860450000000005E-2</v>
      </c>
      <c r="R1435">
        <v>-4.8608730000000003E-2</v>
      </c>
      <c r="S1435">
        <v>-3.0013429999999999</v>
      </c>
      <c r="T1435">
        <v>-0.28552100000000002</v>
      </c>
      <c r="U1435">
        <v>-0.76486209999999999</v>
      </c>
      <c r="V1435">
        <v>-3.5311479999999999E-2</v>
      </c>
      <c r="W1435">
        <v>9.7083779999999995E-2</v>
      </c>
      <c r="X1435">
        <v>0.99464960000000002</v>
      </c>
      <c r="Y1435">
        <v>-0.23305580000000001</v>
      </c>
      <c r="Z1435">
        <v>-9.6406229999999992E-3</v>
      </c>
      <c r="AA1435">
        <v>0.97241560000000005</v>
      </c>
      <c r="AB1435">
        <v>34</v>
      </c>
      <c r="AC1435">
        <v>-11.259099999999901</v>
      </c>
      <c r="AD1435">
        <v>-1.103789877941</v>
      </c>
      <c r="AE1435">
        <v>-2.9523999999999799</v>
      </c>
      <c r="AF1435">
        <v>-2.77683194643352</v>
      </c>
      <c r="AG1435">
        <v>-1.103789877941</v>
      </c>
      <c r="AH1435">
        <v>11.196828900720799</v>
      </c>
      <c r="AI1435">
        <v>95.465537933482196</v>
      </c>
      <c r="AJ1435">
        <v>103.928430538182</v>
      </c>
      <c r="AK1435">
        <v>11.588706795212101</v>
      </c>
      <c r="AL1435">
        <v>84.428733854878402</v>
      </c>
      <c r="AM1435">
        <v>92.033228017324902</v>
      </c>
      <c r="AN1435">
        <v>0.99999999386951899</v>
      </c>
    </row>
    <row r="1436" spans="1:40" x14ac:dyDescent="0.3">
      <c r="A1436" t="str">
        <f>"20200111150342766"</f>
        <v>20200111150342766</v>
      </c>
      <c r="B1436" t="str">
        <f>"1578726222759315"</f>
        <v>1578726222759315</v>
      </c>
      <c r="C1436" t="s">
        <v>40</v>
      </c>
      <c r="D1436">
        <v>5.6610610000000001</v>
      </c>
      <c r="E1436">
        <v>0.45363940000000003</v>
      </c>
      <c r="F1436" t="s">
        <v>41</v>
      </c>
      <c r="G1436">
        <v>-366.57380000000001</v>
      </c>
      <c r="H1436" s="1">
        <v>-1.6759290000000001E-6</v>
      </c>
      <c r="I1436">
        <v>138.3546</v>
      </c>
      <c r="J1436">
        <v>-355.19490000000002</v>
      </c>
      <c r="K1436">
        <v>1.103799</v>
      </c>
      <c r="L1436">
        <v>141.3355</v>
      </c>
      <c r="M1436">
        <v>-0.99984740000000005</v>
      </c>
      <c r="N1436">
        <v>0</v>
      </c>
      <c r="O1436">
        <v>-1.3343509999999999E-2</v>
      </c>
      <c r="P1436">
        <v>-0.99507440000000003</v>
      </c>
      <c r="Q1436">
        <v>8.6430759999999995E-2</v>
      </c>
      <c r="R1436">
        <v>-4.8549849999999999E-2</v>
      </c>
      <c r="S1436">
        <v>-3.0018009999999999</v>
      </c>
      <c r="T1436">
        <v>-0.2821379</v>
      </c>
      <c r="U1436">
        <v>-0.76318359999999996</v>
      </c>
      <c r="V1436">
        <v>-3.5261599999999997E-2</v>
      </c>
      <c r="W1436">
        <v>9.7655169999999999E-2</v>
      </c>
      <c r="X1436">
        <v>0.99459549999999997</v>
      </c>
      <c r="Y1436">
        <v>-0.23254140000000001</v>
      </c>
      <c r="Z1436">
        <v>-9.5030900000000005E-3</v>
      </c>
      <c r="AA1436">
        <v>0.97254010000000002</v>
      </c>
      <c r="AB1436">
        <v>34</v>
      </c>
      <c r="AC1436">
        <v>-11.3788999999999</v>
      </c>
      <c r="AD1436">
        <v>-1.103800675929</v>
      </c>
      <c r="AE1436">
        <v>-2.9808999999999899</v>
      </c>
      <c r="AF1436">
        <v>-2.8040989336713298</v>
      </c>
      <c r="AG1436">
        <v>-1.103800675929</v>
      </c>
      <c r="AH1436">
        <v>11.3180041897528</v>
      </c>
      <c r="AI1436">
        <v>95.407731753916295</v>
      </c>
      <c r="AJ1436">
        <v>103.915149513348</v>
      </c>
      <c r="AK1436">
        <v>11.7123253712173</v>
      </c>
      <c r="AL1436">
        <v>84.395839689274794</v>
      </c>
      <c r="AM1436">
        <v>92.0304686891171</v>
      </c>
      <c r="AN1436">
        <v>1.00000006064126</v>
      </c>
    </row>
    <row r="1437" spans="1:40" x14ac:dyDescent="0.3">
      <c r="A1437" t="str">
        <f>"20200111150342787"</f>
        <v>20200111150342787</v>
      </c>
      <c r="B1437" t="str">
        <f>"1578726222779811"</f>
        <v>1578726222779811</v>
      </c>
      <c r="C1437" t="s">
        <v>40</v>
      </c>
      <c r="D1437">
        <v>5.7041209999999998</v>
      </c>
      <c r="E1437">
        <v>0.45863470000000001</v>
      </c>
      <c r="F1437" t="s">
        <v>41</v>
      </c>
      <c r="G1437">
        <v>-364.83109999999999</v>
      </c>
      <c r="H1437" s="1">
        <v>-2.2102710000000001E-6</v>
      </c>
      <c r="I1437">
        <v>139.6557</v>
      </c>
      <c r="J1437">
        <v>-355.53399999999999</v>
      </c>
      <c r="K1437">
        <v>1.103801</v>
      </c>
      <c r="L1437">
        <v>141.33099999999999</v>
      </c>
      <c r="M1437">
        <v>-0.9998475</v>
      </c>
      <c r="N1437">
        <v>0</v>
      </c>
      <c r="O1437">
        <v>-1.333637E-2</v>
      </c>
      <c r="P1437">
        <v>-0.9950272</v>
      </c>
      <c r="Q1437">
        <v>8.6823750000000005E-2</v>
      </c>
      <c r="R1437">
        <v>-4.8811670000000001E-2</v>
      </c>
      <c r="S1437">
        <v>-3.0192570000000001</v>
      </c>
      <c r="T1437">
        <v>-0.34585290000000002</v>
      </c>
      <c r="U1437">
        <v>-0.52630619999999995</v>
      </c>
      <c r="V1437">
        <v>-3.5530539999999999E-2</v>
      </c>
      <c r="W1437">
        <v>9.8049510000000006E-2</v>
      </c>
      <c r="X1437">
        <v>0.99454710000000002</v>
      </c>
      <c r="Y1437">
        <v>-0.15765709999999999</v>
      </c>
      <c r="Z1437">
        <v>-7.4225659999999898E-3</v>
      </c>
      <c r="AA1437">
        <v>0.98746599999999995</v>
      </c>
      <c r="AB1437">
        <v>34</v>
      </c>
      <c r="AC1437">
        <v>-9.2971000000000004</v>
      </c>
      <c r="AD1437">
        <v>-1.103803210271</v>
      </c>
      <c r="AE1437">
        <v>-1.67530000000002</v>
      </c>
      <c r="AF1437">
        <v>-1.53026172164566</v>
      </c>
      <c r="AG1437">
        <v>-1.103803210271</v>
      </c>
      <c r="AH1437">
        <v>9.1931084551495204</v>
      </c>
      <c r="AI1437">
        <v>96.754582705791407</v>
      </c>
      <c r="AJ1437">
        <v>99.450660564786205</v>
      </c>
      <c r="AK1437">
        <v>9.3847389698318295</v>
      </c>
      <c r="AL1437">
        <v>84.373136546470406</v>
      </c>
      <c r="AM1437">
        <v>92.046041431589302</v>
      </c>
      <c r="AN1437">
        <v>1.00000002990117</v>
      </c>
    </row>
    <row r="1438" spans="1:40" x14ac:dyDescent="0.3">
      <c r="A1438" t="str">
        <f>"20200111150342809"</f>
        <v>20200111150342809</v>
      </c>
      <c r="B1438" t="str">
        <f>"1578726222799331"</f>
        <v>1578726222799331</v>
      </c>
      <c r="C1438" t="s">
        <v>40</v>
      </c>
      <c r="D1438">
        <v>5.6935969999999996</v>
      </c>
      <c r="E1438">
        <v>0.46031369999999999</v>
      </c>
      <c r="F1438" t="s">
        <v>41</v>
      </c>
      <c r="G1438">
        <v>-364.8107</v>
      </c>
      <c r="H1438" s="1">
        <v>-2.2665269999999999E-6</v>
      </c>
      <c r="I1438">
        <v>139.83439999999999</v>
      </c>
      <c r="J1438">
        <v>-355.86309999999997</v>
      </c>
      <c r="K1438">
        <v>1.103801</v>
      </c>
      <c r="L1438">
        <v>141.32660000000001</v>
      </c>
      <c r="M1438">
        <v>-0.99984759999999995</v>
      </c>
      <c r="N1438">
        <v>0</v>
      </c>
      <c r="O1438">
        <v>-1.332946E-2</v>
      </c>
      <c r="P1438">
        <v>-0.99500049999999995</v>
      </c>
      <c r="Q1438">
        <v>8.6710700000000002E-2</v>
      </c>
      <c r="R1438">
        <v>-4.9552720000000001E-2</v>
      </c>
      <c r="S1438">
        <v>-3.0224299999999999</v>
      </c>
      <c r="T1438">
        <v>-0.35963119999999998</v>
      </c>
      <c r="U1438">
        <v>-0.48759459999999999</v>
      </c>
      <c r="V1438">
        <v>-3.6279279999999997E-2</v>
      </c>
      <c r="W1438">
        <v>9.7937999999999997E-2</v>
      </c>
      <c r="X1438">
        <v>0.99453100000000005</v>
      </c>
      <c r="Y1438">
        <v>-0.1451857</v>
      </c>
      <c r="Z1438">
        <v>-6.9825E-3</v>
      </c>
      <c r="AA1438">
        <v>0.98937980000000003</v>
      </c>
      <c r="AB1438">
        <v>34</v>
      </c>
      <c r="AC1438">
        <v>-8.9476000000000209</v>
      </c>
      <c r="AD1438">
        <v>-1.1038032665269999</v>
      </c>
      <c r="AE1438">
        <v>-1.49220000000002</v>
      </c>
      <c r="AF1438">
        <v>-1.3527632883918901</v>
      </c>
      <c r="AG1438">
        <v>-1.1038032665269999</v>
      </c>
      <c r="AH1438">
        <v>8.8358670286590701</v>
      </c>
      <c r="AI1438">
        <v>97.039488593624498</v>
      </c>
      <c r="AJ1438">
        <v>98.7043441989683</v>
      </c>
      <c r="AK1438">
        <v>9.0067139575852604</v>
      </c>
      <c r="AL1438">
        <v>84.379556182382004</v>
      </c>
      <c r="AM1438">
        <v>92.089153925278097</v>
      </c>
      <c r="AN1438">
        <v>0.99999997398115803</v>
      </c>
    </row>
    <row r="1439" spans="1:40" x14ac:dyDescent="0.3">
      <c r="A1439" t="str">
        <f>"20200111150342832"</f>
        <v>20200111150342832</v>
      </c>
      <c r="B1439" t="str">
        <f>"1578726222819828"</f>
        <v>1578726222819828</v>
      </c>
      <c r="C1439" t="s">
        <v>40</v>
      </c>
      <c r="D1439">
        <v>5.6899660000000001</v>
      </c>
      <c r="E1439">
        <v>0.46067920000000001</v>
      </c>
      <c r="F1439" t="s">
        <v>41</v>
      </c>
      <c r="G1439">
        <v>-365.63499999999999</v>
      </c>
      <c r="H1439" s="1">
        <v>-1.9003879999999999E-6</v>
      </c>
      <c r="I1439">
        <v>139.78729999999999</v>
      </c>
      <c r="J1439">
        <v>-356.2149</v>
      </c>
      <c r="K1439">
        <v>1.103801</v>
      </c>
      <c r="L1439">
        <v>141.3219</v>
      </c>
      <c r="M1439">
        <v>-0.99984770000000001</v>
      </c>
      <c r="N1439">
        <v>0</v>
      </c>
      <c r="O1439">
        <v>-1.3321960000000001E-2</v>
      </c>
      <c r="P1439">
        <v>-0.99500520000000003</v>
      </c>
      <c r="Q1439">
        <v>8.6206939999999996E-2</v>
      </c>
      <c r="R1439">
        <v>-5.0331330000000001E-2</v>
      </c>
      <c r="S1439">
        <v>-3.021118</v>
      </c>
      <c r="T1439">
        <v>-0.34125699999999998</v>
      </c>
      <c r="U1439">
        <v>-0.47589110000000001</v>
      </c>
      <c r="V1439">
        <v>-3.7065000000000001E-2</v>
      </c>
      <c r="W1439">
        <v>9.7436880000000003E-2</v>
      </c>
      <c r="X1439">
        <v>0.99455130000000003</v>
      </c>
      <c r="Y1439">
        <v>-0.1416326</v>
      </c>
      <c r="Z1439">
        <v>-6.434843E-3</v>
      </c>
      <c r="AA1439">
        <v>0.98989839999999996</v>
      </c>
      <c r="AB1439">
        <v>34</v>
      </c>
      <c r="AC1439">
        <v>-9.4200999999999908</v>
      </c>
      <c r="AD1439">
        <v>-1.1038029003880001</v>
      </c>
      <c r="AE1439">
        <v>-1.53460000000001</v>
      </c>
      <c r="AF1439">
        <v>-1.3903653668712199</v>
      </c>
      <c r="AG1439">
        <v>-1.1038029003880001</v>
      </c>
      <c r="AH1439">
        <v>9.3151185713256908</v>
      </c>
      <c r="AI1439">
        <v>96.684432889390706</v>
      </c>
      <c r="AJ1439">
        <v>98.489239679524005</v>
      </c>
      <c r="AK1439">
        <v>9.4827702014842004</v>
      </c>
      <c r="AL1439">
        <v>84.408406511067994</v>
      </c>
      <c r="AM1439">
        <v>92.134314934432496</v>
      </c>
      <c r="AN1439">
        <v>1.0000000240704101</v>
      </c>
    </row>
    <row r="1440" spans="1:40" x14ac:dyDescent="0.3">
      <c r="A1440" t="str">
        <f>"20200111150342853"</f>
        <v>20200111150342853</v>
      </c>
      <c r="B1440" t="str">
        <f>"1578726222850083"</f>
        <v>1578726222850083</v>
      </c>
      <c r="C1440" t="s">
        <v>40</v>
      </c>
      <c r="D1440">
        <v>5.7400270000000004</v>
      </c>
      <c r="E1440">
        <v>0.46120830000000002</v>
      </c>
      <c r="F1440" t="s">
        <v>41</v>
      </c>
      <c r="G1440">
        <v>-366.44099999999997</v>
      </c>
      <c r="H1440" s="1">
        <v>-1.5348399999999999E-6</v>
      </c>
      <c r="I1440">
        <v>139.71299999999999</v>
      </c>
      <c r="J1440">
        <v>-356.55840000000001</v>
      </c>
      <c r="K1440">
        <v>1.103801</v>
      </c>
      <c r="L1440">
        <v>141.31739999999999</v>
      </c>
      <c r="M1440">
        <v>-0.99984779999999995</v>
      </c>
      <c r="N1440">
        <v>0</v>
      </c>
      <c r="O1440">
        <v>-1.3314579999999999E-2</v>
      </c>
      <c r="P1440">
        <v>-0.99504749999999997</v>
      </c>
      <c r="Q1440">
        <v>8.5181270000000003E-2</v>
      </c>
      <c r="R1440">
        <v>-5.1232649999999998E-2</v>
      </c>
      <c r="S1440">
        <v>-3.0192570000000001</v>
      </c>
      <c r="T1440">
        <v>-0.32589750000000001</v>
      </c>
      <c r="U1440">
        <v>-0.47500609999999999</v>
      </c>
      <c r="V1440">
        <v>-3.7973630000000001E-2</v>
      </c>
      <c r="W1440">
        <v>9.6413650000000004E-2</v>
      </c>
      <c r="X1440">
        <v>0.99461670000000002</v>
      </c>
      <c r="Y1440">
        <v>-0.14152020000000001</v>
      </c>
      <c r="Z1440">
        <v>-6.1455320000000004E-3</v>
      </c>
      <c r="AA1440">
        <v>0.98991629999999997</v>
      </c>
      <c r="AB1440">
        <v>34</v>
      </c>
      <c r="AC1440">
        <v>-9.8825999999999592</v>
      </c>
      <c r="AD1440">
        <v>-1.10380253484</v>
      </c>
      <c r="AE1440">
        <v>-1.6043999999999901</v>
      </c>
      <c r="AF1440">
        <v>-1.4549819451647501</v>
      </c>
      <c r="AG1440">
        <v>-1.10380253484</v>
      </c>
      <c r="AH1440">
        <v>9.78416410854744</v>
      </c>
      <c r="AI1440">
        <v>96.367187983594505</v>
      </c>
      <c r="AJ1440">
        <v>98.458345942124595</v>
      </c>
      <c r="AK1440">
        <v>9.9531512497129508</v>
      </c>
      <c r="AL1440">
        <v>84.467310391898494</v>
      </c>
      <c r="AM1440">
        <v>92.186442783780194</v>
      </c>
      <c r="AN1440">
        <v>0.99999998420029401</v>
      </c>
    </row>
    <row r="1441" spans="1:40" x14ac:dyDescent="0.3">
      <c r="A1441" t="str">
        <f>"20200111150342877"</f>
        <v>20200111150342877</v>
      </c>
      <c r="B1441" t="str">
        <f>"1578726222869603"</f>
        <v>1578726222869603</v>
      </c>
      <c r="C1441" t="s">
        <v>40</v>
      </c>
      <c r="D1441">
        <v>5.6885979999999998</v>
      </c>
      <c r="E1441">
        <v>0.46137919999999999</v>
      </c>
      <c r="F1441" t="s">
        <v>41</v>
      </c>
      <c r="G1441">
        <v>-366.62380000000002</v>
      </c>
      <c r="H1441" s="1">
        <v>-1.463259E-6</v>
      </c>
      <c r="I1441">
        <v>139.73869999999999</v>
      </c>
      <c r="J1441">
        <v>-356.91359999999997</v>
      </c>
      <c r="K1441">
        <v>1.103801</v>
      </c>
      <c r="L1441">
        <v>141.3126</v>
      </c>
      <c r="M1441">
        <v>-0.99984790000000001</v>
      </c>
      <c r="N1441">
        <v>0</v>
      </c>
      <c r="O1441">
        <v>-1.3307319999999999E-2</v>
      </c>
      <c r="P1441">
        <v>-0.99497809999999998</v>
      </c>
      <c r="Q1441">
        <v>8.5027459999999999E-2</v>
      </c>
      <c r="R1441">
        <v>-5.281487E-2</v>
      </c>
      <c r="S1441">
        <v>-3.0188899999999999</v>
      </c>
      <c r="T1441">
        <v>-0.3310633</v>
      </c>
      <c r="U1441">
        <v>-0.47346500000000002</v>
      </c>
      <c r="V1441">
        <v>-3.956345E-2</v>
      </c>
      <c r="W1441">
        <v>9.6260819999999997E-2</v>
      </c>
      <c r="X1441">
        <v>0.9945695</v>
      </c>
      <c r="Y1441">
        <v>-0.14103199999999999</v>
      </c>
      <c r="Z1441">
        <v>-6.2176260000000004E-3</v>
      </c>
      <c r="AA1441">
        <v>0.98998549999999996</v>
      </c>
      <c r="AB1441">
        <v>35</v>
      </c>
      <c r="AC1441">
        <v>-9.7102000000000395</v>
      </c>
      <c r="AD1441">
        <v>-1.103802463259</v>
      </c>
      <c r="AE1441">
        <v>-1.5739000000000001</v>
      </c>
      <c r="AF1441">
        <v>-1.4265735347681801</v>
      </c>
      <c r="AG1441">
        <v>-1.103802463259</v>
      </c>
      <c r="AH1441">
        <v>9.6092942006194306</v>
      </c>
      <c r="AI1441">
        <v>96.482313891605997</v>
      </c>
      <c r="AJ1441">
        <v>98.444322293893805</v>
      </c>
      <c r="AK1441">
        <v>9.7771175180651202</v>
      </c>
      <c r="AL1441">
        <v>84.476107642146602</v>
      </c>
      <c r="AM1441">
        <v>92.277994816610601</v>
      </c>
      <c r="AN1441">
        <v>0.999999951186611</v>
      </c>
    </row>
    <row r="1442" spans="1:40" x14ac:dyDescent="0.3">
      <c r="A1442" t="str">
        <f>"20200111150342899"</f>
        <v>20200111150342899</v>
      </c>
      <c r="B1442" t="str">
        <f>"1578726222890099"</f>
        <v>1578726222890099</v>
      </c>
      <c r="C1442" t="s">
        <v>40</v>
      </c>
      <c r="D1442">
        <v>5.6040929999999998</v>
      </c>
      <c r="E1442">
        <v>0.46150279999999999</v>
      </c>
      <c r="F1442" t="s">
        <v>41</v>
      </c>
      <c r="G1442">
        <v>-366.81990000000002</v>
      </c>
      <c r="H1442" s="1">
        <v>-1.381416E-6</v>
      </c>
      <c r="I1442">
        <v>139.74719999999999</v>
      </c>
      <c r="J1442">
        <v>-357.25650000000002</v>
      </c>
      <c r="K1442">
        <v>1.103796</v>
      </c>
      <c r="L1442">
        <v>141.30799999999999</v>
      </c>
      <c r="M1442">
        <v>-0.99984790000000001</v>
      </c>
      <c r="N1442">
        <v>0</v>
      </c>
      <c r="O1442">
        <v>-1.329982E-2</v>
      </c>
      <c r="P1442">
        <v>-0.99480999999999997</v>
      </c>
      <c r="Q1442">
        <v>8.5308729999999999E-2</v>
      </c>
      <c r="R1442">
        <v>-5.5457109999999997E-2</v>
      </c>
      <c r="S1442">
        <v>-3.0185550000000001</v>
      </c>
      <c r="T1442">
        <v>-0.33634269999999999</v>
      </c>
      <c r="U1442">
        <v>-0.47697450000000002</v>
      </c>
      <c r="V1442">
        <v>-4.2215089999999997E-2</v>
      </c>
      <c r="W1442">
        <v>9.6542749999999997E-2</v>
      </c>
      <c r="X1442">
        <v>0.99443320000000002</v>
      </c>
      <c r="Y1442">
        <v>-0.14214860000000001</v>
      </c>
      <c r="Z1442">
        <v>-6.3787799999999997E-3</v>
      </c>
      <c r="AA1442">
        <v>0.98982479999999995</v>
      </c>
      <c r="AB1442">
        <v>35</v>
      </c>
      <c r="AC1442">
        <v>-9.5633999999999997</v>
      </c>
      <c r="AD1442">
        <v>-1.103797381416</v>
      </c>
      <c r="AE1442">
        <v>-1.5608</v>
      </c>
      <c r="AF1442">
        <v>-1.4151001394476199</v>
      </c>
      <c r="AG1442">
        <v>-1.103797381416</v>
      </c>
      <c r="AH1442">
        <v>9.4605544929196803</v>
      </c>
      <c r="AI1442">
        <v>96.582244960352298</v>
      </c>
      <c r="AJ1442">
        <v>98.5071725869701</v>
      </c>
      <c r="AK1442">
        <v>9.6292766279398201</v>
      </c>
      <c r="AL1442">
        <v>84.459878942716898</v>
      </c>
      <c r="AM1442">
        <v>92.430827026863298</v>
      </c>
      <c r="AN1442">
        <v>1.0000000028317499</v>
      </c>
    </row>
    <row r="1443" spans="1:40" x14ac:dyDescent="0.3">
      <c r="A1443" t="str">
        <f>"20200111150342921"</f>
        <v>20200111150342921</v>
      </c>
      <c r="B1443" t="str">
        <f>"1578726222909620"</f>
        <v>1578726222909620</v>
      </c>
      <c r="C1443" t="s">
        <v>40</v>
      </c>
      <c r="D1443">
        <v>5.7071589999999999</v>
      </c>
      <c r="E1443">
        <v>0.46178069999999999</v>
      </c>
      <c r="F1443" t="s">
        <v>41</v>
      </c>
      <c r="G1443">
        <v>-367.52659999999997</v>
      </c>
      <c r="H1443" s="1">
        <v>-1.056209E-6</v>
      </c>
      <c r="I1443">
        <v>139.6643</v>
      </c>
      <c r="J1443">
        <v>-357.58969999999999</v>
      </c>
      <c r="K1443">
        <v>1.1037999999999999</v>
      </c>
      <c r="L1443">
        <v>141.30359999999999</v>
      </c>
      <c r="M1443">
        <v>-0.99984790000000001</v>
      </c>
      <c r="N1443">
        <v>0</v>
      </c>
      <c r="O1443">
        <v>-1.3292679999999999E-2</v>
      </c>
      <c r="P1443">
        <v>-0.99468719999999999</v>
      </c>
      <c r="Q1443">
        <v>8.493581E-2</v>
      </c>
      <c r="R1443">
        <v>-5.8167530000000002E-2</v>
      </c>
      <c r="S1443">
        <v>-3.0165410000000001</v>
      </c>
      <c r="T1443">
        <v>-0.32421149999999999</v>
      </c>
      <c r="U1443">
        <v>-0.4827728</v>
      </c>
      <c r="V1443">
        <v>-4.4934099999999998E-2</v>
      </c>
      <c r="W1443">
        <v>9.6170649999999996E-2</v>
      </c>
      <c r="X1443">
        <v>0.99435010000000001</v>
      </c>
      <c r="Y1443">
        <v>-0.1441559</v>
      </c>
      <c r="Z1443">
        <v>-6.2607940000000001E-3</v>
      </c>
      <c r="AA1443">
        <v>0.98953519999999995</v>
      </c>
      <c r="AB1443">
        <v>35</v>
      </c>
      <c r="AC1443">
        <v>-9.9368999999999801</v>
      </c>
      <c r="AD1443">
        <v>-1.1038010562089999</v>
      </c>
      <c r="AE1443">
        <v>-1.63929999999999</v>
      </c>
      <c r="AF1443">
        <v>-1.4891706565812199</v>
      </c>
      <c r="AG1443">
        <v>-1.1038010562089999</v>
      </c>
      <c r="AH1443">
        <v>9.8396197204129994</v>
      </c>
      <c r="AI1443">
        <v>96.3291577393381</v>
      </c>
      <c r="AJ1443">
        <v>98.606080249108004</v>
      </c>
      <c r="AK1443">
        <v>10.012698050897701</v>
      </c>
      <c r="AL1443">
        <v>84.481298322640001</v>
      </c>
      <c r="AM1443">
        <v>92.5874025246831</v>
      </c>
      <c r="AN1443">
        <v>0.99999999431712105</v>
      </c>
    </row>
    <row r="1444" spans="1:40" x14ac:dyDescent="0.3">
      <c r="A1444" t="str">
        <f>"20200111150342943"</f>
        <v>20200111150342943</v>
      </c>
      <c r="B1444" t="str">
        <f>"1578726222939875"</f>
        <v>1578726222939875</v>
      </c>
      <c r="C1444" t="s">
        <v>40</v>
      </c>
      <c r="D1444">
        <v>5.6786500000000002</v>
      </c>
      <c r="E1444">
        <v>0.46184530000000001</v>
      </c>
      <c r="F1444" t="s">
        <v>41</v>
      </c>
      <c r="G1444">
        <v>-367.90519999999998</v>
      </c>
      <c r="H1444" s="1">
        <v>-8.8553179999999998E-7</v>
      </c>
      <c r="I1444">
        <v>139.63329999999999</v>
      </c>
      <c r="J1444">
        <v>-357.94110000000001</v>
      </c>
      <c r="K1444">
        <v>1.1038030000000001</v>
      </c>
      <c r="L1444">
        <v>141.2989</v>
      </c>
      <c r="M1444">
        <v>-0.99984799999999996</v>
      </c>
      <c r="N1444">
        <v>0</v>
      </c>
      <c r="O1444">
        <v>-1.328506E-2</v>
      </c>
      <c r="P1444">
        <v>-0.99451610000000001</v>
      </c>
      <c r="Q1444">
        <v>8.5645570000000004E-2</v>
      </c>
      <c r="R1444">
        <v>-6.002188E-2</v>
      </c>
      <c r="S1444">
        <v>-3.015015</v>
      </c>
      <c r="T1444">
        <v>-0.32262160000000001</v>
      </c>
      <c r="U1444">
        <v>-0.4881897</v>
      </c>
      <c r="V1444">
        <v>-4.6798439999999997E-2</v>
      </c>
      <c r="W1444">
        <v>9.6881149999999999E-2</v>
      </c>
      <c r="X1444">
        <v>0.9941951</v>
      </c>
      <c r="Y1444">
        <v>-0.14597079999999901</v>
      </c>
      <c r="Z1444">
        <v>-6.3295010000000004E-3</v>
      </c>
      <c r="AA1444">
        <v>0.9892687</v>
      </c>
      <c r="AB1444">
        <v>35</v>
      </c>
      <c r="AC1444">
        <v>-9.96409999999997</v>
      </c>
      <c r="AD1444">
        <v>-1.1038038855318</v>
      </c>
      <c r="AE1444">
        <v>-1.66560000000001</v>
      </c>
      <c r="AF1444">
        <v>-1.51498469594993</v>
      </c>
      <c r="AG1444">
        <v>-1.1038038855318</v>
      </c>
      <c r="AH1444">
        <v>9.8675487861323798</v>
      </c>
      <c r="AI1444">
        <v>96.3093644816704</v>
      </c>
      <c r="AJ1444">
        <v>98.728579031431394</v>
      </c>
      <c r="AK1444">
        <v>10.044007202973299</v>
      </c>
      <c r="AL1444">
        <v>84.440398575129905</v>
      </c>
      <c r="AM1444">
        <v>92.695019650992904</v>
      </c>
      <c r="AN1444">
        <v>0.99999997403788199</v>
      </c>
    </row>
    <row r="1445" spans="1:40" x14ac:dyDescent="0.3">
      <c r="A1445" t="str">
        <f>"20200111150342966"</f>
        <v>20200111150342966</v>
      </c>
      <c r="B1445" t="str">
        <f>"1578726222959399"</f>
        <v>1578726222959399</v>
      </c>
      <c r="C1445" t="s">
        <v>40</v>
      </c>
      <c r="D1445">
        <v>5.821453</v>
      </c>
      <c r="E1445">
        <v>0.46236270000000002</v>
      </c>
      <c r="F1445" t="s">
        <v>41</v>
      </c>
      <c r="G1445">
        <v>-368.51080000000002</v>
      </c>
      <c r="H1445" s="1">
        <v>-6.3014600000000001E-7</v>
      </c>
      <c r="I1445">
        <v>139.56569999999999</v>
      </c>
      <c r="J1445">
        <v>-358.2885</v>
      </c>
      <c r="K1445">
        <v>1.1038019999999999</v>
      </c>
      <c r="L1445">
        <v>141.29429999999999</v>
      </c>
      <c r="M1445">
        <v>-0.99984810000000002</v>
      </c>
      <c r="N1445">
        <v>0</v>
      </c>
      <c r="O1445">
        <v>-1.3277799999999999E-2</v>
      </c>
      <c r="P1445">
        <v>-0.99435629999999997</v>
      </c>
      <c r="Q1445">
        <v>8.6556599999999997E-2</v>
      </c>
      <c r="R1445">
        <v>-6.1346539999999998E-2</v>
      </c>
      <c r="S1445">
        <v>-3.0137939999999999</v>
      </c>
      <c r="T1445">
        <v>-0.31473519999999999</v>
      </c>
      <c r="U1445">
        <v>-0.49418640000000003</v>
      </c>
      <c r="V1445">
        <v>-4.8131889999999997E-2</v>
      </c>
      <c r="W1445">
        <v>9.7792309999999993E-2</v>
      </c>
      <c r="X1445">
        <v>0.99404219999999999</v>
      </c>
      <c r="Y1445">
        <v>-0.1479829</v>
      </c>
      <c r="Z1445">
        <v>-6.2819340000000003E-3</v>
      </c>
      <c r="AA1445">
        <v>0.98897000000000002</v>
      </c>
      <c r="AB1445">
        <v>35</v>
      </c>
      <c r="AC1445">
        <v>-10.222300000000001</v>
      </c>
      <c r="AD1445">
        <v>-1.103802630146</v>
      </c>
      <c r="AE1445">
        <v>-1.7285999999999999</v>
      </c>
      <c r="AF1445">
        <v>-1.5748574746827</v>
      </c>
      <c r="AG1445">
        <v>-1.103802630146</v>
      </c>
      <c r="AH1445">
        <v>10.1295288202794</v>
      </c>
      <c r="AI1445">
        <v>96.145658731331494</v>
      </c>
      <c r="AJ1445">
        <v>98.837136746375407</v>
      </c>
      <c r="AK1445">
        <v>10.310475761707201</v>
      </c>
      <c r="AL1445">
        <v>84.387943761714396</v>
      </c>
      <c r="AM1445">
        <v>92.7721176920857</v>
      </c>
      <c r="AN1445">
        <v>0.99999995505547301</v>
      </c>
    </row>
    <row r="1446" spans="1:40" x14ac:dyDescent="0.3">
      <c r="A1446" t="str">
        <f>"20200111150342988"</f>
        <v>20200111150342988</v>
      </c>
      <c r="B1446" t="str">
        <f>"1578726222979894"</f>
        <v>1578726222979894</v>
      </c>
      <c r="C1446" t="s">
        <v>40</v>
      </c>
      <c r="D1446">
        <v>5.6854319999999996</v>
      </c>
      <c r="E1446">
        <v>0.46252710000000002</v>
      </c>
      <c r="F1446" t="s">
        <v>41</v>
      </c>
      <c r="G1446">
        <v>-368.8578</v>
      </c>
      <c r="H1446" s="1">
        <v>-4.8228240000000003E-7</v>
      </c>
      <c r="I1446">
        <v>139.56020000000001</v>
      </c>
      <c r="J1446">
        <v>-358.63819999999998</v>
      </c>
      <c r="K1446">
        <v>1.1038079999999999</v>
      </c>
      <c r="L1446">
        <v>141.28970000000001</v>
      </c>
      <c r="M1446">
        <v>-0.99984819999999996</v>
      </c>
      <c r="N1446">
        <v>0</v>
      </c>
      <c r="O1446">
        <v>-1.32703E-2</v>
      </c>
      <c r="P1446">
        <v>-0.99431210000000003</v>
      </c>
      <c r="Q1446">
        <v>8.6901370000000006E-2</v>
      </c>
      <c r="R1446">
        <v>-6.1578470000000003E-2</v>
      </c>
      <c r="S1446">
        <v>-3.0138850000000001</v>
      </c>
      <c r="T1446">
        <v>-0.31475839999999999</v>
      </c>
      <c r="U1446">
        <v>-0.49447629999999998</v>
      </c>
      <c r="V1446">
        <v>-4.8371980000000002E-2</v>
      </c>
      <c r="W1446">
        <v>9.8138749999999997E-2</v>
      </c>
      <c r="X1446">
        <v>0.9939964</v>
      </c>
      <c r="Y1446">
        <v>-0.1480776</v>
      </c>
      <c r="Z1446">
        <v>-6.2878350000000003E-3</v>
      </c>
      <c r="AA1446">
        <v>0.98895569999999999</v>
      </c>
      <c r="AB1446">
        <v>35</v>
      </c>
      <c r="AC1446">
        <v>-10.2196</v>
      </c>
      <c r="AD1446">
        <v>-1.1038084822823999</v>
      </c>
      <c r="AE1446">
        <v>-1.7295</v>
      </c>
      <c r="AF1446">
        <v>-1.5758499721705499</v>
      </c>
      <c r="AG1446">
        <v>-1.1038084822823999</v>
      </c>
      <c r="AH1446">
        <v>10.1268030850811</v>
      </c>
      <c r="AI1446">
        <v>96.147203014536203</v>
      </c>
      <c r="AJ1446">
        <v>98.844960501859802</v>
      </c>
      <c r="AK1446">
        <v>10.307950185384</v>
      </c>
      <c r="AL1446">
        <v>84.367998257359503</v>
      </c>
      <c r="AM1446">
        <v>92.786051916587795</v>
      </c>
      <c r="AN1446">
        <v>0.99999995295681998</v>
      </c>
    </row>
    <row r="1447" spans="1:40" x14ac:dyDescent="0.3">
      <c r="A1447" t="str">
        <f>"20200111150343011"</f>
        <v>20200111150343011</v>
      </c>
      <c r="B1447" t="str">
        <f>"1578726222999412"</f>
        <v>1578726222999412</v>
      </c>
      <c r="C1447" t="s">
        <v>40</v>
      </c>
      <c r="D1447">
        <v>5.7174129999999996</v>
      </c>
      <c r="E1447">
        <v>0.46260109999999899</v>
      </c>
      <c r="F1447" t="s">
        <v>41</v>
      </c>
      <c r="G1447">
        <v>-369.32100000000003</v>
      </c>
      <c r="H1447" s="1">
        <v>-2.8709120000000002E-7</v>
      </c>
      <c r="I1447">
        <v>139.5402</v>
      </c>
      <c r="J1447">
        <v>-358.97840000000002</v>
      </c>
      <c r="K1447">
        <v>1.1038079999999999</v>
      </c>
      <c r="L1447">
        <v>141.2852</v>
      </c>
      <c r="M1447">
        <v>-0.99984830000000002</v>
      </c>
      <c r="N1447">
        <v>0</v>
      </c>
      <c r="O1447">
        <v>-1.326316E-2</v>
      </c>
      <c r="P1447">
        <v>-0.99437399999999998</v>
      </c>
      <c r="Q1447">
        <v>8.6942359999999996E-2</v>
      </c>
      <c r="R1447">
        <v>-6.0507379999999999E-2</v>
      </c>
      <c r="S1447">
        <v>-3.0138240000000001</v>
      </c>
      <c r="T1447">
        <v>-0.31140709999999999</v>
      </c>
      <c r="U1447">
        <v>-0.49353029999999998</v>
      </c>
      <c r="V1447">
        <v>-4.7307670000000003E-2</v>
      </c>
      <c r="W1447">
        <v>9.818143E-2</v>
      </c>
      <c r="X1447">
        <v>0.99404349999999997</v>
      </c>
      <c r="Y1447">
        <v>-0.14780190000000001</v>
      </c>
      <c r="Z1447">
        <v>-6.2081339999999997E-3</v>
      </c>
      <c r="AA1447">
        <v>0.98899749999999997</v>
      </c>
      <c r="AB1447">
        <v>35</v>
      </c>
      <c r="AC1447">
        <v>-10.3425999999999</v>
      </c>
      <c r="AD1447">
        <v>-1.1038082870911901</v>
      </c>
      <c r="AE1447">
        <v>-1.7450000000000001</v>
      </c>
      <c r="AF1447">
        <v>-1.59005259839811</v>
      </c>
      <c r="AG1447">
        <v>-1.1038082870911901</v>
      </c>
      <c r="AH1447">
        <v>10.2513042087035</v>
      </c>
      <c r="AI1447">
        <v>96.073567345676196</v>
      </c>
      <c r="AJ1447">
        <v>98.816739114890396</v>
      </c>
      <c r="AK1447">
        <v>10.4324444872573</v>
      </c>
      <c r="AL1447">
        <v>84.365541523118793</v>
      </c>
      <c r="AM1447">
        <v>92.724716001645007</v>
      </c>
      <c r="AN1447">
        <v>1.0000000443649599</v>
      </c>
    </row>
    <row r="1448" spans="1:40" x14ac:dyDescent="0.3">
      <c r="A1448" t="str">
        <f>"20200111150343033"</f>
        <v>20200111150343033</v>
      </c>
      <c r="B1448" t="str">
        <f>"1578726223029667"</f>
        <v>1578726223029667</v>
      </c>
      <c r="C1448" t="s">
        <v>40</v>
      </c>
      <c r="D1448">
        <v>5.7324640000000002</v>
      </c>
      <c r="E1448">
        <v>0.4627098</v>
      </c>
      <c r="F1448" t="s">
        <v>41</v>
      </c>
      <c r="G1448">
        <v>-369.7099</v>
      </c>
      <c r="H1448" s="1">
        <v>-1.2018989999999899E-7</v>
      </c>
      <c r="I1448">
        <v>139.54060000000001</v>
      </c>
      <c r="J1448">
        <v>-359.32470000000001</v>
      </c>
      <c r="K1448">
        <v>1.103809</v>
      </c>
      <c r="L1448">
        <v>141.28059999999999</v>
      </c>
      <c r="M1448">
        <v>-0.99984839999999997</v>
      </c>
      <c r="N1448">
        <v>0</v>
      </c>
      <c r="O1448">
        <v>-1.3255899999999999E-2</v>
      </c>
      <c r="P1448">
        <v>-0.99443280000000001</v>
      </c>
      <c r="Q1448">
        <v>8.7179439999999997E-2</v>
      </c>
      <c r="R1448">
        <v>-5.9191050000000002E-2</v>
      </c>
      <c r="S1448">
        <v>-3.0142519999999999</v>
      </c>
      <c r="T1448">
        <v>-0.31003849999999999</v>
      </c>
      <c r="U1448">
        <v>-0.48999019999999999</v>
      </c>
      <c r="V1448">
        <v>-4.5997370000000003E-2</v>
      </c>
      <c r="W1448">
        <v>9.8421079999999994E-2</v>
      </c>
      <c r="X1448">
        <v>0.99408129999999995</v>
      </c>
      <c r="Y1448">
        <v>-0.1466672</v>
      </c>
      <c r="Z1448">
        <v>-6.123613E-3</v>
      </c>
      <c r="AA1448">
        <v>0.98916700000000002</v>
      </c>
      <c r="AB1448">
        <v>35</v>
      </c>
      <c r="AC1448">
        <v>-10.3851999999999</v>
      </c>
      <c r="AD1448">
        <v>-1.1038091201898901</v>
      </c>
      <c r="AE1448">
        <v>-1.73999999999998</v>
      </c>
      <c r="AF1448">
        <v>-1.58475916944921</v>
      </c>
      <c r="AG1448">
        <v>-1.1038091201898901</v>
      </c>
      <c r="AH1448">
        <v>10.2942368555467</v>
      </c>
      <c r="AI1448">
        <v>96.049482041218297</v>
      </c>
      <c r="AJ1448">
        <v>98.751764710778204</v>
      </c>
      <c r="AK1448">
        <v>10.4738325667859</v>
      </c>
      <c r="AL1448">
        <v>84.351743789882306</v>
      </c>
      <c r="AM1448">
        <v>92.649256878446806</v>
      </c>
      <c r="AN1448">
        <v>1.0000000490224801</v>
      </c>
    </row>
    <row r="1449" spans="1:40" x14ac:dyDescent="0.3">
      <c r="A1449" t="str">
        <f>"20200111150343056"</f>
        <v>20200111150343056</v>
      </c>
      <c r="B1449" t="str">
        <f>"1578726223050165"</f>
        <v>1578726223050165</v>
      </c>
      <c r="C1449" t="s">
        <v>40</v>
      </c>
      <c r="D1449">
        <v>5.7408650000000003</v>
      </c>
      <c r="E1449">
        <v>0.46249000000000001</v>
      </c>
      <c r="F1449" t="s">
        <v>41</v>
      </c>
      <c r="G1449">
        <v>-370.15570000000002</v>
      </c>
      <c r="H1449" s="1">
        <v>-4.2192950000000001E-6</v>
      </c>
      <c r="I1449">
        <v>139.53829999999999</v>
      </c>
      <c r="J1449">
        <v>-359.67230000000001</v>
      </c>
      <c r="K1449">
        <v>1.103809</v>
      </c>
      <c r="L1449">
        <v>141.27600000000001</v>
      </c>
      <c r="M1449">
        <v>-0.99984850000000003</v>
      </c>
      <c r="N1449">
        <v>0</v>
      </c>
      <c r="O1449">
        <v>-1.3248640000000001E-2</v>
      </c>
      <c r="P1449">
        <v>-0.99439420000000001</v>
      </c>
      <c r="Q1449">
        <v>8.7664480000000003E-2</v>
      </c>
      <c r="R1449">
        <v>-5.912456E-2</v>
      </c>
      <c r="S1449">
        <v>-3.0148320000000002</v>
      </c>
      <c r="T1449">
        <v>-0.3072493</v>
      </c>
      <c r="U1449">
        <v>-0.48493960000000003</v>
      </c>
      <c r="V1449">
        <v>-4.5938729999999997E-2</v>
      </c>
      <c r="W1449">
        <v>9.8907449999999994E-2</v>
      </c>
      <c r="X1449">
        <v>0.99403569999999997</v>
      </c>
      <c r="Y1449">
        <v>-0.1450496</v>
      </c>
      <c r="Z1449">
        <v>-5.9874940000000003E-3</v>
      </c>
      <c r="AA1449">
        <v>0.98940629999999996</v>
      </c>
      <c r="AB1449">
        <v>35</v>
      </c>
      <c r="AC1449">
        <v>-10.4834</v>
      </c>
      <c r="AD1449">
        <v>-1.1038132192950001</v>
      </c>
      <c r="AE1449">
        <v>-1.73770000000001</v>
      </c>
      <c r="AF1449">
        <v>-1.5815827826567399</v>
      </c>
      <c r="AG1449">
        <v>-1.1038132192950001</v>
      </c>
      <c r="AH1449">
        <v>10.393360613691501</v>
      </c>
      <c r="AI1449">
        <v>95.993808978058794</v>
      </c>
      <c r="AJ1449">
        <v>98.652457891927497</v>
      </c>
      <c r="AK1449">
        <v>10.5707971585742</v>
      </c>
      <c r="AL1449">
        <v>84.323739994602704</v>
      </c>
      <c r="AM1449">
        <v>92.646005465156193</v>
      </c>
      <c r="AN1449">
        <v>1.000000011727</v>
      </c>
    </row>
    <row r="1450" spans="1:40" x14ac:dyDescent="0.3">
      <c r="A1450" t="str">
        <f>"20200111150343078"</f>
        <v>20200111150343078</v>
      </c>
      <c r="B1450" t="str">
        <f>"1578726223069683"</f>
        <v>1578726223069683</v>
      </c>
      <c r="C1450" t="s">
        <v>40</v>
      </c>
      <c r="D1450">
        <v>5.6890299999999998</v>
      </c>
      <c r="E1450">
        <v>0.4623776</v>
      </c>
      <c r="F1450" t="s">
        <v>41</v>
      </c>
      <c r="G1450">
        <v>-370.66809999999998</v>
      </c>
      <c r="H1450" s="1">
        <v>-4.0057189999999999E-6</v>
      </c>
      <c r="I1450">
        <v>139.50319999999999</v>
      </c>
      <c r="J1450">
        <v>-360.02390000000003</v>
      </c>
      <c r="K1450">
        <v>1.1038059999999901</v>
      </c>
      <c r="L1450">
        <v>141.2713</v>
      </c>
      <c r="M1450">
        <v>-0.99984850000000003</v>
      </c>
      <c r="N1450">
        <v>0</v>
      </c>
      <c r="O1450">
        <v>-1.3241019999999999E-2</v>
      </c>
      <c r="P1450">
        <v>-0.99434230000000001</v>
      </c>
      <c r="Q1450">
        <v>8.7601440000000003E-2</v>
      </c>
      <c r="R1450">
        <v>-6.0080210000000002E-2</v>
      </c>
      <c r="S1450">
        <v>-3.0147089999999999</v>
      </c>
      <c r="T1450">
        <v>-0.30263259999999997</v>
      </c>
      <c r="U1450">
        <v>-0.48602289999999998</v>
      </c>
      <c r="V1450">
        <v>-4.6902630000000001E-2</v>
      </c>
      <c r="W1450">
        <v>9.8846240000000002E-2</v>
      </c>
      <c r="X1450">
        <v>0.99399669999999896</v>
      </c>
      <c r="Y1450">
        <v>-0.145427799999999</v>
      </c>
      <c r="Z1450">
        <v>-5.9176130000000004E-3</v>
      </c>
      <c r="AA1450">
        <v>0.98935119999999999</v>
      </c>
      <c r="AB1450">
        <v>35</v>
      </c>
      <c r="AC1450">
        <v>-10.6441999999999</v>
      </c>
      <c r="AD1450">
        <v>-1.1038100057189999</v>
      </c>
      <c r="AE1450">
        <v>-1.7681</v>
      </c>
      <c r="AF1450">
        <v>-1.6101456435647901</v>
      </c>
      <c r="AG1450">
        <v>-1.1038100057189999</v>
      </c>
      <c r="AH1450">
        <v>10.5562083218267</v>
      </c>
      <c r="AI1450">
        <v>95.901672235980797</v>
      </c>
      <c r="AJ1450">
        <v>98.672519381856404</v>
      </c>
      <c r="AK1450">
        <v>10.735199097176499</v>
      </c>
      <c r="AL1450">
        <v>84.327263918547899</v>
      </c>
      <c r="AM1450">
        <v>92.701549167683993</v>
      </c>
      <c r="AN1450">
        <v>0.99999993773697005</v>
      </c>
    </row>
    <row r="1451" spans="1:40" x14ac:dyDescent="0.3">
      <c r="A1451" t="str">
        <f>"20200111150343099"</f>
        <v>20200111150343099</v>
      </c>
      <c r="B1451" t="str">
        <f>"1578726223090179"</f>
        <v>1578726223090179</v>
      </c>
      <c r="C1451" t="s">
        <v>40</v>
      </c>
      <c r="D1451">
        <v>5.7227329999999998</v>
      </c>
      <c r="E1451">
        <v>0.46226469999999997</v>
      </c>
      <c r="F1451" t="s">
        <v>41</v>
      </c>
      <c r="G1451">
        <v>-370.89389999999997</v>
      </c>
      <c r="H1451" s="1">
        <v>-3.9084849999999997E-6</v>
      </c>
      <c r="I1451">
        <v>139.5052</v>
      </c>
      <c r="J1451">
        <v>-360.358</v>
      </c>
      <c r="K1451">
        <v>1.1038030000000001</v>
      </c>
      <c r="L1451">
        <v>141.26689999999999</v>
      </c>
      <c r="M1451">
        <v>-0.99984850000000003</v>
      </c>
      <c r="N1451">
        <v>0</v>
      </c>
      <c r="O1451">
        <v>-1.3233760000000001E-2</v>
      </c>
      <c r="P1451">
        <v>-0.99431910000000001</v>
      </c>
      <c r="Q1451">
        <v>8.7392620000000004E-2</v>
      </c>
      <c r="R1451">
        <v>-6.0762379999999998E-2</v>
      </c>
      <c r="S1451">
        <v>-3.014465</v>
      </c>
      <c r="T1451">
        <v>-0.30610920000000003</v>
      </c>
      <c r="U1451">
        <v>-0.48976140000000001</v>
      </c>
      <c r="V1451">
        <v>-4.7592269999999999E-2</v>
      </c>
      <c r="W1451">
        <v>9.8638870000000003E-2</v>
      </c>
      <c r="X1451">
        <v>0.9939846</v>
      </c>
      <c r="Y1451">
        <v>-0.14662229999999901</v>
      </c>
      <c r="Z1451">
        <v>-6.0459800000000003E-3</v>
      </c>
      <c r="AA1451">
        <v>0.98917409999999995</v>
      </c>
      <c r="AB1451">
        <v>35</v>
      </c>
      <c r="AC1451">
        <v>-10.5358999999999</v>
      </c>
      <c r="AD1451">
        <v>-1.103806908485</v>
      </c>
      <c r="AE1451">
        <v>-1.7616999999999901</v>
      </c>
      <c r="AF1451">
        <v>-1.6049702479180099</v>
      </c>
      <c r="AG1451">
        <v>-1.103806908485</v>
      </c>
      <c r="AH1451">
        <v>10.446748124205101</v>
      </c>
      <c r="AI1451">
        <v>95.962073139454603</v>
      </c>
      <c r="AJ1451">
        <v>98.734258196821401</v>
      </c>
      <c r="AK1451">
        <v>10.626799403324799</v>
      </c>
      <c r="AL1451">
        <v>84.339204150134293</v>
      </c>
      <c r="AM1451">
        <v>92.741244977655299</v>
      </c>
      <c r="AN1451">
        <v>1.0000000179378901</v>
      </c>
    </row>
    <row r="1452" spans="1:40" x14ac:dyDescent="0.3">
      <c r="A1452" t="str">
        <f>"20200111150343123"</f>
        <v>20200111150343123</v>
      </c>
      <c r="B1452" t="str">
        <f>"1578726223119459"</f>
        <v>1578726223119459</v>
      </c>
      <c r="C1452" t="s">
        <v>40</v>
      </c>
      <c r="D1452">
        <v>5.7418870000000002</v>
      </c>
      <c r="E1452">
        <v>0.46196870000000001</v>
      </c>
      <c r="F1452" t="s">
        <v>41</v>
      </c>
      <c r="G1452">
        <v>-371.09690000000001</v>
      </c>
      <c r="H1452" s="1">
        <v>-3.8202649999999998E-6</v>
      </c>
      <c r="I1452">
        <v>139.51159999999999</v>
      </c>
      <c r="J1452">
        <v>-360.71080000000001</v>
      </c>
      <c r="K1452">
        <v>1.1038019999999999</v>
      </c>
      <c r="L1452">
        <v>141.26220000000001</v>
      </c>
      <c r="M1452">
        <v>-0.99984870000000003</v>
      </c>
      <c r="N1452">
        <v>0</v>
      </c>
      <c r="O1452">
        <v>-1.32265E-2</v>
      </c>
      <c r="P1452">
        <v>-0.99428000000000005</v>
      </c>
      <c r="Q1452">
        <v>8.7458040000000001E-2</v>
      </c>
      <c r="R1452">
        <v>-6.1308620000000001E-2</v>
      </c>
      <c r="S1452">
        <v>-3.0142519999999999</v>
      </c>
      <c r="T1452">
        <v>-0.30982280000000001</v>
      </c>
      <c r="U1452">
        <v>-0.49264530000000001</v>
      </c>
      <c r="V1452">
        <v>-4.8146019999999998E-2</v>
      </c>
      <c r="W1452">
        <v>9.8706269999999999E-2</v>
      </c>
      <c r="X1452">
        <v>0.99395120000000003</v>
      </c>
      <c r="Y1452">
        <v>-0.14754139999999999</v>
      </c>
      <c r="Z1452">
        <v>-6.1664579999999997E-3</v>
      </c>
      <c r="AA1452">
        <v>0.98903669999999999</v>
      </c>
      <c r="AB1452">
        <v>35</v>
      </c>
      <c r="AC1452">
        <v>-10.386100000000001</v>
      </c>
      <c r="AD1452">
        <v>-1.1038058202649901</v>
      </c>
      <c r="AE1452">
        <v>-1.7506000000000199</v>
      </c>
      <c r="AF1452">
        <v>-1.59554275939247</v>
      </c>
      <c r="AG1452">
        <v>-1.1038058202649901</v>
      </c>
      <c r="AH1452">
        <v>10.295275926889101</v>
      </c>
      <c r="AI1452">
        <v>96.047923462806807</v>
      </c>
      <c r="AJ1452">
        <v>98.809510128236099</v>
      </c>
      <c r="AK1452">
        <v>10.4764903663719</v>
      </c>
      <c r="AL1452">
        <v>84.335323246873102</v>
      </c>
      <c r="AM1452">
        <v>92.773183704138205</v>
      </c>
      <c r="AN1452">
        <v>0.99999997748029601</v>
      </c>
    </row>
    <row r="1453" spans="1:40" x14ac:dyDescent="0.3">
      <c r="A1453" t="str">
        <f>"20200111150343144"</f>
        <v>20200111150343144</v>
      </c>
      <c r="B1453" t="str">
        <f>"1578726223139956"</f>
        <v>1578726223139956</v>
      </c>
      <c r="C1453" t="s">
        <v>40</v>
      </c>
      <c r="D1453">
        <v>5.7046270000000003</v>
      </c>
      <c r="E1453">
        <v>0.46188469999999998</v>
      </c>
      <c r="F1453" t="s">
        <v>41</v>
      </c>
      <c r="G1453">
        <v>-371.53120000000001</v>
      </c>
      <c r="H1453" s="1">
        <v>-3.639799E-6</v>
      </c>
      <c r="I1453">
        <v>139.4787</v>
      </c>
      <c r="J1453">
        <v>-361.05549999999999</v>
      </c>
      <c r="K1453">
        <v>1.103801</v>
      </c>
      <c r="L1453">
        <v>141.2576</v>
      </c>
      <c r="M1453">
        <v>-0.99984879999999998</v>
      </c>
      <c r="N1453">
        <v>0</v>
      </c>
      <c r="O1453">
        <v>-1.3219119999999999E-2</v>
      </c>
      <c r="P1453">
        <v>-0.99427030000000005</v>
      </c>
      <c r="Q1453">
        <v>8.7206989999999998E-2</v>
      </c>
      <c r="R1453">
        <v>-6.1821519999999998E-2</v>
      </c>
      <c r="S1453">
        <v>-3.0136720000000001</v>
      </c>
      <c r="T1453">
        <v>-0.3074307</v>
      </c>
      <c r="U1453">
        <v>-0.49670409999999998</v>
      </c>
      <c r="V1453">
        <v>-4.86662E-2</v>
      </c>
      <c r="W1453">
        <v>9.8457139999999999E-2</v>
      </c>
      <c r="X1453">
        <v>0.99395060000000002</v>
      </c>
      <c r="Y1453">
        <v>-0.1488796</v>
      </c>
      <c r="Z1453">
        <v>-6.1879669999999999E-3</v>
      </c>
      <c r="AA1453">
        <v>0.98883600000000005</v>
      </c>
      <c r="AB1453">
        <v>35</v>
      </c>
      <c r="AC1453">
        <v>-10.4757</v>
      </c>
      <c r="AD1453">
        <v>-1.103804639799</v>
      </c>
      <c r="AE1453">
        <v>-1.7788999999999899</v>
      </c>
      <c r="AF1453">
        <v>-1.62274471428032</v>
      </c>
      <c r="AG1453">
        <v>-1.103804639799</v>
      </c>
      <c r="AH1453">
        <v>10.386221144794201</v>
      </c>
      <c r="AI1453">
        <v>95.994205818315805</v>
      </c>
      <c r="AJ1453">
        <v>98.880108046122103</v>
      </c>
      <c r="AK1453">
        <v>10.570017727475101</v>
      </c>
      <c r="AL1453">
        <v>84.349667350078306</v>
      </c>
      <c r="AM1453">
        <v>92.803099937668804</v>
      </c>
      <c r="AN1453">
        <v>1.00000000133988</v>
      </c>
    </row>
    <row r="1454" spans="1:40" x14ac:dyDescent="0.3">
      <c r="A1454" t="str">
        <f>"20200111150343167"</f>
        <v>20200111150343167</v>
      </c>
      <c r="B1454" t="str">
        <f>"1578726223159476"</f>
        <v>1578726223159476</v>
      </c>
      <c r="C1454" t="s">
        <v>40</v>
      </c>
      <c r="D1454">
        <v>5.730664</v>
      </c>
      <c r="E1454">
        <v>0.47408260000000002</v>
      </c>
      <c r="F1454" t="s">
        <v>41</v>
      </c>
      <c r="G1454">
        <v>-371.74549999999999</v>
      </c>
      <c r="H1454" s="1">
        <v>-3.5462609999999998E-6</v>
      </c>
      <c r="I1454">
        <v>139.48769999999999</v>
      </c>
      <c r="J1454">
        <v>-361.4128</v>
      </c>
      <c r="K1454">
        <v>1.1037980000000001</v>
      </c>
      <c r="L1454">
        <v>141.25290000000001</v>
      </c>
      <c r="M1454">
        <v>-0.99984879999999998</v>
      </c>
      <c r="N1454">
        <v>0</v>
      </c>
      <c r="O1454">
        <v>-1.321138E-2</v>
      </c>
      <c r="P1454">
        <v>-0.99425799999999998</v>
      </c>
      <c r="Q1454">
        <v>8.7083889999999997E-2</v>
      </c>
      <c r="R1454">
        <v>-6.2189519999999998E-2</v>
      </c>
      <c r="S1454">
        <v>-3.0135190000000001</v>
      </c>
      <c r="T1454">
        <v>-0.31116500000000002</v>
      </c>
      <c r="U1454">
        <v>-0.49891659999999999</v>
      </c>
      <c r="V1454">
        <v>-4.904215E-2</v>
      </c>
      <c r="W1454">
        <v>9.8335660000000005E-2</v>
      </c>
      <c r="X1454">
        <v>0.99394420000000006</v>
      </c>
      <c r="Y1454">
        <v>-0.14958170000000001</v>
      </c>
      <c r="Z1454">
        <v>-6.2993839999999999E-3</v>
      </c>
      <c r="AA1454">
        <v>0.98872930000000003</v>
      </c>
      <c r="AB1454">
        <v>35</v>
      </c>
      <c r="AC1454">
        <v>-10.3326999999999</v>
      </c>
      <c r="AD1454">
        <v>-1.103801546261</v>
      </c>
      <c r="AE1454">
        <v>-1.7652000000000201</v>
      </c>
      <c r="AF1454">
        <v>-1.61066856298326</v>
      </c>
      <c r="AG1454">
        <v>-1.103801546261</v>
      </c>
      <c r="AH1454">
        <v>10.2415599030292</v>
      </c>
      <c r="AI1454">
        <v>96.077278642764597</v>
      </c>
      <c r="AJ1454">
        <v>98.937581436238204</v>
      </c>
      <c r="AK1454">
        <v>10.426033777072</v>
      </c>
      <c r="AL1454">
        <v>84.356661878209593</v>
      </c>
      <c r="AM1454">
        <v>92.824737314621004</v>
      </c>
      <c r="AN1454">
        <v>1.00000005360894</v>
      </c>
    </row>
    <row r="1455" spans="1:40" x14ac:dyDescent="0.3">
      <c r="A1455" t="str">
        <f>"20200111150343189"</f>
        <v>20200111150343189</v>
      </c>
      <c r="B1455" t="str">
        <f>"1578726223179972"</f>
        <v>1578726223179972</v>
      </c>
      <c r="C1455" t="s">
        <v>40</v>
      </c>
      <c r="D1455">
        <v>5.6767620000000001</v>
      </c>
      <c r="E1455">
        <v>0.51690469999999999</v>
      </c>
      <c r="F1455" t="s">
        <v>44</v>
      </c>
      <c r="G1455">
        <v>0</v>
      </c>
      <c r="H1455">
        <v>0</v>
      </c>
      <c r="I1455">
        <v>0</v>
      </c>
      <c r="J1455">
        <v>-361.75049999999999</v>
      </c>
      <c r="K1455">
        <v>1.1038049999999999</v>
      </c>
      <c r="L1455">
        <v>141.24850000000001</v>
      </c>
      <c r="M1455">
        <v>-0.99984890000000004</v>
      </c>
      <c r="N1455">
        <v>0</v>
      </c>
      <c r="O1455">
        <v>-1.3204240000000001E-2</v>
      </c>
      <c r="P1455">
        <v>-0.99424290000000004</v>
      </c>
      <c r="Q1455">
        <v>8.7367559999999997E-2</v>
      </c>
      <c r="R1455">
        <v>-6.2035460000000001E-2</v>
      </c>
      <c r="S1455">
        <v>-2.9216310000000001</v>
      </c>
      <c r="T1455">
        <v>0.81940759999999901</v>
      </c>
      <c r="U1455">
        <v>-0.38322450000000002</v>
      </c>
      <c r="V1455">
        <v>-4.8895269999999998E-2</v>
      </c>
      <c r="W1455">
        <v>9.8621329999999993E-2</v>
      </c>
      <c r="X1455">
        <v>0.99392309999999995</v>
      </c>
      <c r="Y1455">
        <v>-0.1131587</v>
      </c>
      <c r="Z1455">
        <v>1.188734E-2</v>
      </c>
      <c r="AA1455">
        <v>0.99350579999999999</v>
      </c>
      <c r="AB1455">
        <v>35</v>
      </c>
      <c r="AC1455">
        <v>-2.9216310000000001</v>
      </c>
      <c r="AD1455">
        <v>0.81940759999999901</v>
      </c>
      <c r="AE1455">
        <v>-0.38322450000000002</v>
      </c>
      <c r="AF1455">
        <v>-0.319875170553789</v>
      </c>
      <c r="AG1455">
        <v>0.81940759999999901</v>
      </c>
      <c r="AH1455">
        <v>2.7163824337398599</v>
      </c>
      <c r="AI1455">
        <v>73.322625719613598</v>
      </c>
      <c r="AJ1455">
        <v>96.716094092864296</v>
      </c>
      <c r="AK1455">
        <v>2.8552552365778201</v>
      </c>
      <c r="AL1455">
        <v>84.340214062021701</v>
      </c>
      <c r="AM1455">
        <v>92.816350629035995</v>
      </c>
      <c r="AN1455">
        <v>1.0000000214364699</v>
      </c>
    </row>
    <row r="1456" spans="1:40" x14ac:dyDescent="0.3">
      <c r="A1456" t="str">
        <f>"20200111150343212"</f>
        <v>20200111150343212</v>
      </c>
      <c r="B1456" t="str">
        <f>"1578726223199491"</f>
        <v>1578726223199491</v>
      </c>
      <c r="C1456" t="s">
        <v>40</v>
      </c>
      <c r="D1456">
        <v>6.0746650000000004</v>
      </c>
      <c r="E1456">
        <v>0.51319539999999997</v>
      </c>
      <c r="F1456" t="s">
        <v>42</v>
      </c>
      <c r="G1456">
        <v>-362.75459999999998</v>
      </c>
      <c r="H1456">
        <v>0.99403620000000004</v>
      </c>
      <c r="I1456">
        <v>141.22819999999999</v>
      </c>
      <c r="J1456">
        <v>-362.0926</v>
      </c>
      <c r="K1456">
        <v>1.1038079999999999</v>
      </c>
      <c r="L1456">
        <v>141.2439</v>
      </c>
      <c r="M1456">
        <v>-0.99984899999999999</v>
      </c>
      <c r="N1456">
        <v>0</v>
      </c>
      <c r="O1456">
        <v>-1.319651E-2</v>
      </c>
      <c r="P1456">
        <v>-0.99415640000000005</v>
      </c>
      <c r="Q1456">
        <v>8.8330889999999995E-2</v>
      </c>
      <c r="R1456">
        <v>-6.205886E-2</v>
      </c>
      <c r="S1456">
        <v>-3.0427249999999999</v>
      </c>
      <c r="T1456">
        <v>-0.33268189999999997</v>
      </c>
      <c r="U1456">
        <v>-6.2133790000000001E-2</v>
      </c>
      <c r="V1456">
        <v>-4.892751E-2</v>
      </c>
      <c r="W1456">
        <v>9.9585499999999993E-2</v>
      </c>
      <c r="X1456">
        <v>0.99382539999999997</v>
      </c>
      <c r="Y1456">
        <v>-7.255203E-3</v>
      </c>
      <c r="Z1456">
        <v>1.0430299999999999E-3</v>
      </c>
      <c r="AA1456">
        <v>0.99997309999999995</v>
      </c>
      <c r="AB1456">
        <v>35</v>
      </c>
      <c r="AC1456">
        <v>-0.66199999999997705</v>
      </c>
      <c r="AD1456">
        <v>-0.109771799999999</v>
      </c>
      <c r="AE1456">
        <v>-1.5700000000009501E-2</v>
      </c>
      <c r="AF1456">
        <v>-6.7757841198000197E-3</v>
      </c>
      <c r="AG1456">
        <v>-0.109771799999999</v>
      </c>
      <c r="AH1456">
        <v>0.64444014037485997</v>
      </c>
      <c r="AI1456">
        <v>99.666269103498706</v>
      </c>
      <c r="AJ1456">
        <v>90.602398118448903</v>
      </c>
      <c r="AK1456">
        <v>0.65375748856288196</v>
      </c>
      <c r="AL1456">
        <v>84.284698051033502</v>
      </c>
      <c r="AM1456">
        <v>92.818481251685895</v>
      </c>
      <c r="AN1456">
        <v>1.0000000493651</v>
      </c>
    </row>
    <row r="1457" spans="1:40" x14ac:dyDescent="0.3">
      <c r="A1457" t="str">
        <f>"20200111150343246"</f>
        <v>20200111150343246</v>
      </c>
      <c r="B1457" t="str">
        <f>"1578726223239507"</f>
        <v>1578726223239507</v>
      </c>
      <c r="C1457" t="s">
        <v>40</v>
      </c>
      <c r="D1457">
        <v>5.6836890000000002</v>
      </c>
      <c r="E1457">
        <v>0.51356420000000003</v>
      </c>
      <c r="F1457" t="s">
        <v>42</v>
      </c>
      <c r="G1457">
        <v>-363.07929999999999</v>
      </c>
      <c r="H1457">
        <v>1.0219389999999999</v>
      </c>
      <c r="I1457">
        <v>141.2148</v>
      </c>
      <c r="J1457">
        <v>-362.63209999999998</v>
      </c>
      <c r="K1457">
        <v>1.10381</v>
      </c>
      <c r="L1457">
        <v>141.23679999999999</v>
      </c>
      <c r="M1457">
        <v>-0.99984899999999999</v>
      </c>
      <c r="N1457">
        <v>0</v>
      </c>
      <c r="O1457">
        <v>-1.318472E-2</v>
      </c>
      <c r="P1457">
        <v>-0.9940348</v>
      </c>
      <c r="Q1457">
        <v>8.9168590000000006E-2</v>
      </c>
      <c r="R1457">
        <v>-6.2799670000000002E-2</v>
      </c>
      <c r="S1457">
        <v>-3.0343629999999999</v>
      </c>
      <c r="T1457">
        <v>-0.25183329999999998</v>
      </c>
      <c r="U1457">
        <v>-9.0240479999999998E-2</v>
      </c>
      <c r="V1457">
        <v>-4.9681509999999998E-2</v>
      </c>
      <c r="W1457">
        <v>0.10042479999999999</v>
      </c>
      <c r="X1457">
        <v>0.99370349999999996</v>
      </c>
      <c r="Y1457">
        <v>-1.6532560000000002E-2</v>
      </c>
      <c r="Z1457">
        <v>4.0740269999999998E-4</v>
      </c>
      <c r="AA1457">
        <v>0.99986330000000001</v>
      </c>
      <c r="AB1457">
        <v>35</v>
      </c>
      <c r="AC1457">
        <v>-0.44720000000000898</v>
      </c>
      <c r="AD1457">
        <v>-8.1870999999999999E-2</v>
      </c>
      <c r="AE1457">
        <v>-2.1999999999991301E-2</v>
      </c>
      <c r="AF1457">
        <v>-1.55805602622874E-2</v>
      </c>
      <c r="AG1457">
        <v>-8.1870999999999999E-2</v>
      </c>
      <c r="AH1457">
        <v>0.432974519894882</v>
      </c>
      <c r="AI1457">
        <v>100.700850754081</v>
      </c>
      <c r="AJ1457">
        <v>92.060895687183205</v>
      </c>
      <c r="AK1457">
        <v>0.44092238475415502</v>
      </c>
      <c r="AL1457">
        <v>84.236367245583807</v>
      </c>
      <c r="AM1457">
        <v>92.862194433448707</v>
      </c>
      <c r="AN1457">
        <v>1.0000000194015799</v>
      </c>
    </row>
    <row r="1458" spans="1:40" x14ac:dyDescent="0.3">
      <c r="A1458" t="str">
        <f>"20200111150343268"</f>
        <v>20200111150343268</v>
      </c>
      <c r="B1458" t="str">
        <f>"1578726223260006"</f>
        <v>1578726223260006</v>
      </c>
      <c r="C1458" t="s">
        <v>40</v>
      </c>
      <c r="D1458">
        <v>5.66547</v>
      </c>
      <c r="E1458">
        <v>0.51337120000000003</v>
      </c>
      <c r="F1458" t="s">
        <v>42</v>
      </c>
      <c r="G1458">
        <v>-363.40010000000001</v>
      </c>
      <c r="H1458">
        <v>1.035415</v>
      </c>
      <c r="I1458">
        <v>141.21440000000001</v>
      </c>
      <c r="J1458">
        <v>-362.97109999999998</v>
      </c>
      <c r="K1458">
        <v>1.10381</v>
      </c>
      <c r="L1458">
        <v>141.23240000000001</v>
      </c>
      <c r="M1458">
        <v>-0.99984919999999999</v>
      </c>
      <c r="N1458">
        <v>0</v>
      </c>
      <c r="O1458">
        <v>-1.3177100000000001E-2</v>
      </c>
      <c r="P1458">
        <v>-0.99407400000000001</v>
      </c>
      <c r="Q1458">
        <v>8.8894559999999997E-2</v>
      </c>
      <c r="R1458">
        <v>-6.2568979999999996E-2</v>
      </c>
      <c r="S1458">
        <v>-3.0366209999999998</v>
      </c>
      <c r="T1458">
        <v>-0.27050039999999997</v>
      </c>
      <c r="U1458">
        <v>-8.9462280000000005E-2</v>
      </c>
      <c r="V1458">
        <v>-4.9457800000000003E-2</v>
      </c>
      <c r="W1458">
        <v>0.1001529</v>
      </c>
      <c r="X1458">
        <v>0.99374200000000001</v>
      </c>
      <c r="Y1458">
        <v>-1.6261359999999999E-2</v>
      </c>
      <c r="Z1458">
        <v>4.485399E-4</v>
      </c>
      <c r="AA1458">
        <v>0.99986770000000003</v>
      </c>
      <c r="AB1458">
        <v>35</v>
      </c>
      <c r="AC1458">
        <v>-0.42900000000003002</v>
      </c>
      <c r="AD1458">
        <v>-6.83949999999999E-2</v>
      </c>
      <c r="AE1458">
        <v>-1.8000000000000599E-2</v>
      </c>
      <c r="AF1458">
        <v>-1.20396193065906E-2</v>
      </c>
      <c r="AG1458">
        <v>-6.83949999999999E-2</v>
      </c>
      <c r="AH1458">
        <v>0.418579376037856</v>
      </c>
      <c r="AI1458">
        <v>99.2762329887085</v>
      </c>
      <c r="AJ1458">
        <v>91.647547095919705</v>
      </c>
      <c r="AK1458">
        <v>0.42430121671082799</v>
      </c>
      <c r="AL1458">
        <v>84.252024334505194</v>
      </c>
      <c r="AM1458">
        <v>92.849217386678404</v>
      </c>
      <c r="AN1458">
        <v>0.99999991996162096</v>
      </c>
    </row>
    <row r="1459" spans="1:40" x14ac:dyDescent="0.3">
      <c r="A1459" t="str">
        <f>"20200111150343290"</f>
        <v>20200111150343290</v>
      </c>
      <c r="B1459" t="str">
        <f>"1578726223279523"</f>
        <v>1578726223279523</v>
      </c>
      <c r="C1459" t="s">
        <v>40</v>
      </c>
      <c r="D1459">
        <v>5.6300039999999996</v>
      </c>
      <c r="E1459">
        <v>0.51333079999999998</v>
      </c>
      <c r="F1459" t="s">
        <v>41</v>
      </c>
      <c r="G1459">
        <v>-375.86849999999998</v>
      </c>
      <c r="H1459" s="1">
        <v>-2.0826580000000001E-6</v>
      </c>
      <c r="I1459">
        <v>140.84880000000001</v>
      </c>
      <c r="J1459">
        <v>-363.30930000000001</v>
      </c>
      <c r="K1459">
        <v>1.1038049999999999</v>
      </c>
      <c r="L1459">
        <v>141.22799999999901</v>
      </c>
      <c r="M1459">
        <v>-0.99984919999999999</v>
      </c>
      <c r="N1459">
        <v>0</v>
      </c>
      <c r="O1459">
        <v>-1.3169719999999999E-2</v>
      </c>
      <c r="P1459">
        <v>-0.99402639999999998</v>
      </c>
      <c r="Q1459">
        <v>8.9214760000000004E-2</v>
      </c>
      <c r="R1459">
        <v>-6.2865790000000005E-2</v>
      </c>
      <c r="S1459">
        <v>-3.0354610000000002</v>
      </c>
      <c r="T1459">
        <v>-0.2597875</v>
      </c>
      <c r="U1459">
        <v>-9.0255740000000001E-2</v>
      </c>
      <c r="V1459">
        <v>-4.9763229999999999E-2</v>
      </c>
      <c r="W1459">
        <v>0.1004741</v>
      </c>
      <c r="X1459">
        <v>0.99369439999999998</v>
      </c>
      <c r="Y1459">
        <v>-1.6541E-2</v>
      </c>
      <c r="Z1459">
        <v>4.184317E-4</v>
      </c>
      <c r="AA1459">
        <v>0.9998631</v>
      </c>
      <c r="AB1459">
        <v>35</v>
      </c>
      <c r="AC1459">
        <v>-12.559199999999899</v>
      </c>
      <c r="AD1459">
        <v>-1.103807082658</v>
      </c>
      <c r="AE1459">
        <v>-0.37919999999996801</v>
      </c>
      <c r="AF1459">
        <v>-0.212118378493168</v>
      </c>
      <c r="AG1459">
        <v>-1.103807082658</v>
      </c>
      <c r="AH1459">
        <v>12.4668939022565</v>
      </c>
      <c r="AI1459">
        <v>95.058992306122505</v>
      </c>
      <c r="AJ1459">
        <v>90.974766878994302</v>
      </c>
      <c r="AK1459">
        <v>12.517460918746201</v>
      </c>
      <c r="AL1459">
        <v>84.233528046976502</v>
      </c>
      <c r="AM1459">
        <v>92.866920755507707</v>
      </c>
      <c r="AN1459">
        <v>0.99999999221110103</v>
      </c>
    </row>
    <row r="1460" spans="1:40" x14ac:dyDescent="0.3">
      <c r="A1460" t="str">
        <f>"20200111150343312"</f>
        <v>20200111150343312</v>
      </c>
      <c r="B1460" t="str">
        <f>"1578726223300020"</f>
        <v>1578726223300020</v>
      </c>
      <c r="C1460" t="s">
        <v>40</v>
      </c>
      <c r="D1460">
        <v>5.7131949999999998</v>
      </c>
      <c r="E1460">
        <v>0.51338919999999999</v>
      </c>
      <c r="F1460" t="s">
        <v>42</v>
      </c>
      <c r="G1460">
        <v>-364.3202</v>
      </c>
      <c r="H1460">
        <v>1.0129440000000001</v>
      </c>
      <c r="I1460">
        <v>141.1978</v>
      </c>
      <c r="J1460">
        <v>-363.6567</v>
      </c>
      <c r="K1460">
        <v>1.103807</v>
      </c>
      <c r="L1460">
        <v>141.2234</v>
      </c>
      <c r="M1460">
        <v>-0.99984919999999999</v>
      </c>
      <c r="N1460">
        <v>0</v>
      </c>
      <c r="O1460">
        <v>-1.316175E-2</v>
      </c>
      <c r="P1460">
        <v>-0.99394329999999997</v>
      </c>
      <c r="Q1460">
        <v>8.9821399999999996E-2</v>
      </c>
      <c r="R1460">
        <v>-6.3314529999999994E-2</v>
      </c>
      <c r="S1460">
        <v>-3.0366819999999999</v>
      </c>
      <c r="T1460">
        <v>-0.27302310000000002</v>
      </c>
      <c r="U1460">
        <v>-9.196472E-2</v>
      </c>
      <c r="V1460">
        <v>-5.0220679999999997E-2</v>
      </c>
      <c r="W1460">
        <v>0.1010823</v>
      </c>
      <c r="X1460">
        <v>0.99360970000000004</v>
      </c>
      <c r="Y1460">
        <v>-1.7095699999999998E-2</v>
      </c>
      <c r="Z1460">
        <v>4.1389029999999998E-4</v>
      </c>
      <c r="AA1460">
        <v>0.99985380000000001</v>
      </c>
      <c r="AB1460">
        <v>35</v>
      </c>
      <c r="AC1460">
        <v>-0.66349999999999898</v>
      </c>
      <c r="AD1460">
        <v>-9.0862999999999902E-2</v>
      </c>
      <c r="AE1460">
        <v>-2.5599999999997101E-2</v>
      </c>
      <c r="AF1460">
        <v>-1.65544020546044E-2</v>
      </c>
      <c r="AG1460">
        <v>-9.0862999999999902E-2</v>
      </c>
      <c r="AH1460">
        <v>0.65157799878940104</v>
      </c>
      <c r="AI1460">
        <v>97.936211468240103</v>
      </c>
      <c r="AJ1460">
        <v>91.455379658021997</v>
      </c>
      <c r="AK1460">
        <v>0.65809119543022798</v>
      </c>
      <c r="AL1460">
        <v>84.198502433558403</v>
      </c>
      <c r="AM1460">
        <v>92.893476651013899</v>
      </c>
      <c r="AN1460">
        <v>0.99999999200352097</v>
      </c>
    </row>
    <row r="1461" spans="1:40" x14ac:dyDescent="0.3">
      <c r="A1461" t="str">
        <f>"20200111150343334"</f>
        <v>20200111150343334</v>
      </c>
      <c r="B1461" t="str">
        <f>"1578726223329300"</f>
        <v>1578726223329300</v>
      </c>
      <c r="C1461" t="s">
        <v>40</v>
      </c>
      <c r="D1461">
        <v>5.6851580000000004</v>
      </c>
      <c r="E1461">
        <v>0.51354909999999998</v>
      </c>
      <c r="F1461" t="s">
        <v>42</v>
      </c>
      <c r="G1461">
        <v>-364.63240000000002</v>
      </c>
      <c r="H1461">
        <v>1.0142549999999999</v>
      </c>
      <c r="I1461">
        <v>141.1936</v>
      </c>
      <c r="J1461">
        <v>-364.00659999999999</v>
      </c>
      <c r="K1461">
        <v>1.103807</v>
      </c>
      <c r="L1461">
        <v>141.21879999999999</v>
      </c>
      <c r="M1461">
        <v>-0.99984930000000005</v>
      </c>
      <c r="N1461">
        <v>0</v>
      </c>
      <c r="O1461">
        <v>-1.315413E-2</v>
      </c>
      <c r="P1461">
        <v>-0.99394539999999998</v>
      </c>
      <c r="Q1461">
        <v>8.9830409999999999E-2</v>
      </c>
      <c r="R1461">
        <v>-6.3269179999999994E-2</v>
      </c>
      <c r="S1461">
        <v>-3.0375670000000001</v>
      </c>
      <c r="T1461">
        <v>-0.27889370000000002</v>
      </c>
      <c r="U1461">
        <v>-9.3276979999999995E-2</v>
      </c>
      <c r="V1461">
        <v>-5.0182730000000002E-2</v>
      </c>
      <c r="W1461">
        <v>0.1010928</v>
      </c>
      <c r="X1461">
        <v>0.99361060000000001</v>
      </c>
      <c r="Y1461">
        <v>-1.7523540000000001E-2</v>
      </c>
      <c r="Z1461">
        <v>4.023338E-4</v>
      </c>
      <c r="AA1461">
        <v>0.99984640000000002</v>
      </c>
      <c r="AB1461">
        <v>35</v>
      </c>
      <c r="AC1461">
        <v>-0.625800000000026</v>
      </c>
      <c r="AD1461">
        <v>-8.9552000000000007E-2</v>
      </c>
      <c r="AE1461">
        <v>-2.5199999999983898E-2</v>
      </c>
      <c r="AF1461">
        <v>-1.66255363288745E-2</v>
      </c>
      <c r="AG1461">
        <v>-8.9552000000000007E-2</v>
      </c>
      <c r="AH1461">
        <v>0.61353397914945795</v>
      </c>
      <c r="AI1461">
        <v>98.301299467294598</v>
      </c>
      <c r="AJ1461">
        <v>91.552220480670201</v>
      </c>
      <c r="AK1461">
        <v>0.62025794048378802</v>
      </c>
      <c r="AL1461">
        <v>84.197898024388195</v>
      </c>
      <c r="AM1461">
        <v>92.891291249527598</v>
      </c>
      <c r="AN1461">
        <v>1.00000004251722</v>
      </c>
    </row>
    <row r="1462" spans="1:40" x14ac:dyDescent="0.3">
      <c r="A1462" t="str">
        <f>"20200111150343357"</f>
        <v>20200111150343357</v>
      </c>
      <c r="B1462" t="str">
        <f>"1578726223349795"</f>
        <v>1578726223349795</v>
      </c>
      <c r="C1462" t="s">
        <v>40</v>
      </c>
      <c r="D1462">
        <v>5.6578530000000002</v>
      </c>
      <c r="E1462">
        <v>0.51366069999999997</v>
      </c>
      <c r="F1462" t="s">
        <v>42</v>
      </c>
      <c r="G1462">
        <v>-364.94389999999999</v>
      </c>
      <c r="H1462">
        <v>1.013565</v>
      </c>
      <c r="I1462">
        <v>141.1908</v>
      </c>
      <c r="J1462">
        <v>-364.3614</v>
      </c>
      <c r="K1462">
        <v>1.1038059999999901</v>
      </c>
      <c r="L1462">
        <v>141.21420000000001</v>
      </c>
      <c r="M1462">
        <v>-0.99984949999999995</v>
      </c>
      <c r="N1462">
        <v>0</v>
      </c>
      <c r="O1462">
        <v>-1.314627E-2</v>
      </c>
      <c r="P1462">
        <v>-0.99403520000000001</v>
      </c>
      <c r="Q1462">
        <v>8.9208190000000007E-2</v>
      </c>
      <c r="R1462">
        <v>-6.2737790000000002E-2</v>
      </c>
      <c r="S1462">
        <v>-3.0388489999999999</v>
      </c>
      <c r="T1462">
        <v>-0.2926337</v>
      </c>
      <c r="U1462">
        <v>-9.2208860000000004E-2</v>
      </c>
      <c r="V1462">
        <v>-4.9658050000000002E-2</v>
      </c>
      <c r="W1462">
        <v>0.1004732</v>
      </c>
      <c r="X1462">
        <v>0.99369980000000002</v>
      </c>
      <c r="Y1462">
        <v>-1.7167129999999999E-2</v>
      </c>
      <c r="Z1462">
        <v>4.3825420000000002E-4</v>
      </c>
      <c r="AA1462">
        <v>0.99985250000000003</v>
      </c>
      <c r="AB1462">
        <v>35</v>
      </c>
      <c r="AC1462">
        <v>-0.58249999999998103</v>
      </c>
      <c r="AD1462">
        <v>-9.0240999999999794E-2</v>
      </c>
      <c r="AE1462">
        <v>-2.3400000000009399E-2</v>
      </c>
      <c r="AF1462">
        <v>-1.53714599664414E-2</v>
      </c>
      <c r="AG1462">
        <v>-9.0240999999999794E-2</v>
      </c>
      <c r="AH1462">
        <v>0.569120271376922</v>
      </c>
      <c r="AI1462">
        <v>99.006708365121</v>
      </c>
      <c r="AJ1462">
        <v>91.547134689929393</v>
      </c>
      <c r="AK1462">
        <v>0.57643525495465697</v>
      </c>
      <c r="AL1462">
        <v>84.233580147229006</v>
      </c>
      <c r="AM1462">
        <v>92.860855763050495</v>
      </c>
      <c r="AN1462">
        <v>1.00000003918404</v>
      </c>
    </row>
    <row r="1463" spans="1:40" x14ac:dyDescent="0.3">
      <c r="A1463" t="str">
        <f>"20200111150343379"</f>
        <v>20200111150343379</v>
      </c>
      <c r="B1463" t="str">
        <f>"1578726223370291"</f>
        <v>1578726223370291</v>
      </c>
      <c r="C1463" t="s">
        <v>40</v>
      </c>
      <c r="D1463">
        <v>5.9380379999999997</v>
      </c>
      <c r="E1463">
        <v>0.4945599</v>
      </c>
      <c r="F1463" t="s">
        <v>42</v>
      </c>
      <c r="G1463">
        <v>-365.25659999999999</v>
      </c>
      <c r="H1463">
        <v>1.0152330000000001</v>
      </c>
      <c r="I1463">
        <v>141.18780000000001</v>
      </c>
      <c r="J1463">
        <v>-364.70359999999999</v>
      </c>
      <c r="K1463">
        <v>1.1038030000000001</v>
      </c>
      <c r="L1463">
        <v>141.2097</v>
      </c>
      <c r="M1463">
        <v>-0.99984960000000001</v>
      </c>
      <c r="N1463">
        <v>0</v>
      </c>
      <c r="O1463">
        <v>-1.313865E-2</v>
      </c>
      <c r="P1463">
        <v>-0.99412540000000005</v>
      </c>
      <c r="Q1463">
        <v>8.8626559999999993E-2</v>
      </c>
      <c r="R1463">
        <v>-6.213163E-2</v>
      </c>
      <c r="S1463">
        <v>-3.0393680000000001</v>
      </c>
      <c r="T1463">
        <v>-0.30073440000000001</v>
      </c>
      <c r="U1463">
        <v>-8.9706419999999995E-2</v>
      </c>
      <c r="V1463">
        <v>-4.9058200000000003E-2</v>
      </c>
      <c r="W1463">
        <v>9.9894369999999996E-2</v>
      </c>
      <c r="X1463">
        <v>0.99378789999999995</v>
      </c>
      <c r="Y1463">
        <v>-1.635E-2</v>
      </c>
      <c r="Z1463">
        <v>4.8982569999999996E-4</v>
      </c>
      <c r="AA1463">
        <v>0.99986620000000004</v>
      </c>
      <c r="AB1463">
        <v>35</v>
      </c>
      <c r="AC1463">
        <v>-0.55299999999999705</v>
      </c>
      <c r="AD1463">
        <v>-8.8569999999999996E-2</v>
      </c>
      <c r="AE1463">
        <v>-2.1899999999987999E-2</v>
      </c>
      <c r="AF1463">
        <v>-1.4266575733695301E-2</v>
      </c>
      <c r="AG1463">
        <v>-8.8569999999999996E-2</v>
      </c>
      <c r="AH1463">
        <v>0.53942431402052404</v>
      </c>
      <c r="AI1463">
        <v>99.321196223680403</v>
      </c>
      <c r="AJ1463">
        <v>91.5149930149325</v>
      </c>
      <c r="AK1463">
        <v>0.54683340300285099</v>
      </c>
      <c r="AL1463">
        <v>84.266912082296898</v>
      </c>
      <c r="AM1463">
        <v>92.826103958037095</v>
      </c>
      <c r="AN1463">
        <v>0.99999999116567295</v>
      </c>
    </row>
    <row r="1464" spans="1:40" x14ac:dyDescent="0.3">
      <c r="A1464" t="str">
        <f>"20200111150343402"</f>
        <v>20200111150343402</v>
      </c>
      <c r="B1464" t="str">
        <f>"1578726223389811"</f>
        <v>1578726223389811</v>
      </c>
      <c r="C1464" t="s">
        <v>40</v>
      </c>
      <c r="D1464">
        <v>5.8721589999999999</v>
      </c>
      <c r="E1464">
        <v>0.51246210000000003</v>
      </c>
      <c r="F1464" t="s">
        <v>44</v>
      </c>
      <c r="G1464">
        <v>0</v>
      </c>
      <c r="H1464">
        <v>0</v>
      </c>
      <c r="I1464">
        <v>0</v>
      </c>
      <c r="J1464">
        <v>-365.05700000000002</v>
      </c>
      <c r="K1464">
        <v>1.103801</v>
      </c>
      <c r="L1464">
        <v>141.20500000000001</v>
      </c>
      <c r="M1464">
        <v>-0.99984969999999995</v>
      </c>
      <c r="N1464">
        <v>0</v>
      </c>
      <c r="O1464">
        <v>-1.313103E-2</v>
      </c>
      <c r="P1464">
        <v>-0.99411910000000003</v>
      </c>
      <c r="Q1464">
        <v>8.8797109999999999E-2</v>
      </c>
      <c r="R1464">
        <v>-6.1987809999999997E-2</v>
      </c>
      <c r="S1464">
        <v>-2.924347</v>
      </c>
      <c r="T1464">
        <v>0.89423009999999903</v>
      </c>
      <c r="U1464">
        <v>-0.2185059</v>
      </c>
      <c r="V1464">
        <v>-4.8921819999999998E-2</v>
      </c>
      <c r="W1464">
        <v>0.10006660000000001</v>
      </c>
      <c r="X1464">
        <v>0.99377729999999997</v>
      </c>
      <c r="Y1464">
        <v>-5.931123E-2</v>
      </c>
      <c r="Z1464">
        <v>4.9339900000000001E-3</v>
      </c>
      <c r="AA1464">
        <v>0.99822739999999999</v>
      </c>
      <c r="AB1464">
        <v>35</v>
      </c>
      <c r="AC1464">
        <v>-2.924347</v>
      </c>
      <c r="AD1464">
        <v>0.89423009999999903</v>
      </c>
      <c r="AE1464">
        <v>-0.2185059</v>
      </c>
      <c r="AF1464">
        <v>-0.164763980708312</v>
      </c>
      <c r="AG1464">
        <v>0.89423009999999903</v>
      </c>
      <c r="AH1464">
        <v>2.67794941103045</v>
      </c>
      <c r="AI1464">
        <v>71.567120322806502</v>
      </c>
      <c r="AJ1464">
        <v>93.520751993064906</v>
      </c>
      <c r="AK1464">
        <v>2.8281102682044001</v>
      </c>
      <c r="AL1464">
        <v>84.256994360910895</v>
      </c>
      <c r="AM1464">
        <v>92.818290188351099</v>
      </c>
      <c r="AN1464">
        <v>0.99999999545148099</v>
      </c>
    </row>
    <row r="1465" spans="1:40" x14ac:dyDescent="0.3">
      <c r="A1465" t="str">
        <f>"20200111150343423"</f>
        <v>20200111150343423</v>
      </c>
      <c r="B1465" t="str">
        <f>"1578726223420067"</f>
        <v>1578726223420067</v>
      </c>
      <c r="C1465" t="s">
        <v>40</v>
      </c>
      <c r="D1465">
        <v>5.6702240000000002</v>
      </c>
      <c r="E1465">
        <v>0.51991809999999905</v>
      </c>
      <c r="F1465" t="s">
        <v>41</v>
      </c>
      <c r="G1465">
        <v>-387.28230000000002</v>
      </c>
      <c r="H1465" s="1">
        <v>-1.3871180000000001E-6</v>
      </c>
      <c r="I1465">
        <v>140.51410000000001</v>
      </c>
      <c r="J1465">
        <v>-365.39550000000003</v>
      </c>
      <c r="K1465">
        <v>1.1037969999999999</v>
      </c>
      <c r="L1465">
        <v>141.20060000000001</v>
      </c>
      <c r="M1465">
        <v>-0.99984969999999995</v>
      </c>
      <c r="N1465">
        <v>0</v>
      </c>
      <c r="O1465">
        <v>-1.312377E-2</v>
      </c>
      <c r="P1465">
        <v>-0.99407719999999999</v>
      </c>
      <c r="Q1465">
        <v>8.9158089999999995E-2</v>
      </c>
      <c r="R1465">
        <v>-6.2142059999999999E-2</v>
      </c>
      <c r="S1465">
        <v>-3.025299</v>
      </c>
      <c r="T1465">
        <v>-0.15024989999999999</v>
      </c>
      <c r="U1465">
        <v>-9.4039919999999999E-2</v>
      </c>
      <c r="V1465">
        <v>-4.9084450000000002E-2</v>
      </c>
      <c r="W1465">
        <v>0.10042860000000001</v>
      </c>
      <c r="X1465">
        <v>0.99373279999999997</v>
      </c>
      <c r="Y1465">
        <v>-1.7942610000000001E-2</v>
      </c>
      <c r="Z1465">
        <v>2.060477E-4</v>
      </c>
      <c r="AA1465">
        <v>0.99983900000000003</v>
      </c>
      <c r="AB1465">
        <v>35</v>
      </c>
      <c r="AC1465">
        <v>-21.886799999999901</v>
      </c>
      <c r="AD1465">
        <v>-1.1037983871179999</v>
      </c>
      <c r="AE1465">
        <v>-0.686499999999995</v>
      </c>
      <c r="AF1465">
        <v>-0.39817338760461002</v>
      </c>
      <c r="AG1465">
        <v>-1.1037983871179999</v>
      </c>
      <c r="AH1465">
        <v>21.8384355804872</v>
      </c>
      <c r="AI1465">
        <v>92.893006388686103</v>
      </c>
      <c r="AJ1465">
        <v>91.044540349794701</v>
      </c>
      <c r="AK1465">
        <v>21.869937849227899</v>
      </c>
      <c r="AL1465">
        <v>84.2361484902803</v>
      </c>
      <c r="AM1465">
        <v>92.827770222359305</v>
      </c>
      <c r="AN1465">
        <v>1.0000000323628</v>
      </c>
    </row>
    <row r="1466" spans="1:40" x14ac:dyDescent="0.3">
      <c r="A1466" t="str">
        <f>"20200111150343446"</f>
        <v>20200111150343446</v>
      </c>
      <c r="B1466" t="str">
        <f>"1578726223439587"</f>
        <v>1578726223439587</v>
      </c>
      <c r="C1466" t="s">
        <v>40</v>
      </c>
      <c r="D1466">
        <v>5.6778420000000001</v>
      </c>
      <c r="E1466">
        <v>0.51350490000000004</v>
      </c>
      <c r="F1466" t="s">
        <v>44</v>
      </c>
      <c r="G1466">
        <v>0</v>
      </c>
      <c r="H1466">
        <v>0</v>
      </c>
      <c r="I1466">
        <v>0</v>
      </c>
      <c r="J1466">
        <v>-365.75839999999999</v>
      </c>
      <c r="K1466">
        <v>1.1038019999999999</v>
      </c>
      <c r="L1466">
        <v>141.19589999999999</v>
      </c>
      <c r="M1466">
        <v>-0.99984969999999995</v>
      </c>
      <c r="N1466">
        <v>0</v>
      </c>
      <c r="O1466">
        <v>-1.3115949999999999E-2</v>
      </c>
      <c r="P1466">
        <v>-0.99404420000000004</v>
      </c>
      <c r="Q1466">
        <v>8.9514419999999997E-2</v>
      </c>
      <c r="R1466">
        <v>-6.2157690000000002E-2</v>
      </c>
      <c r="S1466">
        <v>-2.951355</v>
      </c>
      <c r="T1466">
        <v>0.72765349999999995</v>
      </c>
      <c r="U1466">
        <v>-2.0080569999999999E-2</v>
      </c>
      <c r="V1466">
        <v>-4.9107749999999999E-2</v>
      </c>
      <c r="W1466">
        <v>0.10079390000000001</v>
      </c>
      <c r="X1466">
        <v>0.99369459999999998</v>
      </c>
      <c r="Y1466">
        <v>5.7485219999999998E-3</v>
      </c>
      <c r="Z1466">
        <v>-3.8842709999999999E-3</v>
      </c>
      <c r="AA1466">
        <v>0.99997590000000003</v>
      </c>
      <c r="AB1466">
        <v>35</v>
      </c>
      <c r="AC1466">
        <v>-2.951355</v>
      </c>
      <c r="AD1466">
        <v>0.72765349999999995</v>
      </c>
      <c r="AE1466">
        <v>-2.0080569999999999E-2</v>
      </c>
      <c r="AF1466">
        <v>1.7565760689558799E-2</v>
      </c>
      <c r="AG1466">
        <v>0.72765349999999995</v>
      </c>
      <c r="AH1466">
        <v>2.7822494247946099</v>
      </c>
      <c r="AI1466">
        <v>75.343754581757594</v>
      </c>
      <c r="AJ1466">
        <v>89.638267306167705</v>
      </c>
      <c r="AK1466">
        <v>2.87588247913241</v>
      </c>
      <c r="AL1466">
        <v>84.215111233920695</v>
      </c>
      <c r="AM1466">
        <v>92.829218943341601</v>
      </c>
      <c r="AN1466">
        <v>0.99999996972821503</v>
      </c>
    </row>
    <row r="1467" spans="1:40" x14ac:dyDescent="0.3">
      <c r="A1467" t="str">
        <f>"20200111150343469"</f>
        <v>20200111150343469</v>
      </c>
      <c r="B1467" t="str">
        <f>"1578726223460087"</f>
        <v>1578726223460087</v>
      </c>
      <c r="C1467" t="s">
        <v>40</v>
      </c>
      <c r="D1467">
        <v>5.7200189999999997</v>
      </c>
      <c r="E1467">
        <v>0.50272209999999995</v>
      </c>
      <c r="F1467" t="s">
        <v>42</v>
      </c>
      <c r="G1467">
        <v>-366.50540000000001</v>
      </c>
      <c r="H1467">
        <v>1.0152969999999999</v>
      </c>
      <c r="I1467">
        <v>141.17410000000001</v>
      </c>
      <c r="J1467">
        <v>-366.11189999999999</v>
      </c>
      <c r="K1467">
        <v>1.1038049999999999</v>
      </c>
      <c r="L1467">
        <v>141.19120000000001</v>
      </c>
      <c r="M1467">
        <v>-0.99984949999999995</v>
      </c>
      <c r="N1467">
        <v>0</v>
      </c>
      <c r="O1467">
        <v>-1.3108470000000001E-2</v>
      </c>
      <c r="P1467">
        <v>-0.99394839999999995</v>
      </c>
      <c r="Q1467">
        <v>8.9996989999999999E-2</v>
      </c>
      <c r="R1467">
        <v>-6.2986269999999997E-2</v>
      </c>
      <c r="S1467">
        <v>-3.044861</v>
      </c>
      <c r="T1467">
        <v>-0.36081649999999998</v>
      </c>
      <c r="U1467">
        <v>-8.9736940000000001E-2</v>
      </c>
      <c r="V1467">
        <v>-4.9945240000000002E-2</v>
      </c>
      <c r="W1467">
        <v>0.1013015</v>
      </c>
      <c r="X1467">
        <v>0.99360130000000002</v>
      </c>
      <c r="Y1467">
        <v>-1.6330150000000002E-2</v>
      </c>
      <c r="Z1467">
        <v>5.8361739999999995E-4</v>
      </c>
      <c r="AA1467">
        <v>0.99986649999999999</v>
      </c>
      <c r="AB1467">
        <v>35</v>
      </c>
      <c r="AC1467">
        <v>-0.393500000000017</v>
      </c>
      <c r="AD1467">
        <v>-8.8508000000000003E-2</v>
      </c>
      <c r="AE1467">
        <v>-1.7099999999999199E-2</v>
      </c>
      <c r="AF1467">
        <v>-1.1366074249118001E-2</v>
      </c>
      <c r="AG1467">
        <v>-8.8508000000000003E-2</v>
      </c>
      <c r="AH1467">
        <v>0.37476619493250701</v>
      </c>
      <c r="AI1467">
        <v>103.282094755573</v>
      </c>
      <c r="AJ1467">
        <v>91.737159149883993</v>
      </c>
      <c r="AK1467">
        <v>0.385243500363116</v>
      </c>
      <c r="AL1467">
        <v>84.185878632560105</v>
      </c>
      <c r="AM1467">
        <v>92.877658142392306</v>
      </c>
      <c r="AN1467">
        <v>1.0000000321312901</v>
      </c>
    </row>
    <row r="1468" spans="1:40" x14ac:dyDescent="0.3">
      <c r="A1468" t="str">
        <f>"20200111150343490"</f>
        <v>20200111150343490</v>
      </c>
      <c r="B1468" t="str">
        <f>"1578726223479603"</f>
        <v>1578726223479603</v>
      </c>
      <c r="C1468" t="s">
        <v>40</v>
      </c>
      <c r="D1468">
        <v>5.6890039999999997</v>
      </c>
      <c r="E1468">
        <v>0.49041509999999999</v>
      </c>
      <c r="F1468" t="s">
        <v>41</v>
      </c>
      <c r="G1468">
        <v>-380.33920000000001</v>
      </c>
      <c r="H1468" s="1">
        <v>-4.2933320000000001E-6</v>
      </c>
      <c r="I1468">
        <v>140.3646</v>
      </c>
      <c r="J1468">
        <v>-366.44229999999999</v>
      </c>
      <c r="K1468">
        <v>1.1038129999999999</v>
      </c>
      <c r="L1468">
        <v>141.18690000000001</v>
      </c>
      <c r="M1468">
        <v>-0.99984910000000005</v>
      </c>
      <c r="N1468">
        <v>0</v>
      </c>
      <c r="O1468">
        <v>-1.309868E-2</v>
      </c>
      <c r="P1468">
        <v>-0.99386439999999998</v>
      </c>
      <c r="Q1468">
        <v>9.0501460000000006E-2</v>
      </c>
      <c r="R1468">
        <v>-6.3587580000000005E-2</v>
      </c>
      <c r="S1468">
        <v>-3.028381</v>
      </c>
      <c r="T1468">
        <v>-0.23495350000000001</v>
      </c>
      <c r="U1468">
        <v>-0.1759338</v>
      </c>
      <c r="V1468">
        <v>-5.055689E-2</v>
      </c>
      <c r="W1468">
        <v>0.10184940000000001</v>
      </c>
      <c r="X1468">
        <v>0.99351429999999996</v>
      </c>
      <c r="Y1468">
        <v>-4.4819779999999997E-2</v>
      </c>
      <c r="Z1468">
        <v>-7.2076240000000004E-4</v>
      </c>
      <c r="AA1468">
        <v>0.99899479999999996</v>
      </c>
      <c r="AB1468">
        <v>35</v>
      </c>
      <c r="AC1468">
        <v>-13.8969</v>
      </c>
      <c r="AD1468">
        <v>-1.1038172933319901</v>
      </c>
      <c r="AE1468">
        <v>-0.82230000000001202</v>
      </c>
      <c r="AF1468">
        <v>-0.63618686643742905</v>
      </c>
      <c r="AG1468">
        <v>-1.1038172933319901</v>
      </c>
      <c r="AH1468">
        <v>13.819596127716499</v>
      </c>
      <c r="AI1468">
        <v>94.561899344984496</v>
      </c>
      <c r="AJ1468">
        <v>92.635757624347306</v>
      </c>
      <c r="AK1468">
        <v>13.8781981351789</v>
      </c>
      <c r="AL1468">
        <v>84.154322770159794</v>
      </c>
      <c r="AM1468">
        <v>92.913093438071201</v>
      </c>
      <c r="AN1468">
        <v>0.99999998185565997</v>
      </c>
    </row>
    <row r="1469" spans="1:40" x14ac:dyDescent="0.3">
      <c r="A1469" t="str">
        <f>"20200111150343512"</f>
        <v>20200111150343512</v>
      </c>
      <c r="B1469" t="str">
        <f>"1578726223509860"</f>
        <v>1578726223509860</v>
      </c>
      <c r="C1469" t="s">
        <v>40</v>
      </c>
      <c r="D1469">
        <v>5.7455530000000001</v>
      </c>
      <c r="E1469">
        <v>0.48330810000000002</v>
      </c>
      <c r="F1469" t="s">
        <v>41</v>
      </c>
      <c r="G1469">
        <v>-379.02569999999997</v>
      </c>
      <c r="H1469" s="1">
        <v>-5.1245790000000003E-7</v>
      </c>
      <c r="I1469">
        <v>140.0378</v>
      </c>
      <c r="J1469">
        <v>-366.79640000000001</v>
      </c>
      <c r="K1469">
        <v>1.1038239999999999</v>
      </c>
      <c r="L1469">
        <v>141.1823</v>
      </c>
      <c r="M1469">
        <v>-0.99984870000000003</v>
      </c>
      <c r="N1469">
        <v>0</v>
      </c>
      <c r="O1469">
        <v>-1.3084419999999999E-2</v>
      </c>
      <c r="P1469">
        <v>-0.99386890000000006</v>
      </c>
      <c r="Q1469">
        <v>9.0457309999999999E-2</v>
      </c>
      <c r="R1469">
        <v>-6.3578899999999994E-2</v>
      </c>
      <c r="S1469">
        <v>-3.0250240000000002</v>
      </c>
      <c r="T1469">
        <v>-0.26535500000000001</v>
      </c>
      <c r="U1469">
        <v>-0.27621459999999998</v>
      </c>
      <c r="V1469">
        <v>-5.0561559999999998E-2</v>
      </c>
      <c r="W1469">
        <v>0.1018631</v>
      </c>
      <c r="X1469">
        <v>0.99351270000000003</v>
      </c>
      <c r="Y1469">
        <v>-7.7646930000000003E-2</v>
      </c>
      <c r="Z1469">
        <v>-2.248969E-3</v>
      </c>
      <c r="AA1469">
        <v>0.99697840000000004</v>
      </c>
      <c r="AB1469">
        <v>35</v>
      </c>
      <c r="AC1469">
        <v>-12.229299999999901</v>
      </c>
      <c r="AD1469">
        <v>-1.10382451245789</v>
      </c>
      <c r="AE1469">
        <v>-1.1444999999999901</v>
      </c>
      <c r="AF1469">
        <v>-0.97649181257758799</v>
      </c>
      <c r="AG1469">
        <v>-1.10382451245789</v>
      </c>
      <c r="AH1469">
        <v>12.145141895151299</v>
      </c>
      <c r="AI1469">
        <v>95.176508587367707</v>
      </c>
      <c r="AJ1469">
        <v>94.596798116988893</v>
      </c>
      <c r="AK1469">
        <v>12.2342321568496</v>
      </c>
      <c r="AL1469">
        <v>84.1535339601283</v>
      </c>
      <c r="AM1469">
        <v>92.913366744154601</v>
      </c>
      <c r="AN1469">
        <v>1.0000000237762601</v>
      </c>
    </row>
    <row r="1470" spans="1:40" x14ac:dyDescent="0.3">
      <c r="A1470" t="str">
        <f>"20200111150343536"</f>
        <v>20200111150343536</v>
      </c>
      <c r="B1470" t="str">
        <f>"1578726223530355"</f>
        <v>1578726223530355</v>
      </c>
      <c r="C1470" t="s">
        <v>40</v>
      </c>
      <c r="D1470">
        <v>5.6278620000000004</v>
      </c>
      <c r="E1470">
        <v>0.48101169999999999</v>
      </c>
      <c r="F1470" t="s">
        <v>41</v>
      </c>
      <c r="G1470">
        <v>-379.44290000000001</v>
      </c>
      <c r="H1470" s="1">
        <v>-2.6741739999999999E-7</v>
      </c>
      <c r="I1470">
        <v>139.7895</v>
      </c>
      <c r="J1470">
        <v>-367.15609999999998</v>
      </c>
      <c r="K1470">
        <v>1.1038319999999999</v>
      </c>
      <c r="L1470">
        <v>141.17760000000001</v>
      </c>
      <c r="M1470">
        <v>-0.99984819999999996</v>
      </c>
      <c r="N1470">
        <v>0</v>
      </c>
      <c r="O1470">
        <v>-1.3060179999999999E-2</v>
      </c>
      <c r="P1470">
        <v>-0.99385699999999999</v>
      </c>
      <c r="Q1470">
        <v>9.0391780000000005E-2</v>
      </c>
      <c r="R1470">
        <v>-6.3856389999999999E-2</v>
      </c>
      <c r="S1470">
        <v>-3.02121</v>
      </c>
      <c r="T1470">
        <v>-0.26370100000000002</v>
      </c>
      <c r="U1470">
        <v>-0.33271790000000001</v>
      </c>
      <c r="V1470">
        <v>-5.0861879999999998E-2</v>
      </c>
      <c r="W1470">
        <v>0.1018679</v>
      </c>
      <c r="X1470">
        <v>0.99349679999999996</v>
      </c>
      <c r="Y1470">
        <v>-9.6161629999999998E-2</v>
      </c>
      <c r="Z1470">
        <v>-3.0419240000000001E-3</v>
      </c>
      <c r="AA1470">
        <v>0.9953611</v>
      </c>
      <c r="AB1470">
        <v>35</v>
      </c>
      <c r="AC1470">
        <v>-12.286799999999999</v>
      </c>
      <c r="AD1470">
        <v>-1.1038322674173999</v>
      </c>
      <c r="AE1470">
        <v>-1.3880999999999999</v>
      </c>
      <c r="AF1470">
        <v>-1.21779809537646</v>
      </c>
      <c r="AG1470">
        <v>-1.1038322674173999</v>
      </c>
      <c r="AH1470">
        <v>12.2066037999156</v>
      </c>
      <c r="AI1470">
        <v>95.141764825697607</v>
      </c>
      <c r="AJ1470">
        <v>95.697290758983598</v>
      </c>
      <c r="AK1470">
        <v>12.316763138252201</v>
      </c>
      <c r="AL1470">
        <v>84.153257044513396</v>
      </c>
      <c r="AM1470">
        <v>92.930687982980999</v>
      </c>
      <c r="AN1470">
        <v>0.99999994574888995</v>
      </c>
    </row>
    <row r="1471" spans="1:40" x14ac:dyDescent="0.3">
      <c r="A1471" t="str">
        <f>"20200111150343558"</f>
        <v>20200111150343558</v>
      </c>
      <c r="B1471" t="str">
        <f>"1578726223549878"</f>
        <v>1578726223549878</v>
      </c>
      <c r="C1471" t="s">
        <v>40</v>
      </c>
      <c r="D1471">
        <v>5.6356099999999998</v>
      </c>
      <c r="E1471">
        <v>0.47977219999999998</v>
      </c>
      <c r="F1471" t="s">
        <v>41</v>
      </c>
      <c r="G1471">
        <v>-379.80380000000002</v>
      </c>
      <c r="H1471" s="1">
        <v>-9.0092039999999904E-8</v>
      </c>
      <c r="I1471">
        <v>139.70500000000001</v>
      </c>
      <c r="J1471">
        <v>-367.50889999999998</v>
      </c>
      <c r="K1471">
        <v>1.103831</v>
      </c>
      <c r="L1471">
        <v>141.173</v>
      </c>
      <c r="M1471">
        <v>-0.99984779999999995</v>
      </c>
      <c r="N1471">
        <v>0</v>
      </c>
      <c r="O1471">
        <v>-1.3019340000000001E-2</v>
      </c>
      <c r="P1471">
        <v>-0.99380460000000004</v>
      </c>
      <c r="Q1471">
        <v>9.0732980000000005E-2</v>
      </c>
      <c r="R1471">
        <v>-6.4188389999999998E-2</v>
      </c>
      <c r="S1471">
        <v>-3.0199280000000002</v>
      </c>
      <c r="T1471">
        <v>-0.26356600000000002</v>
      </c>
      <c r="U1471">
        <v>-0.35160829999999998</v>
      </c>
      <c r="V1471">
        <v>-5.1232489999999999E-2</v>
      </c>
      <c r="W1471">
        <v>0.10228859999999999</v>
      </c>
      <c r="X1471">
        <v>0.99343459999999995</v>
      </c>
      <c r="Y1471">
        <v>-0.1023705</v>
      </c>
      <c r="Z1471">
        <v>-3.3136659999999998E-3</v>
      </c>
      <c r="AA1471">
        <v>0.99474079999999998</v>
      </c>
      <c r="AB1471">
        <v>35</v>
      </c>
      <c r="AC1471">
        <v>-12.2949</v>
      </c>
      <c r="AD1471">
        <v>-1.1038310900920401</v>
      </c>
      <c r="AE1471">
        <v>-1.46799999999998</v>
      </c>
      <c r="AF1471">
        <v>-1.2974820892166601</v>
      </c>
      <c r="AG1471">
        <v>-1.1038310900920401</v>
      </c>
      <c r="AH1471">
        <v>12.215890819018099</v>
      </c>
      <c r="AI1471">
        <v>95.134514850326696</v>
      </c>
      <c r="AJ1471">
        <v>96.062806111689</v>
      </c>
      <c r="AK1471">
        <v>12.3340946708489</v>
      </c>
      <c r="AL1471">
        <v>84.129026543902697</v>
      </c>
      <c r="AM1471">
        <v>92.952189590184602</v>
      </c>
      <c r="AN1471">
        <v>1.00000001509935</v>
      </c>
    </row>
    <row r="1472" spans="1:40" x14ac:dyDescent="0.3">
      <c r="A1472" t="str">
        <f>"20200111150343580"</f>
        <v>20200111150343580</v>
      </c>
      <c r="B1472" t="str">
        <f>"1578726223570372"</f>
        <v>1578726223570372</v>
      </c>
      <c r="C1472" t="s">
        <v>40</v>
      </c>
      <c r="D1472">
        <v>5.6414099999999996</v>
      </c>
      <c r="E1472">
        <v>0.47846810000000001</v>
      </c>
      <c r="F1472" t="s">
        <v>41</v>
      </c>
      <c r="G1472">
        <v>-379.6481</v>
      </c>
      <c r="H1472" s="1">
        <v>-1.6022010000000001E-7</v>
      </c>
      <c r="I1472">
        <v>139.7174</v>
      </c>
      <c r="J1472">
        <v>-367.84059999999999</v>
      </c>
      <c r="K1472">
        <v>1.103834</v>
      </c>
      <c r="L1472">
        <v>141.1688</v>
      </c>
      <c r="M1472">
        <v>-0.99984740000000005</v>
      </c>
      <c r="N1472">
        <v>0</v>
      </c>
      <c r="O1472">
        <v>-1.296639E-2</v>
      </c>
      <c r="P1472">
        <v>-0.99370119999999895</v>
      </c>
      <c r="Q1472">
        <v>9.1900270000000006E-2</v>
      </c>
      <c r="R1472">
        <v>-6.4128640000000001E-2</v>
      </c>
      <c r="S1472">
        <v>-3.0203549999999999</v>
      </c>
      <c r="T1472">
        <v>-0.27464450000000001</v>
      </c>
      <c r="U1472">
        <v>-0.36215209999999998</v>
      </c>
      <c r="V1472">
        <v>-5.1222950000000003E-2</v>
      </c>
      <c r="W1472">
        <v>0.1035455</v>
      </c>
      <c r="X1472">
        <v>0.99330479999999999</v>
      </c>
      <c r="Y1472">
        <v>-0.1057886</v>
      </c>
      <c r="Z1472">
        <v>-3.6105389999999998E-3</v>
      </c>
      <c r="AA1472">
        <v>0.99438210000000005</v>
      </c>
      <c r="AB1472">
        <v>35</v>
      </c>
      <c r="AC1472">
        <v>-11.807499999999999</v>
      </c>
      <c r="AD1472">
        <v>-1.1038341602201001</v>
      </c>
      <c r="AE1472">
        <v>-1.4514</v>
      </c>
      <c r="AF1472">
        <v>-1.2870856415979599</v>
      </c>
      <c r="AG1472">
        <v>-1.1038341602201001</v>
      </c>
      <c r="AH1472">
        <v>11.7243866546987</v>
      </c>
      <c r="AI1472">
        <v>95.346529162279396</v>
      </c>
      <c r="AJ1472">
        <v>96.264759193804693</v>
      </c>
      <c r="AK1472">
        <v>11.8463615397705</v>
      </c>
      <c r="AL1472">
        <v>84.056626601735502</v>
      </c>
      <c r="AM1472">
        <v>92.9520258584283</v>
      </c>
      <c r="AN1472">
        <v>0.99999994343999399</v>
      </c>
    </row>
    <row r="1473" spans="1:40" x14ac:dyDescent="0.3">
      <c r="A1473" t="str">
        <f>"20200111150343602"</f>
        <v>20200111150343602</v>
      </c>
      <c r="B1473" t="str">
        <f>"1578726223599652"</f>
        <v>1578726223599652</v>
      </c>
      <c r="C1473" t="s">
        <v>40</v>
      </c>
      <c r="D1473">
        <v>5.6518980000000001</v>
      </c>
      <c r="E1473">
        <v>0.4765818</v>
      </c>
      <c r="F1473" t="s">
        <v>41</v>
      </c>
      <c r="G1473">
        <v>-380.0498</v>
      </c>
      <c r="H1473" s="1">
        <v>-4.2625699999999899E-6</v>
      </c>
      <c r="I1473">
        <v>139.6601</v>
      </c>
      <c r="J1473">
        <v>-368.19189999999998</v>
      </c>
      <c r="K1473">
        <v>1.1038570000000001</v>
      </c>
      <c r="L1473">
        <v>141.1643</v>
      </c>
      <c r="M1473">
        <v>-0.99984660000000003</v>
      </c>
      <c r="N1473">
        <v>0</v>
      </c>
      <c r="O1473">
        <v>-1.2904499999999999E-2</v>
      </c>
      <c r="P1473">
        <v>-0.99384019999999995</v>
      </c>
      <c r="Q1473">
        <v>9.1398220000000002E-2</v>
      </c>
      <c r="R1473">
        <v>-6.267847E-2</v>
      </c>
      <c r="S1473">
        <v>-3.0201720000000001</v>
      </c>
      <c r="T1473">
        <v>-0.2730553</v>
      </c>
      <c r="U1473">
        <v>-0.37318420000000002</v>
      </c>
      <c r="V1473">
        <v>-4.982984E-2</v>
      </c>
      <c r="W1473">
        <v>0.1031946</v>
      </c>
      <c r="X1473">
        <v>0.99341230000000003</v>
      </c>
      <c r="Y1473">
        <v>-0.10942540000000001</v>
      </c>
      <c r="Z1473">
        <v>-3.7581799999999999E-3</v>
      </c>
      <c r="AA1473">
        <v>0.99398790000000004</v>
      </c>
      <c r="AB1473">
        <v>35</v>
      </c>
      <c r="AC1473">
        <v>-11.857900000000001</v>
      </c>
      <c r="AD1473">
        <v>-1.1038612625699999</v>
      </c>
      <c r="AE1473">
        <v>-1.50419999999999</v>
      </c>
      <c r="AF1473">
        <v>-1.33961858412683</v>
      </c>
      <c r="AG1473">
        <v>-1.1038612625699999</v>
      </c>
      <c r="AH1473">
        <v>11.775892267243201</v>
      </c>
      <c r="AI1473">
        <v>95.3210835666588</v>
      </c>
      <c r="AJ1473">
        <v>96.490033888500406</v>
      </c>
      <c r="AK1473">
        <v>11.9031393475695</v>
      </c>
      <c r="AL1473">
        <v>84.076840716792503</v>
      </c>
      <c r="AM1473">
        <v>92.871565669608898</v>
      </c>
      <c r="AN1473">
        <v>1.0000000681074299</v>
      </c>
    </row>
    <row r="1474" spans="1:40" x14ac:dyDescent="0.3">
      <c r="A1474" t="str">
        <f>"20200111150343625"</f>
        <v>20200111150343625</v>
      </c>
      <c r="B1474" t="str">
        <f>"1578726223620148"</f>
        <v>1578726223620148</v>
      </c>
      <c r="C1474" t="s">
        <v>40</v>
      </c>
      <c r="D1474">
        <v>5.5483330000000004</v>
      </c>
      <c r="E1474">
        <v>0.47570210000000002</v>
      </c>
      <c r="F1474" t="s">
        <v>41</v>
      </c>
      <c r="G1474">
        <v>-380.02199999999999</v>
      </c>
      <c r="H1474" s="1">
        <v>-4.2730119999999999E-6</v>
      </c>
      <c r="I1474">
        <v>139.65440000000001</v>
      </c>
      <c r="J1474">
        <v>-368.5403</v>
      </c>
      <c r="K1474">
        <v>1.1039000000000001</v>
      </c>
      <c r="L1474">
        <v>141.15989999999999</v>
      </c>
      <c r="M1474">
        <v>-0.99984470000000003</v>
      </c>
      <c r="N1474">
        <v>0</v>
      </c>
      <c r="O1474">
        <v>-1.28351E-2</v>
      </c>
      <c r="P1474">
        <v>-0.9938941</v>
      </c>
      <c r="Q1474">
        <v>9.174214E-2</v>
      </c>
      <c r="R1474">
        <v>-6.1305810000000002E-2</v>
      </c>
      <c r="S1474">
        <v>-3.020203</v>
      </c>
      <c r="T1474">
        <v>-0.28181509999999999</v>
      </c>
      <c r="U1474">
        <v>-0.38545230000000003</v>
      </c>
      <c r="V1474">
        <v>-4.8523320000000002E-2</v>
      </c>
      <c r="W1474">
        <v>0.1037585</v>
      </c>
      <c r="X1474">
        <v>0.99341820000000003</v>
      </c>
      <c r="Y1474">
        <v>-0.11342480000000001</v>
      </c>
      <c r="Z1474">
        <v>-4.0691019999999998E-3</v>
      </c>
      <c r="AA1474">
        <v>0.99353829999999999</v>
      </c>
      <c r="AB1474">
        <v>35</v>
      </c>
      <c r="AC1474">
        <v>-11.481699999999901</v>
      </c>
      <c r="AD1474">
        <v>-1.1039042730119999</v>
      </c>
      <c r="AE1474">
        <v>-1.5054999999999801</v>
      </c>
      <c r="AF1474">
        <v>-1.34576672326068</v>
      </c>
      <c r="AG1474">
        <v>-1.1039042730119999</v>
      </c>
      <c r="AH1474">
        <v>11.3965122809477</v>
      </c>
      <c r="AI1474">
        <v>95.494659768790399</v>
      </c>
      <c r="AJ1474">
        <v>96.734632628391907</v>
      </c>
      <c r="AK1474">
        <v>11.528667958060099</v>
      </c>
      <c r="AL1474">
        <v>84.044357023042593</v>
      </c>
      <c r="AM1474">
        <v>92.796378809986294</v>
      </c>
      <c r="AN1474">
        <v>1.00000002949865</v>
      </c>
    </row>
    <row r="1475" spans="1:40" x14ac:dyDescent="0.3">
      <c r="A1475" t="str">
        <f>"20200111150343648"</f>
        <v>20200111150343648</v>
      </c>
      <c r="B1475" t="str">
        <f>"1578726223639667"</f>
        <v>1578726223639667</v>
      </c>
      <c r="C1475" t="s">
        <v>40</v>
      </c>
      <c r="D1475">
        <v>5.6434009999999999</v>
      </c>
      <c r="E1475">
        <v>0.47503580000000001</v>
      </c>
      <c r="F1475" t="s">
        <v>41</v>
      </c>
      <c r="G1475">
        <v>-380.24430000000001</v>
      </c>
      <c r="H1475" s="1">
        <v>-4.1782930000000003E-6</v>
      </c>
      <c r="I1475">
        <v>139.65690000000001</v>
      </c>
      <c r="J1475">
        <v>-368.90120000000002</v>
      </c>
      <c r="K1475">
        <v>1.1039479999999999</v>
      </c>
      <c r="L1475">
        <v>141.15530000000001</v>
      </c>
      <c r="M1475">
        <v>-0.99984260000000003</v>
      </c>
      <c r="N1475">
        <v>0</v>
      </c>
      <c r="O1475">
        <v>-1.2752329999999999E-2</v>
      </c>
      <c r="P1475">
        <v>-0.99401150000000005</v>
      </c>
      <c r="Q1475">
        <v>9.1141020000000003E-2</v>
      </c>
      <c r="R1475">
        <v>-6.0289599999999999E-2</v>
      </c>
      <c r="S1475">
        <v>-3.0207820000000001</v>
      </c>
      <c r="T1475">
        <v>-0.28491880000000003</v>
      </c>
      <c r="U1475">
        <v>-0.3879089</v>
      </c>
      <c r="V1475">
        <v>-4.7587530000000003E-2</v>
      </c>
      <c r="W1475">
        <v>0.10342079999999999</v>
      </c>
      <c r="X1475">
        <v>0.99349860000000001</v>
      </c>
      <c r="Y1475">
        <v>-0.1142647</v>
      </c>
      <c r="Z1475">
        <v>-4.1598440000000002E-3</v>
      </c>
      <c r="AA1475">
        <v>0.99344160000000004</v>
      </c>
      <c r="AB1475">
        <v>35</v>
      </c>
      <c r="AC1475">
        <v>-11.3430999999999</v>
      </c>
      <c r="AD1475">
        <v>-1.103952178293</v>
      </c>
      <c r="AE1475">
        <v>-1.4984</v>
      </c>
      <c r="AF1475">
        <v>-1.34113098921984</v>
      </c>
      <c r="AG1475">
        <v>-1.103952178293</v>
      </c>
      <c r="AH1475">
        <v>11.256495278873199</v>
      </c>
      <c r="AI1475">
        <v>95.562137007085695</v>
      </c>
      <c r="AJ1475">
        <v>96.794354902142402</v>
      </c>
      <c r="AK1475">
        <v>11.3897334782469</v>
      </c>
      <c r="AL1475">
        <v>84.063810000048605</v>
      </c>
      <c r="AM1475">
        <v>92.742311160543593</v>
      </c>
      <c r="AN1475">
        <v>0.99999995154304899</v>
      </c>
    </row>
    <row r="1476" spans="1:40" x14ac:dyDescent="0.3">
      <c r="A1476" t="str">
        <f>"20200111150343670"</f>
        <v>20200111150343670</v>
      </c>
      <c r="B1476" t="str">
        <f>"1578726223660163"</f>
        <v>1578726223660163</v>
      </c>
      <c r="C1476" t="s">
        <v>40</v>
      </c>
      <c r="D1476">
        <v>5.6128879999999999</v>
      </c>
      <c r="E1476">
        <v>0.47446290000000002</v>
      </c>
      <c r="F1476" t="s">
        <v>41</v>
      </c>
      <c r="G1476">
        <v>-380.52640000000002</v>
      </c>
      <c r="H1476" s="1">
        <v>-4.0570380000000001E-6</v>
      </c>
      <c r="I1476">
        <v>139.65600000000001</v>
      </c>
      <c r="J1476">
        <v>-369.24430000000001</v>
      </c>
      <c r="K1476">
        <v>1.103985</v>
      </c>
      <c r="L1476">
        <v>141.15110000000001</v>
      </c>
      <c r="M1476">
        <v>-0.99984059999999997</v>
      </c>
      <c r="N1476">
        <v>0</v>
      </c>
      <c r="O1476">
        <v>-1.2667019999999999E-2</v>
      </c>
      <c r="P1476">
        <v>-0.99412940000000005</v>
      </c>
      <c r="Q1476">
        <v>9.0784900000000002E-2</v>
      </c>
      <c r="R1476">
        <v>-5.8862780000000003E-2</v>
      </c>
      <c r="S1476">
        <v>-3.0207519999999999</v>
      </c>
      <c r="T1476">
        <v>-0.28685759999999899</v>
      </c>
      <c r="U1476">
        <v>-0.38958739999999997</v>
      </c>
      <c r="V1476">
        <v>-4.6244029999999998E-2</v>
      </c>
      <c r="W1476">
        <v>0.10331120000000001</v>
      </c>
      <c r="X1476">
        <v>0.9935735</v>
      </c>
      <c r="Y1476">
        <v>-0.1148845</v>
      </c>
      <c r="Z1476">
        <v>-4.2252110000000004E-3</v>
      </c>
      <c r="AA1476">
        <v>0.99336990000000003</v>
      </c>
      <c r="AB1476">
        <v>35</v>
      </c>
      <c r="AC1476">
        <v>-11.2821</v>
      </c>
      <c r="AD1476">
        <v>-1.103989057038</v>
      </c>
      <c r="AE1476">
        <v>-1.4951000000000001</v>
      </c>
      <c r="AF1476">
        <v>-1.33945388576419</v>
      </c>
      <c r="AG1476">
        <v>-1.103989057038</v>
      </c>
      <c r="AH1476">
        <v>11.1947918163432</v>
      </c>
      <c r="AI1476">
        <v>95.592454621056703</v>
      </c>
      <c r="AJ1476">
        <v>96.822988832746205</v>
      </c>
      <c r="AK1476">
        <v>11.3285609130822</v>
      </c>
      <c r="AL1476">
        <v>84.070123767221503</v>
      </c>
      <c r="AM1476">
        <v>92.664802346488699</v>
      </c>
      <c r="AN1476">
        <v>1.0000000071291599</v>
      </c>
    </row>
    <row r="1477" spans="1:40" x14ac:dyDescent="0.3">
      <c r="A1477" t="str">
        <f>"20200111150343692"</f>
        <v>20200111150343692</v>
      </c>
      <c r="B1477" t="str">
        <f>"1578726223679684"</f>
        <v>1578726223679684</v>
      </c>
      <c r="C1477" t="s">
        <v>40</v>
      </c>
      <c r="D1477">
        <v>5.6460309999999998</v>
      </c>
      <c r="E1477">
        <v>0.47376639999999998</v>
      </c>
      <c r="F1477" t="s">
        <v>41</v>
      </c>
      <c r="G1477">
        <v>-380.74520000000001</v>
      </c>
      <c r="H1477" s="1">
        <v>-3.9657699999999998E-6</v>
      </c>
      <c r="I1477">
        <v>139.66579999999999</v>
      </c>
      <c r="J1477">
        <v>-369.58530000000002</v>
      </c>
      <c r="K1477">
        <v>1.1040209999999999</v>
      </c>
      <c r="L1477">
        <v>141.14680000000001</v>
      </c>
      <c r="M1477">
        <v>-0.99983880000000003</v>
      </c>
      <c r="N1477">
        <v>0</v>
      </c>
      <c r="O1477">
        <v>-1.258077E-2</v>
      </c>
      <c r="P1477">
        <v>-0.99412460000000002</v>
      </c>
      <c r="Q1477">
        <v>9.1077770000000002E-2</v>
      </c>
      <c r="R1477">
        <v>-5.84929E-2</v>
      </c>
      <c r="S1477">
        <v>-3.021118</v>
      </c>
      <c r="T1477">
        <v>-0.29000399999999998</v>
      </c>
      <c r="U1477">
        <v>-0.390152</v>
      </c>
      <c r="V1477">
        <v>-4.5958680000000002E-2</v>
      </c>
      <c r="W1477">
        <v>0.10383100000000001</v>
      </c>
      <c r="X1477">
        <v>0.99353250000000004</v>
      </c>
      <c r="Y1477">
        <v>-0.1151262</v>
      </c>
      <c r="Z1477">
        <v>-4.2905290000000004E-3</v>
      </c>
      <c r="AA1477">
        <v>0.99334160000000005</v>
      </c>
      <c r="AB1477">
        <v>35</v>
      </c>
      <c r="AC1477">
        <v>-11.159899999999899</v>
      </c>
      <c r="AD1477">
        <v>-1.1040249657700001</v>
      </c>
      <c r="AE1477">
        <v>-1.4810000000000201</v>
      </c>
      <c r="AF1477">
        <v>-1.3277021441755299</v>
      </c>
      <c r="AG1477">
        <v>-1.1040249657700001</v>
      </c>
      <c r="AH1477">
        <v>11.071174965015</v>
      </c>
      <c r="AI1477">
        <v>95.654496173389902</v>
      </c>
      <c r="AJ1477">
        <v>96.8384937580241</v>
      </c>
      <c r="AK1477">
        <v>11.205024730658399</v>
      </c>
      <c r="AL1477">
        <v>84.0401800613581</v>
      </c>
      <c r="AM1477">
        <v>92.648491732493596</v>
      </c>
      <c r="AN1477">
        <v>0.99999995269229502</v>
      </c>
    </row>
    <row r="1478" spans="1:40" x14ac:dyDescent="0.3">
      <c r="A1478" t="str">
        <f>"20200111150343714"</f>
        <v>20200111150343714</v>
      </c>
      <c r="B1478" t="str">
        <f>"1578726223709940"</f>
        <v>1578726223709940</v>
      </c>
      <c r="C1478" t="s">
        <v>40</v>
      </c>
      <c r="D1478">
        <v>5.6287880000000001</v>
      </c>
      <c r="E1478">
        <v>0.47280319999999998</v>
      </c>
      <c r="F1478" t="s">
        <v>41</v>
      </c>
      <c r="G1478">
        <v>-380.9393</v>
      </c>
      <c r="H1478" s="1">
        <v>-3.8814959999999999E-6</v>
      </c>
      <c r="I1478">
        <v>139.66200000000001</v>
      </c>
      <c r="J1478">
        <v>-369.9348</v>
      </c>
      <c r="K1478">
        <v>1.1040460000000001</v>
      </c>
      <c r="L1478">
        <v>141.14250000000001</v>
      </c>
      <c r="M1478">
        <v>-0.99983699999999998</v>
      </c>
      <c r="N1478">
        <v>0</v>
      </c>
      <c r="O1478">
        <v>-1.249399E-2</v>
      </c>
      <c r="P1478">
        <v>-0.99401189999999995</v>
      </c>
      <c r="Q1478">
        <v>9.2295650000000007E-2</v>
      </c>
      <c r="R1478">
        <v>-5.8495140000000001E-2</v>
      </c>
      <c r="S1478">
        <v>-3.0213619999999999</v>
      </c>
      <c r="T1478">
        <v>-0.29378840000000001</v>
      </c>
      <c r="U1478">
        <v>-0.3950958</v>
      </c>
      <c r="V1478">
        <v>-4.6047879999999999E-2</v>
      </c>
      <c r="W1478">
        <v>0.1052623</v>
      </c>
      <c r="X1478">
        <v>0.99337779999999998</v>
      </c>
      <c r="Y1478">
        <v>-0.11678040000000001</v>
      </c>
      <c r="Z1478">
        <v>-4.4337379999999996E-3</v>
      </c>
      <c r="AA1478">
        <v>0.99314789999999997</v>
      </c>
      <c r="AB1478">
        <v>35</v>
      </c>
      <c r="AC1478">
        <v>-11.0045</v>
      </c>
      <c r="AD1478">
        <v>-1.10404988149599</v>
      </c>
      <c r="AE1478">
        <v>-1.4804999999999999</v>
      </c>
      <c r="AF1478">
        <v>-1.32973607992198</v>
      </c>
      <c r="AG1478">
        <v>-1.10404988149599</v>
      </c>
      <c r="AH1478">
        <v>10.914235313512201</v>
      </c>
      <c r="AI1478">
        <v>95.734097697541301</v>
      </c>
      <c r="AJ1478">
        <v>96.946397210054599</v>
      </c>
      <c r="AK1478">
        <v>11.0502333306493</v>
      </c>
      <c r="AL1478">
        <v>83.957721047462897</v>
      </c>
      <c r="AM1478">
        <v>92.654037441766107</v>
      </c>
      <c r="AN1478">
        <v>1.0000000062933101</v>
      </c>
    </row>
    <row r="1479" spans="1:40" x14ac:dyDescent="0.3">
      <c r="A1479" t="str">
        <f>"20200111150343737"</f>
        <v>20200111150343737</v>
      </c>
      <c r="B1479" t="str">
        <f>"1578726223729459"</f>
        <v>1578726223729459</v>
      </c>
      <c r="C1479" t="s">
        <v>40</v>
      </c>
      <c r="D1479">
        <v>5.6498790000000003</v>
      </c>
      <c r="E1479">
        <v>0.4722886</v>
      </c>
      <c r="F1479" t="s">
        <v>41</v>
      </c>
      <c r="G1479">
        <v>-381.48430000000002</v>
      </c>
      <c r="H1479" s="1">
        <v>-3.6379989999999999E-6</v>
      </c>
      <c r="I1479">
        <v>139.60210000000001</v>
      </c>
      <c r="J1479">
        <v>-370.28629999999998</v>
      </c>
      <c r="K1479">
        <v>1.1040559999999999</v>
      </c>
      <c r="L1479">
        <v>141.13820000000001</v>
      </c>
      <c r="M1479">
        <v>-0.99983560000000005</v>
      </c>
      <c r="N1479">
        <v>0</v>
      </c>
      <c r="O1479">
        <v>-1.24089E-2</v>
      </c>
      <c r="P1479">
        <v>-0.99388399999999999</v>
      </c>
      <c r="Q1479">
        <v>9.3223639999999997E-2</v>
      </c>
      <c r="R1479">
        <v>-5.9196579999999999E-2</v>
      </c>
      <c r="S1479">
        <v>-3.0211790000000001</v>
      </c>
      <c r="T1479">
        <v>-0.28880240000000001</v>
      </c>
      <c r="U1479">
        <v>-0.40292359999999999</v>
      </c>
      <c r="V1479">
        <v>-4.6834229999999998E-2</v>
      </c>
      <c r="W1479">
        <v>0.10638549999999999</v>
      </c>
      <c r="X1479">
        <v>0.99322129999999997</v>
      </c>
      <c r="Y1479">
        <v>-0.1194056</v>
      </c>
      <c r="Z1479">
        <v>-4.4910799999999997E-3</v>
      </c>
      <c r="AA1479">
        <v>0.99283540000000003</v>
      </c>
      <c r="AB1479">
        <v>35</v>
      </c>
      <c r="AC1479">
        <v>-11.198</v>
      </c>
      <c r="AD1479">
        <v>-1.104059637999</v>
      </c>
      <c r="AE1479">
        <v>-1.5361</v>
      </c>
      <c r="AF1479">
        <v>-1.3838113347855401</v>
      </c>
      <c r="AG1479">
        <v>-1.104059637999</v>
      </c>
      <c r="AH1479">
        <v>11.110194887941899</v>
      </c>
      <c r="AI1479">
        <v>95.631820457941899</v>
      </c>
      <c r="AJ1479">
        <v>97.099814175747994</v>
      </c>
      <c r="AK1479">
        <v>11.250347192091001</v>
      </c>
      <c r="AL1479">
        <v>83.893002590176394</v>
      </c>
      <c r="AM1479">
        <v>92.699718105623603</v>
      </c>
      <c r="AN1479">
        <v>0.99999993524181396</v>
      </c>
    </row>
    <row r="1480" spans="1:40" x14ac:dyDescent="0.3">
      <c r="A1480" t="str">
        <f>"20200111150343759"</f>
        <v>20200111150343759</v>
      </c>
      <c r="B1480" t="str">
        <f>"1578726223749958"</f>
        <v>1578726223749958</v>
      </c>
      <c r="C1480" t="s">
        <v>40</v>
      </c>
      <c r="D1480">
        <v>5.6661130000000002</v>
      </c>
      <c r="E1480">
        <v>0.47164210000000001</v>
      </c>
      <c r="F1480" t="s">
        <v>41</v>
      </c>
      <c r="G1480">
        <v>-381.60989999999998</v>
      </c>
      <c r="H1480" s="1">
        <v>-3.5838680000000001E-6</v>
      </c>
      <c r="I1480">
        <v>139.6036</v>
      </c>
      <c r="J1480">
        <v>-370.62349999999998</v>
      </c>
      <c r="K1480">
        <v>1.104063</v>
      </c>
      <c r="L1480">
        <v>141.13409999999999</v>
      </c>
      <c r="M1480">
        <v>-0.99983429999999995</v>
      </c>
      <c r="N1480">
        <v>0</v>
      </c>
      <c r="O1480">
        <v>-1.232784E-2</v>
      </c>
      <c r="P1480">
        <v>-0.99395270000000002</v>
      </c>
      <c r="Q1480">
        <v>9.2598479999999997E-2</v>
      </c>
      <c r="R1480">
        <v>-5.9024220000000002E-2</v>
      </c>
      <c r="S1480">
        <v>-3.0216980000000002</v>
      </c>
      <c r="T1480">
        <v>-0.2946182</v>
      </c>
      <c r="U1480">
        <v>-0.40948489999999999</v>
      </c>
      <c r="V1480">
        <v>-4.6741310000000001E-2</v>
      </c>
      <c r="W1480">
        <v>0.10593180000000001</v>
      </c>
      <c r="X1480">
        <v>0.9932742</v>
      </c>
      <c r="Y1480">
        <v>-0.12155150000000001</v>
      </c>
      <c r="Z1480">
        <v>-4.6914160000000003E-3</v>
      </c>
      <c r="AA1480">
        <v>0.99257399999999996</v>
      </c>
      <c r="AB1480">
        <v>35</v>
      </c>
      <c r="AC1480">
        <v>-10.9864</v>
      </c>
      <c r="AD1480">
        <v>-1.1040665838679999</v>
      </c>
      <c r="AE1480">
        <v>-1.53049999999998</v>
      </c>
      <c r="AF1480">
        <v>-1.3812492230220199</v>
      </c>
      <c r="AG1480">
        <v>-1.1040665838679999</v>
      </c>
      <c r="AH1480">
        <v>10.8964854442047</v>
      </c>
      <c r="AI1480">
        <v>95.740023232879494</v>
      </c>
      <c r="AJ1480">
        <v>97.224339443572504</v>
      </c>
      <c r="AK1480">
        <v>11.0390310930569</v>
      </c>
      <c r="AL1480">
        <v>83.919145604897096</v>
      </c>
      <c r="AM1480">
        <v>92.694226428855004</v>
      </c>
      <c r="AN1480">
        <v>0.99999996634869703</v>
      </c>
    </row>
    <row r="1481" spans="1:40" x14ac:dyDescent="0.3">
      <c r="A1481" t="str">
        <f>"20200111150343781"</f>
        <v>20200111150343781</v>
      </c>
      <c r="B1481" t="str">
        <f>"1578726223769475"</f>
        <v>1578726223769475</v>
      </c>
      <c r="C1481" t="s">
        <v>40</v>
      </c>
      <c r="D1481">
        <v>5.6375489999999999</v>
      </c>
      <c r="E1481">
        <v>0.47109060000000003</v>
      </c>
      <c r="F1481" t="s">
        <v>41</v>
      </c>
      <c r="G1481">
        <v>-381.85559999999998</v>
      </c>
      <c r="H1481" s="1">
        <v>-3.4803119999999999E-6</v>
      </c>
      <c r="I1481">
        <v>139.5933</v>
      </c>
      <c r="J1481">
        <v>-370.9622</v>
      </c>
      <c r="K1481">
        <v>1.104068</v>
      </c>
      <c r="L1481">
        <v>141.13</v>
      </c>
      <c r="M1481">
        <v>-0.99983330000000004</v>
      </c>
      <c r="N1481">
        <v>0</v>
      </c>
      <c r="O1481">
        <v>-1.2246089999999999E-2</v>
      </c>
      <c r="P1481">
        <v>-0.99404610000000004</v>
      </c>
      <c r="Q1481">
        <v>9.1848180000000001E-2</v>
      </c>
      <c r="R1481">
        <v>-5.8622760000000003E-2</v>
      </c>
      <c r="S1481">
        <v>-3.0213009999999998</v>
      </c>
      <c r="T1481">
        <v>-0.29698269999999999</v>
      </c>
      <c r="U1481">
        <v>-0.41444399999999998</v>
      </c>
      <c r="V1481">
        <v>-4.6419830000000002E-2</v>
      </c>
      <c r="W1481">
        <v>0.10533530000000001</v>
      </c>
      <c r="X1481">
        <v>0.99335280000000004</v>
      </c>
      <c r="Y1481">
        <v>-0.1232328</v>
      </c>
      <c r="Z1481">
        <v>-4.8190100000000003E-3</v>
      </c>
      <c r="AA1481">
        <v>0.99236610000000003</v>
      </c>
      <c r="AB1481">
        <v>35</v>
      </c>
      <c r="AC1481">
        <v>-10.8933999999999</v>
      </c>
      <c r="AD1481">
        <v>-1.104071480312</v>
      </c>
      <c r="AE1481">
        <v>-1.53669999999999</v>
      </c>
      <c r="AF1481">
        <v>-1.38917932826107</v>
      </c>
      <c r="AG1481">
        <v>-1.104071480312</v>
      </c>
      <c r="AH1481">
        <v>10.8026009427668</v>
      </c>
      <c r="AI1481">
        <v>95.788271335463094</v>
      </c>
      <c r="AJ1481">
        <v>97.327833641478804</v>
      </c>
      <c r="AK1481">
        <v>10.9473732086</v>
      </c>
      <c r="AL1481">
        <v>83.953515372588797</v>
      </c>
      <c r="AM1481">
        <v>92.675511539383606</v>
      </c>
      <c r="AN1481">
        <v>1.0000000556555699</v>
      </c>
    </row>
    <row r="1482" spans="1:40" x14ac:dyDescent="0.3">
      <c r="A1482" t="str">
        <f>"20200111150343803"</f>
        <v>20200111150343803</v>
      </c>
      <c r="B1482" t="str">
        <f>"1578726223799732"</f>
        <v>1578726223799732</v>
      </c>
      <c r="C1482" t="s">
        <v>40</v>
      </c>
      <c r="D1482">
        <v>5.6910930000000004</v>
      </c>
      <c r="E1482">
        <v>0.47033359999999902</v>
      </c>
      <c r="F1482" t="s">
        <v>41</v>
      </c>
      <c r="G1482">
        <v>-381.9742</v>
      </c>
      <c r="H1482" s="1">
        <v>-3.427087E-6</v>
      </c>
      <c r="I1482">
        <v>139.60650000000001</v>
      </c>
      <c r="J1482">
        <v>-371.30930000000001</v>
      </c>
      <c r="K1482">
        <v>1.1040719999999999</v>
      </c>
      <c r="L1482">
        <v>141.1259</v>
      </c>
      <c r="M1482">
        <v>-0.99983230000000001</v>
      </c>
      <c r="N1482">
        <v>0</v>
      </c>
      <c r="O1482">
        <v>-1.21613E-2</v>
      </c>
      <c r="P1482">
        <v>-0.99413510000000005</v>
      </c>
      <c r="Q1482">
        <v>9.0991530000000001E-2</v>
      </c>
      <c r="R1482">
        <v>-5.8448260000000002E-2</v>
      </c>
      <c r="S1482">
        <v>-3.0213009999999998</v>
      </c>
      <c r="T1482">
        <v>-0.3029192</v>
      </c>
      <c r="U1482">
        <v>-0.41798400000000002</v>
      </c>
      <c r="V1482">
        <v>-4.6328620000000001E-2</v>
      </c>
      <c r="W1482">
        <v>0.1046178</v>
      </c>
      <c r="X1482">
        <v>0.9934328</v>
      </c>
      <c r="Y1482">
        <v>-0.1244306</v>
      </c>
      <c r="Z1482">
        <v>-4.9825340000000003E-3</v>
      </c>
      <c r="AA1482">
        <v>0.99221579999999998</v>
      </c>
      <c r="AB1482">
        <v>35</v>
      </c>
      <c r="AC1482">
        <v>-10.6648999999999</v>
      </c>
      <c r="AD1482">
        <v>-1.1040754270869999</v>
      </c>
      <c r="AE1482">
        <v>-1.5193999999999901</v>
      </c>
      <c r="AF1482">
        <v>-1.37513193674326</v>
      </c>
      <c r="AG1482">
        <v>-1.1040754270869999</v>
      </c>
      <c r="AH1482">
        <v>10.5715465863244</v>
      </c>
      <c r="AI1482">
        <v>95.912808284253401</v>
      </c>
      <c r="AJ1482">
        <v>97.411340459444702</v>
      </c>
      <c r="AK1482">
        <v>10.7176288244637</v>
      </c>
      <c r="AL1482">
        <v>83.994853022234395</v>
      </c>
      <c r="AM1482">
        <v>92.670047339984805</v>
      </c>
      <c r="AN1482">
        <v>0.99999997661189199</v>
      </c>
    </row>
    <row r="1483" spans="1:40" x14ac:dyDescent="0.3">
      <c r="A1483" t="str">
        <f>"20200111150343826"</f>
        <v>20200111150343826</v>
      </c>
      <c r="B1483" t="str">
        <f>"1578726223820227"</f>
        <v>1578726223820227</v>
      </c>
      <c r="C1483" t="s">
        <v>40</v>
      </c>
      <c r="D1483">
        <v>5.6772989999999997</v>
      </c>
      <c r="E1483">
        <v>0.47001700000000002</v>
      </c>
      <c r="F1483" t="s">
        <v>41</v>
      </c>
      <c r="G1483">
        <v>-382.27659999999997</v>
      </c>
      <c r="H1483" s="1">
        <v>-3.3005259999999999E-6</v>
      </c>
      <c r="I1483">
        <v>139.58860000000001</v>
      </c>
      <c r="J1483">
        <v>-371.66309999999999</v>
      </c>
      <c r="K1483">
        <v>1.1040749999999999</v>
      </c>
      <c r="L1483">
        <v>141.1217</v>
      </c>
      <c r="M1483">
        <v>-0.99983160000000004</v>
      </c>
      <c r="N1483">
        <v>0</v>
      </c>
      <c r="O1483">
        <v>-1.207427E-2</v>
      </c>
      <c r="P1483">
        <v>-0.99408869999999905</v>
      </c>
      <c r="Q1483">
        <v>9.1311649999999994E-2</v>
      </c>
      <c r="R1483">
        <v>-5.8736179999999999E-2</v>
      </c>
      <c r="S1483">
        <v>-3.0206300000000001</v>
      </c>
      <c r="T1483">
        <v>-0.30408849999999998</v>
      </c>
      <c r="U1483">
        <v>-0.42338559999999997</v>
      </c>
      <c r="V1483">
        <v>-4.670303E-2</v>
      </c>
      <c r="W1483">
        <v>0.10506070000000001</v>
      </c>
      <c r="X1483">
        <v>0.99336860000000005</v>
      </c>
      <c r="Y1483">
        <v>-0.1262732</v>
      </c>
      <c r="Z1483">
        <v>-5.1029220000000002E-3</v>
      </c>
      <c r="AA1483">
        <v>0.99198240000000004</v>
      </c>
      <c r="AB1483">
        <v>35</v>
      </c>
      <c r="AC1483">
        <v>-10.613499999999901</v>
      </c>
      <c r="AD1483">
        <v>-1.104078300526</v>
      </c>
      <c r="AE1483">
        <v>-1.5330999999999899</v>
      </c>
      <c r="AF1483">
        <v>-1.3900904793967199</v>
      </c>
      <c r="AG1483">
        <v>-1.104078300526</v>
      </c>
      <c r="AH1483">
        <v>10.519727771989301</v>
      </c>
      <c r="AI1483">
        <v>95.940173274406106</v>
      </c>
      <c r="AJ1483">
        <v>97.527527297160802</v>
      </c>
      <c r="AK1483">
        <v>10.668458784255799</v>
      </c>
      <c r="AL1483">
        <v>83.96933654323</v>
      </c>
      <c r="AM1483">
        <v>92.691767722755202</v>
      </c>
      <c r="AN1483">
        <v>1.0000000495808099</v>
      </c>
    </row>
    <row r="1484" spans="1:40" x14ac:dyDescent="0.3">
      <c r="A1484" t="str">
        <f>"20200111150343848"</f>
        <v>20200111150343848</v>
      </c>
      <c r="B1484" t="str">
        <f>"1578726223839747"</f>
        <v>1578726223839747</v>
      </c>
      <c r="C1484" t="s">
        <v>40</v>
      </c>
      <c r="D1484">
        <v>5.6974809999999998</v>
      </c>
      <c r="E1484">
        <v>0.4696052</v>
      </c>
      <c r="F1484" t="s">
        <v>41</v>
      </c>
      <c r="G1484">
        <v>-382.51749999999998</v>
      </c>
      <c r="H1484" s="1">
        <v>-3.197198E-6</v>
      </c>
      <c r="I1484">
        <v>139.58840000000001</v>
      </c>
      <c r="J1484">
        <v>-372.00830000000002</v>
      </c>
      <c r="K1484">
        <v>1.1040859999999999</v>
      </c>
      <c r="L1484">
        <v>141.11760000000001</v>
      </c>
      <c r="M1484">
        <v>-0.99983129999999998</v>
      </c>
      <c r="N1484">
        <v>0</v>
      </c>
      <c r="O1484">
        <v>-1.1990229999999999E-2</v>
      </c>
      <c r="P1484">
        <v>-0.9940445</v>
      </c>
      <c r="Q1484">
        <v>9.1782699999999995E-2</v>
      </c>
      <c r="R1484">
        <v>-5.8754229999999998E-2</v>
      </c>
      <c r="S1484">
        <v>-3.0207820000000001</v>
      </c>
      <c r="T1484">
        <v>-0.30726700000000001</v>
      </c>
      <c r="U1484">
        <v>-0.42668149999999999</v>
      </c>
      <c r="V1484">
        <v>-4.680484E-2</v>
      </c>
      <c r="W1484">
        <v>0.10563640000000001</v>
      </c>
      <c r="X1484">
        <v>0.99330269999999998</v>
      </c>
      <c r="Y1484">
        <v>-0.12739320000000001</v>
      </c>
      <c r="Z1484">
        <v>-5.2203639999999999E-3</v>
      </c>
      <c r="AA1484">
        <v>0.99183860000000001</v>
      </c>
      <c r="AB1484">
        <v>34</v>
      </c>
      <c r="AC1484">
        <v>-10.5091999999999</v>
      </c>
      <c r="AD1484">
        <v>-1.104089197198</v>
      </c>
      <c r="AE1484">
        <v>-1.5291999999999999</v>
      </c>
      <c r="AF1484">
        <v>-1.38806706179856</v>
      </c>
      <c r="AG1484">
        <v>-1.104089197198</v>
      </c>
      <c r="AH1484">
        <v>10.414218483831601</v>
      </c>
      <c r="AI1484">
        <v>95.999087808092398</v>
      </c>
      <c r="AJ1484">
        <v>97.591965408690697</v>
      </c>
      <c r="AK1484">
        <v>10.564170092932001</v>
      </c>
      <c r="AL1484">
        <v>83.936166472032596</v>
      </c>
      <c r="AM1484">
        <v>92.697805675502707</v>
      </c>
      <c r="AN1484">
        <v>0.99999999793983696</v>
      </c>
    </row>
    <row r="1485" spans="1:40" x14ac:dyDescent="0.3">
      <c r="A1485" t="str">
        <f>"20200111150343870"</f>
        <v>20200111150343870</v>
      </c>
      <c r="B1485" t="str">
        <f>"1578726223860243"</f>
        <v>1578726223860243</v>
      </c>
      <c r="C1485" t="s">
        <v>40</v>
      </c>
      <c r="D1485">
        <v>5.7017699999999998</v>
      </c>
      <c r="E1485">
        <v>0.46936080000000002</v>
      </c>
      <c r="F1485" t="s">
        <v>41</v>
      </c>
      <c r="G1485">
        <v>-382.83659999999998</v>
      </c>
      <c r="H1485" s="1">
        <v>-3.0629829999999999E-6</v>
      </c>
      <c r="I1485">
        <v>139.57329999999999</v>
      </c>
      <c r="J1485">
        <v>-372.34519999999998</v>
      </c>
      <c r="K1485">
        <v>1.1040970000000001</v>
      </c>
      <c r="L1485">
        <v>141.11359999999999</v>
      </c>
      <c r="M1485">
        <v>-0.99983089999999997</v>
      </c>
      <c r="N1485">
        <v>0</v>
      </c>
      <c r="O1485">
        <v>-1.1907859999999999E-2</v>
      </c>
      <c r="P1485">
        <v>-0.99393830000000005</v>
      </c>
      <c r="Q1485">
        <v>9.2608029999999994E-2</v>
      </c>
      <c r="R1485">
        <v>-5.9247399999999999E-2</v>
      </c>
      <c r="S1485">
        <v>-3.020966</v>
      </c>
      <c r="T1485">
        <v>-0.30802839999999998</v>
      </c>
      <c r="U1485">
        <v>-0.4308167</v>
      </c>
      <c r="V1485">
        <v>-4.7381359999999997E-2</v>
      </c>
      <c r="W1485">
        <v>0.10654859999999999</v>
      </c>
      <c r="X1485">
        <v>0.99317800000000001</v>
      </c>
      <c r="Y1485">
        <v>-0.12878709999999999</v>
      </c>
      <c r="Z1485">
        <v>-5.3112849999999998E-3</v>
      </c>
      <c r="AA1485">
        <v>0.99165800000000004</v>
      </c>
      <c r="AB1485">
        <v>34</v>
      </c>
      <c r="AC1485">
        <v>-10.491400000000001</v>
      </c>
      <c r="AD1485">
        <v>-1.10410006298299</v>
      </c>
      <c r="AE1485">
        <v>-1.5403</v>
      </c>
      <c r="AF1485">
        <v>-1.4000695617380701</v>
      </c>
      <c r="AG1485">
        <v>-1.10410006298299</v>
      </c>
      <c r="AH1485">
        <v>10.396288394490901</v>
      </c>
      <c r="AI1485">
        <v>96.008330438232505</v>
      </c>
      <c r="AJ1485">
        <v>97.669885372180403</v>
      </c>
      <c r="AK1485">
        <v>10.548082484898</v>
      </c>
      <c r="AL1485">
        <v>83.8836050483484</v>
      </c>
      <c r="AM1485">
        <v>92.731328347666604</v>
      </c>
      <c r="AN1485">
        <v>1.0000000685607</v>
      </c>
    </row>
    <row r="1486" spans="1:40" x14ac:dyDescent="0.3">
      <c r="A1486" t="str">
        <f>"20200111150343892"</f>
        <v>20200111150343892</v>
      </c>
      <c r="B1486" t="str">
        <f>"1578726223889524"</f>
        <v>1578726223889524</v>
      </c>
      <c r="C1486" t="s">
        <v>40</v>
      </c>
      <c r="D1486">
        <v>5.7157049999999998</v>
      </c>
      <c r="E1486">
        <v>0.46907409999999999</v>
      </c>
      <c r="F1486" t="s">
        <v>41</v>
      </c>
      <c r="G1486">
        <v>-383.14</v>
      </c>
      <c r="H1486" s="1">
        <v>-2.9352409999999999E-6</v>
      </c>
      <c r="I1486">
        <v>139.5599</v>
      </c>
      <c r="J1486">
        <v>-372.67899999999997</v>
      </c>
      <c r="K1486">
        <v>1.1041019999999999</v>
      </c>
      <c r="L1486">
        <v>141.1097</v>
      </c>
      <c r="M1486">
        <v>-0.99983080000000002</v>
      </c>
      <c r="N1486">
        <v>0</v>
      </c>
      <c r="O1486">
        <v>-1.182685E-2</v>
      </c>
      <c r="P1486">
        <v>-0.99380460000000004</v>
      </c>
      <c r="Q1486">
        <v>9.327415E-2</v>
      </c>
      <c r="R1486">
        <v>-6.0435679999999999E-2</v>
      </c>
      <c r="S1486">
        <v>-3.0211489999999999</v>
      </c>
      <c r="T1486">
        <v>-0.3090097</v>
      </c>
      <c r="U1486">
        <v>-0.43482969999999999</v>
      </c>
      <c r="V1486">
        <v>-4.8651350000000003E-2</v>
      </c>
      <c r="W1486">
        <v>0.1072897</v>
      </c>
      <c r="X1486">
        <v>0.99303669999999999</v>
      </c>
      <c r="Y1486">
        <v>-0.1301388</v>
      </c>
      <c r="Z1486">
        <v>-5.4041239999999997E-3</v>
      </c>
      <c r="AA1486">
        <v>0.9914811</v>
      </c>
      <c r="AB1486">
        <v>34</v>
      </c>
      <c r="AC1486">
        <v>-10.460999999999901</v>
      </c>
      <c r="AD1486">
        <v>-1.104104935241</v>
      </c>
      <c r="AE1486">
        <v>-1.5498000000000001</v>
      </c>
      <c r="AF1486">
        <v>-1.41058261162001</v>
      </c>
      <c r="AG1486">
        <v>-1.104104935241</v>
      </c>
      <c r="AH1486">
        <v>10.3656092588216</v>
      </c>
      <c r="AI1486">
        <v>96.024885692298895</v>
      </c>
      <c r="AJ1486">
        <v>97.749376464047401</v>
      </c>
      <c r="AK1486">
        <v>10.519251224245799</v>
      </c>
      <c r="AL1486">
        <v>83.840897673465903</v>
      </c>
      <c r="AM1486">
        <v>92.804820777714596</v>
      </c>
      <c r="AN1486">
        <v>0.99999996056490004</v>
      </c>
    </row>
    <row r="1487" spans="1:40" x14ac:dyDescent="0.3">
      <c r="A1487" t="str">
        <f>"20200111150343916"</f>
        <v>20200111150343916</v>
      </c>
      <c r="B1487" t="str">
        <f>"1578726223910019"</f>
        <v>1578726223910019</v>
      </c>
      <c r="C1487" t="s">
        <v>40</v>
      </c>
      <c r="D1487">
        <v>5.6984640000000004</v>
      </c>
      <c r="E1487">
        <v>0.46880250000000001</v>
      </c>
      <c r="F1487" t="s">
        <v>41</v>
      </c>
      <c r="G1487">
        <v>-383.4477</v>
      </c>
      <c r="H1487" s="1">
        <v>-2.806848E-6</v>
      </c>
      <c r="I1487">
        <v>139.5394</v>
      </c>
      <c r="J1487">
        <v>-373.04070000000002</v>
      </c>
      <c r="K1487">
        <v>1.1041080000000001</v>
      </c>
      <c r="L1487">
        <v>141.10550000000001</v>
      </c>
      <c r="M1487">
        <v>-0.99983089999999997</v>
      </c>
      <c r="N1487">
        <v>0</v>
      </c>
      <c r="O1487">
        <v>-1.1738770000000001E-2</v>
      </c>
      <c r="P1487">
        <v>-0.99367629999999996</v>
      </c>
      <c r="Q1487">
        <v>9.380753E-2</v>
      </c>
      <c r="R1487">
        <v>-6.1706690000000002E-2</v>
      </c>
      <c r="S1487">
        <v>-3.020966</v>
      </c>
      <c r="T1487">
        <v>-0.30973699999999998</v>
      </c>
      <c r="U1487">
        <v>-0.44050600000000001</v>
      </c>
      <c r="V1487">
        <v>-5.0011279999999998E-2</v>
      </c>
      <c r="W1487">
        <v>0.10789269999999999</v>
      </c>
      <c r="X1487">
        <v>0.9929038</v>
      </c>
      <c r="Y1487">
        <v>-0.132046</v>
      </c>
      <c r="Z1487">
        <v>-5.5223499999999997E-3</v>
      </c>
      <c r="AA1487">
        <v>0.9912282</v>
      </c>
      <c r="AB1487">
        <v>34</v>
      </c>
      <c r="AC1487">
        <v>-10.406999999999901</v>
      </c>
      <c r="AD1487">
        <v>-1.1041108068479999</v>
      </c>
      <c r="AE1487">
        <v>-1.5661</v>
      </c>
      <c r="AF1487">
        <v>-1.4280961206257701</v>
      </c>
      <c r="AG1487">
        <v>-1.1041108068479999</v>
      </c>
      <c r="AH1487">
        <v>10.3111788065538</v>
      </c>
      <c r="AI1487">
        <v>96.0545284790675</v>
      </c>
      <c r="AJ1487">
        <v>97.885289846133304</v>
      </c>
      <c r="AK1487">
        <v>10.467995394738701</v>
      </c>
      <c r="AL1487">
        <v>83.806146587142905</v>
      </c>
      <c r="AM1487">
        <v>92.883477477484902</v>
      </c>
      <c r="AN1487">
        <v>0.99999995944748299</v>
      </c>
    </row>
    <row r="1488" spans="1:40" x14ac:dyDescent="0.3">
      <c r="A1488" t="str">
        <f>"20200111150343938"</f>
        <v>20200111150343938</v>
      </c>
      <c r="B1488" t="str">
        <f>"1578726223929540"</f>
        <v>1578726223929540</v>
      </c>
      <c r="C1488" t="s">
        <v>40</v>
      </c>
      <c r="D1488">
        <v>5.7154829999999999</v>
      </c>
      <c r="E1488">
        <v>0.46865580000000001</v>
      </c>
      <c r="F1488" t="s">
        <v>41</v>
      </c>
      <c r="G1488">
        <v>-383.87349999999998</v>
      </c>
      <c r="H1488" s="1">
        <v>-2.6305270000000002E-6</v>
      </c>
      <c r="I1488">
        <v>139.50360000000001</v>
      </c>
      <c r="J1488">
        <v>-373.37240000000003</v>
      </c>
      <c r="K1488">
        <v>1.1041129999999999</v>
      </c>
      <c r="L1488">
        <v>141.10169999999999</v>
      </c>
      <c r="M1488">
        <v>-0.99983100000000003</v>
      </c>
      <c r="N1488">
        <v>0</v>
      </c>
      <c r="O1488">
        <v>-1.165763E-2</v>
      </c>
      <c r="P1488">
        <v>-0.99357620000000002</v>
      </c>
      <c r="Q1488">
        <v>9.4108650000000002E-2</v>
      </c>
      <c r="R1488">
        <v>-6.284969E-2</v>
      </c>
      <c r="S1488">
        <v>-3.020416</v>
      </c>
      <c r="T1488">
        <v>-0.30785099999999999</v>
      </c>
      <c r="U1488">
        <v>-0.44662479999999899</v>
      </c>
      <c r="V1488">
        <v>-5.1236440000000001E-2</v>
      </c>
      <c r="W1488">
        <v>0.1082487</v>
      </c>
      <c r="X1488">
        <v>0.99280259999999998</v>
      </c>
      <c r="Y1488">
        <v>-0.13411410000000001</v>
      </c>
      <c r="Z1488">
        <v>-5.601839E-3</v>
      </c>
      <c r="AA1488">
        <v>0.99095</v>
      </c>
      <c r="AB1488">
        <v>34</v>
      </c>
      <c r="AC1488">
        <v>-10.5010999999999</v>
      </c>
      <c r="AD1488">
        <v>-1.1041156305269999</v>
      </c>
      <c r="AE1488">
        <v>-1.5980999999999801</v>
      </c>
      <c r="AF1488">
        <v>-1.45978838020301</v>
      </c>
      <c r="AG1488">
        <v>-1.1041156305269999</v>
      </c>
      <c r="AH1488">
        <v>10.406577428122199</v>
      </c>
      <c r="AI1488">
        <v>95.998012523107107</v>
      </c>
      <c r="AJ1488">
        <v>97.985094209141195</v>
      </c>
      <c r="AK1488">
        <v>10.5663100090832</v>
      </c>
      <c r="AL1488">
        <v>83.785629239223297</v>
      </c>
      <c r="AM1488">
        <v>92.9542929260937</v>
      </c>
      <c r="AN1488">
        <v>0.99999997820116104</v>
      </c>
    </row>
    <row r="1489" spans="1:40" x14ac:dyDescent="0.3">
      <c r="A1489" t="str">
        <f>"20200111150343959"</f>
        <v>20200111150343959</v>
      </c>
      <c r="B1489" t="str">
        <f>"1578726223950038"</f>
        <v>1578726223950038</v>
      </c>
      <c r="C1489" t="s">
        <v>40</v>
      </c>
      <c r="D1489">
        <v>5.7030200000000004</v>
      </c>
      <c r="E1489">
        <v>0.46838269999999999</v>
      </c>
      <c r="F1489" t="s">
        <v>41</v>
      </c>
      <c r="G1489">
        <v>-384.1927</v>
      </c>
      <c r="H1489" s="1">
        <v>-2.4971100000000001E-6</v>
      </c>
      <c r="I1489">
        <v>139.4837</v>
      </c>
      <c r="J1489">
        <v>-373.7047</v>
      </c>
      <c r="K1489">
        <v>1.1041219999999901</v>
      </c>
      <c r="L1489">
        <v>141.09790000000001</v>
      </c>
      <c r="M1489">
        <v>-0.99983129999999998</v>
      </c>
      <c r="N1489">
        <v>0</v>
      </c>
      <c r="O1489">
        <v>-1.1576670000000001E-2</v>
      </c>
      <c r="P1489">
        <v>-0.99334719999999999</v>
      </c>
      <c r="Q1489">
        <v>9.5069710000000002E-2</v>
      </c>
      <c r="R1489">
        <v>-6.4988699999999996E-2</v>
      </c>
      <c r="S1489">
        <v>-3.0200200000000001</v>
      </c>
      <c r="T1489">
        <v>-0.30816719999999997</v>
      </c>
      <c r="U1489">
        <v>-0.45156859999999999</v>
      </c>
      <c r="V1489">
        <v>-5.3458230000000002E-2</v>
      </c>
      <c r="W1489">
        <v>0.10925550000000001</v>
      </c>
      <c r="X1489">
        <v>0.99257519999999999</v>
      </c>
      <c r="Y1489">
        <v>-0.13578989999999999</v>
      </c>
      <c r="Z1489">
        <v>-5.7006289999999996E-3</v>
      </c>
      <c r="AA1489">
        <v>0.99072119999999997</v>
      </c>
      <c r="AB1489">
        <v>34</v>
      </c>
      <c r="AC1489">
        <v>-10.488</v>
      </c>
      <c r="AD1489">
        <v>-1.1041244971099999</v>
      </c>
      <c r="AE1489">
        <v>-1.6142000000000101</v>
      </c>
      <c r="AF1489">
        <v>-1.47667629289179</v>
      </c>
      <c r="AG1489">
        <v>-1.1041244971099999</v>
      </c>
      <c r="AH1489">
        <v>10.39346246637</v>
      </c>
      <c r="AI1489">
        <v>96.004086973676607</v>
      </c>
      <c r="AJ1489">
        <v>98.086316038804995</v>
      </c>
      <c r="AK1489">
        <v>10.5557437359454</v>
      </c>
      <c r="AL1489">
        <v>83.727600036663205</v>
      </c>
      <c r="AM1489">
        <v>93.082864208580801</v>
      </c>
      <c r="AN1489">
        <v>1.00000003714501</v>
      </c>
    </row>
    <row r="1490" spans="1:40" x14ac:dyDescent="0.3">
      <c r="A1490" t="str">
        <f>"20200111150343982"</f>
        <v>20200111150343982</v>
      </c>
      <c r="B1490" t="str">
        <f>"1578726223969555"</f>
        <v>1578726223969555</v>
      </c>
      <c r="C1490" t="s">
        <v>40</v>
      </c>
      <c r="D1490">
        <v>5.7169800000000004</v>
      </c>
      <c r="E1490">
        <v>0.4681071</v>
      </c>
      <c r="F1490" t="s">
        <v>41</v>
      </c>
      <c r="G1490">
        <v>-384.55579999999998</v>
      </c>
      <c r="H1490" s="1">
        <v>-2.3484400000000001E-6</v>
      </c>
      <c r="I1490">
        <v>139.44390000000001</v>
      </c>
      <c r="J1490">
        <v>-374.04640000000001</v>
      </c>
      <c r="K1490">
        <v>1.1041350000000001</v>
      </c>
      <c r="L1490">
        <v>141.09399999999999</v>
      </c>
      <c r="M1490">
        <v>-0.99983160000000004</v>
      </c>
      <c r="N1490">
        <v>0</v>
      </c>
      <c r="O1490">
        <v>-1.1493049999999999E-2</v>
      </c>
      <c r="P1490">
        <v>-0.99299459999999995</v>
      </c>
      <c r="Q1490">
        <v>9.6473619999999996E-2</v>
      </c>
      <c r="R1490">
        <v>-6.8224290000000007E-2</v>
      </c>
      <c r="S1490">
        <v>-3.0193479999999999</v>
      </c>
      <c r="T1490">
        <v>-0.3072281</v>
      </c>
      <c r="U1490">
        <v>-0.46022030000000003</v>
      </c>
      <c r="V1490">
        <v>-5.6780329999999997E-2</v>
      </c>
      <c r="W1490">
        <v>0.1106982</v>
      </c>
      <c r="X1490">
        <v>0.99223079999999997</v>
      </c>
      <c r="Y1490">
        <v>-0.13866889999999901</v>
      </c>
      <c r="Z1490">
        <v>-5.8370899999999996E-3</v>
      </c>
      <c r="AA1490">
        <v>0.99032160000000002</v>
      </c>
      <c r="AB1490">
        <v>34</v>
      </c>
      <c r="AC1490">
        <v>-10.5093999999999</v>
      </c>
      <c r="AD1490">
        <v>-1.1041373484399899</v>
      </c>
      <c r="AE1490">
        <v>-1.6500999999999799</v>
      </c>
      <c r="AF1490">
        <v>-1.5128960046136599</v>
      </c>
      <c r="AG1490">
        <v>-1.1041373484399899</v>
      </c>
      <c r="AH1490">
        <v>10.4154724204652</v>
      </c>
      <c r="AI1490">
        <v>95.988901229469306</v>
      </c>
      <c r="AJ1490">
        <v>98.264677733272507</v>
      </c>
      <c r="AK1490">
        <v>10.582534637149401</v>
      </c>
      <c r="AL1490">
        <v>83.644434891548897</v>
      </c>
      <c r="AM1490">
        <v>93.275174559999101</v>
      </c>
      <c r="AN1490">
        <v>1.0000000289133899</v>
      </c>
    </row>
    <row r="1491" spans="1:40" x14ac:dyDescent="0.3">
      <c r="A1491" t="str">
        <f>"20200111150344004"</f>
        <v>20200111150344004</v>
      </c>
      <c r="B1491" t="str">
        <f>"1578726223999811"</f>
        <v>1578726223999811</v>
      </c>
      <c r="C1491" t="s">
        <v>40</v>
      </c>
      <c r="D1491">
        <v>5.7280449999999998</v>
      </c>
      <c r="E1491">
        <v>0.46787230000000002</v>
      </c>
      <c r="F1491" t="s">
        <v>41</v>
      </c>
      <c r="G1491">
        <v>-385.05759999999998</v>
      </c>
      <c r="H1491" s="1">
        <v>-2.1461620000000001E-6</v>
      </c>
      <c r="I1491">
        <v>139.37049999999999</v>
      </c>
      <c r="J1491">
        <v>-374.38990000000001</v>
      </c>
      <c r="K1491">
        <v>1.104147</v>
      </c>
      <c r="L1491">
        <v>141.09010000000001</v>
      </c>
      <c r="M1491">
        <v>-0.99983200000000005</v>
      </c>
      <c r="N1491">
        <v>0</v>
      </c>
      <c r="O1491">
        <v>-1.141288E-2</v>
      </c>
      <c r="P1491">
        <v>-0.99264350000000001</v>
      </c>
      <c r="Q1491">
        <v>9.7126920000000005E-2</v>
      </c>
      <c r="R1491">
        <v>-7.2287809999999994E-2</v>
      </c>
      <c r="S1491">
        <v>-3.0181269999999998</v>
      </c>
      <c r="T1491">
        <v>-0.30264029999999997</v>
      </c>
      <c r="U1491">
        <v>-0.47238160000000001</v>
      </c>
      <c r="V1491">
        <v>-6.0927820000000001E-2</v>
      </c>
      <c r="W1491">
        <v>0.11138439999999999</v>
      </c>
      <c r="X1491">
        <v>0.99190789999999995</v>
      </c>
      <c r="Y1491">
        <v>-0.142703</v>
      </c>
      <c r="Z1491">
        <v>-5.9594100000000001E-3</v>
      </c>
      <c r="AA1491">
        <v>0.98974759999999995</v>
      </c>
      <c r="AB1491">
        <v>34</v>
      </c>
      <c r="AC1491">
        <v>-10.6676999999999</v>
      </c>
      <c r="AD1491">
        <v>-1.1041491461620001</v>
      </c>
      <c r="AE1491">
        <v>-1.71960000000001</v>
      </c>
      <c r="AF1491">
        <v>-1.58121562434664</v>
      </c>
      <c r="AG1491">
        <v>-1.1041491461620001</v>
      </c>
      <c r="AH1491">
        <v>10.5761987076114</v>
      </c>
      <c r="AI1491">
        <v>95.895005676882903</v>
      </c>
      <c r="AJ1491">
        <v>98.503137749068998</v>
      </c>
      <c r="AK1491">
        <v>10.750598461970799</v>
      </c>
      <c r="AL1491">
        <v>83.604873579272294</v>
      </c>
      <c r="AM1491">
        <v>93.514969926186794</v>
      </c>
      <c r="AN1491">
        <v>0.99999998294786097</v>
      </c>
    </row>
    <row r="1492" spans="1:40" x14ac:dyDescent="0.3">
      <c r="A1492" t="str">
        <f>"20200111150344028"</f>
        <v>20200111150344028</v>
      </c>
      <c r="B1492" t="str">
        <f>"1578726224020307"</f>
        <v>1578726224020307</v>
      </c>
      <c r="C1492" t="s">
        <v>40</v>
      </c>
      <c r="D1492">
        <v>5.6898390000000001</v>
      </c>
      <c r="E1492">
        <v>0.46779929999999997</v>
      </c>
      <c r="F1492" t="s">
        <v>41</v>
      </c>
      <c r="G1492">
        <v>-385.46050000000002</v>
      </c>
      <c r="H1492" s="1">
        <v>-1.9851759999999998E-6</v>
      </c>
      <c r="I1492">
        <v>139.30359999999999</v>
      </c>
      <c r="J1492">
        <v>-374.74310000000003</v>
      </c>
      <c r="K1492">
        <v>1.1041609999999999</v>
      </c>
      <c r="L1492">
        <v>141.08619999999999</v>
      </c>
      <c r="M1492">
        <v>-0.99983239999999995</v>
      </c>
      <c r="N1492">
        <v>0</v>
      </c>
      <c r="O1492">
        <v>-1.134698E-2</v>
      </c>
      <c r="P1492">
        <v>-0.99233749999999998</v>
      </c>
      <c r="Q1492">
        <v>9.7925799999999993E-2</v>
      </c>
      <c r="R1492">
        <v>-7.5347700000000004E-2</v>
      </c>
      <c r="S1492">
        <v>-3.0162049999999998</v>
      </c>
      <c r="T1492">
        <v>-0.300828599999999</v>
      </c>
      <c r="U1492">
        <v>-0.48670960000000002</v>
      </c>
      <c r="V1492">
        <v>-6.4058309999999993E-2</v>
      </c>
      <c r="W1492">
        <v>0.1122103</v>
      </c>
      <c r="X1492">
        <v>0.99161759999999999</v>
      </c>
      <c r="Y1492">
        <v>-0.14743290000000001</v>
      </c>
      <c r="Z1492">
        <v>-6.1657500000000002E-3</v>
      </c>
      <c r="AA1492">
        <v>0.98905279999999995</v>
      </c>
      <c r="AB1492">
        <v>34</v>
      </c>
      <c r="AC1492">
        <v>-10.7173999999999</v>
      </c>
      <c r="AD1492">
        <v>-1.104162985176</v>
      </c>
      <c r="AE1492">
        <v>-1.7826</v>
      </c>
      <c r="AF1492">
        <v>-1.6438837346014199</v>
      </c>
      <c r="AG1492">
        <v>-1.104162985176</v>
      </c>
      <c r="AH1492">
        <v>10.627176626711901</v>
      </c>
      <c r="AI1492">
        <v>95.862513981992905</v>
      </c>
      <c r="AJ1492">
        <v>98.793207022191694</v>
      </c>
      <c r="AK1492">
        <v>10.8101069692233</v>
      </c>
      <c r="AL1492">
        <v>83.557254849068698</v>
      </c>
      <c r="AM1492">
        <v>93.696160736477196</v>
      </c>
      <c r="AN1492">
        <v>1.00000004156795</v>
      </c>
    </row>
    <row r="1493" spans="1:40" x14ac:dyDescent="0.3">
      <c r="A1493" t="str">
        <f>"20200111150344050"</f>
        <v>20200111150344050</v>
      </c>
      <c r="B1493" t="str">
        <f>"1578726224039827"</f>
        <v>1578726224039827</v>
      </c>
      <c r="C1493" t="s">
        <v>40</v>
      </c>
      <c r="D1493">
        <v>5.7228029999999999</v>
      </c>
      <c r="E1493">
        <v>0.46765689999999999</v>
      </c>
      <c r="F1493" t="s">
        <v>41</v>
      </c>
      <c r="G1493">
        <v>-385.8895</v>
      </c>
      <c r="H1493" s="1">
        <v>-1.810797E-6</v>
      </c>
      <c r="I1493">
        <v>139.24930000000001</v>
      </c>
      <c r="J1493">
        <v>-375.07470000000001</v>
      </c>
      <c r="K1493">
        <v>1.104182</v>
      </c>
      <c r="L1493">
        <v>141.08240000000001</v>
      </c>
      <c r="M1493">
        <v>-0.99983239999999995</v>
      </c>
      <c r="N1493">
        <v>0</v>
      </c>
      <c r="O1493">
        <v>-1.1303550000000001E-2</v>
      </c>
      <c r="P1493">
        <v>-0.99214729999999995</v>
      </c>
      <c r="Q1493">
        <v>9.8215590000000005E-2</v>
      </c>
      <c r="R1493">
        <v>-7.7445719999999996E-2</v>
      </c>
      <c r="S1493">
        <v>-3.0148929999999998</v>
      </c>
      <c r="T1493">
        <v>-0.29865750000000002</v>
      </c>
      <c r="U1493">
        <v>-0.4968262</v>
      </c>
      <c r="V1493">
        <v>-6.6205810000000004E-2</v>
      </c>
      <c r="W1493">
        <v>0.1125216</v>
      </c>
      <c r="X1493">
        <v>0.99144120000000002</v>
      </c>
      <c r="Y1493">
        <v>-0.15076879999999901</v>
      </c>
      <c r="Z1493">
        <v>-6.2904459999999999E-3</v>
      </c>
      <c r="AA1493">
        <v>0.98854909999999996</v>
      </c>
      <c r="AB1493">
        <v>34</v>
      </c>
      <c r="AC1493">
        <v>-10.8147999999999</v>
      </c>
      <c r="AD1493">
        <v>-1.1041838107969999</v>
      </c>
      <c r="AE1493">
        <v>-1.8331</v>
      </c>
      <c r="AF1493">
        <v>-1.69356342448768</v>
      </c>
      <c r="AG1493">
        <v>-1.1041838107969999</v>
      </c>
      <c r="AH1493">
        <v>10.7261420357831</v>
      </c>
      <c r="AI1493">
        <v>95.806083815005096</v>
      </c>
      <c r="AJ1493">
        <v>98.972428830596002</v>
      </c>
      <c r="AK1493">
        <v>10.915012685864401</v>
      </c>
      <c r="AL1493">
        <v>83.539304637291707</v>
      </c>
      <c r="AM1493">
        <v>93.820388069009596</v>
      </c>
      <c r="AN1493">
        <v>0.99999998640087795</v>
      </c>
    </row>
    <row r="1494" spans="1:40" x14ac:dyDescent="0.3">
      <c r="A1494" t="str">
        <f>"20200111150344072"</f>
        <v>20200111150344072</v>
      </c>
      <c r="B1494" t="str">
        <f>"1578726224060324"</f>
        <v>1578726224060324</v>
      </c>
      <c r="C1494" t="s">
        <v>40</v>
      </c>
      <c r="D1494">
        <v>5.708323</v>
      </c>
      <c r="E1494">
        <v>0.46771879999999999</v>
      </c>
      <c r="F1494" t="s">
        <v>41</v>
      </c>
      <c r="G1494">
        <v>-386.1499</v>
      </c>
      <c r="H1494" s="1">
        <v>-1.702384E-6</v>
      </c>
      <c r="I1494">
        <v>139.23070000000001</v>
      </c>
      <c r="J1494">
        <v>-375.41559999999998</v>
      </c>
      <c r="K1494">
        <v>1.1042209999999999</v>
      </c>
      <c r="L1494">
        <v>141.07859999999999</v>
      </c>
      <c r="M1494">
        <v>-0.99983200000000005</v>
      </c>
      <c r="N1494">
        <v>0</v>
      </c>
      <c r="O1494">
        <v>-1.130457E-2</v>
      </c>
      <c r="P1494">
        <v>-0.99192199999999997</v>
      </c>
      <c r="Q1494">
        <v>9.8796610000000007E-2</v>
      </c>
      <c r="R1494">
        <v>-7.9561870000000007E-2</v>
      </c>
      <c r="S1494">
        <v>-3.0141300000000002</v>
      </c>
      <c r="T1494">
        <v>-0.30050739999999998</v>
      </c>
      <c r="U1494">
        <v>-0.50393679999999996</v>
      </c>
      <c r="V1494">
        <v>-6.8331240000000001E-2</v>
      </c>
      <c r="W1494">
        <v>0.1131171</v>
      </c>
      <c r="X1494">
        <v>0.99122920000000003</v>
      </c>
      <c r="Y1494">
        <v>-0.15305769999999999</v>
      </c>
      <c r="Z1494">
        <v>-6.4425339999999998E-3</v>
      </c>
      <c r="AA1494">
        <v>0.98819630000000003</v>
      </c>
      <c r="AB1494">
        <v>34</v>
      </c>
      <c r="AC1494">
        <v>-10.734299999999999</v>
      </c>
      <c r="AD1494">
        <v>-1.1042227023840001</v>
      </c>
      <c r="AE1494">
        <v>-1.8478999999999799</v>
      </c>
      <c r="AF1494">
        <v>-1.7088600129174301</v>
      </c>
      <c r="AG1494">
        <v>-1.1042227023840001</v>
      </c>
      <c r="AH1494">
        <v>10.645102068896099</v>
      </c>
      <c r="AI1494">
        <v>95.847804001140105</v>
      </c>
      <c r="AJ1494">
        <v>99.119892577009196</v>
      </c>
      <c r="AK1494">
        <v>10.837790751690299</v>
      </c>
      <c r="AL1494">
        <v>83.504965733617297</v>
      </c>
      <c r="AM1494">
        <v>93.943495186475801</v>
      </c>
      <c r="AN1494">
        <v>0.99999998180249305</v>
      </c>
    </row>
    <row r="1495" spans="1:40" x14ac:dyDescent="0.3">
      <c r="A1495" t="str">
        <f>"20200111150344093"</f>
        <v>20200111150344093</v>
      </c>
      <c r="B1495" t="str">
        <f>"1578726224089604"</f>
        <v>1578726224089604</v>
      </c>
      <c r="C1495" t="s">
        <v>40</v>
      </c>
      <c r="D1495">
        <v>5.6968040000000002</v>
      </c>
      <c r="E1495">
        <v>0.46772530000000001</v>
      </c>
      <c r="F1495" t="s">
        <v>41</v>
      </c>
      <c r="G1495">
        <v>-386.48939999999999</v>
      </c>
      <c r="H1495" s="1">
        <v>-1.5607409999999901E-6</v>
      </c>
      <c r="I1495">
        <v>139.208</v>
      </c>
      <c r="J1495">
        <v>-375.74560000000002</v>
      </c>
      <c r="K1495">
        <v>1.1042650000000001</v>
      </c>
      <c r="L1495">
        <v>141.07480000000001</v>
      </c>
      <c r="M1495">
        <v>-0.99983120000000003</v>
      </c>
      <c r="N1495">
        <v>0</v>
      </c>
      <c r="O1495">
        <v>-1.135242E-2</v>
      </c>
      <c r="P1495">
        <v>-0.99150799999999994</v>
      </c>
      <c r="Q1495">
        <v>0.1002741</v>
      </c>
      <c r="R1495">
        <v>-8.2809569999999999E-2</v>
      </c>
      <c r="S1495">
        <v>-3.0134889999999999</v>
      </c>
      <c r="T1495">
        <v>-0.30049219999999999</v>
      </c>
      <c r="U1495">
        <v>-0.50900270000000003</v>
      </c>
      <c r="V1495">
        <v>-7.1545440000000002E-2</v>
      </c>
      <c r="W1495">
        <v>0.11460090000000001</v>
      </c>
      <c r="X1495">
        <v>0.99083189999999999</v>
      </c>
      <c r="Y1495">
        <v>-0.1546526</v>
      </c>
      <c r="Z1495">
        <v>-6.5167119999999896E-3</v>
      </c>
      <c r="AA1495">
        <v>0.98794740000000003</v>
      </c>
      <c r="AB1495">
        <v>34</v>
      </c>
      <c r="AC1495">
        <v>-10.743799999999901</v>
      </c>
      <c r="AD1495">
        <v>-1.104266560741</v>
      </c>
      <c r="AE1495">
        <v>-1.86680000000001</v>
      </c>
      <c r="AF1495">
        <v>-1.72698941686779</v>
      </c>
      <c r="AG1495">
        <v>-1.104266560741</v>
      </c>
      <c r="AH1495">
        <v>10.655040388431599</v>
      </c>
      <c r="AI1495">
        <v>95.841202417616003</v>
      </c>
      <c r="AJ1495">
        <v>99.206546816752294</v>
      </c>
      <c r="AK1495">
        <v>10.8504277686298</v>
      </c>
      <c r="AL1495">
        <v>83.419393786955993</v>
      </c>
      <c r="AM1495">
        <v>94.130013957686302</v>
      </c>
      <c r="AN1495">
        <v>0.99999998516160604</v>
      </c>
    </row>
    <row r="1496" spans="1:40" x14ac:dyDescent="0.3">
      <c r="A1496" t="str">
        <f>"20200111150344117"</f>
        <v>20200111150344117</v>
      </c>
      <c r="B1496" t="str">
        <f>"1578726224110104"</f>
        <v>1578726224110104</v>
      </c>
      <c r="C1496" t="s">
        <v>40</v>
      </c>
      <c r="D1496">
        <v>5.7977429999999996</v>
      </c>
      <c r="E1496">
        <v>0.46752060000000001</v>
      </c>
      <c r="F1496" t="s">
        <v>41</v>
      </c>
      <c r="G1496">
        <v>-386.95389999999998</v>
      </c>
      <c r="H1496" s="1">
        <v>-1.372547E-6</v>
      </c>
      <c r="I1496">
        <v>139.1456</v>
      </c>
      <c r="J1496">
        <v>-376.10160000000002</v>
      </c>
      <c r="K1496">
        <v>1.104333</v>
      </c>
      <c r="L1496">
        <v>141.07060000000001</v>
      </c>
      <c r="M1496">
        <v>-0.99982959999999999</v>
      </c>
      <c r="N1496">
        <v>0</v>
      </c>
      <c r="O1496">
        <v>-1.148441E-2</v>
      </c>
      <c r="P1496">
        <v>-0.99116610000000005</v>
      </c>
      <c r="Q1496">
        <v>0.1013298</v>
      </c>
      <c r="R1496">
        <v>-8.5571949999999994E-2</v>
      </c>
      <c r="S1496">
        <v>-3.0124209999999998</v>
      </c>
      <c r="T1496">
        <v>-0.29679129999999998</v>
      </c>
      <c r="U1496">
        <v>-0.51849369999999995</v>
      </c>
      <c r="V1496">
        <v>-7.4196490000000004E-2</v>
      </c>
      <c r="W1496">
        <v>0.1156581</v>
      </c>
      <c r="X1496">
        <v>0.99051400000000001</v>
      </c>
      <c r="Y1496">
        <v>-0.1576072</v>
      </c>
      <c r="Z1496">
        <v>-6.5686690000000001E-3</v>
      </c>
      <c r="AA1496">
        <v>0.98748000000000002</v>
      </c>
      <c r="AB1496">
        <v>34</v>
      </c>
      <c r="AC1496">
        <v>-10.8522999999999</v>
      </c>
      <c r="AD1496">
        <v>-1.1043343725470001</v>
      </c>
      <c r="AE1496">
        <v>-1.92500000000001</v>
      </c>
      <c r="AF1496">
        <v>-1.7823343542654499</v>
      </c>
      <c r="AG1496">
        <v>-1.1043343725470001</v>
      </c>
      <c r="AH1496">
        <v>10.765614732793299</v>
      </c>
      <c r="AI1496">
        <v>95.778784244035293</v>
      </c>
      <c r="AJ1496">
        <v>99.400509685858594</v>
      </c>
      <c r="AK1496">
        <v>10.9678954559076</v>
      </c>
      <c r="AL1496">
        <v>83.358414970848699</v>
      </c>
      <c r="AM1496">
        <v>94.283857914659094</v>
      </c>
      <c r="AN1496">
        <v>0.99999994970996298</v>
      </c>
    </row>
    <row r="1497" spans="1:40" x14ac:dyDescent="0.3">
      <c r="A1497" t="str">
        <f>"20200111150344139"</f>
        <v>20200111150344139</v>
      </c>
      <c r="B1497" t="str">
        <f>"1578726224129619"</f>
        <v>1578726224129619</v>
      </c>
      <c r="C1497" t="s">
        <v>40</v>
      </c>
      <c r="D1497">
        <v>5.6604409999999996</v>
      </c>
      <c r="E1497">
        <v>0.41870020000000002</v>
      </c>
      <c r="F1497" t="s">
        <v>41</v>
      </c>
      <c r="G1497">
        <v>-387.34210000000002</v>
      </c>
      <c r="H1497" s="1">
        <v>-1.2139299999999999E-6</v>
      </c>
      <c r="I1497">
        <v>139.101</v>
      </c>
      <c r="J1497">
        <v>-376.42970000000003</v>
      </c>
      <c r="K1497">
        <v>1.104406</v>
      </c>
      <c r="L1497">
        <v>141.06659999999999</v>
      </c>
      <c r="M1497">
        <v>-0.99982689999999996</v>
      </c>
      <c r="N1497">
        <v>0</v>
      </c>
      <c r="O1497">
        <v>-1.169765E-2</v>
      </c>
      <c r="P1497">
        <v>-0.99098730000000002</v>
      </c>
      <c r="Q1497">
        <v>0.10173359999999999</v>
      </c>
      <c r="R1497">
        <v>-8.7148139999999999E-2</v>
      </c>
      <c r="S1497">
        <v>-3.0114139999999998</v>
      </c>
      <c r="T1497">
        <v>-0.29586109999999999</v>
      </c>
      <c r="U1497">
        <v>-0.52764889999999998</v>
      </c>
      <c r="V1497">
        <v>-7.5582389999999999E-2</v>
      </c>
      <c r="W1497">
        <v>0.1160602</v>
      </c>
      <c r="X1497">
        <v>0.99036219999999997</v>
      </c>
      <c r="Y1497">
        <v>-0.1603579</v>
      </c>
      <c r="Z1497">
        <v>-6.6617019999999898E-3</v>
      </c>
      <c r="AA1497">
        <v>0.98703649999999998</v>
      </c>
      <c r="AB1497">
        <v>34</v>
      </c>
      <c r="AC1497">
        <v>-10.9123999999999</v>
      </c>
      <c r="AD1497">
        <v>-1.1044072139299901</v>
      </c>
      <c r="AE1497">
        <v>-1.96559999999999</v>
      </c>
      <c r="AF1497">
        <v>-1.8197491437512301</v>
      </c>
      <c r="AG1497">
        <v>-1.1044072139299901</v>
      </c>
      <c r="AH1497">
        <v>10.8272326695612</v>
      </c>
      <c r="AI1497">
        <v>95.744166287577997</v>
      </c>
      <c r="AJ1497">
        <v>99.540619437324906</v>
      </c>
      <c r="AK1497">
        <v>11.0344990607267</v>
      </c>
      <c r="AL1497">
        <v>83.335220320180397</v>
      </c>
      <c r="AM1497">
        <v>94.364235178755806</v>
      </c>
      <c r="AN1497">
        <v>0.99999997744549496</v>
      </c>
    </row>
    <row r="1498" spans="1:40" x14ac:dyDescent="0.3">
      <c r="A1498" t="str">
        <f>"20200111150344160"</f>
        <v>20200111150344160</v>
      </c>
      <c r="B1498" t="str">
        <f>"1578726224150115"</f>
        <v>1578726224150115</v>
      </c>
      <c r="C1498" t="s">
        <v>40</v>
      </c>
      <c r="D1498">
        <v>5.6684070000000002</v>
      </c>
      <c r="E1498">
        <v>0.41390130000000003</v>
      </c>
      <c r="F1498" t="s">
        <v>41</v>
      </c>
      <c r="G1498">
        <v>-389.10340000000002</v>
      </c>
      <c r="H1498" s="1">
        <v>-9.4610269999999998E-7</v>
      </c>
      <c r="I1498">
        <v>137.15479999999999</v>
      </c>
      <c r="J1498">
        <v>-376.75549999999998</v>
      </c>
      <c r="K1498">
        <v>1.1044959999999999</v>
      </c>
      <c r="L1498">
        <v>141.0625</v>
      </c>
      <c r="M1498">
        <v>-0.99982309999999996</v>
      </c>
      <c r="N1498">
        <v>0</v>
      </c>
      <c r="O1498">
        <v>-1.2003689999999999E-2</v>
      </c>
      <c r="P1498">
        <v>-0.99098679999999995</v>
      </c>
      <c r="Q1498">
        <v>0.1017342</v>
      </c>
      <c r="R1498">
        <v>-8.7151010000000001E-2</v>
      </c>
      <c r="S1498">
        <v>-2.9732059999999998</v>
      </c>
      <c r="T1498">
        <v>-0.25909130000000002</v>
      </c>
      <c r="U1498">
        <v>-0.91769409999999896</v>
      </c>
      <c r="V1498">
        <v>-7.5303320000000007E-2</v>
      </c>
      <c r="W1498">
        <v>0.11605739999999901</v>
      </c>
      <c r="X1498">
        <v>0.99038380000000004</v>
      </c>
      <c r="Y1498">
        <v>-0.28249839999999998</v>
      </c>
      <c r="Z1498">
        <v>-1.0987469999999999E-2</v>
      </c>
      <c r="AA1498">
        <v>0.95920490000000003</v>
      </c>
      <c r="AB1498">
        <v>34</v>
      </c>
      <c r="AC1498">
        <v>-12.347899999999999</v>
      </c>
      <c r="AD1498">
        <v>-1.1044969461027001</v>
      </c>
      <c r="AE1498">
        <v>-3.9077000000000002</v>
      </c>
      <c r="AF1498">
        <v>-3.7320408110296399</v>
      </c>
      <c r="AG1498">
        <v>-1.1044969461027001</v>
      </c>
      <c r="AH1498">
        <v>12.3044365246122</v>
      </c>
      <c r="AI1498">
        <v>94.909645046545293</v>
      </c>
      <c r="AJ1498">
        <v>106.872999238048</v>
      </c>
      <c r="AK1498">
        <v>12.905316745719601</v>
      </c>
      <c r="AL1498">
        <v>83.335381928598594</v>
      </c>
      <c r="AM1498">
        <v>94.348088721798504</v>
      </c>
      <c r="AN1498">
        <v>0.99999999070011103</v>
      </c>
    </row>
    <row r="1499" spans="1:40" x14ac:dyDescent="0.3">
      <c r="A1499" t="str">
        <f>"20200111150344183"</f>
        <v>20200111150344183</v>
      </c>
      <c r="B1499" t="str">
        <f>"1578726224180371"</f>
        <v>1578726224180371</v>
      </c>
      <c r="C1499" t="s">
        <v>40</v>
      </c>
      <c r="D1499">
        <v>5.588438</v>
      </c>
      <c r="E1499">
        <v>0.4106206</v>
      </c>
      <c r="F1499" t="s">
        <v>41</v>
      </c>
      <c r="G1499">
        <v>-388.35210000000001</v>
      </c>
      <c r="H1499" s="1">
        <v>-1.1526199999999999E-6</v>
      </c>
      <c r="I1499">
        <v>137.33949999999999</v>
      </c>
      <c r="J1499">
        <v>-377.0949</v>
      </c>
      <c r="K1499">
        <v>1.1045799999999999</v>
      </c>
      <c r="L1499">
        <v>141.05799999999999</v>
      </c>
      <c r="M1499">
        <v>-0.99981799999999998</v>
      </c>
      <c r="N1499">
        <v>0</v>
      </c>
      <c r="O1499">
        <v>-1.241401E-2</v>
      </c>
      <c r="P1499">
        <v>-0.99100410000000005</v>
      </c>
      <c r="Q1499">
        <v>0.10181709999999999</v>
      </c>
      <c r="R1499">
        <v>-8.6857669999999998E-2</v>
      </c>
      <c r="S1499">
        <v>-2.9724430000000002</v>
      </c>
      <c r="T1499">
        <v>-0.2831051</v>
      </c>
      <c r="U1499">
        <v>-0.95426940000000005</v>
      </c>
      <c r="V1499">
        <v>-7.4625880000000006E-2</v>
      </c>
      <c r="W1499">
        <v>0.1161355</v>
      </c>
      <c r="X1499">
        <v>0.99042589999999997</v>
      </c>
      <c r="Y1499">
        <v>-0.29267929999999998</v>
      </c>
      <c r="Z1499">
        <v>-1.241713E-2</v>
      </c>
      <c r="AA1499">
        <v>0.95613000000000004</v>
      </c>
      <c r="AB1499">
        <v>34</v>
      </c>
      <c r="AC1499">
        <v>-11.257199999999999</v>
      </c>
      <c r="AD1499">
        <v>-1.10458115261999</v>
      </c>
      <c r="AE1499">
        <v>-3.7185000000000001</v>
      </c>
      <c r="AF1499">
        <v>-3.54765532146775</v>
      </c>
      <c r="AG1499">
        <v>-1.10458115261999</v>
      </c>
      <c r="AH1499">
        <v>11.205228565354499</v>
      </c>
      <c r="AI1499">
        <v>95.368860175782103</v>
      </c>
      <c r="AJ1499">
        <v>107.568158716727</v>
      </c>
      <c r="AK1499">
        <v>11.805215161296299</v>
      </c>
      <c r="AL1499">
        <v>83.330876523694201</v>
      </c>
      <c r="AM1499">
        <v>94.308938182711699</v>
      </c>
      <c r="AN1499">
        <v>0.99999996985841599</v>
      </c>
    </row>
    <row r="1500" spans="1:40" x14ac:dyDescent="0.3">
      <c r="A1500" t="str">
        <f>"20200111150344205"</f>
        <v>20200111150344205</v>
      </c>
      <c r="B1500" t="str">
        <f>"1578726224199891"</f>
        <v>1578726224199891</v>
      </c>
      <c r="C1500" t="s">
        <v>40</v>
      </c>
      <c r="D1500">
        <v>5.5816229999999996</v>
      </c>
      <c r="E1500">
        <v>0.40928779999999998</v>
      </c>
      <c r="F1500" t="s">
        <v>41</v>
      </c>
      <c r="G1500">
        <v>-388.66480000000001</v>
      </c>
      <c r="H1500" s="1">
        <v>-1.069973E-6</v>
      </c>
      <c r="I1500">
        <v>137.2501</v>
      </c>
      <c r="J1500">
        <v>-377.43959999999998</v>
      </c>
      <c r="K1500">
        <v>1.104652</v>
      </c>
      <c r="L1500">
        <v>141.0532</v>
      </c>
      <c r="M1500">
        <v>-0.99981149999999996</v>
      </c>
      <c r="N1500">
        <v>0</v>
      </c>
      <c r="O1500">
        <v>-1.2908909999999999E-2</v>
      </c>
      <c r="P1500">
        <v>-0.99086830000000004</v>
      </c>
      <c r="Q1500">
        <v>0.10206129999999999</v>
      </c>
      <c r="R1500">
        <v>-8.8110640000000004E-2</v>
      </c>
      <c r="S1500">
        <v>-2.9707029999999999</v>
      </c>
      <c r="T1500">
        <v>-0.2836147</v>
      </c>
      <c r="U1500">
        <v>-0.97770690000000005</v>
      </c>
      <c r="V1500">
        <v>-7.5410080000000004E-2</v>
      </c>
      <c r="W1500">
        <v>0.1163723</v>
      </c>
      <c r="X1500">
        <v>0.99033870000000002</v>
      </c>
      <c r="Y1500">
        <v>-0.29915779999999997</v>
      </c>
      <c r="Z1500">
        <v>-1.2686380000000001E-2</v>
      </c>
      <c r="AA1500">
        <v>0.9541193</v>
      </c>
      <c r="AB1500">
        <v>34</v>
      </c>
      <c r="AC1500">
        <v>-11.225199999999999</v>
      </c>
      <c r="AD1500">
        <v>-1.1046530699729999</v>
      </c>
      <c r="AE1500">
        <v>-3.8031000000000001</v>
      </c>
      <c r="AF1500">
        <v>-3.6263603369891899</v>
      </c>
      <c r="AG1500">
        <v>-1.1046530699729999</v>
      </c>
      <c r="AH1500">
        <v>11.176274669748899</v>
      </c>
      <c r="AI1500">
        <v>95.370819712244298</v>
      </c>
      <c r="AJ1500">
        <v>107.976666095656</v>
      </c>
      <c r="AK1500">
        <v>11.8016889974427</v>
      </c>
      <c r="AL1500">
        <v>83.317216237377096</v>
      </c>
      <c r="AM1500">
        <v>94.354426989069793</v>
      </c>
      <c r="AN1500">
        <v>0.999999966545292</v>
      </c>
    </row>
    <row r="1501" spans="1:40" x14ac:dyDescent="0.3">
      <c r="A1501" t="str">
        <f>"20200111150344228"</f>
        <v>20200111150344228</v>
      </c>
      <c r="B1501" t="str">
        <f>"1578726224220388"</f>
        <v>1578726224220388</v>
      </c>
      <c r="C1501" t="s">
        <v>40</v>
      </c>
      <c r="D1501">
        <v>5.6130129999999996</v>
      </c>
      <c r="E1501">
        <v>0.40806779999999998</v>
      </c>
      <c r="F1501" t="s">
        <v>41</v>
      </c>
      <c r="G1501">
        <v>-389.09840000000003</v>
      </c>
      <c r="H1501" s="1">
        <v>-9.4560059999999995E-7</v>
      </c>
      <c r="I1501">
        <v>137.16299999999899</v>
      </c>
      <c r="J1501">
        <v>-377.77620000000002</v>
      </c>
      <c r="K1501">
        <v>1.1047070000000001</v>
      </c>
      <c r="L1501">
        <v>141.04830000000001</v>
      </c>
      <c r="M1501">
        <v>-0.99980429999999998</v>
      </c>
      <c r="N1501">
        <v>0</v>
      </c>
      <c r="O1501">
        <v>-1.345184E-2</v>
      </c>
      <c r="P1501">
        <v>-0.9907241</v>
      </c>
      <c r="Q1501">
        <v>0.10135470000000001</v>
      </c>
      <c r="R1501">
        <v>-9.051505E-2</v>
      </c>
      <c r="S1501">
        <v>-2.9685060000000001</v>
      </c>
      <c r="T1501">
        <v>-0.2812617</v>
      </c>
      <c r="U1501">
        <v>-0.99049379999999998</v>
      </c>
      <c r="V1501">
        <v>-7.7291659999999998E-2</v>
      </c>
      <c r="W1501">
        <v>0.1156591</v>
      </c>
      <c r="X1501">
        <v>0.99027719999999997</v>
      </c>
      <c r="Y1501">
        <v>-0.30255870000000001</v>
      </c>
      <c r="Z1501">
        <v>-1.268873E-2</v>
      </c>
      <c r="AA1501">
        <v>0.95304630000000001</v>
      </c>
      <c r="AB1501">
        <v>34</v>
      </c>
      <c r="AC1501">
        <v>-11.3222</v>
      </c>
      <c r="AD1501">
        <v>-1.1047079456005999</v>
      </c>
      <c r="AE1501">
        <v>-3.88530000000002</v>
      </c>
      <c r="AF1501">
        <v>-3.7011056770820798</v>
      </c>
      <c r="AG1501">
        <v>-1.1047079456005999</v>
      </c>
      <c r="AH1501">
        <v>11.2773958829168</v>
      </c>
      <c r="AI1501">
        <v>95.317400811630606</v>
      </c>
      <c r="AJ1501">
        <v>108.16921376202301</v>
      </c>
      <c r="AK1501">
        <v>11.920495827692401</v>
      </c>
      <c r="AL1501">
        <v>83.358357493235701</v>
      </c>
      <c r="AM1501">
        <v>94.462918087117799</v>
      </c>
      <c r="AN1501">
        <v>0.99999998047910199</v>
      </c>
    </row>
    <row r="1502" spans="1:40" x14ac:dyDescent="0.3">
      <c r="A1502" t="str">
        <f>"20200111150344251"</f>
        <v>20200111150344251</v>
      </c>
      <c r="B1502" t="str">
        <f>"1578726224239907"</f>
        <v>1578726224239907</v>
      </c>
      <c r="C1502" t="s">
        <v>40</v>
      </c>
      <c r="D1502">
        <v>5.7138369999999998</v>
      </c>
      <c r="E1502">
        <v>0.4079776</v>
      </c>
      <c r="F1502" t="s">
        <v>41</v>
      </c>
      <c r="G1502">
        <v>-389.4049</v>
      </c>
      <c r="H1502" s="1">
        <v>-8.5801319999999905E-7</v>
      </c>
      <c r="I1502">
        <v>137.1002</v>
      </c>
      <c r="J1502">
        <v>-378.10680000000002</v>
      </c>
      <c r="K1502">
        <v>1.104749</v>
      </c>
      <c r="L1502">
        <v>141.04329999999999</v>
      </c>
      <c r="M1502">
        <v>-0.99979649999999998</v>
      </c>
      <c r="N1502">
        <v>0</v>
      </c>
      <c r="O1502">
        <v>-1.402567E-2</v>
      </c>
      <c r="P1502">
        <v>-0.99039940000000004</v>
      </c>
      <c r="Q1502">
        <v>0.10125720000000001</v>
      </c>
      <c r="R1502">
        <v>-9.4108629999999999E-2</v>
      </c>
      <c r="S1502">
        <v>-2.9649049999999999</v>
      </c>
      <c r="T1502">
        <v>-0.28166079999999999</v>
      </c>
      <c r="U1502">
        <v>-1.0066219999999999</v>
      </c>
      <c r="V1502">
        <v>-8.0329960000000006E-2</v>
      </c>
      <c r="W1502">
        <v>0.115552</v>
      </c>
      <c r="X1502">
        <v>0.99004789999999998</v>
      </c>
      <c r="Y1502">
        <v>-0.30699330000000002</v>
      </c>
      <c r="Z1502">
        <v>-1.2862190000000001E-2</v>
      </c>
      <c r="AA1502">
        <v>0.95162480000000005</v>
      </c>
      <c r="AB1502">
        <v>34</v>
      </c>
      <c r="AC1502">
        <v>-11.2980999999999</v>
      </c>
      <c r="AD1502">
        <v>-1.1047498580132</v>
      </c>
      <c r="AE1502">
        <v>-3.9430999999999798</v>
      </c>
      <c r="AF1502">
        <v>-3.7522510048264301</v>
      </c>
      <c r="AG1502">
        <v>-1.1047498580132</v>
      </c>
      <c r="AH1502">
        <v>11.2563593135656</v>
      </c>
      <c r="AI1502">
        <v>95.319344171174706</v>
      </c>
      <c r="AJ1502">
        <v>108.43555001166899</v>
      </c>
      <c r="AK1502">
        <v>11.9166054247045</v>
      </c>
      <c r="AL1502">
        <v>83.364535460589806</v>
      </c>
      <c r="AM1502">
        <v>94.638671905582697</v>
      </c>
      <c r="AN1502">
        <v>1.0000000057359999</v>
      </c>
    </row>
    <row r="1503" spans="1:40" x14ac:dyDescent="0.3">
      <c r="A1503" t="str">
        <f>"20200111150344283"</f>
        <v>20200111150344283</v>
      </c>
      <c r="B1503" t="str">
        <f>"1578726224279924"</f>
        <v>1578726224279924</v>
      </c>
      <c r="C1503" t="s">
        <v>40</v>
      </c>
      <c r="D1503">
        <v>5.6273989999999996</v>
      </c>
      <c r="E1503">
        <v>0.40901999999999999</v>
      </c>
      <c r="F1503" t="s">
        <v>41</v>
      </c>
      <c r="G1503">
        <v>-389.64879999999999</v>
      </c>
      <c r="H1503" s="1">
        <v>-7.8234020000000004E-7</v>
      </c>
      <c r="I1503">
        <v>137.07259999999999</v>
      </c>
      <c r="J1503">
        <v>-378.60430000000002</v>
      </c>
      <c r="K1503">
        <v>1.1048020000000001</v>
      </c>
      <c r="L1503">
        <v>141.03530000000001</v>
      </c>
      <c r="M1503">
        <v>-0.99978339999999999</v>
      </c>
      <c r="N1503">
        <v>0</v>
      </c>
      <c r="O1503">
        <v>-1.492305E-2</v>
      </c>
      <c r="P1503">
        <v>-0.98967139999999998</v>
      </c>
      <c r="Q1503">
        <v>0.1028028</v>
      </c>
      <c r="R1503">
        <v>-9.9912940000000006E-2</v>
      </c>
      <c r="S1503">
        <v>-2.9612430000000001</v>
      </c>
      <c r="T1503">
        <v>-0.28343639999999998</v>
      </c>
      <c r="U1503">
        <v>-1.018707</v>
      </c>
      <c r="V1503">
        <v>-8.5264859999999998E-2</v>
      </c>
      <c r="W1503">
        <v>0.117082199999999</v>
      </c>
      <c r="X1503">
        <v>0.98945519999999998</v>
      </c>
      <c r="Y1503">
        <v>-0.30994899999999997</v>
      </c>
      <c r="Z1503">
        <v>-1.300377E-2</v>
      </c>
      <c r="AA1503">
        <v>0.95066419999999996</v>
      </c>
      <c r="AB1503">
        <v>34</v>
      </c>
      <c r="AC1503">
        <v>-11.0444999999999</v>
      </c>
      <c r="AD1503">
        <v>-1.1048027823402</v>
      </c>
      <c r="AE1503">
        <v>-3.9627000000000101</v>
      </c>
      <c r="AF1503">
        <v>-3.7640547556352701</v>
      </c>
      <c r="AG1503">
        <v>-1.1048027823402</v>
      </c>
      <c r="AH1503">
        <v>11.004852001795101</v>
      </c>
      <c r="AI1503">
        <v>95.426223547797804</v>
      </c>
      <c r="AJ1503">
        <v>108.8825308549</v>
      </c>
      <c r="AK1503">
        <v>11.6831273626842</v>
      </c>
      <c r="AL1503">
        <v>83.276261990393095</v>
      </c>
      <c r="AM1503">
        <v>94.925213008837403</v>
      </c>
      <c r="AN1503">
        <v>0.99999996535734903</v>
      </c>
    </row>
    <row r="1504" spans="1:40" x14ac:dyDescent="0.3">
      <c r="A1504" t="str">
        <f>"20200111150344306"</f>
        <v>20200111150344306</v>
      </c>
      <c r="B1504" t="str">
        <f>"1578726224299443"</f>
        <v>1578726224299443</v>
      </c>
      <c r="C1504" t="s">
        <v>40</v>
      </c>
      <c r="D1504">
        <v>5.6746089999999896</v>
      </c>
      <c r="E1504">
        <v>0.40898250000000003</v>
      </c>
      <c r="F1504" t="s">
        <v>41</v>
      </c>
      <c r="G1504">
        <v>-389.68630000000002</v>
      </c>
      <c r="H1504" s="1">
        <v>-7.3945609999999997E-7</v>
      </c>
      <c r="I1504">
        <v>137.1859</v>
      </c>
      <c r="J1504">
        <v>-378.95069999999998</v>
      </c>
      <c r="K1504">
        <v>1.104824</v>
      </c>
      <c r="L1504">
        <v>141.02950000000001</v>
      </c>
      <c r="M1504">
        <v>-0.99977369999999999</v>
      </c>
      <c r="N1504">
        <v>0</v>
      </c>
      <c r="O1504">
        <v>-1.5551890000000001E-2</v>
      </c>
      <c r="P1504">
        <v>-0.98921530000000002</v>
      </c>
      <c r="Q1504">
        <v>0.10368380000000001</v>
      </c>
      <c r="R1504">
        <v>-0.103454</v>
      </c>
      <c r="S1504">
        <v>-2.9581909999999998</v>
      </c>
      <c r="T1504">
        <v>-0.29491390000000001</v>
      </c>
      <c r="U1504">
        <v>-1.0275270000000001</v>
      </c>
      <c r="V1504">
        <v>-8.8194220000000004E-2</v>
      </c>
      <c r="W1504">
        <v>0.1179525</v>
      </c>
      <c r="X1504">
        <v>0.98909499999999995</v>
      </c>
      <c r="Y1504">
        <v>-0.31207679999999999</v>
      </c>
      <c r="Z1504">
        <v>-1.3576909999999999E-2</v>
      </c>
      <c r="AA1504">
        <v>0.94995989999999997</v>
      </c>
      <c r="AB1504">
        <v>34</v>
      </c>
      <c r="AC1504">
        <v>-10.7356</v>
      </c>
      <c r="AD1504">
        <v>-1.1048247394560999</v>
      </c>
      <c r="AE1504">
        <v>-3.8435999999999999</v>
      </c>
      <c r="AF1504">
        <v>-3.6419691930116298</v>
      </c>
      <c r="AG1504">
        <v>-1.1048247394560999</v>
      </c>
      <c r="AH1504">
        <v>10.6936946211622</v>
      </c>
      <c r="AI1504">
        <v>95.585722454244205</v>
      </c>
      <c r="AJ1504">
        <v>108.807387175843</v>
      </c>
      <c r="AK1504">
        <v>11.3507568892314</v>
      </c>
      <c r="AL1504">
        <v>83.226049542865596</v>
      </c>
      <c r="AM1504">
        <v>95.095393363744506</v>
      </c>
      <c r="AN1504">
        <v>0.999999965861328</v>
      </c>
    </row>
    <row r="1505" spans="1:40" x14ac:dyDescent="0.3">
      <c r="A1505" t="str">
        <f>"20200111150344327"</f>
        <v>20200111150344327</v>
      </c>
      <c r="B1505" t="str">
        <f>"1578726224319942"</f>
        <v>1578726224319942</v>
      </c>
      <c r="C1505" t="s">
        <v>40</v>
      </c>
      <c r="D1505">
        <v>5.602074</v>
      </c>
      <c r="E1505">
        <v>0.40927659999999899</v>
      </c>
      <c r="F1505" t="s">
        <v>41</v>
      </c>
      <c r="G1505">
        <v>-390.00240000000002</v>
      </c>
      <c r="H1505" s="1">
        <v>-4.7090390000000002E-6</v>
      </c>
      <c r="I1505">
        <v>137.1481</v>
      </c>
      <c r="J1505">
        <v>-379.27300000000002</v>
      </c>
      <c r="K1505">
        <v>1.1048450000000001</v>
      </c>
      <c r="L1505">
        <v>141.0239</v>
      </c>
      <c r="M1505">
        <v>-0.9997644</v>
      </c>
      <c r="N1505">
        <v>0</v>
      </c>
      <c r="O1505">
        <v>-1.614005E-2</v>
      </c>
      <c r="P1505">
        <v>-0.98896490000000004</v>
      </c>
      <c r="Q1505">
        <v>0.10413799999999999</v>
      </c>
      <c r="R1505">
        <v>-0.105378</v>
      </c>
      <c r="S1505">
        <v>-2.955139</v>
      </c>
      <c r="T1505">
        <v>-0.2954251</v>
      </c>
      <c r="U1505">
        <v>-1.0378270000000001</v>
      </c>
      <c r="V1505">
        <v>-8.9543399999999995E-2</v>
      </c>
      <c r="W1505">
        <v>0.11840100000000001</v>
      </c>
      <c r="X1505">
        <v>0.98892020000000003</v>
      </c>
      <c r="Y1505">
        <v>-0.31475710000000001</v>
      </c>
      <c r="Z1505">
        <v>-1.3678900000000001E-2</v>
      </c>
      <c r="AA1505">
        <v>0.94907370000000002</v>
      </c>
      <c r="AB1505">
        <v>34</v>
      </c>
      <c r="AC1505">
        <v>-10.729399999999901</v>
      </c>
      <c r="AD1505">
        <v>-1.1048497090389999</v>
      </c>
      <c r="AE1505">
        <v>-3.8757999999999901</v>
      </c>
      <c r="AF1505">
        <v>-3.6677017604328799</v>
      </c>
      <c r="AG1505">
        <v>-1.1048497090389999</v>
      </c>
      <c r="AH1505">
        <v>10.6902924503646</v>
      </c>
      <c r="AI1505">
        <v>95.583341248738193</v>
      </c>
      <c r="AJ1505">
        <v>108.93643482927899</v>
      </c>
      <c r="AK1505">
        <v>11.355839104063101</v>
      </c>
      <c r="AL1505">
        <v>83.200171205373394</v>
      </c>
      <c r="AM1505">
        <v>95.173831471783402</v>
      </c>
      <c r="AN1505">
        <v>0.99999998962629999</v>
      </c>
    </row>
    <row r="1506" spans="1:40" x14ac:dyDescent="0.3">
      <c r="A1506" t="str">
        <f>"20200111150344350"</f>
        <v>20200111150344350</v>
      </c>
      <c r="B1506" t="str">
        <f>"1578726224340189"</f>
        <v>1578726224340189</v>
      </c>
      <c r="C1506" t="s">
        <v>40</v>
      </c>
      <c r="D1506">
        <v>5.6672560000000001</v>
      </c>
      <c r="E1506">
        <v>0.40923330000000002</v>
      </c>
      <c r="F1506" t="s">
        <v>41</v>
      </c>
      <c r="G1506">
        <v>-390.1841</v>
      </c>
      <c r="H1506" s="1">
        <v>-4.6259549999999997E-6</v>
      </c>
      <c r="I1506">
        <v>137.1771</v>
      </c>
      <c r="J1506">
        <v>-379.60719999999998</v>
      </c>
      <c r="K1506">
        <v>1.1048739999999999</v>
      </c>
      <c r="L1506">
        <v>141.01779999999999</v>
      </c>
      <c r="M1506">
        <v>-0.99975400000000003</v>
      </c>
      <c r="N1506">
        <v>0</v>
      </c>
      <c r="O1506">
        <v>-1.677116E-2</v>
      </c>
      <c r="P1506">
        <v>-0.98880020000000002</v>
      </c>
      <c r="Q1506">
        <v>0.1049394</v>
      </c>
      <c r="R1506">
        <v>-0.1061222</v>
      </c>
      <c r="S1506">
        <v>-2.9539789999999999</v>
      </c>
      <c r="T1506">
        <v>-0.29911900000000002</v>
      </c>
      <c r="U1506">
        <v>-1.041412</v>
      </c>
      <c r="V1506">
        <v>-8.9672489999999994E-2</v>
      </c>
      <c r="W1506">
        <v>0.11919639999999999</v>
      </c>
      <c r="X1506">
        <v>0.98881300000000005</v>
      </c>
      <c r="Y1506">
        <v>-0.31526680000000001</v>
      </c>
      <c r="Z1506">
        <v>-1.3814750000000001E-2</v>
      </c>
      <c r="AA1506">
        <v>0.94890249999999998</v>
      </c>
      <c r="AB1506">
        <v>34</v>
      </c>
      <c r="AC1506">
        <v>-10.5769</v>
      </c>
      <c r="AD1506">
        <v>-1.1048786259550001</v>
      </c>
      <c r="AE1506">
        <v>-3.8406999999999898</v>
      </c>
      <c r="AF1506">
        <v>-3.62777883387621</v>
      </c>
      <c r="AG1506">
        <v>-1.1048786259550001</v>
      </c>
      <c r="AH1506">
        <v>10.5382330895587</v>
      </c>
      <c r="AI1506">
        <v>95.661522707326199</v>
      </c>
      <c r="AJ1506">
        <v>108.995985904002</v>
      </c>
      <c r="AK1506">
        <v>11.199816636690199</v>
      </c>
      <c r="AL1506">
        <v>83.154273474604693</v>
      </c>
      <c r="AM1506">
        <v>95.181808399991297</v>
      </c>
      <c r="AN1506">
        <v>1.0000000431023699</v>
      </c>
    </row>
    <row r="1507" spans="1:40" x14ac:dyDescent="0.3">
      <c r="A1507" t="str">
        <f>"20200111150344373"</f>
        <v>20200111150344373</v>
      </c>
      <c r="B1507" t="str">
        <f>"1578726224369471"</f>
        <v>1578726224369471</v>
      </c>
      <c r="C1507" t="s">
        <v>40</v>
      </c>
      <c r="D1507">
        <v>5.6738710000000001</v>
      </c>
      <c r="E1507">
        <v>0.40968320000000003</v>
      </c>
      <c r="F1507" t="s">
        <v>41</v>
      </c>
      <c r="G1507">
        <v>-390.58499999999998</v>
      </c>
      <c r="H1507" s="1">
        <v>-4.4609610000000001E-6</v>
      </c>
      <c r="I1507">
        <v>137.1377</v>
      </c>
      <c r="J1507">
        <v>-379.94240000000002</v>
      </c>
      <c r="K1507">
        <v>1.1049199999999999</v>
      </c>
      <c r="L1507">
        <v>141.01150000000001</v>
      </c>
      <c r="M1507">
        <v>-0.99974240000000003</v>
      </c>
      <c r="N1507">
        <v>0</v>
      </c>
      <c r="O1507">
        <v>-1.744677E-2</v>
      </c>
      <c r="P1507">
        <v>-0.98865020000000003</v>
      </c>
      <c r="Q1507">
        <v>0.105432399999999</v>
      </c>
      <c r="R1507">
        <v>-0.1070289</v>
      </c>
      <c r="S1507">
        <v>-2.9534910000000001</v>
      </c>
      <c r="T1507">
        <v>-0.2972612</v>
      </c>
      <c r="U1507">
        <v>-1.0439149999999999</v>
      </c>
      <c r="V1507">
        <v>-8.9922769999999999E-2</v>
      </c>
      <c r="W1507">
        <v>0.1196811</v>
      </c>
      <c r="X1507">
        <v>0.98873169999999999</v>
      </c>
      <c r="Y1507">
        <v>-0.3154092</v>
      </c>
      <c r="Z1507">
        <v>-1.367081E-2</v>
      </c>
      <c r="AA1507">
        <v>0.94885719999999996</v>
      </c>
      <c r="AB1507">
        <v>33</v>
      </c>
      <c r="AC1507">
        <v>-10.6425999999999</v>
      </c>
      <c r="AD1507">
        <v>-1.1049244609610001</v>
      </c>
      <c r="AE1507">
        <v>-3.8738000000000099</v>
      </c>
      <c r="AF1507">
        <v>-3.6527456539234899</v>
      </c>
      <c r="AG1507">
        <v>-1.1049244609610001</v>
      </c>
      <c r="AH1507">
        <v>10.607611261194</v>
      </c>
      <c r="AI1507">
        <v>95.624788359130804</v>
      </c>
      <c r="AJ1507">
        <v>109.00121776184599</v>
      </c>
      <c r="AK1507">
        <v>11.273190566352399</v>
      </c>
      <c r="AL1507">
        <v>83.126301836408402</v>
      </c>
      <c r="AM1507">
        <v>95.196616926702404</v>
      </c>
      <c r="AN1507">
        <v>1.0000000224232799</v>
      </c>
    </row>
    <row r="1508" spans="1:40" x14ac:dyDescent="0.3">
      <c r="A1508" t="str">
        <f>"20200111150344396"</f>
        <v>20200111150344396</v>
      </c>
      <c r="B1508" t="str">
        <f>"1578726224389965"</f>
        <v>1578726224389965</v>
      </c>
      <c r="C1508" t="s">
        <v>40</v>
      </c>
      <c r="D1508">
        <v>5.5976990000000004</v>
      </c>
      <c r="E1508">
        <v>0.40972439999999999</v>
      </c>
      <c r="F1508" t="s">
        <v>41</v>
      </c>
      <c r="G1508">
        <v>-390.7473</v>
      </c>
      <c r="H1508" s="1">
        <v>-4.3804389999999996E-6</v>
      </c>
      <c r="I1508">
        <v>137.19909999999999</v>
      </c>
      <c r="J1508">
        <v>-380.28539999999998</v>
      </c>
      <c r="K1508">
        <v>1.10497</v>
      </c>
      <c r="L1508">
        <v>141.00470000000001</v>
      </c>
      <c r="M1508">
        <v>-0.99972930000000004</v>
      </c>
      <c r="N1508">
        <v>0</v>
      </c>
      <c r="O1508">
        <v>-1.8187040000000002E-2</v>
      </c>
      <c r="P1508">
        <v>-0.98862589999999995</v>
      </c>
      <c r="Q1508">
        <v>0.10513069999999999</v>
      </c>
      <c r="R1508">
        <v>-0.1075483</v>
      </c>
      <c r="S1508">
        <v>-2.953827</v>
      </c>
      <c r="T1508">
        <v>-0.30206349999999998</v>
      </c>
      <c r="U1508">
        <v>-1.042206</v>
      </c>
      <c r="V1508">
        <v>-8.9721519999999999E-2</v>
      </c>
      <c r="W1508">
        <v>0.11937059999999999</v>
      </c>
      <c r="X1508">
        <v>0.98878750000000004</v>
      </c>
      <c r="Y1508">
        <v>-0.3141505</v>
      </c>
      <c r="Z1508">
        <v>-1.375491E-2</v>
      </c>
      <c r="AA1508">
        <v>0.94927349999999999</v>
      </c>
      <c r="AB1508">
        <v>33</v>
      </c>
      <c r="AC1508">
        <v>-10.4619</v>
      </c>
      <c r="AD1508">
        <v>-1.104974380439</v>
      </c>
      <c r="AE1508">
        <v>-3.8056000000000201</v>
      </c>
      <c r="AF1508">
        <v>-3.5794158284715198</v>
      </c>
      <c r="AG1508">
        <v>-1.104974380439</v>
      </c>
      <c r="AH1508">
        <v>10.426668038115</v>
      </c>
      <c r="AI1508">
        <v>95.723862626065795</v>
      </c>
      <c r="AJ1508">
        <v>108.947054645573</v>
      </c>
      <c r="AK1508">
        <v>11.0791963802249</v>
      </c>
      <c r="AL1508">
        <v>83.144220518860095</v>
      </c>
      <c r="AM1508">
        <v>95.184759186009998</v>
      </c>
      <c r="AN1508">
        <v>1.00000000572586</v>
      </c>
    </row>
    <row r="1509" spans="1:40" x14ac:dyDescent="0.3">
      <c r="A1509" t="str">
        <f>"20200111150344419"</f>
        <v>20200111150344419</v>
      </c>
      <c r="B1509" t="str">
        <f>"1578726224410461"</f>
        <v>1578726224410461</v>
      </c>
      <c r="C1509" t="s">
        <v>40</v>
      </c>
      <c r="D1509">
        <v>5.6385110000000003</v>
      </c>
      <c r="E1509">
        <v>0.40976069999999998</v>
      </c>
      <c r="F1509" t="s">
        <v>41</v>
      </c>
      <c r="G1509">
        <v>-390.97660000000002</v>
      </c>
      <c r="H1509" s="1">
        <v>-4.2761410000000001E-6</v>
      </c>
      <c r="I1509">
        <v>137.23259999999999</v>
      </c>
      <c r="J1509">
        <v>-380.61860000000001</v>
      </c>
      <c r="K1509">
        <v>1.10502099999999</v>
      </c>
      <c r="L1509">
        <v>140.99789999999999</v>
      </c>
      <c r="M1509">
        <v>-0.99971449999999995</v>
      </c>
      <c r="N1509">
        <v>0</v>
      </c>
      <c r="O1509">
        <v>-1.8981789999999998E-2</v>
      </c>
      <c r="P1509">
        <v>-0.98872850000000001</v>
      </c>
      <c r="Q1509">
        <v>0.1045833</v>
      </c>
      <c r="R1509">
        <v>-0.1071372</v>
      </c>
      <c r="S1509">
        <v>-2.9535830000000001</v>
      </c>
      <c r="T1509">
        <v>-0.3052647</v>
      </c>
      <c r="U1509">
        <v>-1.042084</v>
      </c>
      <c r="V1509">
        <v>-8.8536420000000005E-2</v>
      </c>
      <c r="W1509">
        <v>0.1188148</v>
      </c>
      <c r="X1509">
        <v>0.98896130000000004</v>
      </c>
      <c r="Y1509">
        <v>-0.31336399999999998</v>
      </c>
      <c r="Z1509">
        <v>-1.378238E-2</v>
      </c>
      <c r="AA1509">
        <v>0.94953310000000002</v>
      </c>
      <c r="AB1509">
        <v>33</v>
      </c>
      <c r="AC1509">
        <v>-10.358000000000001</v>
      </c>
      <c r="AD1509">
        <v>-1.10502527614099</v>
      </c>
      <c r="AE1509">
        <v>-3.7652999999999901</v>
      </c>
      <c r="AF1509">
        <v>-3.53247578072089</v>
      </c>
      <c r="AG1509">
        <v>-1.10502527614099</v>
      </c>
      <c r="AH1509">
        <v>10.3238287432295</v>
      </c>
      <c r="AI1509">
        <v>95.782745371707804</v>
      </c>
      <c r="AJ1509">
        <v>108.889265241845</v>
      </c>
      <c r="AK1509">
        <v>10.967265197934299</v>
      </c>
      <c r="AL1509">
        <v>83.176294102693802</v>
      </c>
      <c r="AM1509">
        <v>95.115747030603202</v>
      </c>
      <c r="AN1509">
        <v>1.0000000536315701</v>
      </c>
    </row>
    <row r="1510" spans="1:40" x14ac:dyDescent="0.3">
      <c r="A1510" t="str">
        <f>"20200111150344439"</f>
        <v>20200111150344439</v>
      </c>
      <c r="B1510" t="str">
        <f>"1578726224429882"</f>
        <v>1578726224429882</v>
      </c>
      <c r="C1510" t="s">
        <v>40</v>
      </c>
      <c r="D1510">
        <v>5.672885</v>
      </c>
      <c r="E1510">
        <v>0.40969749999999999</v>
      </c>
      <c r="F1510" t="s">
        <v>41</v>
      </c>
      <c r="G1510">
        <v>-391.19369999999998</v>
      </c>
      <c r="H1510" s="1">
        <v>-4.1756880000000002E-6</v>
      </c>
      <c r="I1510">
        <v>137.27379999999999</v>
      </c>
      <c r="J1510">
        <v>-380.93349999999998</v>
      </c>
      <c r="K1510">
        <v>1.105094</v>
      </c>
      <c r="L1510">
        <v>140.99100000000001</v>
      </c>
      <c r="M1510">
        <v>-0.99969779999999997</v>
      </c>
      <c r="N1510">
        <v>0</v>
      </c>
      <c r="O1510">
        <v>-1.983731E-2</v>
      </c>
      <c r="P1510">
        <v>-0.98856820000000001</v>
      </c>
      <c r="Q1510">
        <v>0.10529959999999999</v>
      </c>
      <c r="R1510">
        <v>-0.1079132</v>
      </c>
      <c r="S1510">
        <v>-2.954132</v>
      </c>
      <c r="T1510">
        <v>-0.30868790000000002</v>
      </c>
      <c r="U1510">
        <v>-1.0402830000000001</v>
      </c>
      <c r="V1510">
        <v>-8.8490269999999996E-2</v>
      </c>
      <c r="W1510">
        <v>0.119514</v>
      </c>
      <c r="X1510">
        <v>0.98888109999999996</v>
      </c>
      <c r="Y1510">
        <v>-0.31196099999999999</v>
      </c>
      <c r="Z1510">
        <v>-1.377768E-2</v>
      </c>
      <c r="AA1510">
        <v>0.94999500000000003</v>
      </c>
      <c r="AB1510">
        <v>33</v>
      </c>
      <c r="AC1510">
        <v>-10.2601999999999</v>
      </c>
      <c r="AD1510">
        <v>-1.1050981756880001</v>
      </c>
      <c r="AE1510">
        <v>-3.71720000000002</v>
      </c>
      <c r="AF1510">
        <v>-3.4772534650884701</v>
      </c>
      <c r="AG1510">
        <v>-1.1050981756880001</v>
      </c>
      <c r="AH1510">
        <v>10.227050796498901</v>
      </c>
      <c r="AI1510">
        <v>95.841303678114897</v>
      </c>
      <c r="AJ1510">
        <v>108.77831542119699</v>
      </c>
      <c r="AK1510">
        <v>10.858411561206699</v>
      </c>
      <c r="AL1510">
        <v>83.1359448632452</v>
      </c>
      <c r="AM1510">
        <v>95.113507046182406</v>
      </c>
      <c r="AN1510">
        <v>0.99999997700894105</v>
      </c>
    </row>
    <row r="1511" spans="1:40" x14ac:dyDescent="0.3">
      <c r="A1511" t="str">
        <f>"20200111150344463"</f>
        <v>20200111150344463</v>
      </c>
      <c r="B1511" t="str">
        <f>"1578726224460127"</f>
        <v>1578726224460127</v>
      </c>
      <c r="C1511" t="s">
        <v>40</v>
      </c>
      <c r="D1511">
        <v>5.3263680000000004</v>
      </c>
      <c r="E1511">
        <v>0.40964879999999998</v>
      </c>
      <c r="F1511" t="s">
        <v>41</v>
      </c>
      <c r="G1511">
        <v>-391.52969999999999</v>
      </c>
      <c r="H1511" s="1">
        <v>-4.0358920000000004E-6</v>
      </c>
      <c r="I1511">
        <v>137.2492</v>
      </c>
      <c r="J1511">
        <v>-381.26929999999999</v>
      </c>
      <c r="K1511">
        <v>1.105205</v>
      </c>
      <c r="L1511">
        <v>140.98330000000001</v>
      </c>
      <c r="M1511">
        <v>-0.99967629999999996</v>
      </c>
      <c r="N1511">
        <v>0</v>
      </c>
      <c r="O1511">
        <v>-2.0897229999999999E-2</v>
      </c>
      <c r="P1511">
        <v>-0.98814559999999996</v>
      </c>
      <c r="Q1511">
        <v>0.10624069999999999</v>
      </c>
      <c r="R1511">
        <v>-0.11082110000000001</v>
      </c>
      <c r="S1511">
        <v>-2.9536440000000002</v>
      </c>
      <c r="T1511">
        <v>-0.30804130000000002</v>
      </c>
      <c r="U1511">
        <v>-1.042999</v>
      </c>
      <c r="V1511">
        <v>-9.0388860000000001E-2</v>
      </c>
      <c r="W1511">
        <v>0.1204244</v>
      </c>
      <c r="X1511">
        <v>0.98859889999999995</v>
      </c>
      <c r="Y1511">
        <v>-0.31179230000000002</v>
      </c>
      <c r="Z1511">
        <v>-1.363373E-2</v>
      </c>
      <c r="AA1511">
        <v>0.95005240000000002</v>
      </c>
      <c r="AB1511">
        <v>33</v>
      </c>
      <c r="AC1511">
        <v>-10.260400000000001</v>
      </c>
      <c r="AD1511">
        <v>-1.1052090358919999</v>
      </c>
      <c r="AE1511">
        <v>-3.73410000000001</v>
      </c>
      <c r="AF1511">
        <v>-3.4831604221363701</v>
      </c>
      <c r="AG1511">
        <v>-1.1052090358919999</v>
      </c>
      <c r="AH1511">
        <v>10.231371805733099</v>
      </c>
      <c r="AI1511">
        <v>95.838668524051101</v>
      </c>
      <c r="AJ1511">
        <v>108.80058890444801</v>
      </c>
      <c r="AK1511">
        <v>10.8643850523859</v>
      </c>
      <c r="AL1511">
        <v>83.083403352897804</v>
      </c>
      <c r="AM1511">
        <v>95.224101336573099</v>
      </c>
      <c r="AN1511">
        <v>0.99999998360433395</v>
      </c>
    </row>
    <row r="1512" spans="1:40" x14ac:dyDescent="0.3">
      <c r="A1512" t="str">
        <f>"20200111150344485"</f>
        <v>20200111150344485</v>
      </c>
      <c r="B1512" t="str">
        <f>"1578726224479648"</f>
        <v>1578726224479648</v>
      </c>
      <c r="C1512" t="s">
        <v>40</v>
      </c>
      <c r="D1512">
        <v>5.7359780000000002</v>
      </c>
      <c r="E1512">
        <v>0.38352619999999998</v>
      </c>
      <c r="F1512" t="s">
        <v>41</v>
      </c>
      <c r="G1512">
        <v>-391.88220000000001</v>
      </c>
      <c r="H1512" s="1">
        <v>-3.8929410000000001E-6</v>
      </c>
      <c r="I1512">
        <v>137.20259999999999</v>
      </c>
      <c r="J1512">
        <v>-381.60390000000001</v>
      </c>
      <c r="K1512">
        <v>1.105348</v>
      </c>
      <c r="L1512">
        <v>140.9751</v>
      </c>
      <c r="M1512">
        <v>-0.99964949999999997</v>
      </c>
      <c r="N1512">
        <v>0</v>
      </c>
      <c r="O1512">
        <v>-2.2135910000000002E-2</v>
      </c>
      <c r="P1512">
        <v>-0.98754280000000005</v>
      </c>
      <c r="Q1512">
        <v>0.10738880000000001</v>
      </c>
      <c r="R1512">
        <v>-0.11500920000000001</v>
      </c>
      <c r="S1512">
        <v>-2.9511409999999998</v>
      </c>
      <c r="T1512">
        <v>-0.30732789999999999</v>
      </c>
      <c r="U1512">
        <v>-1.051285</v>
      </c>
      <c r="V1512">
        <v>-9.3404970000000004E-2</v>
      </c>
      <c r="W1512">
        <v>0.1215301</v>
      </c>
      <c r="X1512">
        <v>0.98818309999999998</v>
      </c>
      <c r="Y1512">
        <v>-0.31324220000000003</v>
      </c>
      <c r="Z1512">
        <v>-1.355546E-2</v>
      </c>
      <c r="AA1512">
        <v>0.94957659999999999</v>
      </c>
      <c r="AB1512">
        <v>33</v>
      </c>
      <c r="AC1512">
        <v>-10.2783</v>
      </c>
      <c r="AD1512">
        <v>-1.105351892941</v>
      </c>
      <c r="AE1512">
        <v>-3.7725</v>
      </c>
      <c r="AF1512">
        <v>-3.5082745652258498</v>
      </c>
      <c r="AG1512">
        <v>-1.105351892941</v>
      </c>
      <c r="AH1512">
        <v>10.2547778472824</v>
      </c>
      <c r="AI1512">
        <v>95.823225173801404</v>
      </c>
      <c r="AJ1512">
        <v>108.88639293691899</v>
      </c>
      <c r="AK1512">
        <v>10.894506043385</v>
      </c>
      <c r="AL1512">
        <v>83.019582398735295</v>
      </c>
      <c r="AM1512">
        <v>95.399664662914304</v>
      </c>
      <c r="AN1512">
        <v>0.99999994637615897</v>
      </c>
    </row>
    <row r="1513" spans="1:40" x14ac:dyDescent="0.3">
      <c r="A1513" t="str">
        <f>"20200111150344507"</f>
        <v>20200111150344507</v>
      </c>
      <c r="B1513" t="str">
        <f>"1578726224500142"</f>
        <v>1578726224500142</v>
      </c>
      <c r="C1513" t="s">
        <v>40</v>
      </c>
      <c r="D1513">
        <v>5.5429409999999999</v>
      </c>
      <c r="E1513">
        <v>0.38331480000000001</v>
      </c>
      <c r="F1513" t="s">
        <v>41</v>
      </c>
      <c r="G1513">
        <v>-396.46370000000002</v>
      </c>
      <c r="H1513" s="1">
        <v>-2.5503470000000002E-6</v>
      </c>
      <c r="I1513">
        <v>134.50149999999999</v>
      </c>
      <c r="J1513">
        <v>-381.93849999999998</v>
      </c>
      <c r="K1513">
        <v>1.1055159999999999</v>
      </c>
      <c r="L1513">
        <v>140.96619999999999</v>
      </c>
      <c r="M1513">
        <v>-0.99961639999999996</v>
      </c>
      <c r="N1513">
        <v>0</v>
      </c>
      <c r="O1513">
        <v>-2.3589949999999998E-2</v>
      </c>
      <c r="P1513">
        <v>-0.98704630000000004</v>
      </c>
      <c r="Q1513">
        <v>0.107396699999999</v>
      </c>
      <c r="R1513">
        <v>-0.1191892</v>
      </c>
      <c r="S1513">
        <v>-2.913605</v>
      </c>
      <c r="T1513">
        <v>-0.21672939999999999</v>
      </c>
      <c r="U1513">
        <v>-1.269272</v>
      </c>
      <c r="V1513">
        <v>-9.6204479999999995E-2</v>
      </c>
      <c r="W1513">
        <v>0.1214898</v>
      </c>
      <c r="X1513">
        <v>0.98791949999999995</v>
      </c>
      <c r="Y1513">
        <v>-0.37682559999999998</v>
      </c>
      <c r="Z1513">
        <v>-1.1715919999999999E-2</v>
      </c>
      <c r="AA1513">
        <v>0.92621010000000004</v>
      </c>
      <c r="AB1513">
        <v>33</v>
      </c>
      <c r="AC1513">
        <v>-14.5252</v>
      </c>
      <c r="AD1513">
        <v>-1.105518550347</v>
      </c>
      <c r="AE1513">
        <v>-6.4646999999999899</v>
      </c>
      <c r="AF1513">
        <v>-6.0907666926189297</v>
      </c>
      <c r="AG1513">
        <v>-1.105518550347</v>
      </c>
      <c r="AH1513">
        <v>14.6030686445167</v>
      </c>
      <c r="AI1513">
        <v>93.996797889201403</v>
      </c>
      <c r="AJ1513">
        <v>112.64043807155301</v>
      </c>
      <c r="AK1513">
        <v>15.860933894495099</v>
      </c>
      <c r="AL1513">
        <v>83.021909073820893</v>
      </c>
      <c r="AM1513">
        <v>95.5619767553343</v>
      </c>
      <c r="AN1513">
        <v>1.00000000597818</v>
      </c>
    </row>
    <row r="1514" spans="1:40" x14ac:dyDescent="0.3">
      <c r="A1514" t="str">
        <f>"20200111150344529"</f>
        <v>20200111150344529</v>
      </c>
      <c r="B1514" t="str">
        <f>"1578726224519663"</f>
        <v>1578726224519663</v>
      </c>
      <c r="C1514" t="s">
        <v>40</v>
      </c>
      <c r="D1514">
        <v>5.9315749999999996</v>
      </c>
      <c r="E1514">
        <v>0.38294010000000001</v>
      </c>
      <c r="F1514" t="s">
        <v>41</v>
      </c>
      <c r="G1514">
        <v>-396.48</v>
      </c>
      <c r="H1514" s="1">
        <v>-2.5317109999999999E-6</v>
      </c>
      <c r="I1514">
        <v>134.55080000000001</v>
      </c>
      <c r="J1514">
        <v>-382.25360000000001</v>
      </c>
      <c r="K1514">
        <v>1.105696</v>
      </c>
      <c r="L1514">
        <v>140.9572</v>
      </c>
      <c r="M1514">
        <v>-0.99957720000000005</v>
      </c>
      <c r="N1514">
        <v>0</v>
      </c>
      <c r="O1514">
        <v>-2.519329E-2</v>
      </c>
      <c r="P1514">
        <v>-0.98671180000000003</v>
      </c>
      <c r="Q1514">
        <v>0.1067336</v>
      </c>
      <c r="R1514">
        <v>-0.1225063</v>
      </c>
      <c r="S1514">
        <v>-2.9085079999999999</v>
      </c>
      <c r="T1514">
        <v>-0.22112119999999999</v>
      </c>
      <c r="U1514">
        <v>-1.2831729999999999</v>
      </c>
      <c r="V1514">
        <v>-9.7992609999999994E-2</v>
      </c>
      <c r="W1514">
        <v>0.1207799</v>
      </c>
      <c r="X1514">
        <v>0.98783080000000001</v>
      </c>
      <c r="Y1514">
        <v>-0.3796078</v>
      </c>
      <c r="Z1514">
        <v>-1.1945880000000001E-2</v>
      </c>
      <c r="AA1514">
        <v>0.92507039999999996</v>
      </c>
      <c r="AB1514">
        <v>33</v>
      </c>
      <c r="AC1514">
        <v>-14.2264</v>
      </c>
      <c r="AD1514">
        <v>-1.105698531711</v>
      </c>
      <c r="AE1514">
        <v>-6.4063999999999899</v>
      </c>
      <c r="AF1514">
        <v>-6.0157064290682296</v>
      </c>
      <c r="AG1514">
        <v>-1.105698531711</v>
      </c>
      <c r="AH1514">
        <v>14.311423864297799</v>
      </c>
      <c r="AI1514">
        <v>94.073925358834003</v>
      </c>
      <c r="AJ1514">
        <v>112.799107868509</v>
      </c>
      <c r="AK1514">
        <v>15.563680352261001</v>
      </c>
      <c r="AL1514">
        <v>83.062885139760795</v>
      </c>
      <c r="AM1514">
        <v>95.665194961237503</v>
      </c>
      <c r="AN1514">
        <v>1.0000000126436299</v>
      </c>
    </row>
    <row r="1515" spans="1:40" x14ac:dyDescent="0.3">
      <c r="A1515" t="str">
        <f>"20200111150344551"</f>
        <v>20200111150344551</v>
      </c>
      <c r="B1515" t="str">
        <f>"1578726224540159"</f>
        <v>1578726224540159</v>
      </c>
      <c r="C1515" t="s">
        <v>40</v>
      </c>
      <c r="D1515">
        <v>6.6353280000000003</v>
      </c>
      <c r="E1515">
        <v>0.32245780000000002</v>
      </c>
      <c r="F1515" t="s">
        <v>42</v>
      </c>
      <c r="G1515">
        <v>-383.26330000000002</v>
      </c>
      <c r="H1515">
        <v>1.027703</v>
      </c>
      <c r="I1515">
        <v>140.50659999999999</v>
      </c>
      <c r="J1515">
        <v>-382.58280000000002</v>
      </c>
      <c r="K1515">
        <v>1.1059049999999999</v>
      </c>
      <c r="L1515">
        <v>140.9469</v>
      </c>
      <c r="M1515">
        <v>-0.99952549999999996</v>
      </c>
      <c r="N1515">
        <v>0</v>
      </c>
      <c r="O1515">
        <v>-2.7160409999999999E-2</v>
      </c>
      <c r="P1515">
        <v>-0.98627900000000002</v>
      </c>
      <c r="Q1515">
        <v>0.1073945</v>
      </c>
      <c r="R1515">
        <v>-0.1253795</v>
      </c>
      <c r="S1515">
        <v>-2.903778</v>
      </c>
      <c r="T1515">
        <v>-0.224301</v>
      </c>
      <c r="U1515">
        <v>-1.2957609999999999</v>
      </c>
      <c r="V1515">
        <v>-9.8993639999999994E-2</v>
      </c>
      <c r="W1515">
        <v>0.1213871</v>
      </c>
      <c r="X1515">
        <v>0.98765650000000005</v>
      </c>
      <c r="Y1515">
        <v>-0.3816676</v>
      </c>
      <c r="Z1515">
        <v>-1.2056509999999999E-2</v>
      </c>
      <c r="AA1515">
        <v>0.92422099999999996</v>
      </c>
      <c r="AB1515">
        <v>33</v>
      </c>
      <c r="AC1515">
        <v>-0.680499999999994</v>
      </c>
      <c r="AD1515">
        <v>-7.8201999999999799E-2</v>
      </c>
      <c r="AE1515">
        <v>-0.44030000000000702</v>
      </c>
      <c r="AF1515">
        <v>-0.41776392251280298</v>
      </c>
      <c r="AG1515">
        <v>-7.8201999999999799E-2</v>
      </c>
      <c r="AH1515">
        <v>0.68582449257904399</v>
      </c>
      <c r="AI1515">
        <v>95.562027887237505</v>
      </c>
      <c r="AJ1515">
        <v>121.347313883558</v>
      </c>
      <c r="AK1515">
        <v>0.80684414999340903</v>
      </c>
      <c r="AL1515">
        <v>83.027836940478593</v>
      </c>
      <c r="AM1515">
        <v>95.723688007687002</v>
      </c>
      <c r="AN1515">
        <v>0.99999996539955405</v>
      </c>
    </row>
    <row r="1516" spans="1:40" x14ac:dyDescent="0.3">
      <c r="A1516" t="str">
        <f>"20200111150344574"</f>
        <v>20200111150344574</v>
      </c>
      <c r="B1516" t="str">
        <f>"1578726224570415"</f>
        <v>1578726224570415</v>
      </c>
      <c r="C1516" t="s">
        <v>40</v>
      </c>
      <c r="D1516">
        <v>5.4726400000000002</v>
      </c>
      <c r="E1516">
        <v>0.37761719999999999</v>
      </c>
      <c r="F1516" t="s">
        <v>63</v>
      </c>
      <c r="G1516">
        <v>-440.75</v>
      </c>
      <c r="H1516">
        <v>7.1616470000000003</v>
      </c>
      <c r="I1516">
        <v>103.7332</v>
      </c>
      <c r="J1516">
        <v>-382.91379999999998</v>
      </c>
      <c r="K1516">
        <v>1.1061110000000001</v>
      </c>
      <c r="L1516">
        <v>140.93559999999999</v>
      </c>
      <c r="M1516">
        <v>-0.99946270000000004</v>
      </c>
      <c r="N1516">
        <v>0</v>
      </c>
      <c r="O1516">
        <v>-2.9383739999999998E-2</v>
      </c>
      <c r="P1516">
        <v>-0.98592880000000005</v>
      </c>
      <c r="Q1516">
        <v>0.1072491</v>
      </c>
      <c r="R1516">
        <v>-0.12822910000000001</v>
      </c>
      <c r="S1516">
        <v>-2.7837830000000001</v>
      </c>
      <c r="T1516">
        <v>0.28981790000000002</v>
      </c>
      <c r="U1516">
        <v>-1.780975</v>
      </c>
      <c r="V1516">
        <v>-9.9711400000000006E-2</v>
      </c>
      <c r="W1516">
        <v>0.1211926</v>
      </c>
      <c r="X1516">
        <v>0.98760820000000005</v>
      </c>
      <c r="Y1516">
        <v>-0.51208390000000004</v>
      </c>
      <c r="Z1516">
        <v>2.1539280000000001E-2</v>
      </c>
      <c r="AA1516">
        <v>0.85866529999999996</v>
      </c>
      <c r="AB1516">
        <v>33</v>
      </c>
      <c r="AC1516">
        <v>-57.836199999999998</v>
      </c>
      <c r="AD1516">
        <v>6.055536</v>
      </c>
      <c r="AE1516">
        <v>-37.202399999999997</v>
      </c>
      <c r="AF1516">
        <v>-35.2136592147138</v>
      </c>
      <c r="AG1516">
        <v>6.055536</v>
      </c>
      <c r="AH1516">
        <v>58.4512450845967</v>
      </c>
      <c r="AI1516">
        <v>84.928844026400995</v>
      </c>
      <c r="AJ1516">
        <v>121.06665063349099</v>
      </c>
      <c r="AK1516">
        <v>68.507075280418206</v>
      </c>
      <c r="AL1516">
        <v>83.039063980979805</v>
      </c>
      <c r="AM1516">
        <v>95.7651895023413</v>
      </c>
      <c r="AN1516">
        <v>0.99999998314597904</v>
      </c>
    </row>
    <row r="1517" spans="1:40" x14ac:dyDescent="0.3">
      <c r="A1517" t="str">
        <f>"20200111150344619"</f>
        <v>20200111150344619</v>
      </c>
      <c r="B1517" t="str">
        <f>"1578726224610431"</f>
        <v>1578726224610431</v>
      </c>
      <c r="C1517" t="s">
        <v>40</v>
      </c>
      <c r="D1517">
        <v>5.2769409999999999</v>
      </c>
      <c r="E1517">
        <v>0.3821234</v>
      </c>
      <c r="F1517" t="s">
        <v>42</v>
      </c>
      <c r="G1517">
        <v>-383.91480000000001</v>
      </c>
      <c r="H1517">
        <v>1.0355840000000001</v>
      </c>
      <c r="I1517">
        <v>140.46719999999999</v>
      </c>
      <c r="J1517">
        <v>-383.57600000000002</v>
      </c>
      <c r="K1517">
        <v>1.1065210000000001</v>
      </c>
      <c r="L1517">
        <v>140.91</v>
      </c>
      <c r="M1517">
        <v>-0.99929389999999996</v>
      </c>
      <c r="N1517">
        <v>0</v>
      </c>
      <c r="O1517">
        <v>-3.4644920000000003E-2</v>
      </c>
      <c r="P1517">
        <v>-0.98548849999999999</v>
      </c>
      <c r="Q1517">
        <v>0.10413459999999999</v>
      </c>
      <c r="R1517">
        <v>-0.13404549999999901</v>
      </c>
      <c r="S1517">
        <v>-2.8890690000000001</v>
      </c>
      <c r="T1517">
        <v>-0.20354639999999999</v>
      </c>
      <c r="U1517">
        <v>-1.3525240000000001</v>
      </c>
      <c r="V1517">
        <v>-0.1004385</v>
      </c>
      <c r="W1517">
        <v>0.117985199999999</v>
      </c>
      <c r="X1517">
        <v>0.98792279999999999</v>
      </c>
      <c r="Y1517">
        <v>-0.39163219999999999</v>
      </c>
      <c r="Z1517">
        <v>-1.07861E-2</v>
      </c>
      <c r="AA1517">
        <v>0.92005859999999995</v>
      </c>
      <c r="AB1517">
        <v>33</v>
      </c>
      <c r="AC1517">
        <v>-0.33880000000004801</v>
      </c>
      <c r="AD1517">
        <v>-7.0936999999999806E-2</v>
      </c>
      <c r="AE1517">
        <v>-0.44280000000000502</v>
      </c>
      <c r="AF1517">
        <v>-0.42393269757714602</v>
      </c>
      <c r="AG1517">
        <v>-7.0936999999999806E-2</v>
      </c>
      <c r="AH1517">
        <v>0.348300781336017</v>
      </c>
      <c r="AI1517">
        <v>97.366926142205003</v>
      </c>
      <c r="AJ1517">
        <v>140.593662412101</v>
      </c>
      <c r="AK1517">
        <v>0.55323089603104703</v>
      </c>
      <c r="AL1517">
        <v>83.224162546849797</v>
      </c>
      <c r="AM1517">
        <v>95.8051066892276</v>
      </c>
      <c r="AN1517">
        <v>0.99999992923056202</v>
      </c>
    </row>
    <row r="1518" spans="1:40" x14ac:dyDescent="0.3">
      <c r="A1518" t="str">
        <f>"20200111150344641"</f>
        <v>20200111150344641</v>
      </c>
      <c r="B1518" t="str">
        <f>"1578726224629951"</f>
        <v>1578726224629951</v>
      </c>
      <c r="C1518" t="s">
        <v>40</v>
      </c>
      <c r="D1518">
        <v>5.4519399999999996</v>
      </c>
      <c r="E1518">
        <v>0.38046629999999998</v>
      </c>
      <c r="F1518" t="s">
        <v>41</v>
      </c>
      <c r="G1518">
        <v>-396.65530000000001</v>
      </c>
      <c r="H1518" s="1">
        <v>-2.3839569999999998E-6</v>
      </c>
      <c r="I1518">
        <v>134.8819</v>
      </c>
      <c r="J1518">
        <v>-383.90089999999998</v>
      </c>
      <c r="K1518">
        <v>1.1067549999999999</v>
      </c>
      <c r="L1518">
        <v>140.89570000000001</v>
      </c>
      <c r="M1518">
        <v>-0.99918419999999997</v>
      </c>
      <c r="N1518">
        <v>0</v>
      </c>
      <c r="O1518">
        <v>-3.7674239999999998E-2</v>
      </c>
      <c r="P1518">
        <v>-0.98518720000000004</v>
      </c>
      <c r="Q1518">
        <v>0.1038675</v>
      </c>
      <c r="R1518">
        <v>-0.13644700000000001</v>
      </c>
      <c r="S1518">
        <v>-2.888855</v>
      </c>
      <c r="T1518">
        <v>-0.2444017</v>
      </c>
      <c r="U1518">
        <v>-1.3314360000000001</v>
      </c>
      <c r="V1518">
        <v>-9.991506E-2</v>
      </c>
      <c r="W1518">
        <v>0.11767179999999999</v>
      </c>
      <c r="X1518">
        <v>0.98801329999999998</v>
      </c>
      <c r="Y1518">
        <v>-0.38304090000000002</v>
      </c>
      <c r="Z1518">
        <v>-1.2376699999999999E-2</v>
      </c>
      <c r="AA1518">
        <v>0.92364849999999998</v>
      </c>
      <c r="AB1518">
        <v>33</v>
      </c>
      <c r="AC1518">
        <v>-12.7544</v>
      </c>
      <c r="AD1518">
        <v>-1.106757383957</v>
      </c>
      <c r="AE1518">
        <v>-6.0137999999999998</v>
      </c>
      <c r="AF1518">
        <v>-5.4951151606616104</v>
      </c>
      <c r="AG1518">
        <v>-1.106757383957</v>
      </c>
      <c r="AH1518">
        <v>12.8925113231927</v>
      </c>
      <c r="AI1518">
        <v>94.515329115909296</v>
      </c>
      <c r="AJ1518">
        <v>113.08493208971301</v>
      </c>
      <c r="AK1518">
        <v>14.0583800899865</v>
      </c>
      <c r="AL1518">
        <v>83.242245328608107</v>
      </c>
      <c r="AM1518">
        <v>95.774532711381298</v>
      </c>
      <c r="AN1518">
        <v>0.99999997635346605</v>
      </c>
    </row>
    <row r="1519" spans="1:40" x14ac:dyDescent="0.3">
      <c r="A1519" t="str">
        <f>"20200111150344664"</f>
        <v>20200111150344664</v>
      </c>
      <c r="B1519" t="str">
        <f>"1578726224660207"</f>
        <v>1578726224660207</v>
      </c>
      <c r="C1519" t="s">
        <v>40</v>
      </c>
      <c r="D1519">
        <v>5.5777979999999996</v>
      </c>
      <c r="E1519">
        <v>0.38007960000000002</v>
      </c>
      <c r="F1519" t="s">
        <v>41</v>
      </c>
      <c r="G1519">
        <v>-397.43119999999999</v>
      </c>
      <c r="H1519" s="1">
        <v>-2.207284E-6</v>
      </c>
      <c r="I1519">
        <v>134.55350000000001</v>
      </c>
      <c r="J1519">
        <v>-384.2296</v>
      </c>
      <c r="K1519">
        <v>1.1070150000000001</v>
      </c>
      <c r="L1519">
        <v>140.88</v>
      </c>
      <c r="M1519">
        <v>-0.99905129999999998</v>
      </c>
      <c r="N1519">
        <v>0</v>
      </c>
      <c r="O1519">
        <v>-4.1046819999999998E-2</v>
      </c>
      <c r="P1519">
        <v>-0.98456880000000002</v>
      </c>
      <c r="Q1519">
        <v>0.10476000000000001</v>
      </c>
      <c r="R1519">
        <v>-0.14017689999999999</v>
      </c>
      <c r="S1519">
        <v>-2.8828130000000001</v>
      </c>
      <c r="T1519">
        <v>-0.2358112</v>
      </c>
      <c r="U1519">
        <v>-1.3512879999999901</v>
      </c>
      <c r="V1519">
        <v>-0.1004058</v>
      </c>
      <c r="W1519">
        <v>0.1185051</v>
      </c>
      <c r="X1519">
        <v>0.98786399999999996</v>
      </c>
      <c r="Y1519">
        <v>-0.38595770000000001</v>
      </c>
      <c r="Z1519">
        <v>-1.180192E-2</v>
      </c>
      <c r="AA1519">
        <v>0.92244099999999996</v>
      </c>
      <c r="AB1519">
        <v>33</v>
      </c>
      <c r="AC1519">
        <v>-13.2015999999999</v>
      </c>
      <c r="AD1519">
        <v>-1.1070172072840001</v>
      </c>
      <c r="AE1519">
        <v>-6.3264999999999798</v>
      </c>
      <c r="AF1519">
        <v>-5.7463661126529599</v>
      </c>
      <c r="AG1519">
        <v>-1.1070172072840001</v>
      </c>
      <c r="AH1519">
        <v>13.373705969090199</v>
      </c>
      <c r="AI1519">
        <v>94.349107524759503</v>
      </c>
      <c r="AJ1519">
        <v>113.25205631352399</v>
      </c>
      <c r="AK1519">
        <v>14.5980211654028</v>
      </c>
      <c r="AL1519">
        <v>83.194164721082402</v>
      </c>
      <c r="AM1519">
        <v>95.803572672571605</v>
      </c>
      <c r="AN1519">
        <v>1.00000003294782</v>
      </c>
    </row>
    <row r="1520" spans="1:40" x14ac:dyDescent="0.3">
      <c r="A1520" t="str">
        <f>"20200111150344686"</f>
        <v>20200111150344686</v>
      </c>
      <c r="B1520" t="str">
        <f>"1578726224679727"</f>
        <v>1578726224679727</v>
      </c>
      <c r="C1520" t="s">
        <v>40</v>
      </c>
      <c r="D1520">
        <v>5.5669899999999997</v>
      </c>
      <c r="E1520">
        <v>0.38207750000000001</v>
      </c>
      <c r="F1520" t="s">
        <v>41</v>
      </c>
      <c r="G1520">
        <v>-397.73869999999999</v>
      </c>
      <c r="H1520" s="1">
        <v>-2.1231130000000002E-6</v>
      </c>
      <c r="I1520">
        <v>134.47649999999999</v>
      </c>
      <c r="J1520">
        <v>-384.5532</v>
      </c>
      <c r="K1520">
        <v>1.10727999999999</v>
      </c>
      <c r="L1520">
        <v>140.8631</v>
      </c>
      <c r="M1520">
        <v>-0.9988958</v>
      </c>
      <c r="N1520">
        <v>0</v>
      </c>
      <c r="O1520">
        <v>-4.466854E-2</v>
      </c>
      <c r="P1520">
        <v>-0.98372409999999999</v>
      </c>
      <c r="Q1520">
        <v>0.1058157</v>
      </c>
      <c r="R1520">
        <v>-0.1452242</v>
      </c>
      <c r="S1520">
        <v>-2.877869</v>
      </c>
      <c r="T1520">
        <v>-0.23583100000000001</v>
      </c>
      <c r="U1520">
        <v>-1.36412</v>
      </c>
      <c r="V1520">
        <v>-0.101981</v>
      </c>
      <c r="W1520">
        <v>0.1194923</v>
      </c>
      <c r="X1520">
        <v>0.98758360000000001</v>
      </c>
      <c r="Y1520">
        <v>-0.38659529999999998</v>
      </c>
      <c r="Z1520">
        <v>-1.1555569999999999E-2</v>
      </c>
      <c r="AA1520">
        <v>0.92217709999999997</v>
      </c>
      <c r="AB1520">
        <v>33</v>
      </c>
      <c r="AC1520">
        <v>-13.1854999999999</v>
      </c>
      <c r="AD1520">
        <v>-1.1072821231129999</v>
      </c>
      <c r="AE1520">
        <v>-6.3866000000000103</v>
      </c>
      <c r="AF1520">
        <v>-5.7582927174286596</v>
      </c>
      <c r="AG1520">
        <v>-1.1072821231129999</v>
      </c>
      <c r="AH1520">
        <v>13.3812121562519</v>
      </c>
      <c r="AI1520">
        <v>94.346691512482806</v>
      </c>
      <c r="AJ1520">
        <v>113.283499950573</v>
      </c>
      <c r="AK1520">
        <v>14.609614898770699</v>
      </c>
      <c r="AL1520">
        <v>83.1371969734179</v>
      </c>
      <c r="AM1520">
        <v>95.895646670600797</v>
      </c>
      <c r="AN1520">
        <v>0.99999995055462298</v>
      </c>
    </row>
    <row r="1521" spans="1:40" x14ac:dyDescent="0.3">
      <c r="A1521" t="str">
        <f>"20200111150344708"</f>
        <v>20200111150344708</v>
      </c>
      <c r="B1521" t="str">
        <f>"1578726224700240"</f>
        <v>1578726224700240</v>
      </c>
      <c r="C1521" t="s">
        <v>40</v>
      </c>
      <c r="D1521">
        <v>5.5757159999999999</v>
      </c>
      <c r="E1521">
        <v>0.3811271</v>
      </c>
      <c r="F1521" t="s">
        <v>41</v>
      </c>
      <c r="G1521">
        <v>-397.53250000000003</v>
      </c>
      <c r="H1521" s="1">
        <v>-2.130892E-6</v>
      </c>
      <c r="I1521">
        <v>134.71100000000001</v>
      </c>
      <c r="J1521">
        <v>-384.87450000000001</v>
      </c>
      <c r="K1521">
        <v>1.107542</v>
      </c>
      <c r="L1521">
        <v>140.8449</v>
      </c>
      <c r="M1521">
        <v>-0.99871410000000005</v>
      </c>
      <c r="N1521">
        <v>0</v>
      </c>
      <c r="O1521">
        <v>-4.8557500000000003E-2</v>
      </c>
      <c r="P1521">
        <v>-0.98297330000000005</v>
      </c>
      <c r="Q1521">
        <v>0.1058704</v>
      </c>
      <c r="R1521">
        <v>-0.15018319999999999</v>
      </c>
      <c r="S1521">
        <v>-2.8748469999999999</v>
      </c>
      <c r="T1521">
        <v>-0.24525620000000001</v>
      </c>
      <c r="U1521">
        <v>-1.3626400000000001</v>
      </c>
      <c r="V1521">
        <v>-0.103192699999999</v>
      </c>
      <c r="W1521">
        <v>0.1194828</v>
      </c>
      <c r="X1521">
        <v>0.98745890000000003</v>
      </c>
      <c r="Y1521">
        <v>-0.38293519999999998</v>
      </c>
      <c r="Z1521">
        <v>-1.1568E-2</v>
      </c>
      <c r="AA1521">
        <v>0.92370280000000005</v>
      </c>
      <c r="AB1521">
        <v>33</v>
      </c>
      <c r="AC1521">
        <v>-12.657999999999999</v>
      </c>
      <c r="AD1521">
        <v>-1.107544130892</v>
      </c>
      <c r="AE1521">
        <v>-6.1338999999999801</v>
      </c>
      <c r="AF1521">
        <v>-5.4779935814862997</v>
      </c>
      <c r="AG1521">
        <v>-1.107544130892</v>
      </c>
      <c r="AH1521">
        <v>12.8612052263619</v>
      </c>
      <c r="AI1521">
        <v>94.5299564928238</v>
      </c>
      <c r="AJ1521">
        <v>113.070686906381</v>
      </c>
      <c r="AK1521">
        <v>14.0230405959362</v>
      </c>
      <c r="AL1521">
        <v>83.1377453866059</v>
      </c>
      <c r="AM1521">
        <v>95.965942238248502</v>
      </c>
      <c r="AN1521">
        <v>0.99999997600916901</v>
      </c>
    </row>
    <row r="1522" spans="1:40" x14ac:dyDescent="0.3">
      <c r="A1522" t="str">
        <f>"20200111150344730"</f>
        <v>20200111150344730</v>
      </c>
      <c r="B1522" t="str">
        <f>"1578726224719743"</f>
        <v>1578726224719743</v>
      </c>
      <c r="C1522" t="s">
        <v>40</v>
      </c>
      <c r="D1522">
        <v>6.0833029999999999</v>
      </c>
      <c r="E1522">
        <v>0.37838110000000003</v>
      </c>
      <c r="F1522" t="s">
        <v>41</v>
      </c>
      <c r="G1522">
        <v>-398.16379999999998</v>
      </c>
      <c r="H1522" s="1">
        <v>-1.9921739999999999E-6</v>
      </c>
      <c r="I1522">
        <v>134.42490000000001</v>
      </c>
      <c r="J1522">
        <v>-385.19330000000002</v>
      </c>
      <c r="K1522">
        <v>1.107788</v>
      </c>
      <c r="L1522">
        <v>140.8252</v>
      </c>
      <c r="M1522">
        <v>-0.99850329999999998</v>
      </c>
      <c r="N1522">
        <v>0</v>
      </c>
      <c r="O1522">
        <v>-5.2713629999999997E-2</v>
      </c>
      <c r="P1522">
        <v>-0.98223439999999995</v>
      </c>
      <c r="Q1522">
        <v>0.1054986</v>
      </c>
      <c r="R1522">
        <v>-0.1551969</v>
      </c>
      <c r="S1522">
        <v>-2.8661500000000002</v>
      </c>
      <c r="T1522">
        <v>-0.23886669999999999</v>
      </c>
      <c r="U1522">
        <v>-1.3845829999999999</v>
      </c>
      <c r="V1522">
        <v>-0.1041878</v>
      </c>
      <c r="W1522">
        <v>0.1190529</v>
      </c>
      <c r="X1522">
        <v>0.98740640000000002</v>
      </c>
      <c r="Y1522">
        <v>-0.38597789999999998</v>
      </c>
      <c r="Z1522">
        <v>-1.107526E-2</v>
      </c>
      <c r="AA1522">
        <v>0.92244150000000003</v>
      </c>
      <c r="AB1522">
        <v>33</v>
      </c>
      <c r="AC1522">
        <v>-12.9704999999999</v>
      </c>
      <c r="AD1522">
        <v>-1.107789992174</v>
      </c>
      <c r="AE1522">
        <v>-6.4002999999999801</v>
      </c>
      <c r="AF1522">
        <v>-5.6743180399286004</v>
      </c>
      <c r="AG1522">
        <v>-1.107789992174</v>
      </c>
      <c r="AH1522">
        <v>13.212375150848001</v>
      </c>
      <c r="AI1522">
        <v>94.405394600422099</v>
      </c>
      <c r="AJ1522">
        <v>113.24206913658701</v>
      </c>
      <c r="AK1522">
        <v>14.421925704002399</v>
      </c>
      <c r="AL1522">
        <v>83.162554395504202</v>
      </c>
      <c r="AM1522">
        <v>96.023369547986803</v>
      </c>
      <c r="AN1522">
        <v>1.0000000447141</v>
      </c>
    </row>
    <row r="1523" spans="1:40" x14ac:dyDescent="0.3">
      <c r="A1523" t="str">
        <f>"20200111150344752"</f>
        <v>20200111150344752</v>
      </c>
      <c r="B1523" t="str">
        <f>"1578726224749999"</f>
        <v>1578726224749999</v>
      </c>
      <c r="C1523" t="s">
        <v>40</v>
      </c>
      <c r="D1523">
        <v>5.5943620000000003</v>
      </c>
      <c r="E1523">
        <v>0.38159850000000001</v>
      </c>
      <c r="F1523" t="s">
        <v>42</v>
      </c>
      <c r="G1523">
        <v>-386.16660000000002</v>
      </c>
      <c r="H1523">
        <v>1.0319910000000001</v>
      </c>
      <c r="I1523">
        <v>140.34059999999999</v>
      </c>
      <c r="J1523">
        <v>-385.51769999999999</v>
      </c>
      <c r="K1523">
        <v>1.1080139999999901</v>
      </c>
      <c r="L1523">
        <v>140.80350000000001</v>
      </c>
      <c r="M1523">
        <v>-0.99825520000000001</v>
      </c>
      <c r="N1523">
        <v>0</v>
      </c>
      <c r="O1523">
        <v>-5.7216799999999998E-2</v>
      </c>
      <c r="P1523">
        <v>-0.98152349999999999</v>
      </c>
      <c r="Q1523">
        <v>0.1059244</v>
      </c>
      <c r="R1523">
        <v>-0.15934879999999901</v>
      </c>
      <c r="S1523">
        <v>-2.8535460000000001</v>
      </c>
      <c r="T1523">
        <v>-0.2222084</v>
      </c>
      <c r="U1523">
        <v>-1.4212800000000001</v>
      </c>
      <c r="V1523">
        <v>-0.103981</v>
      </c>
      <c r="W1523">
        <v>0.119434</v>
      </c>
      <c r="X1523">
        <v>0.98738210000000004</v>
      </c>
      <c r="Y1523">
        <v>-0.39307360000000002</v>
      </c>
      <c r="Z1523">
        <v>-1.0250759999999999E-2</v>
      </c>
      <c r="AA1523">
        <v>0.91944990000000004</v>
      </c>
      <c r="AB1523">
        <v>33</v>
      </c>
      <c r="AC1523">
        <v>-0.64890000000002601</v>
      </c>
      <c r="AD1523">
        <v>-7.6022999999999896E-2</v>
      </c>
      <c r="AE1523">
        <v>-0.46290000000001902</v>
      </c>
      <c r="AF1523">
        <v>-0.42117828659091899</v>
      </c>
      <c r="AG1523">
        <v>-7.6022999999999896E-2</v>
      </c>
      <c r="AH1523">
        <v>0.66824644220595797</v>
      </c>
      <c r="AI1523">
        <v>95.497422170381199</v>
      </c>
      <c r="AJ1523">
        <v>122.22216043371</v>
      </c>
      <c r="AK1523">
        <v>0.79355148109343399</v>
      </c>
      <c r="AL1523">
        <v>83.140561545929501</v>
      </c>
      <c r="AM1523">
        <v>96.011648395364901</v>
      </c>
      <c r="AN1523">
        <v>0.999999970058704</v>
      </c>
    </row>
    <row r="1524" spans="1:40" x14ac:dyDescent="0.3">
      <c r="A1524" t="str">
        <f>"20200111150344775"</f>
        <v>20200111150344775</v>
      </c>
      <c r="B1524" t="str">
        <f>"1578726224769519"</f>
        <v>1578726224769519</v>
      </c>
      <c r="C1524" t="s">
        <v>40</v>
      </c>
      <c r="D1524">
        <v>5.7409140000000001</v>
      </c>
      <c r="E1524">
        <v>0.38432440000000001</v>
      </c>
      <c r="F1524" t="s">
        <v>42</v>
      </c>
      <c r="G1524">
        <v>-386.54570000000001</v>
      </c>
      <c r="H1524">
        <v>1.0241739999999999</v>
      </c>
      <c r="I1524">
        <v>140.2962</v>
      </c>
      <c r="J1524">
        <v>-385.8426</v>
      </c>
      <c r="K1524">
        <v>1.108212</v>
      </c>
      <c r="L1524">
        <v>140.78</v>
      </c>
      <c r="M1524">
        <v>-0.99797290000000005</v>
      </c>
      <c r="N1524">
        <v>0</v>
      </c>
      <c r="O1524">
        <v>-6.194156E-2</v>
      </c>
      <c r="P1524">
        <v>-0.98061379999999998</v>
      </c>
      <c r="Q1524">
        <v>0.10677</v>
      </c>
      <c r="R1524">
        <v>-0.16430690000000001</v>
      </c>
      <c r="S1524">
        <v>-2.8529659999999999</v>
      </c>
      <c r="T1524">
        <v>-0.23267109999999999</v>
      </c>
      <c r="U1524">
        <v>-1.407837</v>
      </c>
      <c r="V1524">
        <v>-0.10436869999999999</v>
      </c>
      <c r="W1524">
        <v>0.1202355</v>
      </c>
      <c r="X1524">
        <v>0.98724400000000001</v>
      </c>
      <c r="Y1524">
        <v>-0.38525900000000002</v>
      </c>
      <c r="Z1524">
        <v>-1.008272E-2</v>
      </c>
      <c r="AA1524">
        <v>0.92275339999999995</v>
      </c>
      <c r="AB1524">
        <v>33</v>
      </c>
      <c r="AC1524">
        <v>-0.70310000000000605</v>
      </c>
      <c r="AD1524">
        <v>-8.4038000000000002E-2</v>
      </c>
      <c r="AE1524">
        <v>-0.48380000000000201</v>
      </c>
      <c r="AF1524">
        <v>-0.43509652309353097</v>
      </c>
      <c r="AG1524">
        <v>-8.4038000000000002E-2</v>
      </c>
      <c r="AH1524">
        <v>0.72469379253601196</v>
      </c>
      <c r="AI1524">
        <v>95.677738708830404</v>
      </c>
      <c r="AJ1524">
        <v>120.98004562653099</v>
      </c>
      <c r="AK1524">
        <v>0.84944244230689803</v>
      </c>
      <c r="AL1524">
        <v>83.094306261230798</v>
      </c>
      <c r="AM1524">
        <v>96.034735985041095</v>
      </c>
      <c r="AN1524">
        <v>1.00000005826796</v>
      </c>
    </row>
    <row r="1525" spans="1:40" x14ac:dyDescent="0.3">
      <c r="A1525" t="str">
        <f>"20200111150344797"</f>
        <v>20200111150344797</v>
      </c>
      <c r="B1525" t="str">
        <f>"1578726224790018"</f>
        <v>1578726224790018</v>
      </c>
      <c r="C1525" t="s">
        <v>40</v>
      </c>
      <c r="D1525">
        <v>5.5762720000000003</v>
      </c>
      <c r="E1525">
        <v>0.38642480000000001</v>
      </c>
      <c r="F1525" t="s">
        <v>41</v>
      </c>
      <c r="G1525">
        <v>-399.19479999999999</v>
      </c>
      <c r="H1525" s="1">
        <v>-1.6960829999999999E-6</v>
      </c>
      <c r="I1525">
        <v>134.2191</v>
      </c>
      <c r="J1525">
        <v>-386.16550000000001</v>
      </c>
      <c r="K1525">
        <v>1.10839</v>
      </c>
      <c r="L1525">
        <v>140.7551</v>
      </c>
      <c r="M1525">
        <v>-0.99765720000000002</v>
      </c>
      <c r="N1525">
        <v>0</v>
      </c>
      <c r="O1525">
        <v>-6.6833320000000002E-2</v>
      </c>
      <c r="P1525">
        <v>-0.97941180000000005</v>
      </c>
      <c r="Q1525">
        <v>0.1077326</v>
      </c>
      <c r="R1525">
        <v>-0.17072319999999999</v>
      </c>
      <c r="S1525">
        <v>-2.8503720000000001</v>
      </c>
      <c r="T1525">
        <v>-0.23657690000000001</v>
      </c>
      <c r="U1525">
        <v>-1.400574</v>
      </c>
      <c r="V1525">
        <v>-0.1060613</v>
      </c>
      <c r="W1525">
        <v>0.1211434</v>
      </c>
      <c r="X1525">
        <v>0.98695250000000001</v>
      </c>
      <c r="Y1525">
        <v>-0.37916850000000002</v>
      </c>
      <c r="Z1525">
        <v>-9.6463269999999997E-3</v>
      </c>
      <c r="AA1525">
        <v>0.92527740000000003</v>
      </c>
      <c r="AB1525">
        <v>33</v>
      </c>
      <c r="AC1525">
        <v>-13.0292999999999</v>
      </c>
      <c r="AD1525">
        <v>-1.108391696083</v>
      </c>
      <c r="AE1525">
        <v>-6.5359999999999996</v>
      </c>
      <c r="AF1525">
        <v>-5.6180167214636301</v>
      </c>
      <c r="AG1525">
        <v>-1.108391696083</v>
      </c>
      <c r="AH1525">
        <v>13.3597875977425</v>
      </c>
      <c r="AI1525">
        <v>94.373348413824502</v>
      </c>
      <c r="AJ1525">
        <v>112.807577288112</v>
      </c>
      <c r="AK1525">
        <v>14.5352870178536</v>
      </c>
      <c r="AL1525">
        <v>83.041903835473406</v>
      </c>
      <c r="AM1525">
        <v>96.133661911259793</v>
      </c>
      <c r="AN1525">
        <v>0.99999997998874901</v>
      </c>
    </row>
    <row r="1526" spans="1:40" x14ac:dyDescent="0.3">
      <c r="A1526" t="str">
        <f>"20200111150344819"</f>
        <v>20200111150344819</v>
      </c>
      <c r="B1526" t="str">
        <f>"1578726224809535"</f>
        <v>1578726224809535</v>
      </c>
      <c r="C1526" t="s">
        <v>40</v>
      </c>
      <c r="D1526">
        <v>5.5862869999999996</v>
      </c>
      <c r="E1526">
        <v>0.38814599999999999</v>
      </c>
      <c r="F1526" t="s">
        <v>41</v>
      </c>
      <c r="G1526">
        <v>-399.25709999999998</v>
      </c>
      <c r="H1526" s="1">
        <v>-1.6533440000000001E-6</v>
      </c>
      <c r="I1526">
        <v>134.30009999999999</v>
      </c>
      <c r="J1526">
        <v>-386.48649999999998</v>
      </c>
      <c r="K1526">
        <v>1.108555</v>
      </c>
      <c r="L1526">
        <v>140.72839999999999</v>
      </c>
      <c r="M1526">
        <v>-0.99730600000000003</v>
      </c>
      <c r="N1526">
        <v>0</v>
      </c>
      <c r="O1526">
        <v>-7.1880570000000005E-2</v>
      </c>
      <c r="P1526">
        <v>-0.97796970000000005</v>
      </c>
      <c r="Q1526">
        <v>0.1086052</v>
      </c>
      <c r="R1526">
        <v>-0.1782705</v>
      </c>
      <c r="S1526">
        <v>-2.8450009999999999</v>
      </c>
      <c r="T1526">
        <v>-0.24087130000000001</v>
      </c>
      <c r="U1526">
        <v>-1.4027400000000001</v>
      </c>
      <c r="V1526">
        <v>-0.1087448</v>
      </c>
      <c r="W1526">
        <v>0.1219508</v>
      </c>
      <c r="X1526">
        <v>0.98656100000000002</v>
      </c>
      <c r="Y1526">
        <v>-0.37573450000000003</v>
      </c>
      <c r="Z1526">
        <v>-9.2991580000000001E-3</v>
      </c>
      <c r="AA1526">
        <v>0.92668070000000002</v>
      </c>
      <c r="AB1526">
        <v>33</v>
      </c>
      <c r="AC1526">
        <v>-12.7706</v>
      </c>
      <c r="AD1526">
        <v>-1.1085566533440001</v>
      </c>
      <c r="AE1526">
        <v>-6.4283000000000001</v>
      </c>
      <c r="AF1526">
        <v>-5.4607821804759604</v>
      </c>
      <c r="AG1526">
        <v>-1.1085566533440001</v>
      </c>
      <c r="AH1526">
        <v>13.120797048010299</v>
      </c>
      <c r="AI1526">
        <v>94.460183564801198</v>
      </c>
      <c r="AJ1526">
        <v>112.596730271564</v>
      </c>
      <c r="AK1526">
        <v>14.254976501255699</v>
      </c>
      <c r="AL1526">
        <v>82.995297934209205</v>
      </c>
      <c r="AM1526">
        <v>96.290099512869403</v>
      </c>
      <c r="AN1526">
        <v>1.00000001793433</v>
      </c>
    </row>
    <row r="1527" spans="1:40" x14ac:dyDescent="0.3">
      <c r="A1527" t="str">
        <f>"20200111150344841"</f>
        <v>20200111150344841</v>
      </c>
      <c r="B1527" t="str">
        <f>"1578726224830031"</f>
        <v>1578726224830031</v>
      </c>
      <c r="C1527" t="s">
        <v>40</v>
      </c>
      <c r="D1527">
        <v>5.5923089999999904</v>
      </c>
      <c r="E1527">
        <v>0.38967200000000002</v>
      </c>
      <c r="F1527" t="s">
        <v>41</v>
      </c>
      <c r="G1527">
        <v>-399.43509999999998</v>
      </c>
      <c r="H1527" s="1">
        <v>-1.5967859999999999E-6</v>
      </c>
      <c r="I1527">
        <v>134.285</v>
      </c>
      <c r="J1527">
        <v>-386.80040000000002</v>
      </c>
      <c r="K1527">
        <v>1.1087009999999999</v>
      </c>
      <c r="L1527">
        <v>140.70070000000001</v>
      </c>
      <c r="M1527">
        <v>-0.99692510000000001</v>
      </c>
      <c r="N1527">
        <v>0</v>
      </c>
      <c r="O1527">
        <v>-7.698141E-2</v>
      </c>
      <c r="P1527">
        <v>-0.97645970000000004</v>
      </c>
      <c r="Q1527">
        <v>0.1087616</v>
      </c>
      <c r="R1527">
        <v>-0.1862721</v>
      </c>
      <c r="S1527">
        <v>-2.837189</v>
      </c>
      <c r="T1527">
        <v>-0.24289759999999999</v>
      </c>
      <c r="U1527">
        <v>-1.4118189999999999</v>
      </c>
      <c r="V1527">
        <v>-0.1118282</v>
      </c>
      <c r="W1527">
        <v>0.12203890000000001</v>
      </c>
      <c r="X1527">
        <v>0.98620529999999995</v>
      </c>
      <c r="Y1527">
        <v>-0.37438840000000001</v>
      </c>
      <c r="Z1527">
        <v>-8.9322269999999992E-3</v>
      </c>
      <c r="AA1527">
        <v>0.92722899999999997</v>
      </c>
      <c r="AB1527">
        <v>33</v>
      </c>
      <c r="AC1527">
        <v>-12.634699999999899</v>
      </c>
      <c r="AD1527">
        <v>-1.108702596786</v>
      </c>
      <c r="AE1527">
        <v>-6.41570000000001</v>
      </c>
      <c r="AF1527">
        <v>-5.3909146434492197</v>
      </c>
      <c r="AG1527">
        <v>-1.108702596786</v>
      </c>
      <c r="AH1527">
        <v>13.0114887297668</v>
      </c>
      <c r="AI1527">
        <v>94.501062869530401</v>
      </c>
      <c r="AJ1527">
        <v>112.50518496582799</v>
      </c>
      <c r="AK1527">
        <v>14.1276332450245</v>
      </c>
      <c r="AL1527">
        <v>82.990211827607794</v>
      </c>
      <c r="AM1527">
        <v>96.469274240822202</v>
      </c>
      <c r="AN1527">
        <v>0.99999996658826895</v>
      </c>
    </row>
    <row r="1528" spans="1:40" x14ac:dyDescent="0.3">
      <c r="A1528" t="str">
        <f>"20200111150344865"</f>
        <v>20200111150344865</v>
      </c>
      <c r="B1528" t="str">
        <f>"1578726224860288"</f>
        <v>1578726224860288</v>
      </c>
      <c r="C1528" t="s">
        <v>40</v>
      </c>
      <c r="D1528">
        <v>5.6389399999999998</v>
      </c>
      <c r="E1528">
        <v>0.3912524</v>
      </c>
      <c r="F1528" t="s">
        <v>41</v>
      </c>
      <c r="G1528">
        <v>-399.33370000000002</v>
      </c>
      <c r="H1528" s="1">
        <v>-1.6016569999999999E-6</v>
      </c>
      <c r="I1528">
        <v>134.3964</v>
      </c>
      <c r="J1528">
        <v>-387.13310000000001</v>
      </c>
      <c r="K1528">
        <v>1.1088480000000001</v>
      </c>
      <c r="L1528">
        <v>140.6694</v>
      </c>
      <c r="M1528">
        <v>-0.996479</v>
      </c>
      <c r="N1528">
        <v>0</v>
      </c>
      <c r="O1528">
        <v>-8.255374E-2</v>
      </c>
      <c r="P1528">
        <v>-0.97462700000000002</v>
      </c>
      <c r="Q1528">
        <v>0.1084696</v>
      </c>
      <c r="R1528">
        <v>-0.1957971</v>
      </c>
      <c r="S1528">
        <v>-2.8287960000000001</v>
      </c>
      <c r="T1528">
        <v>-0.25023790000000001</v>
      </c>
      <c r="U1528">
        <v>-1.422882</v>
      </c>
      <c r="V1528">
        <v>-0.1159901</v>
      </c>
      <c r="W1528">
        <v>0.1216636</v>
      </c>
      <c r="X1528">
        <v>0.98577090000000001</v>
      </c>
      <c r="Y1528">
        <v>-0.37316680000000002</v>
      </c>
      <c r="Z1528">
        <v>-8.70841199999999E-3</v>
      </c>
      <c r="AA1528">
        <v>0.92772339999999998</v>
      </c>
      <c r="AB1528">
        <v>32</v>
      </c>
      <c r="AC1528">
        <v>-12.2006</v>
      </c>
      <c r="AD1528">
        <v>-1.108849601657</v>
      </c>
      <c r="AE1528">
        <v>-6.2729999999999899</v>
      </c>
      <c r="AF1528">
        <v>-5.2102315117850404</v>
      </c>
      <c r="AG1528">
        <v>-1.108849601657</v>
      </c>
      <c r="AH1528">
        <v>12.594580256078901</v>
      </c>
      <c r="AI1528">
        <v>94.651061871954099</v>
      </c>
      <c r="AJ1528">
        <v>112.47431121870299</v>
      </c>
      <c r="AK1528">
        <v>13.674776476136801</v>
      </c>
      <c r="AL1528">
        <v>83.011876612813396</v>
      </c>
      <c r="AM1528">
        <v>96.710814439475101</v>
      </c>
      <c r="AN1528">
        <v>1.00000000107489</v>
      </c>
    </row>
    <row r="1529" spans="1:40" x14ac:dyDescent="0.3">
      <c r="A1529" t="str">
        <f>"20200111150344887"</f>
        <v>20200111150344887</v>
      </c>
      <c r="B1529" t="str">
        <f>"1578726224879810"</f>
        <v>1578726224879810</v>
      </c>
      <c r="C1529" t="s">
        <v>40</v>
      </c>
      <c r="D1529">
        <v>5.6034360000000003</v>
      </c>
      <c r="E1529">
        <v>0.39181969999999999</v>
      </c>
      <c r="F1529" t="s">
        <v>41</v>
      </c>
      <c r="G1529">
        <v>-399.20330000000001</v>
      </c>
      <c r="H1529" s="1">
        <v>-1.6145890000000001E-6</v>
      </c>
      <c r="I1529">
        <v>134.5145</v>
      </c>
      <c r="J1529">
        <v>-387.45280000000002</v>
      </c>
      <c r="K1529">
        <v>1.108994</v>
      </c>
      <c r="L1529">
        <v>140.63740000000001</v>
      </c>
      <c r="M1529">
        <v>-0.99600699999999998</v>
      </c>
      <c r="N1529">
        <v>0</v>
      </c>
      <c r="O1529">
        <v>-8.8064890000000007E-2</v>
      </c>
      <c r="P1529">
        <v>-0.97313609999999995</v>
      </c>
      <c r="Q1529">
        <v>0.1074222</v>
      </c>
      <c r="R1529">
        <v>-0.20363400000000001</v>
      </c>
      <c r="S1529">
        <v>-2.8182070000000001</v>
      </c>
      <c r="T1529">
        <v>-0.25889869999999998</v>
      </c>
      <c r="U1529">
        <v>-1.4370419999999999</v>
      </c>
      <c r="V1529">
        <v>-0.1184948</v>
      </c>
      <c r="W1529">
        <v>0.12055449999999999</v>
      </c>
      <c r="X1529">
        <v>0.98560919999999996</v>
      </c>
      <c r="Y1529">
        <v>-0.37309419999999999</v>
      </c>
      <c r="Z1529">
        <v>-8.5563659999999993E-3</v>
      </c>
      <c r="AA1529">
        <v>0.92775399999999997</v>
      </c>
      <c r="AB1529">
        <v>32</v>
      </c>
      <c r="AC1529">
        <v>-11.750499999999899</v>
      </c>
      <c r="AD1529">
        <v>-1.1089956145890001</v>
      </c>
      <c r="AE1529">
        <v>-6.1229000000000102</v>
      </c>
      <c r="AF1529">
        <v>-5.0289591359683801</v>
      </c>
      <c r="AG1529">
        <v>-1.1089956145890001</v>
      </c>
      <c r="AH1529">
        <v>12.1589304414226</v>
      </c>
      <c r="AI1529">
        <v>94.817714411398796</v>
      </c>
      <c r="AJ1529">
        <v>112.470089850961</v>
      </c>
      <c r="AK1529">
        <v>13.2045405351254</v>
      </c>
      <c r="AL1529">
        <v>83.075894233624794</v>
      </c>
      <c r="AM1529">
        <v>96.855477835400606</v>
      </c>
      <c r="AN1529">
        <v>0.99999995011096299</v>
      </c>
    </row>
    <row r="1530" spans="1:40" x14ac:dyDescent="0.3">
      <c r="A1530" t="str">
        <f>"20200111150344911"</f>
        <v>20200111150344911</v>
      </c>
      <c r="B1530" t="str">
        <f>"1578726224900303"</f>
        <v>1578726224900303</v>
      </c>
      <c r="C1530" t="s">
        <v>40</v>
      </c>
      <c r="D1530">
        <v>5.6439349999999999</v>
      </c>
      <c r="E1530">
        <v>0.39256360000000001</v>
      </c>
      <c r="F1530" t="s">
        <v>41</v>
      </c>
      <c r="G1530">
        <v>-399.29809999999998</v>
      </c>
      <c r="H1530" s="1">
        <v>-1.58651E-6</v>
      </c>
      <c r="I1530">
        <v>134.49889999999999</v>
      </c>
      <c r="J1530">
        <v>-387.7715</v>
      </c>
      <c r="K1530">
        <v>1.1091390000000001</v>
      </c>
      <c r="L1530">
        <v>140.6035</v>
      </c>
      <c r="M1530">
        <v>-0.99549140000000003</v>
      </c>
      <c r="N1530">
        <v>0</v>
      </c>
      <c r="O1530">
        <v>-9.3713569999999996E-2</v>
      </c>
      <c r="P1530">
        <v>-0.97194530000000001</v>
      </c>
      <c r="Q1530">
        <v>0.10737969999999999</v>
      </c>
      <c r="R1530">
        <v>-0.20926629999999999</v>
      </c>
      <c r="S1530">
        <v>-2.807404</v>
      </c>
      <c r="T1530">
        <v>-0.26283840000000003</v>
      </c>
      <c r="U1530">
        <v>-1.454834</v>
      </c>
      <c r="V1530">
        <v>-0.11865100000000001</v>
      </c>
      <c r="W1530">
        <v>0.1204807</v>
      </c>
      <c r="X1530">
        <v>0.98559949999999996</v>
      </c>
      <c r="Y1530">
        <v>-0.37390879999999999</v>
      </c>
      <c r="Z1530">
        <v>-8.2506779999999991E-3</v>
      </c>
      <c r="AA1530">
        <v>0.92742880000000005</v>
      </c>
      <c r="AB1530">
        <v>32</v>
      </c>
      <c r="AC1530">
        <v>-11.526599999999901</v>
      </c>
      <c r="AD1530">
        <v>-1.1091405865099999</v>
      </c>
      <c r="AE1530">
        <v>-6.1045999999999996</v>
      </c>
      <c r="AF1530">
        <v>-4.9615376516573901</v>
      </c>
      <c r="AG1530">
        <v>-1.1091405865099999</v>
      </c>
      <c r="AH1530">
        <v>11.961514895563401</v>
      </c>
      <c r="AI1530">
        <v>94.895431162819506</v>
      </c>
      <c r="AJ1530">
        <v>112.528270306547</v>
      </c>
      <c r="AK1530">
        <v>12.9971107291676</v>
      </c>
      <c r="AL1530">
        <v>83.080154171471307</v>
      </c>
      <c r="AM1530">
        <v>96.864495477001398</v>
      </c>
      <c r="AN1530">
        <v>1.0000000166368599</v>
      </c>
    </row>
    <row r="1531" spans="1:40" x14ac:dyDescent="0.3">
      <c r="A1531" t="str">
        <f>"20200111150344932"</f>
        <v>20200111150344932</v>
      </c>
      <c r="B1531" t="str">
        <f>"1578726224919823"</f>
        <v>1578726224919823</v>
      </c>
      <c r="C1531" t="s">
        <v>40</v>
      </c>
      <c r="D1531">
        <v>5.6530329999999998</v>
      </c>
      <c r="E1531">
        <v>0.39298339999999998</v>
      </c>
      <c r="F1531" t="s">
        <v>41</v>
      </c>
      <c r="G1531">
        <v>-399.55130000000003</v>
      </c>
      <c r="H1531" s="1">
        <v>-1.517572E-6</v>
      </c>
      <c r="I1531">
        <v>134.4341</v>
      </c>
      <c r="J1531">
        <v>-388.09120000000001</v>
      </c>
      <c r="K1531">
        <v>1.109273</v>
      </c>
      <c r="L1531">
        <v>140.56739999999999</v>
      </c>
      <c r="M1531">
        <v>-0.99492570000000002</v>
      </c>
      <c r="N1531">
        <v>0</v>
      </c>
      <c r="O1531">
        <v>-9.9536830000000007E-2</v>
      </c>
      <c r="P1531">
        <v>-0.97067340000000002</v>
      </c>
      <c r="Q1531">
        <v>0.1087267</v>
      </c>
      <c r="R1531">
        <v>-0.2144094</v>
      </c>
      <c r="S1531">
        <v>-2.7999879999999999</v>
      </c>
      <c r="T1531">
        <v>-0.26363589999999998</v>
      </c>
      <c r="U1531">
        <v>-1.466415</v>
      </c>
      <c r="V1531">
        <v>-0.1181711</v>
      </c>
      <c r="W1531">
        <v>0.1218051</v>
      </c>
      <c r="X1531">
        <v>0.98549439999999999</v>
      </c>
      <c r="Y1531">
        <v>-0.3725195</v>
      </c>
      <c r="Z1531">
        <v>-7.7202779999999997E-3</v>
      </c>
      <c r="AA1531">
        <v>0.92799229999999999</v>
      </c>
      <c r="AB1531">
        <v>32</v>
      </c>
      <c r="AC1531">
        <v>-11.460100000000001</v>
      </c>
      <c r="AD1531">
        <v>-1.109274517572</v>
      </c>
      <c r="AE1531">
        <v>-6.1332999999999904</v>
      </c>
      <c r="AF1531">
        <v>-4.92613234295876</v>
      </c>
      <c r="AG1531">
        <v>-1.109274517572</v>
      </c>
      <c r="AH1531">
        <v>11.9268657984067</v>
      </c>
      <c r="AI1531">
        <v>94.913219412950298</v>
      </c>
      <c r="AJ1531">
        <v>112.442007327092</v>
      </c>
      <c r="AK1531">
        <v>12.951733381632</v>
      </c>
      <c r="AL1531">
        <v>83.0037088685242</v>
      </c>
      <c r="AM1531">
        <v>96.837716676826204</v>
      </c>
      <c r="AN1531">
        <v>1.0000000518462799</v>
      </c>
    </row>
    <row r="1532" spans="1:40" x14ac:dyDescent="0.3">
      <c r="A1532" t="str">
        <f>"20200111150344954"</f>
        <v>20200111150344954</v>
      </c>
      <c r="B1532" t="str">
        <f>"1578726224950079"</f>
        <v>1578726224950079</v>
      </c>
      <c r="C1532" t="s">
        <v>40</v>
      </c>
      <c r="D1532">
        <v>5.6782519999999996</v>
      </c>
      <c r="E1532">
        <v>0.39357900000000001</v>
      </c>
      <c r="F1532" t="s">
        <v>68</v>
      </c>
      <c r="G1532">
        <v>-399.96899999999999</v>
      </c>
      <c r="H1532" s="1">
        <v>-2.526191E-6</v>
      </c>
      <c r="I1532">
        <v>134.28360000000001</v>
      </c>
      <c r="J1532">
        <v>-388.40230000000003</v>
      </c>
      <c r="K1532">
        <v>1.1093930000000001</v>
      </c>
      <c r="L1532">
        <v>140.53030000000001</v>
      </c>
      <c r="M1532">
        <v>-0.99432929999999997</v>
      </c>
      <c r="N1532">
        <v>0</v>
      </c>
      <c r="O1532">
        <v>-0.1053259</v>
      </c>
      <c r="P1532">
        <v>-0.96937110000000004</v>
      </c>
      <c r="Q1532">
        <v>0.1097269</v>
      </c>
      <c r="R1532">
        <v>-0.21972649999999999</v>
      </c>
      <c r="S1532">
        <v>-2.7934570000000001</v>
      </c>
      <c r="T1532">
        <v>-0.26088149999999999</v>
      </c>
      <c r="U1532">
        <v>-1.4778290000000001</v>
      </c>
      <c r="V1532">
        <v>-0.1178927</v>
      </c>
      <c r="W1532">
        <v>0.122785199999999</v>
      </c>
      <c r="X1532">
        <v>0.985406</v>
      </c>
      <c r="Y1532">
        <v>-0.3710212</v>
      </c>
      <c r="Z1532">
        <v>-7.0856499999999998E-3</v>
      </c>
      <c r="AA1532">
        <v>0.92859729999999996</v>
      </c>
      <c r="AB1532">
        <v>32</v>
      </c>
      <c r="AC1532">
        <v>-11.5666999999999</v>
      </c>
      <c r="AD1532">
        <v>-1.109395526191</v>
      </c>
      <c r="AE1532">
        <v>-6.2466999999999997</v>
      </c>
      <c r="AF1532">
        <v>-4.9582296169827096</v>
      </c>
      <c r="AG1532">
        <v>-1.109395526191</v>
      </c>
      <c r="AH1532">
        <v>12.074365449278501</v>
      </c>
      <c r="AI1532">
        <v>94.858077590894098</v>
      </c>
      <c r="AJ1532">
        <v>112.325063859598</v>
      </c>
      <c r="AK1532">
        <v>13.0998129899242</v>
      </c>
      <c r="AL1532">
        <v>82.947127774446997</v>
      </c>
      <c r="AM1532">
        <v>96.822365850421505</v>
      </c>
      <c r="AN1532">
        <v>0.99999993944416299</v>
      </c>
    </row>
    <row r="1533" spans="1:40" x14ac:dyDescent="0.3">
      <c r="A1533" t="str">
        <f>"20200111150344977"</f>
        <v>20200111150344977</v>
      </c>
      <c r="B1533" t="str">
        <f>"1578726224969598"</f>
        <v>1578726224969598</v>
      </c>
      <c r="C1533" t="s">
        <v>40</v>
      </c>
      <c r="D1533">
        <v>5.6589</v>
      </c>
      <c r="E1533">
        <v>0.39397330000000003</v>
      </c>
      <c r="F1533" t="s">
        <v>68</v>
      </c>
      <c r="G1533">
        <v>-400.34289999999999</v>
      </c>
      <c r="H1533" s="1">
        <v>-2.6717449999999999E-6</v>
      </c>
      <c r="I1533">
        <v>134.15620000000001</v>
      </c>
      <c r="J1533">
        <v>-388.73250000000002</v>
      </c>
      <c r="K1533">
        <v>1.109505</v>
      </c>
      <c r="L1533">
        <v>140.4889</v>
      </c>
      <c r="M1533">
        <v>-0.99364509999999995</v>
      </c>
      <c r="N1533">
        <v>0</v>
      </c>
      <c r="O1533">
        <v>-0.111596</v>
      </c>
      <c r="P1533">
        <v>-0.9680744</v>
      </c>
      <c r="Q1533">
        <v>0.1101837</v>
      </c>
      <c r="R1533">
        <v>-0.22514799999999999</v>
      </c>
      <c r="S1533">
        <v>-2.7868650000000001</v>
      </c>
      <c r="T1533">
        <v>-0.25892759999999998</v>
      </c>
      <c r="U1533">
        <v>-1.4877009999999999</v>
      </c>
      <c r="V1533">
        <v>-0.1172335</v>
      </c>
      <c r="W1533">
        <v>0.12322909999999999</v>
      </c>
      <c r="X1533">
        <v>0.98542929999999995</v>
      </c>
      <c r="Y1533">
        <v>-0.36867620000000001</v>
      </c>
      <c r="Z1533">
        <v>-6.4049809999999997E-3</v>
      </c>
      <c r="AA1533">
        <v>0.92953580000000002</v>
      </c>
      <c r="AB1533">
        <v>32</v>
      </c>
      <c r="AC1533">
        <v>-11.610399999999901</v>
      </c>
      <c r="AD1533">
        <v>-1.1095076717450001</v>
      </c>
      <c r="AE1533">
        <v>-6.3326999999999796</v>
      </c>
      <c r="AF1533">
        <v>-4.9623950613974204</v>
      </c>
      <c r="AG1533">
        <v>-1.1095076717450001</v>
      </c>
      <c r="AH1533">
        <v>12.1590644574792</v>
      </c>
      <c r="AI1533">
        <v>94.829123586432502</v>
      </c>
      <c r="AJ1533">
        <v>112.201505768876</v>
      </c>
      <c r="AK1533">
        <v>13.1795000094912</v>
      </c>
      <c r="AL1533">
        <v>82.921500015958003</v>
      </c>
      <c r="AM1533">
        <v>96.784416077458701</v>
      </c>
      <c r="AN1533">
        <v>1.0000000049537701</v>
      </c>
    </row>
    <row r="1534" spans="1:40" x14ac:dyDescent="0.3">
      <c r="A1534" t="str">
        <f>"20200111150344998"</f>
        <v>20200111150344998</v>
      </c>
      <c r="B1534" t="str">
        <f>"1578726224990095"</f>
        <v>1578726224990095</v>
      </c>
      <c r="C1534" t="s">
        <v>40</v>
      </c>
      <c r="D1534">
        <v>5.6703609999999998</v>
      </c>
      <c r="E1534">
        <v>0.3943198</v>
      </c>
      <c r="F1534" t="s">
        <v>68</v>
      </c>
      <c r="G1534">
        <v>-400.74290000000002</v>
      </c>
      <c r="H1534" s="1">
        <v>-2.8187849999999998E-6</v>
      </c>
      <c r="I1534">
        <v>134.0034</v>
      </c>
      <c r="J1534">
        <v>-389.03750000000002</v>
      </c>
      <c r="K1534">
        <v>1.109602</v>
      </c>
      <c r="L1534">
        <v>140.4486</v>
      </c>
      <c r="M1534">
        <v>-0.99296300000000004</v>
      </c>
      <c r="N1534">
        <v>0</v>
      </c>
      <c r="O1534">
        <v>-0.1175094</v>
      </c>
      <c r="P1534">
        <v>-0.9671071</v>
      </c>
      <c r="Q1534">
        <v>0.1104897</v>
      </c>
      <c r="R1534">
        <v>-0.22911999999999999</v>
      </c>
      <c r="S1534">
        <v>-2.7791440000000001</v>
      </c>
      <c r="T1534">
        <v>-0.2567334</v>
      </c>
      <c r="U1534">
        <v>-1.500702</v>
      </c>
      <c r="V1534">
        <v>-0.11544509999999999</v>
      </c>
      <c r="W1534">
        <v>0.12354179999999999</v>
      </c>
      <c r="X1534">
        <v>0.98560119999999896</v>
      </c>
      <c r="Y1534">
        <v>-0.36762509999999998</v>
      </c>
      <c r="Z1534">
        <v>-5.8143469999999897E-3</v>
      </c>
      <c r="AA1534">
        <v>0.92995589999999995</v>
      </c>
      <c r="AB1534">
        <v>32</v>
      </c>
      <c r="AC1534">
        <v>-11.7053999999999</v>
      </c>
      <c r="AD1534">
        <v>-1.1096048187850001</v>
      </c>
      <c r="AE1534">
        <v>-6.4451999999999998</v>
      </c>
      <c r="AF1534">
        <v>-4.9904819722647504</v>
      </c>
      <c r="AG1534">
        <v>-1.1096048187850001</v>
      </c>
      <c r="AH1534">
        <v>12.2969456922779</v>
      </c>
      <c r="AI1534">
        <v>94.779449990794603</v>
      </c>
      <c r="AJ1534">
        <v>112.088840036386</v>
      </c>
      <c r="AK1534">
        <v>13.3173197952217</v>
      </c>
      <c r="AL1534">
        <v>82.903445180599306</v>
      </c>
      <c r="AM1534">
        <v>96.680707766261506</v>
      </c>
      <c r="AN1534">
        <v>0.999999936451342</v>
      </c>
    </row>
    <row r="1535" spans="1:40" x14ac:dyDescent="0.3">
      <c r="A1535" t="str">
        <f>"20200111150345020"</f>
        <v>20200111150345020</v>
      </c>
      <c r="B1535" t="str">
        <f>"1578726225009615"</f>
        <v>1578726225009615</v>
      </c>
      <c r="C1535" t="s">
        <v>40</v>
      </c>
      <c r="D1535">
        <v>5.7361430000000002</v>
      </c>
      <c r="E1535">
        <v>0.39450059999999998</v>
      </c>
      <c r="F1535" t="s">
        <v>68</v>
      </c>
      <c r="G1535">
        <v>-401.10899999999998</v>
      </c>
      <c r="H1535" s="1">
        <v>-2.9603139999999998E-6</v>
      </c>
      <c r="I1535">
        <v>133.8767</v>
      </c>
      <c r="J1535">
        <v>-389.346</v>
      </c>
      <c r="K1535">
        <v>1.1096969999999999</v>
      </c>
      <c r="L1535">
        <v>140.4059</v>
      </c>
      <c r="M1535">
        <v>-0.99222279999999996</v>
      </c>
      <c r="N1535">
        <v>0</v>
      </c>
      <c r="O1535">
        <v>-0.12360359999999999</v>
      </c>
      <c r="P1535">
        <v>-0.96594429999999998</v>
      </c>
      <c r="Q1535">
        <v>0.11056829999999999</v>
      </c>
      <c r="R1535">
        <v>-0.23393710000000001</v>
      </c>
      <c r="S1535">
        <v>-2.7734679999999998</v>
      </c>
      <c r="T1535">
        <v>-0.25493680000000002</v>
      </c>
      <c r="U1535">
        <v>-1.5099180000000001</v>
      </c>
      <c r="V1535">
        <v>-0.1143353</v>
      </c>
      <c r="W1535">
        <v>0.12361850000000001</v>
      </c>
      <c r="X1535">
        <v>0.98572099999999996</v>
      </c>
      <c r="Y1535">
        <v>-0.36513640000000003</v>
      </c>
      <c r="Z1535">
        <v>-5.1613350000000004E-3</v>
      </c>
      <c r="AA1535">
        <v>0.93093970000000004</v>
      </c>
      <c r="AB1535">
        <v>32</v>
      </c>
      <c r="AC1535">
        <v>-11.763</v>
      </c>
      <c r="AD1535">
        <v>-1.1096999603140001</v>
      </c>
      <c r="AE1535">
        <v>-6.5292000000000003</v>
      </c>
      <c r="AF1535">
        <v>-4.9910579187933504</v>
      </c>
      <c r="AG1535">
        <v>-1.1096999603140001</v>
      </c>
      <c r="AH1535">
        <v>12.395563835174199</v>
      </c>
      <c r="AI1535">
        <v>94.747226108318898</v>
      </c>
      <c r="AJ1535">
        <v>111.932117901548</v>
      </c>
      <c r="AK1535">
        <v>13.408657499636201</v>
      </c>
      <c r="AL1535">
        <v>82.899017044751304</v>
      </c>
      <c r="AM1535">
        <v>96.616259794489395</v>
      </c>
      <c r="AN1535">
        <v>0.99999999210466906</v>
      </c>
    </row>
    <row r="1536" spans="1:40" x14ac:dyDescent="0.3">
      <c r="A1536" t="str">
        <f>"20200111150345044"</f>
        <v>20200111150345044</v>
      </c>
      <c r="B1536" t="str">
        <f>"1578726225039871"</f>
        <v>1578726225039871</v>
      </c>
      <c r="C1536" t="s">
        <v>40</v>
      </c>
      <c r="D1536">
        <v>5.663691</v>
      </c>
      <c r="E1536">
        <v>0.39511370000000001</v>
      </c>
      <c r="F1536" t="s">
        <v>68</v>
      </c>
      <c r="G1536">
        <v>-401.4486</v>
      </c>
      <c r="H1536" s="1">
        <v>-3.0843170000000001E-6</v>
      </c>
      <c r="I1536">
        <v>133.74539999999999</v>
      </c>
      <c r="J1536">
        <v>-389.66789999999997</v>
      </c>
      <c r="K1536">
        <v>1.1097889999999999</v>
      </c>
      <c r="L1536">
        <v>140.35910000000001</v>
      </c>
      <c r="M1536">
        <v>-0.991394</v>
      </c>
      <c r="N1536">
        <v>0</v>
      </c>
      <c r="O1536">
        <v>-0.1300828</v>
      </c>
      <c r="P1536">
        <v>-0.96451410000000004</v>
      </c>
      <c r="Q1536">
        <v>0.1100299</v>
      </c>
      <c r="R1536">
        <v>-0.2400129</v>
      </c>
      <c r="S1536">
        <v>-2.7661440000000002</v>
      </c>
      <c r="T1536">
        <v>-0.25363019999999997</v>
      </c>
      <c r="U1536">
        <v>-1.5222929999999999</v>
      </c>
      <c r="V1536">
        <v>-0.1141147</v>
      </c>
      <c r="W1536">
        <v>0.1230667</v>
      </c>
      <c r="X1536">
        <v>0.98581560000000001</v>
      </c>
      <c r="Y1536">
        <v>-0.36332629999999999</v>
      </c>
      <c r="Z1536">
        <v>-4.5233599999999997E-3</v>
      </c>
      <c r="AA1536">
        <v>0.93165100000000001</v>
      </c>
      <c r="AB1536">
        <v>32</v>
      </c>
      <c r="AC1536">
        <v>-11.7807</v>
      </c>
      <c r="AD1536">
        <v>-1.1097920843169999</v>
      </c>
      <c r="AE1536">
        <v>-6.6137000000000201</v>
      </c>
      <c r="AF1536">
        <v>-4.9911805633141704</v>
      </c>
      <c r="AG1536">
        <v>-1.1097920843169999</v>
      </c>
      <c r="AH1536">
        <v>12.4569446387678</v>
      </c>
      <c r="AI1536">
        <v>94.727543199899202</v>
      </c>
      <c r="AJ1536">
        <v>111.83471923200599</v>
      </c>
      <c r="AK1536">
        <v>13.465474058470599</v>
      </c>
      <c r="AL1536">
        <v>82.930876093687999</v>
      </c>
      <c r="AM1536">
        <v>96.6029790597062</v>
      </c>
      <c r="AN1536">
        <v>0.99999998730416995</v>
      </c>
    </row>
    <row r="1537" spans="1:40" x14ac:dyDescent="0.3">
      <c r="A1537" t="str">
        <f>"20200111150345066"</f>
        <v>20200111150345066</v>
      </c>
      <c r="B1537" t="str">
        <f>"1578726225059395"</f>
        <v>1578726225059395</v>
      </c>
      <c r="C1537" t="s">
        <v>40</v>
      </c>
      <c r="D1537">
        <v>5.6036159999999997</v>
      </c>
      <c r="E1537">
        <v>0.3955304</v>
      </c>
      <c r="F1537" t="s">
        <v>68</v>
      </c>
      <c r="G1537">
        <v>-401.53199999999998</v>
      </c>
      <c r="H1537" s="1">
        <v>-3.138229E-6</v>
      </c>
      <c r="I1537">
        <v>133.75749999999999</v>
      </c>
      <c r="J1537">
        <v>-389.9785</v>
      </c>
      <c r="K1537">
        <v>1.1098680000000001</v>
      </c>
      <c r="L1537">
        <v>140.31190000000001</v>
      </c>
      <c r="M1537">
        <v>-0.99053869999999999</v>
      </c>
      <c r="N1537">
        <v>0</v>
      </c>
      <c r="O1537">
        <v>-0.1364416</v>
      </c>
      <c r="P1537">
        <v>-0.9627867</v>
      </c>
      <c r="Q1537">
        <v>0.1099557</v>
      </c>
      <c r="R1537">
        <v>-0.24688399999999999</v>
      </c>
      <c r="S1537">
        <v>-2.757965</v>
      </c>
      <c r="T1537">
        <v>-0.2579862</v>
      </c>
      <c r="U1537">
        <v>-1.534653</v>
      </c>
      <c r="V1537">
        <v>-0.11484469999999999</v>
      </c>
      <c r="W1537">
        <v>0.12296600000000001</v>
      </c>
      <c r="X1537">
        <v>0.98574340000000005</v>
      </c>
      <c r="Y1537">
        <v>-0.3617088</v>
      </c>
      <c r="Z1537">
        <v>-3.9977099999999998E-3</v>
      </c>
      <c r="AA1537">
        <v>0.93228259999999996</v>
      </c>
      <c r="AB1537">
        <v>32</v>
      </c>
      <c r="AC1537">
        <v>-11.5534999999999</v>
      </c>
      <c r="AD1537">
        <v>-1.1098711382290001</v>
      </c>
      <c r="AE1537">
        <v>-6.55440000000001</v>
      </c>
      <c r="AF1537">
        <v>-4.8824556162518098</v>
      </c>
      <c r="AG1537">
        <v>-1.1098711382290001</v>
      </c>
      <c r="AH1537">
        <v>12.254267908693199</v>
      </c>
      <c r="AI1537">
        <v>94.809413015525195</v>
      </c>
      <c r="AJ1537">
        <v>111.723770835807</v>
      </c>
      <c r="AK1537">
        <v>13.237721434075</v>
      </c>
      <c r="AL1537">
        <v>82.936690001962603</v>
      </c>
      <c r="AM1537">
        <v>96.645324588197198</v>
      </c>
      <c r="AN1537">
        <v>0.99999999645882498</v>
      </c>
    </row>
    <row r="1538" spans="1:40" x14ac:dyDescent="0.3">
      <c r="A1538" t="str">
        <f>"20200111150345088"</f>
        <v>20200111150345088</v>
      </c>
      <c r="B1538" t="str">
        <f>"1578726225079890"</f>
        <v>1578726225079890</v>
      </c>
      <c r="C1538" t="s">
        <v>40</v>
      </c>
      <c r="D1538">
        <v>5.6775460000000004</v>
      </c>
      <c r="E1538">
        <v>0.3959588</v>
      </c>
      <c r="F1538" t="s">
        <v>68</v>
      </c>
      <c r="G1538">
        <v>-401.7124</v>
      </c>
      <c r="H1538" s="1">
        <v>-3.2048210000000002E-6</v>
      </c>
      <c r="I1538">
        <v>133.68899999999999</v>
      </c>
      <c r="J1538">
        <v>-390.29899999999998</v>
      </c>
      <c r="K1538">
        <v>1.1099540000000001</v>
      </c>
      <c r="L1538">
        <v>140.26089999999999</v>
      </c>
      <c r="M1538">
        <v>-0.98959790000000003</v>
      </c>
      <c r="N1538">
        <v>0</v>
      </c>
      <c r="O1538">
        <v>-0.14310510000000001</v>
      </c>
      <c r="P1538">
        <v>-0.9607405</v>
      </c>
      <c r="Q1538">
        <v>0.11067490000000001</v>
      </c>
      <c r="R1538">
        <v>-0.25441910000000001</v>
      </c>
      <c r="S1538">
        <v>-2.747925</v>
      </c>
      <c r="T1538">
        <v>-0.25991540000000002</v>
      </c>
      <c r="U1538">
        <v>-1.55098</v>
      </c>
      <c r="V1538">
        <v>-0.1159821</v>
      </c>
      <c r="W1538">
        <v>0.1236516</v>
      </c>
      <c r="X1538">
        <v>0.98552439999999997</v>
      </c>
      <c r="Y1538">
        <v>-0.36110510000000001</v>
      </c>
      <c r="Z1538">
        <v>-3.4386540000000002E-3</v>
      </c>
      <c r="AA1538">
        <v>0.93251879999999998</v>
      </c>
      <c r="AB1538">
        <v>32</v>
      </c>
      <c r="AC1538">
        <v>-11.4133999999999</v>
      </c>
      <c r="AD1538">
        <v>-1.109957204821</v>
      </c>
      <c r="AE1538">
        <v>-6.5718999999999896</v>
      </c>
      <c r="AF1538">
        <v>-4.8363994634910101</v>
      </c>
      <c r="AG1538">
        <v>-1.109957204821</v>
      </c>
      <c r="AH1538">
        <v>12.150177147462401</v>
      </c>
      <c r="AI1538">
        <v>94.851419936106893</v>
      </c>
      <c r="AJ1538">
        <v>111.705115903695</v>
      </c>
      <c r="AK1538">
        <v>13.124388346955699</v>
      </c>
      <c r="AL1538">
        <v>82.897105622044293</v>
      </c>
      <c r="AM1538">
        <v>96.712018893226201</v>
      </c>
      <c r="AN1538">
        <v>0.999999954349164</v>
      </c>
    </row>
    <row r="1539" spans="1:40" x14ac:dyDescent="0.3">
      <c r="A1539" t="str">
        <f>"20200111150345112"</f>
        <v>20200111150345112</v>
      </c>
      <c r="B1539" t="str">
        <f>"1578726225099407"</f>
        <v>1578726225099407</v>
      </c>
      <c r="C1539" t="s">
        <v>40</v>
      </c>
      <c r="D1539">
        <v>5.6740089999999999</v>
      </c>
      <c r="E1539">
        <v>0.39620290000000002</v>
      </c>
      <c r="F1539" t="s">
        <v>68</v>
      </c>
      <c r="G1539">
        <v>-402.03410000000002</v>
      </c>
      <c r="H1539" s="1">
        <v>-3.303154E-6</v>
      </c>
      <c r="I1539">
        <v>133.52869999999999</v>
      </c>
      <c r="J1539">
        <v>-390.60050000000001</v>
      </c>
      <c r="K1539">
        <v>1.1100080000000001</v>
      </c>
      <c r="L1539">
        <v>140.21080000000001</v>
      </c>
      <c r="M1539">
        <v>-0.98865860000000005</v>
      </c>
      <c r="N1539">
        <v>0</v>
      </c>
      <c r="O1539">
        <v>-0.1494557</v>
      </c>
      <c r="P1539">
        <v>-0.95879979999999998</v>
      </c>
      <c r="Q1539">
        <v>0.1106741</v>
      </c>
      <c r="R1539">
        <v>-0.26163769999999997</v>
      </c>
      <c r="S1539">
        <v>-2.7366640000000002</v>
      </c>
      <c r="T1539">
        <v>-0.25884620000000003</v>
      </c>
      <c r="U1539">
        <v>-1.5699920000000001</v>
      </c>
      <c r="V1539">
        <v>-0.1170877</v>
      </c>
      <c r="W1539">
        <v>0.1236232</v>
      </c>
      <c r="X1539">
        <v>0.98539730000000003</v>
      </c>
      <c r="Y1539">
        <v>-0.36167290000000002</v>
      </c>
      <c r="Z1539">
        <v>-2.9158460000000001E-3</v>
      </c>
      <c r="AA1539">
        <v>0.93230049999999998</v>
      </c>
      <c r="AB1539">
        <v>32</v>
      </c>
      <c r="AC1539">
        <v>-11.4336</v>
      </c>
      <c r="AD1539">
        <v>-1.110011303154</v>
      </c>
      <c r="AE1539">
        <v>-6.6821000000000099</v>
      </c>
      <c r="AF1539">
        <v>-4.8638595099654598</v>
      </c>
      <c r="AG1539">
        <v>-1.110011303154</v>
      </c>
      <c r="AH1539">
        <v>12.2181020533758</v>
      </c>
      <c r="AI1539">
        <v>94.824753765425001</v>
      </c>
      <c r="AJ1539">
        <v>111.70682584182801</v>
      </c>
      <c r="AK1539">
        <v>13.1973964179499</v>
      </c>
      <c r="AL1539">
        <v>82.898745957505</v>
      </c>
      <c r="AM1539">
        <v>96.776274994505897</v>
      </c>
      <c r="AN1539">
        <v>1.0000000319583999</v>
      </c>
    </row>
    <row r="1540" spans="1:40" x14ac:dyDescent="0.3">
      <c r="A1540" t="str">
        <f>"20200111150345133"</f>
        <v>20200111150345133</v>
      </c>
      <c r="B1540" t="str">
        <f>"1578726225129663"</f>
        <v>1578726225129663</v>
      </c>
      <c r="C1540" t="s">
        <v>40</v>
      </c>
      <c r="D1540">
        <v>5.7008419999999997</v>
      </c>
      <c r="E1540">
        <v>0.39679379999999997</v>
      </c>
      <c r="F1540" t="s">
        <v>68</v>
      </c>
      <c r="G1540">
        <v>-402.25810000000001</v>
      </c>
      <c r="H1540" s="1">
        <v>-3.371566E-6</v>
      </c>
      <c r="I1540">
        <v>133.4169</v>
      </c>
      <c r="J1540">
        <v>-390.92250000000001</v>
      </c>
      <c r="K1540">
        <v>1.11005</v>
      </c>
      <c r="L1540">
        <v>140.15479999999999</v>
      </c>
      <c r="M1540">
        <v>-0.98759909999999995</v>
      </c>
      <c r="N1540">
        <v>0</v>
      </c>
      <c r="O1540">
        <v>-0.15630339999999901</v>
      </c>
      <c r="P1540">
        <v>-0.95694800000000002</v>
      </c>
      <c r="Q1540">
        <v>0.1095761</v>
      </c>
      <c r="R1540">
        <v>-0.26878249999999998</v>
      </c>
      <c r="S1540">
        <v>-2.725403</v>
      </c>
      <c r="T1540">
        <v>-0.25950780000000001</v>
      </c>
      <c r="U1540">
        <v>-1.588333</v>
      </c>
      <c r="V1540">
        <v>-0.1175908</v>
      </c>
      <c r="W1540">
        <v>0.1225116</v>
      </c>
      <c r="X1540">
        <v>0.98547620000000002</v>
      </c>
      <c r="Y1540">
        <v>-0.36158970000000001</v>
      </c>
      <c r="Z1540">
        <v>-2.3412429999999998E-3</v>
      </c>
      <c r="AA1540">
        <v>0.93233440000000001</v>
      </c>
      <c r="AB1540">
        <v>32</v>
      </c>
      <c r="AC1540">
        <v>-11.335599999999999</v>
      </c>
      <c r="AD1540">
        <v>-1.1100533715659999</v>
      </c>
      <c r="AE1540">
        <v>-6.73789999999999</v>
      </c>
      <c r="AF1540">
        <v>-4.8487236545799997</v>
      </c>
      <c r="AG1540">
        <v>-1.1100533715659999</v>
      </c>
      <c r="AH1540">
        <v>12.1633266360578</v>
      </c>
      <c r="AI1540">
        <v>94.845651524188696</v>
      </c>
      <c r="AJ1540">
        <v>111.73393994303601</v>
      </c>
      <c r="AK1540">
        <v>13.141113134801101</v>
      </c>
      <c r="AL1540">
        <v>82.962923684281293</v>
      </c>
      <c r="AM1540">
        <v>96.804578948735397</v>
      </c>
      <c r="AN1540">
        <v>1.0000000145728201</v>
      </c>
    </row>
    <row r="1541" spans="1:40" x14ac:dyDescent="0.3">
      <c r="A1541" t="str">
        <f>"20200111150345156"</f>
        <v>20200111150345156</v>
      </c>
      <c r="B1541" t="str">
        <f>"1578726225150160"</f>
        <v>1578726225150160</v>
      </c>
      <c r="C1541" t="s">
        <v>40</v>
      </c>
      <c r="D1541">
        <v>5.6318279999999996</v>
      </c>
      <c r="E1541">
        <v>0.3970727</v>
      </c>
      <c r="F1541" t="s">
        <v>68</v>
      </c>
      <c r="G1541">
        <v>-402.238</v>
      </c>
      <c r="H1541" s="1">
        <v>-3.3893089999999999E-6</v>
      </c>
      <c r="I1541">
        <v>133.47190000000001</v>
      </c>
      <c r="J1541">
        <v>-391.2278</v>
      </c>
      <c r="K1541">
        <v>1.1100699999999999</v>
      </c>
      <c r="L1541">
        <v>140.09960000000001</v>
      </c>
      <c r="M1541">
        <v>-0.98654280000000005</v>
      </c>
      <c r="N1541">
        <v>0</v>
      </c>
      <c r="O1541">
        <v>-0.16283619999999999</v>
      </c>
      <c r="P1541">
        <v>-0.95566180000000001</v>
      </c>
      <c r="Q1541">
        <v>0.10645590000000001</v>
      </c>
      <c r="R1541">
        <v>-0.27455030000000002</v>
      </c>
      <c r="S1541">
        <v>-2.7150569999999998</v>
      </c>
      <c r="T1541">
        <v>-0.26634819999999998</v>
      </c>
      <c r="U1541">
        <v>-1.6035159999999999</v>
      </c>
      <c r="V1541">
        <v>-0.1169207</v>
      </c>
      <c r="W1541">
        <v>0.1194023</v>
      </c>
      <c r="X1541">
        <v>0.98593750000000002</v>
      </c>
      <c r="Y1541">
        <v>-0.36082700000000001</v>
      </c>
      <c r="Z1541">
        <v>-1.8008500000000001E-3</v>
      </c>
      <c r="AA1541">
        <v>0.93263099999999999</v>
      </c>
      <c r="AB1541">
        <v>32</v>
      </c>
      <c r="AC1541">
        <v>-11.010199999999999</v>
      </c>
      <c r="AD1541">
        <v>-1.110073389309</v>
      </c>
      <c r="AE1541">
        <v>-6.6276999999999999</v>
      </c>
      <c r="AF1541">
        <v>-4.7110162317759396</v>
      </c>
      <c r="AG1541">
        <v>-1.110073389309</v>
      </c>
      <c r="AH1541">
        <v>11.854114180675801</v>
      </c>
      <c r="AI1541">
        <v>94.973584680045605</v>
      </c>
      <c r="AJ1541">
        <v>111.673671223748</v>
      </c>
      <c r="AK1541">
        <v>12.804138388591699</v>
      </c>
      <c r="AL1541">
        <v>83.142391509511498</v>
      </c>
      <c r="AM1541">
        <v>96.7630266450264</v>
      </c>
      <c r="AN1541">
        <v>1.00000005662001</v>
      </c>
    </row>
    <row r="1542" spans="1:40" x14ac:dyDescent="0.3">
      <c r="A1542" t="str">
        <f>"20200111150345178"</f>
        <v>20200111150345178</v>
      </c>
      <c r="B1542" t="str">
        <f>"1578726225169679"</f>
        <v>1578726225169679</v>
      </c>
      <c r="C1542" t="s">
        <v>40</v>
      </c>
      <c r="D1542">
        <v>5.7103679999999999</v>
      </c>
      <c r="E1542">
        <v>0.3973738</v>
      </c>
      <c r="F1542" t="s">
        <v>68</v>
      </c>
      <c r="G1542">
        <v>-402.09210000000002</v>
      </c>
      <c r="H1542" s="1">
        <v>-3.3758599999999999E-6</v>
      </c>
      <c r="I1542">
        <v>133.60339999999999</v>
      </c>
      <c r="J1542">
        <v>-391.54059999999998</v>
      </c>
      <c r="K1542">
        <v>1.11008</v>
      </c>
      <c r="L1542">
        <v>140.041</v>
      </c>
      <c r="M1542">
        <v>-0.98540950000000005</v>
      </c>
      <c r="N1542">
        <v>0</v>
      </c>
      <c r="O1542">
        <v>-0.16955990000000001</v>
      </c>
      <c r="P1542">
        <v>-0.95417989999999997</v>
      </c>
      <c r="Q1542">
        <v>0.1020831</v>
      </c>
      <c r="R1542">
        <v>-0.28128259999999899</v>
      </c>
      <c r="S1542">
        <v>-2.705292</v>
      </c>
      <c r="T1542">
        <v>-0.27641860000000001</v>
      </c>
      <c r="U1542">
        <v>-1.617615</v>
      </c>
      <c r="V1542">
        <v>-0.1170153</v>
      </c>
      <c r="W1542">
        <v>0.11503190000000001</v>
      </c>
      <c r="X1542">
        <v>0.98644569999999998</v>
      </c>
      <c r="Y1542">
        <v>-0.35950510000000002</v>
      </c>
      <c r="Z1542">
        <v>-1.1989959999999999E-3</v>
      </c>
      <c r="AA1542">
        <v>0.93314240000000004</v>
      </c>
      <c r="AB1542">
        <v>32</v>
      </c>
      <c r="AC1542">
        <v>-10.551500000000001</v>
      </c>
      <c r="AD1542">
        <v>-1.1100833758599999</v>
      </c>
      <c r="AE1542">
        <v>-6.4375999999999998</v>
      </c>
      <c r="AF1542">
        <v>-4.5186097096840898</v>
      </c>
      <c r="AG1542">
        <v>-1.1100833758599999</v>
      </c>
      <c r="AH1542">
        <v>11.3984184489778</v>
      </c>
      <c r="AI1542">
        <v>95.1731612058433</v>
      </c>
      <c r="AJ1542">
        <v>111.624576274335</v>
      </c>
      <c r="AK1542">
        <v>12.311541818464899</v>
      </c>
      <c r="AL1542">
        <v>83.394535129770105</v>
      </c>
      <c r="AM1542">
        <v>96.7649931700998</v>
      </c>
      <c r="AN1542">
        <v>1.0000000187500899</v>
      </c>
    </row>
    <row r="1543" spans="1:40" x14ac:dyDescent="0.3">
      <c r="A1543" t="str">
        <f>"20200111150345198"</f>
        <v>20200111150345198</v>
      </c>
      <c r="B1543" t="str">
        <f>"1578726225190179"</f>
        <v>1578726225190179</v>
      </c>
      <c r="C1543" t="s">
        <v>40</v>
      </c>
      <c r="D1543">
        <v>5.7250839999999998</v>
      </c>
      <c r="E1543">
        <v>0.39766960000000001</v>
      </c>
      <c r="F1543" t="s">
        <v>68</v>
      </c>
      <c r="G1543">
        <v>-401.7869</v>
      </c>
      <c r="H1543" s="1">
        <v>-3.3216659999999998E-6</v>
      </c>
      <c r="I1543">
        <v>133.82929999999999</v>
      </c>
      <c r="J1543">
        <v>-391.83240000000001</v>
      </c>
      <c r="K1543">
        <v>1.1100890000000001</v>
      </c>
      <c r="L1543">
        <v>139.98419999999999</v>
      </c>
      <c r="M1543">
        <v>-0.98430399999999996</v>
      </c>
      <c r="N1543">
        <v>0</v>
      </c>
      <c r="O1543">
        <v>-0.17586379999999999</v>
      </c>
      <c r="P1543">
        <v>-0.95205189999999995</v>
      </c>
      <c r="Q1543">
        <v>9.833604E-2</v>
      </c>
      <c r="R1543">
        <v>-0.28970289999999999</v>
      </c>
      <c r="S1543">
        <v>-2.6938780000000002</v>
      </c>
      <c r="T1543">
        <v>-0.29185409999999901</v>
      </c>
      <c r="U1543">
        <v>-1.6331180000000001</v>
      </c>
      <c r="V1543">
        <v>-0.1193042</v>
      </c>
      <c r="W1543">
        <v>0.1112517</v>
      </c>
      <c r="X1543">
        <v>0.98660499999999995</v>
      </c>
      <c r="Y1543">
        <v>-0.35915399999999997</v>
      </c>
      <c r="Z1543">
        <v>-6.4677750000000003E-4</v>
      </c>
      <c r="AA1543">
        <v>0.9332781</v>
      </c>
      <c r="AB1543">
        <v>32</v>
      </c>
      <c r="AC1543">
        <v>-9.9544999999999906</v>
      </c>
      <c r="AD1543">
        <v>-1.1100923216659999</v>
      </c>
      <c r="AE1543">
        <v>-6.1548999999999898</v>
      </c>
      <c r="AF1543">
        <v>-4.2697123571025397</v>
      </c>
      <c r="AG1543">
        <v>-1.1100923216659999</v>
      </c>
      <c r="AH1543">
        <v>10.784835454407601</v>
      </c>
      <c r="AI1543">
        <v>95.466763556620904</v>
      </c>
      <c r="AJ1543">
        <v>111.598594306614</v>
      </c>
      <c r="AK1543">
        <v>11.6522712100974</v>
      </c>
      <c r="AL1543">
        <v>83.612523936652593</v>
      </c>
      <c r="AM1543">
        <v>96.894956144197593</v>
      </c>
      <c r="AN1543">
        <v>0.99999992945776195</v>
      </c>
    </row>
    <row r="1544" spans="1:40" x14ac:dyDescent="0.3">
      <c r="A1544" t="str">
        <f>"20200111150345222"</f>
        <v>20200111150345222</v>
      </c>
      <c r="B1544" t="str">
        <f>"1578726225219455"</f>
        <v>1578726225219455</v>
      </c>
      <c r="C1544" t="s">
        <v>40</v>
      </c>
      <c r="D1544">
        <v>5.7598190000000002</v>
      </c>
      <c r="E1544">
        <v>0.42230600000000001</v>
      </c>
      <c r="F1544" t="s">
        <v>68</v>
      </c>
      <c r="G1544">
        <v>-401.53539999999998</v>
      </c>
      <c r="H1544" s="1">
        <v>-3.2676409999999999E-6</v>
      </c>
      <c r="I1544">
        <v>133.99789999999999</v>
      </c>
      <c r="J1544">
        <v>-392.15120000000002</v>
      </c>
      <c r="K1544">
        <v>1.1101209999999999</v>
      </c>
      <c r="L1544">
        <v>139.91999999999999</v>
      </c>
      <c r="M1544">
        <v>-0.98303910000000005</v>
      </c>
      <c r="N1544">
        <v>0</v>
      </c>
      <c r="O1544">
        <v>-0.1828013</v>
      </c>
      <c r="P1544">
        <v>-0.94889579999999996</v>
      </c>
      <c r="Q1544">
        <v>9.8739270000000004E-2</v>
      </c>
      <c r="R1544">
        <v>-0.29974590000000001</v>
      </c>
      <c r="S1544">
        <v>-2.6796880000000001</v>
      </c>
      <c r="T1544">
        <v>-0.30657519999999999</v>
      </c>
      <c r="U1544">
        <v>-1.6532439999999999</v>
      </c>
      <c r="V1544">
        <v>-0.12279610000000001</v>
      </c>
      <c r="W1544">
        <v>0.11159330000000001</v>
      </c>
      <c r="X1544">
        <v>0.98613790000000001</v>
      </c>
      <c r="Y1544">
        <v>-0.35980240000000002</v>
      </c>
      <c r="Z1544" s="1">
        <v>-1.7071139999999999E-5</v>
      </c>
      <c r="AA1544">
        <v>0.93302850000000004</v>
      </c>
      <c r="AB1544">
        <v>32</v>
      </c>
      <c r="AC1544">
        <v>-9.3841999999999608</v>
      </c>
      <c r="AD1544">
        <v>-1.1101242676409999</v>
      </c>
      <c r="AE1544">
        <v>-5.9221000000000004</v>
      </c>
      <c r="AF1544">
        <v>-4.0659654576954001</v>
      </c>
      <c r="AG1544">
        <v>-1.1101242676409999</v>
      </c>
      <c r="AH1544">
        <v>10.2065746326198</v>
      </c>
      <c r="AI1544">
        <v>95.769761451699694</v>
      </c>
      <c r="AJ1544">
        <v>111.720719716015</v>
      </c>
      <c r="AK1544">
        <v>11.042581977237701</v>
      </c>
      <c r="AL1544">
        <v>83.592829206314804</v>
      </c>
      <c r="AM1544">
        <v>97.098062252432797</v>
      </c>
      <c r="AN1544">
        <v>0.999999952298253</v>
      </c>
    </row>
    <row r="1545" spans="1:40" x14ac:dyDescent="0.3">
      <c r="A1545" t="str">
        <f>"20200111150345245"</f>
        <v>20200111150345245</v>
      </c>
      <c r="B1545" t="str">
        <f>"1578726225239953"</f>
        <v>1578726225239953</v>
      </c>
      <c r="C1545" t="s">
        <v>40</v>
      </c>
      <c r="D1545">
        <v>5.7903859999999998</v>
      </c>
      <c r="E1545">
        <v>0.424174</v>
      </c>
      <c r="F1545" t="s">
        <v>68</v>
      </c>
      <c r="G1545">
        <v>-402.01710000000003</v>
      </c>
      <c r="H1545" s="1">
        <v>-3.8100789999999998E-6</v>
      </c>
      <c r="I1545">
        <v>134.50299999999999</v>
      </c>
      <c r="J1545">
        <v>-392.46210000000002</v>
      </c>
      <c r="K1545">
        <v>1.110187</v>
      </c>
      <c r="L1545">
        <v>139.85499999999999</v>
      </c>
      <c r="M1545">
        <v>-0.98174110000000003</v>
      </c>
      <c r="N1545">
        <v>0</v>
      </c>
      <c r="O1545">
        <v>-0.1896486</v>
      </c>
      <c r="P1545">
        <v>-0.94546019999999997</v>
      </c>
      <c r="Q1545">
        <v>0.10270799999999999</v>
      </c>
      <c r="R1545">
        <v>-0.30912199999999901</v>
      </c>
      <c r="S1545">
        <v>-2.7214049999999999</v>
      </c>
      <c r="T1545">
        <v>-0.30621609999999899</v>
      </c>
      <c r="U1545">
        <v>-1.494202</v>
      </c>
      <c r="V1545">
        <v>-0.1258359</v>
      </c>
      <c r="W1545">
        <v>0.11549710000000001</v>
      </c>
      <c r="X1545">
        <v>0.98530490000000004</v>
      </c>
      <c r="Y1545">
        <v>-0.30573139999999999</v>
      </c>
      <c r="Z1545">
        <v>3.532075E-3</v>
      </c>
      <c r="AA1545">
        <v>0.95211120000000005</v>
      </c>
      <c r="AB1545">
        <v>32</v>
      </c>
      <c r="AC1545">
        <v>-9.5549999999999997</v>
      </c>
      <c r="AD1545">
        <v>-1.1101908100789999</v>
      </c>
      <c r="AE1545">
        <v>-5.3520000000000003</v>
      </c>
      <c r="AF1545">
        <v>-3.40754500277815</v>
      </c>
      <c r="AG1545">
        <v>-1.1101908100789999</v>
      </c>
      <c r="AH1545">
        <v>10.2909183769351</v>
      </c>
      <c r="AI1545">
        <v>95.847406763490298</v>
      </c>
      <c r="AJ1545">
        <v>108.320820777305</v>
      </c>
      <c r="AK1545">
        <v>10.8971045521956</v>
      </c>
      <c r="AL1545">
        <v>83.367702162507996</v>
      </c>
      <c r="AM1545">
        <v>97.277997186809898</v>
      </c>
      <c r="AN1545">
        <v>0.99999999990061395</v>
      </c>
    </row>
    <row r="1546" spans="1:40" x14ac:dyDescent="0.3">
      <c r="A1546" t="str">
        <f>"20200111150345267"</f>
        <v>20200111150345267</v>
      </c>
      <c r="B1546" t="str">
        <f>"1578726225259472"</f>
        <v>1578726225259472</v>
      </c>
      <c r="C1546" t="s">
        <v>40</v>
      </c>
      <c r="D1546">
        <v>5.7133440000000002</v>
      </c>
      <c r="E1546">
        <v>0.42426619999999998</v>
      </c>
      <c r="F1546" t="s">
        <v>68</v>
      </c>
      <c r="G1546">
        <v>-402.55180000000001</v>
      </c>
      <c r="H1546" s="1">
        <v>-3.9767450000000002E-6</v>
      </c>
      <c r="I1546">
        <v>134.2424</v>
      </c>
      <c r="J1546">
        <v>-392.76830000000001</v>
      </c>
      <c r="K1546">
        <v>1.110279</v>
      </c>
      <c r="L1546">
        <v>139.78870000000001</v>
      </c>
      <c r="M1546">
        <v>-0.98039200000000004</v>
      </c>
      <c r="N1546">
        <v>0</v>
      </c>
      <c r="O1546">
        <v>-0.19650280000000001</v>
      </c>
      <c r="P1546">
        <v>-0.94253390000000004</v>
      </c>
      <c r="Q1546">
        <v>0.1075405</v>
      </c>
      <c r="R1546">
        <v>-0.31633040000000001</v>
      </c>
      <c r="S1546">
        <v>-2.712189</v>
      </c>
      <c r="T1546">
        <v>-0.29842669999999999</v>
      </c>
      <c r="U1546">
        <v>-1.5086980000000001</v>
      </c>
      <c r="V1546">
        <v>-0.126670899999999</v>
      </c>
      <c r="W1546">
        <v>0.1202923</v>
      </c>
      <c r="X1546">
        <v>0.9846239</v>
      </c>
      <c r="Y1546">
        <v>-0.30440240000000002</v>
      </c>
      <c r="Z1546">
        <v>4.1889120000000004E-3</v>
      </c>
      <c r="AA1546">
        <v>0.95253429999999994</v>
      </c>
      <c r="AB1546">
        <v>32</v>
      </c>
      <c r="AC1546">
        <v>-9.7835000000000001</v>
      </c>
      <c r="AD1546">
        <v>-1.110282976745</v>
      </c>
      <c r="AE1546">
        <v>-5.5462999999999996</v>
      </c>
      <c r="AF1546">
        <v>-3.48151374272472</v>
      </c>
      <c r="AG1546">
        <v>-1.110282976745</v>
      </c>
      <c r="AH1546">
        <v>10.579579539078001</v>
      </c>
      <c r="AI1546">
        <v>95.692830045962793</v>
      </c>
      <c r="AJ1546">
        <v>108.21527159586201</v>
      </c>
      <c r="AK1546">
        <v>11.1929071046315</v>
      </c>
      <c r="AL1546">
        <v>83.091027589744201</v>
      </c>
      <c r="AM1546">
        <v>97.330779995436103</v>
      </c>
      <c r="AN1546">
        <v>0.99999998939865398</v>
      </c>
    </row>
    <row r="1547" spans="1:40" x14ac:dyDescent="0.3">
      <c r="A1547" t="str">
        <f>"20200111150345289"</f>
        <v>20200111150345289</v>
      </c>
      <c r="B1547" t="str">
        <f>"1578726225279967"</f>
        <v>1578726225279967</v>
      </c>
      <c r="C1547" t="s">
        <v>40</v>
      </c>
      <c r="D1547">
        <v>5.7081790000000003</v>
      </c>
      <c r="E1547">
        <v>0.42531540000000001</v>
      </c>
      <c r="F1547" t="s">
        <v>68</v>
      </c>
      <c r="G1547">
        <v>-403.32659999999998</v>
      </c>
      <c r="H1547" s="1">
        <v>-4.1289460000000004E-6</v>
      </c>
      <c r="I1547">
        <v>133.8073</v>
      </c>
      <c r="J1547">
        <v>-393.07010000000002</v>
      </c>
      <c r="K1547">
        <v>1.11039</v>
      </c>
      <c r="L1547">
        <v>139.721</v>
      </c>
      <c r="M1547">
        <v>-0.97898339999999995</v>
      </c>
      <c r="N1547">
        <v>0</v>
      </c>
      <c r="O1547">
        <v>-0.2034041</v>
      </c>
      <c r="P1547">
        <v>-0.94039689999999998</v>
      </c>
      <c r="Q1547">
        <v>0.1116972</v>
      </c>
      <c r="R1547">
        <v>-0.32121319999999998</v>
      </c>
      <c r="S1547">
        <v>-2.70166</v>
      </c>
      <c r="T1547">
        <v>-0.28410020000000002</v>
      </c>
      <c r="U1547">
        <v>-1.530518</v>
      </c>
      <c r="V1547">
        <v>-0.12502579999999999</v>
      </c>
      <c r="W1547">
        <v>0.1244475</v>
      </c>
      <c r="X1547">
        <v>0.98431769999999996</v>
      </c>
      <c r="Y1547">
        <v>-0.30518299999999998</v>
      </c>
      <c r="Z1547">
        <v>4.5994369999999996E-3</v>
      </c>
      <c r="AA1547">
        <v>0.95228259999999998</v>
      </c>
      <c r="AB1547">
        <v>32</v>
      </c>
      <c r="AC1547">
        <v>-10.2564999999999</v>
      </c>
      <c r="AD1547">
        <v>-1.110394128946</v>
      </c>
      <c r="AE1547">
        <v>-5.9137000000000004</v>
      </c>
      <c r="AF1547">
        <v>-3.6713097773793102</v>
      </c>
      <c r="AG1547">
        <v>-1.110394128946</v>
      </c>
      <c r="AH1547">
        <v>11.146987669163799</v>
      </c>
      <c r="AI1547">
        <v>95.4049107932602</v>
      </c>
      <c r="AJ1547">
        <v>108.22952759961601</v>
      </c>
      <c r="AK1547">
        <v>11.788419092463901</v>
      </c>
      <c r="AL1547">
        <v>82.851149143385996</v>
      </c>
      <c r="AM1547">
        <v>97.238816784515805</v>
      </c>
      <c r="AN1547">
        <v>0.99999998272758905</v>
      </c>
    </row>
    <row r="1548" spans="1:40" x14ac:dyDescent="0.3">
      <c r="A1548" t="str">
        <f>"20200111150345321"</f>
        <v>20200111150345321</v>
      </c>
      <c r="B1548" t="str">
        <f>"1578726225319983"</f>
        <v>1578726225319983</v>
      </c>
      <c r="C1548" t="s">
        <v>40</v>
      </c>
      <c r="D1548">
        <v>5.6625930000000002</v>
      </c>
      <c r="E1548">
        <v>0.42614550000000001</v>
      </c>
      <c r="F1548" t="s">
        <v>68</v>
      </c>
      <c r="G1548">
        <v>-403.89019999999999</v>
      </c>
      <c r="H1548" s="1">
        <v>-4.2556759999999999E-6</v>
      </c>
      <c r="I1548">
        <v>133.54339999999999</v>
      </c>
      <c r="J1548">
        <v>-393.51560000000001</v>
      </c>
      <c r="K1548">
        <v>1.110582</v>
      </c>
      <c r="L1548">
        <v>139.6163</v>
      </c>
      <c r="M1548">
        <v>-0.97673209999999999</v>
      </c>
      <c r="N1548">
        <v>0</v>
      </c>
      <c r="O1548">
        <v>-0.21395230000000001</v>
      </c>
      <c r="P1548">
        <v>-0.93888970000000005</v>
      </c>
      <c r="Q1548">
        <v>0.109094</v>
      </c>
      <c r="R1548">
        <v>-0.32647359999999997</v>
      </c>
      <c r="S1548">
        <v>-2.6970830000000001</v>
      </c>
      <c r="T1548">
        <v>-0.27678360000000002</v>
      </c>
      <c r="U1548">
        <v>-1.5398559999999999</v>
      </c>
      <c r="V1548">
        <v>-0.11986280000000001</v>
      </c>
      <c r="W1548">
        <v>0.1218964</v>
      </c>
      <c r="X1548">
        <v>0.98527869999999995</v>
      </c>
      <c r="Y1548">
        <v>-0.29817490000000002</v>
      </c>
      <c r="Z1548">
        <v>5.7769930000000002E-3</v>
      </c>
      <c r="AA1548">
        <v>0.95449379999999995</v>
      </c>
      <c r="AB1548">
        <v>32</v>
      </c>
      <c r="AC1548">
        <v>-10.3745999999999</v>
      </c>
      <c r="AD1548">
        <v>-1.110586255676</v>
      </c>
      <c r="AE1548">
        <v>-6.0728999999999997</v>
      </c>
      <c r="AF1548">
        <v>-3.6809167012077602</v>
      </c>
      <c r="AG1548">
        <v>-1.110586255676</v>
      </c>
      <c r="AH1548">
        <v>11.3370063731315</v>
      </c>
      <c r="AI1548">
        <v>95.3230582143932</v>
      </c>
      <c r="AJ1548">
        <v>107.98765686333</v>
      </c>
      <c r="AK1548">
        <v>11.9712264658619</v>
      </c>
      <c r="AL1548">
        <v>82.9984379150509</v>
      </c>
      <c r="AM1548">
        <v>96.936160094745603</v>
      </c>
      <c r="AN1548">
        <v>0.99999996991524398</v>
      </c>
    </row>
    <row r="1549" spans="1:40" x14ac:dyDescent="0.3">
      <c r="A1549" t="str">
        <f>"20200111150345345"</f>
        <v>20200111150345345</v>
      </c>
      <c r="B1549" t="str">
        <f>"1578726225339503"</f>
        <v>1578726225339503</v>
      </c>
      <c r="C1549" t="s">
        <v>40</v>
      </c>
      <c r="D1549">
        <v>5.7502879999999896</v>
      </c>
      <c r="E1549">
        <v>0.42693300000000001</v>
      </c>
      <c r="F1549" t="s">
        <v>68</v>
      </c>
      <c r="G1549">
        <v>-404.08240000000001</v>
      </c>
      <c r="H1549" s="1">
        <v>-4.3308180000000002E-6</v>
      </c>
      <c r="I1549">
        <v>133.52180000000001</v>
      </c>
      <c r="J1549">
        <v>-393.83150000000001</v>
      </c>
      <c r="K1549">
        <v>1.1107340000000001</v>
      </c>
      <c r="L1549">
        <v>139.53880000000001</v>
      </c>
      <c r="M1549">
        <v>-0.97501059999999995</v>
      </c>
      <c r="N1549">
        <v>0</v>
      </c>
      <c r="O1549">
        <v>-0.2216639</v>
      </c>
      <c r="P1549">
        <v>-0.93713809999999997</v>
      </c>
      <c r="Q1549">
        <v>0.107045</v>
      </c>
      <c r="R1549">
        <v>-0.33213500000000001</v>
      </c>
      <c r="S1549">
        <v>-2.6888429999999999</v>
      </c>
      <c r="T1549">
        <v>-0.28259980000000001</v>
      </c>
      <c r="U1549">
        <v>-1.550797</v>
      </c>
      <c r="V1549">
        <v>-0.1179799</v>
      </c>
      <c r="W1549">
        <v>0.1198573</v>
      </c>
      <c r="X1549">
        <v>0.98575599999999997</v>
      </c>
      <c r="Y1549">
        <v>-0.29483759999999998</v>
      </c>
      <c r="Z1549">
        <v>6.7839550000000004E-3</v>
      </c>
      <c r="AA1549">
        <v>0.95552329999999996</v>
      </c>
      <c r="AB1549">
        <v>32</v>
      </c>
      <c r="AC1549">
        <v>-10.2509</v>
      </c>
      <c r="AD1549">
        <v>-1.1107383308179899</v>
      </c>
      <c r="AE1549">
        <v>-6.0169999999999897</v>
      </c>
      <c r="AF1549">
        <v>-3.5636599479824498</v>
      </c>
      <c r="AG1549">
        <v>-1.1107383308179899</v>
      </c>
      <c r="AH1549">
        <v>11.2316533101523</v>
      </c>
      <c r="AI1549">
        <v>95.384935847216298</v>
      </c>
      <c r="AJ1549">
        <v>107.603567155645</v>
      </c>
      <c r="AK1549">
        <v>11.8356853601242</v>
      </c>
      <c r="AL1549">
        <v>83.116132694097701</v>
      </c>
      <c r="AM1549">
        <v>96.824963200000198</v>
      </c>
      <c r="AN1549">
        <v>0.99999996035164895</v>
      </c>
    </row>
    <row r="1550" spans="1:40" x14ac:dyDescent="0.3">
      <c r="A1550" t="str">
        <f>"20200111150345367"</f>
        <v>20200111150345367</v>
      </c>
      <c r="B1550" t="str">
        <f>"1578726225360002"</f>
        <v>1578726225360002</v>
      </c>
      <c r="C1550" t="s">
        <v>40</v>
      </c>
      <c r="D1550">
        <v>5.8179869999999996</v>
      </c>
      <c r="E1550">
        <v>0.42780770000000001</v>
      </c>
      <c r="F1550" t="s">
        <v>68</v>
      </c>
      <c r="G1550">
        <v>-404.03309999999999</v>
      </c>
      <c r="H1550" s="1">
        <v>-4.346582E-6</v>
      </c>
      <c r="I1550">
        <v>133.60239999999999</v>
      </c>
      <c r="J1550">
        <v>-394.12920000000003</v>
      </c>
      <c r="K1550">
        <v>1.110903</v>
      </c>
      <c r="L1550">
        <v>139.4632</v>
      </c>
      <c r="M1550">
        <v>-0.97326789999999996</v>
      </c>
      <c r="N1550">
        <v>0</v>
      </c>
      <c r="O1550">
        <v>-0.2291945</v>
      </c>
      <c r="P1550">
        <v>-0.93493059999999995</v>
      </c>
      <c r="Q1550">
        <v>0.1073286</v>
      </c>
      <c r="R1550">
        <v>-0.33820939999999999</v>
      </c>
      <c r="S1550">
        <v>-2.681549</v>
      </c>
      <c r="T1550">
        <v>-0.29196169999999999</v>
      </c>
      <c r="U1550">
        <v>-1.560425</v>
      </c>
      <c r="V1550">
        <v>-0.116813</v>
      </c>
      <c r="W1550">
        <v>0.1201309</v>
      </c>
      <c r="X1550">
        <v>0.98586169999999995</v>
      </c>
      <c r="Y1550">
        <v>-0.29116629999999999</v>
      </c>
      <c r="Z1550">
        <v>7.9221599999999993E-3</v>
      </c>
      <c r="AA1550">
        <v>0.95663960000000003</v>
      </c>
      <c r="AB1550">
        <v>31</v>
      </c>
      <c r="AC1550">
        <v>-9.9038999999999593</v>
      </c>
      <c r="AD1550">
        <v>-1.1109073465819901</v>
      </c>
      <c r="AE1550">
        <v>-5.86080000000001</v>
      </c>
      <c r="AF1550">
        <v>-3.4028761109400101</v>
      </c>
      <c r="AG1550">
        <v>-1.1109073465819901</v>
      </c>
      <c r="AH1550">
        <v>10.882209912189801</v>
      </c>
      <c r="AI1550">
        <v>95.564891723444404</v>
      </c>
      <c r="AJ1550">
        <v>107.36450720726801</v>
      </c>
      <c r="AK1550">
        <v>11.455835784963901</v>
      </c>
      <c r="AL1550">
        <v>83.100342758129301</v>
      </c>
      <c r="AM1550">
        <v>96.757369305213302</v>
      </c>
      <c r="AN1550">
        <v>1.00000000081535</v>
      </c>
    </row>
    <row r="1551" spans="1:40" x14ac:dyDescent="0.3">
      <c r="A1551" t="str">
        <f>"20200111150345389"</f>
        <v>20200111150345389</v>
      </c>
      <c r="B1551" t="str">
        <f>"1578726225379520"</f>
        <v>1578726225379520</v>
      </c>
      <c r="C1551" t="s">
        <v>40</v>
      </c>
      <c r="D1551">
        <v>5.7410240000000003</v>
      </c>
      <c r="E1551">
        <v>0.42837239999999999</v>
      </c>
      <c r="F1551" t="s">
        <v>68</v>
      </c>
      <c r="G1551">
        <v>-404.1961</v>
      </c>
      <c r="H1551" s="1">
        <v>-4.3930400000000004E-6</v>
      </c>
      <c r="I1551">
        <v>133.5471</v>
      </c>
      <c r="J1551">
        <v>-394.41849999999999</v>
      </c>
      <c r="K1551">
        <v>1.111102</v>
      </c>
      <c r="L1551">
        <v>139.387</v>
      </c>
      <c r="M1551">
        <v>-0.97144430000000004</v>
      </c>
      <c r="N1551">
        <v>0</v>
      </c>
      <c r="O1551">
        <v>-0.23680280000000001</v>
      </c>
      <c r="P1551">
        <v>-0.93159440000000004</v>
      </c>
      <c r="Q1551">
        <v>0.1098277</v>
      </c>
      <c r="R1551">
        <v>-0.34651120000000002</v>
      </c>
      <c r="S1551">
        <v>-2.674194</v>
      </c>
      <c r="T1551">
        <v>-0.29510500000000001</v>
      </c>
      <c r="U1551">
        <v>-1.5715790000000001</v>
      </c>
      <c r="V1551">
        <v>-0.118034</v>
      </c>
      <c r="W1551">
        <v>0.12257079999999999</v>
      </c>
      <c r="X1551">
        <v>0.98541579999999995</v>
      </c>
      <c r="Y1551">
        <v>-0.28783399999999998</v>
      </c>
      <c r="Z1551">
        <v>8.9208589999999997E-3</v>
      </c>
      <c r="AA1551">
        <v>0.95763869999999895</v>
      </c>
      <c r="AB1551">
        <v>31</v>
      </c>
      <c r="AC1551">
        <v>-9.7775999999999996</v>
      </c>
      <c r="AD1551">
        <v>-1.11110639303999</v>
      </c>
      <c r="AE1551">
        <v>-5.8399000000000001</v>
      </c>
      <c r="AF1551">
        <v>-3.3264827168431301</v>
      </c>
      <c r="AG1551">
        <v>-1.11110639303999</v>
      </c>
      <c r="AH1551">
        <v>10.7798933939967</v>
      </c>
      <c r="AI1551">
        <v>95.624891746585007</v>
      </c>
      <c r="AJ1551">
        <v>107.149292253513</v>
      </c>
      <c r="AK1551">
        <v>11.336055145774701</v>
      </c>
      <c r="AL1551">
        <v>82.959505648414407</v>
      </c>
      <c r="AM1551">
        <v>96.830398284170499</v>
      </c>
      <c r="AN1551">
        <v>0.99999996252913903</v>
      </c>
    </row>
    <row r="1552" spans="1:40" x14ac:dyDescent="0.3">
      <c r="A1552" t="str">
        <f>"20200111150345411"</f>
        <v>20200111150345411</v>
      </c>
      <c r="B1552" t="str">
        <f>"1578726225400016"</f>
        <v>1578726225400016</v>
      </c>
      <c r="C1552" t="s">
        <v>40</v>
      </c>
      <c r="D1552">
        <v>5.7163680000000001</v>
      </c>
      <c r="E1552">
        <v>0.42878670000000002</v>
      </c>
      <c r="F1552" t="s">
        <v>68</v>
      </c>
      <c r="G1552">
        <v>-404.6431</v>
      </c>
      <c r="H1552" s="1">
        <v>-4.461937E-6</v>
      </c>
      <c r="I1552">
        <v>133.27010000000001</v>
      </c>
      <c r="J1552">
        <v>-394.71589999999998</v>
      </c>
      <c r="K1552">
        <v>1.1113360000000001</v>
      </c>
      <c r="L1552">
        <v>139.3057</v>
      </c>
      <c r="M1552">
        <v>-0.96941509999999997</v>
      </c>
      <c r="N1552">
        <v>0</v>
      </c>
      <c r="O1552">
        <v>-0.24497630000000001</v>
      </c>
      <c r="P1552">
        <v>-0.92724989999999996</v>
      </c>
      <c r="Q1552">
        <v>0.1118557</v>
      </c>
      <c r="R1552">
        <v>-0.35734670000000002</v>
      </c>
      <c r="S1552">
        <v>-2.662048</v>
      </c>
      <c r="T1552">
        <v>-0.28928340000000002</v>
      </c>
      <c r="U1552">
        <v>-1.59259</v>
      </c>
      <c r="V1552">
        <v>-0.1213885</v>
      </c>
      <c r="W1552">
        <v>0.1244957</v>
      </c>
      <c r="X1552">
        <v>0.98476680000000005</v>
      </c>
      <c r="Y1552">
        <v>-0.28730480000000003</v>
      </c>
      <c r="Z1552">
        <v>9.5586290000000008E-3</v>
      </c>
      <c r="AA1552">
        <v>0.95779150000000002</v>
      </c>
      <c r="AB1552">
        <v>31</v>
      </c>
      <c r="AC1552">
        <v>-9.9272000000000205</v>
      </c>
      <c r="AD1552">
        <v>-1.111340461937</v>
      </c>
      <c r="AE1552">
        <v>-6.0355999999999801</v>
      </c>
      <c r="AF1552">
        <v>-3.3884458231136398</v>
      </c>
      <c r="AG1552">
        <v>-1.111340461937</v>
      </c>
      <c r="AH1552">
        <v>11.002706105137401</v>
      </c>
      <c r="AI1552">
        <v>95.513798553665495</v>
      </c>
      <c r="AJ1552">
        <v>107.116988529739</v>
      </c>
      <c r="AK1552">
        <v>11.5661654991852</v>
      </c>
      <c r="AL1552">
        <v>82.848365957164702</v>
      </c>
      <c r="AM1552">
        <v>97.027186660496895</v>
      </c>
      <c r="AN1552">
        <v>0.99999999881648904</v>
      </c>
    </row>
    <row r="1553" spans="1:40" x14ac:dyDescent="0.3">
      <c r="A1553" t="str">
        <f>"20200111150345434"</f>
        <v>20200111150345434</v>
      </c>
      <c r="B1553" t="str">
        <f>"1578726225430272"</f>
        <v>1578726225430272</v>
      </c>
      <c r="C1553" t="s">
        <v>40</v>
      </c>
      <c r="D1553">
        <v>5.6984919999999999</v>
      </c>
      <c r="E1553">
        <v>0.42975049999999998</v>
      </c>
      <c r="F1553" t="s">
        <v>68</v>
      </c>
      <c r="G1553">
        <v>-405.02</v>
      </c>
      <c r="H1553" s="1">
        <v>-4.5147839999999999E-6</v>
      </c>
      <c r="I1553">
        <v>132.99350000000001</v>
      </c>
      <c r="J1553">
        <v>-395.017</v>
      </c>
      <c r="K1553">
        <v>1.111564</v>
      </c>
      <c r="L1553">
        <v>139.22020000000001</v>
      </c>
      <c r="M1553">
        <v>-0.96720779999999995</v>
      </c>
      <c r="N1553">
        <v>0</v>
      </c>
      <c r="O1553">
        <v>-0.2535482</v>
      </c>
      <c r="P1553">
        <v>-0.9225295</v>
      </c>
      <c r="Q1553">
        <v>0.1124279</v>
      </c>
      <c r="R1553">
        <v>-0.36918770000000001</v>
      </c>
      <c r="S1553">
        <v>-2.6453250000000001</v>
      </c>
      <c r="T1553">
        <v>-0.28531129999999999</v>
      </c>
      <c r="U1553">
        <v>-1.6204989999999999</v>
      </c>
      <c r="V1553">
        <v>-0.12538339999999901</v>
      </c>
      <c r="W1553">
        <v>0.1249542</v>
      </c>
      <c r="X1553">
        <v>0.98420799999999997</v>
      </c>
      <c r="Y1553">
        <v>-0.28890300000000002</v>
      </c>
      <c r="Z1553">
        <v>1.0168180000000001E-2</v>
      </c>
      <c r="AA1553">
        <v>0.95730440000000006</v>
      </c>
      <c r="AB1553">
        <v>31</v>
      </c>
      <c r="AC1553">
        <v>-10.002999999999901</v>
      </c>
      <c r="AD1553">
        <v>-1.111568514784</v>
      </c>
      <c r="AE1553">
        <v>-6.2266999999999904</v>
      </c>
      <c r="AF1553">
        <v>-3.4559008126393298</v>
      </c>
      <c r="AG1553">
        <v>-1.111568514784</v>
      </c>
      <c r="AH1553">
        <v>11.1557153419124</v>
      </c>
      <c r="AI1553">
        <v>95.436960161743002</v>
      </c>
      <c r="AJ1553">
        <v>107.212325980084</v>
      </c>
      <c r="AK1553">
        <v>11.731531007487501</v>
      </c>
      <c r="AL1553">
        <v>82.821888872498604</v>
      </c>
      <c r="AM1553">
        <v>97.260101254494202</v>
      </c>
      <c r="AN1553">
        <v>0.99999996817859904</v>
      </c>
    </row>
    <row r="1554" spans="1:40" x14ac:dyDescent="0.3">
      <c r="A1554" t="str">
        <f>"20200111150345457"</f>
        <v>20200111150345457</v>
      </c>
      <c r="B1554" t="str">
        <f>"1578726225449791"</f>
        <v>1578726225449791</v>
      </c>
      <c r="C1554" t="s">
        <v>40</v>
      </c>
      <c r="D1554">
        <v>5.7066819999999998</v>
      </c>
      <c r="E1554">
        <v>0.4303302</v>
      </c>
      <c r="F1554" t="s">
        <v>68</v>
      </c>
      <c r="G1554">
        <v>-405.13260000000002</v>
      </c>
      <c r="H1554" s="1">
        <v>-4.5405360000000001E-6</v>
      </c>
      <c r="I1554">
        <v>132.88419999999999</v>
      </c>
      <c r="J1554">
        <v>-395.32240000000002</v>
      </c>
      <c r="K1554">
        <v>1.111801</v>
      </c>
      <c r="L1554">
        <v>139.1302</v>
      </c>
      <c r="M1554">
        <v>-0.9647985</v>
      </c>
      <c r="N1554">
        <v>0</v>
      </c>
      <c r="O1554">
        <v>-0.26256550000000001</v>
      </c>
      <c r="P1554">
        <v>-0.91778680000000001</v>
      </c>
      <c r="Q1554">
        <v>0.1123856</v>
      </c>
      <c r="R1554">
        <v>-0.3808376</v>
      </c>
      <c r="S1554">
        <v>-2.6282649999999999</v>
      </c>
      <c r="T1554">
        <v>-0.28881279999999998</v>
      </c>
      <c r="U1554">
        <v>-1.646255</v>
      </c>
      <c r="V1554">
        <v>-0.1287317</v>
      </c>
      <c r="W1554">
        <v>0.1248066</v>
      </c>
      <c r="X1554">
        <v>0.98379450000000002</v>
      </c>
      <c r="Y1554">
        <v>-0.28952650000000002</v>
      </c>
      <c r="Z1554">
        <v>1.113654E-2</v>
      </c>
      <c r="AA1554">
        <v>0.95710519999999999</v>
      </c>
      <c r="AB1554">
        <v>31</v>
      </c>
      <c r="AC1554">
        <v>-9.8102</v>
      </c>
      <c r="AD1554">
        <v>-1.1118055405359999</v>
      </c>
      <c r="AE1554">
        <v>-6.2460000000000004</v>
      </c>
      <c r="AF1554">
        <v>-3.4194452182309898</v>
      </c>
      <c r="AG1554">
        <v>-1.1118055405359999</v>
      </c>
      <c r="AH1554">
        <v>11.005507463213901</v>
      </c>
      <c r="AI1554">
        <v>95.510460922959396</v>
      </c>
      <c r="AJ1554">
        <v>107.26018128361</v>
      </c>
      <c r="AK1554">
        <v>11.5779925584407</v>
      </c>
      <c r="AL1554">
        <v>82.830413246414196</v>
      </c>
      <c r="AM1554">
        <v>97.454924329961599</v>
      </c>
      <c r="AN1554">
        <v>1.0000000781093401</v>
      </c>
    </row>
    <row r="1555" spans="1:40" x14ac:dyDescent="0.3">
      <c r="A1555" t="str">
        <f>"20200111150345479"</f>
        <v>20200111150345479</v>
      </c>
      <c r="B1555" t="str">
        <f>"1578726225470287"</f>
        <v>1578726225470287</v>
      </c>
      <c r="C1555" t="s">
        <v>40</v>
      </c>
      <c r="D1555">
        <v>5.7053219999999998</v>
      </c>
      <c r="E1555">
        <v>0.43058940000000001</v>
      </c>
      <c r="F1555" t="s">
        <v>68</v>
      </c>
      <c r="G1555">
        <v>-405.23919999999998</v>
      </c>
      <c r="H1555" s="1">
        <v>-4.559411E-6</v>
      </c>
      <c r="I1555">
        <v>132.7688</v>
      </c>
      <c r="J1555">
        <v>-395.60969999999998</v>
      </c>
      <c r="K1555">
        <v>1.1120270000000001</v>
      </c>
      <c r="L1555">
        <v>139.04249999999999</v>
      </c>
      <c r="M1555">
        <v>-0.96235760000000004</v>
      </c>
      <c r="N1555">
        <v>0</v>
      </c>
      <c r="O1555">
        <v>-0.27137420000000001</v>
      </c>
      <c r="P1555">
        <v>-0.91312300000000002</v>
      </c>
      <c r="Q1555">
        <v>0.1131259</v>
      </c>
      <c r="R1555">
        <v>-0.3916751</v>
      </c>
      <c r="S1555">
        <v>-2.6098940000000002</v>
      </c>
      <c r="T1555">
        <v>-0.29260399999999998</v>
      </c>
      <c r="U1555">
        <v>-1.674194</v>
      </c>
      <c r="V1555">
        <v>-0.1314961</v>
      </c>
      <c r="W1555">
        <v>0.12545039999999999</v>
      </c>
      <c r="X1555">
        <v>0.98334679999999997</v>
      </c>
      <c r="Y1555">
        <v>-0.29112090000000002</v>
      </c>
      <c r="Z1555">
        <v>1.207019E-2</v>
      </c>
      <c r="AA1555">
        <v>0.95661010000000002</v>
      </c>
      <c r="AB1555">
        <v>31</v>
      </c>
      <c r="AC1555">
        <v>-9.6295000000000002</v>
      </c>
      <c r="AD1555">
        <v>-1.112031559411</v>
      </c>
      <c r="AE1555">
        <v>-6.2736999999999901</v>
      </c>
      <c r="AF1555">
        <v>-3.39296300122815</v>
      </c>
      <c r="AG1555">
        <v>-1.112031559411</v>
      </c>
      <c r="AH1555">
        <v>10.869013717547199</v>
      </c>
      <c r="AI1555">
        <v>95.578048381857201</v>
      </c>
      <c r="AJ1555">
        <v>107.336715872144</v>
      </c>
      <c r="AK1555">
        <v>11.440466393860801</v>
      </c>
      <c r="AL1555">
        <v>82.793233292882803</v>
      </c>
      <c r="AM1555">
        <v>97.616579433001505</v>
      </c>
      <c r="AN1555">
        <v>0.99999997812280395</v>
      </c>
    </row>
    <row r="1556" spans="1:40" x14ac:dyDescent="0.3">
      <c r="A1556" t="str">
        <f>"20200111150345501"</f>
        <v>20200111150345501</v>
      </c>
      <c r="B1556" t="str">
        <f>"1578726225489807"</f>
        <v>1578726225489807</v>
      </c>
      <c r="C1556" t="s">
        <v>40</v>
      </c>
      <c r="D1556">
        <v>5.7265899999999998</v>
      </c>
      <c r="E1556">
        <v>0.439083</v>
      </c>
      <c r="F1556" t="s">
        <v>68</v>
      </c>
      <c r="G1556">
        <v>-405.48009999999999</v>
      </c>
      <c r="H1556" s="1">
        <v>-4.6243120000000003E-6</v>
      </c>
      <c r="I1556">
        <v>132.5558</v>
      </c>
      <c r="J1556">
        <v>-395.89479999999998</v>
      </c>
      <c r="K1556">
        <v>1.112266</v>
      </c>
      <c r="L1556">
        <v>138.95230000000001</v>
      </c>
      <c r="M1556">
        <v>-0.95975120000000003</v>
      </c>
      <c r="N1556">
        <v>0</v>
      </c>
      <c r="O1556">
        <v>-0.28045029999999999</v>
      </c>
      <c r="P1556">
        <v>-0.90762659999999995</v>
      </c>
      <c r="Q1556">
        <v>0.11552900000000001</v>
      </c>
      <c r="R1556">
        <v>-0.40356819999999999</v>
      </c>
      <c r="S1556">
        <v>-2.5911559999999998</v>
      </c>
      <c r="T1556">
        <v>-0.29192849999999998</v>
      </c>
      <c r="U1556">
        <v>-1.702866</v>
      </c>
      <c r="V1556">
        <v>-0.13526199999999999</v>
      </c>
      <c r="W1556">
        <v>0.12772939999999999</v>
      </c>
      <c r="X1556">
        <v>0.98254229999999998</v>
      </c>
      <c r="Y1556">
        <v>-0.29268339999999998</v>
      </c>
      <c r="Z1556">
        <v>1.285646E-2</v>
      </c>
      <c r="AA1556">
        <v>0.95612299999999995</v>
      </c>
      <c r="AB1556">
        <v>31</v>
      </c>
      <c r="AC1556">
        <v>-9.5853000000000108</v>
      </c>
      <c r="AD1556">
        <v>-1.112270624312</v>
      </c>
      <c r="AE1556">
        <v>-6.3964999999999996</v>
      </c>
      <c r="AF1556">
        <v>-3.4193809295215001</v>
      </c>
      <c r="AG1556">
        <v>-1.112270624312</v>
      </c>
      <c r="AH1556">
        <v>10.893157620966999</v>
      </c>
      <c r="AI1556">
        <v>95.564218765430098</v>
      </c>
      <c r="AJ1556">
        <v>107.42716287387501</v>
      </c>
      <c r="AK1556">
        <v>11.471276948889001</v>
      </c>
      <c r="AL1556">
        <v>82.6615972701196</v>
      </c>
      <c r="AM1556">
        <v>97.838372673008294</v>
      </c>
      <c r="AN1556">
        <v>0.99999998977882498</v>
      </c>
    </row>
    <row r="1557" spans="1:40" x14ac:dyDescent="0.3">
      <c r="A1557" t="str">
        <f>"20200111150345522"</f>
        <v>20200111150345522</v>
      </c>
      <c r="B1557" t="str">
        <f>"1578726225520063"</f>
        <v>1578726225520063</v>
      </c>
      <c r="C1557" t="s">
        <v>40</v>
      </c>
      <c r="D1557">
        <v>5.7392859999999999</v>
      </c>
      <c r="E1557">
        <v>0.44044870000000003</v>
      </c>
      <c r="F1557" t="s">
        <v>68</v>
      </c>
      <c r="G1557">
        <v>-405.21640000000002</v>
      </c>
      <c r="H1557" s="1">
        <v>-4.6259150000000002E-6</v>
      </c>
      <c r="I1557">
        <v>132.94460000000001</v>
      </c>
      <c r="J1557">
        <v>-396.1866</v>
      </c>
      <c r="K1557">
        <v>1.112544</v>
      </c>
      <c r="L1557">
        <v>138.85650000000001</v>
      </c>
      <c r="M1557">
        <v>-0.9568818</v>
      </c>
      <c r="N1557">
        <v>0</v>
      </c>
      <c r="O1557">
        <v>-0.2900874</v>
      </c>
      <c r="P1557">
        <v>-0.90126969999999995</v>
      </c>
      <c r="Q1557">
        <v>0.1182025</v>
      </c>
      <c r="R1557">
        <v>-0.41682259999999999</v>
      </c>
      <c r="S1557">
        <v>-2.5997919999999999</v>
      </c>
      <c r="T1557">
        <v>-0.31021320000000002</v>
      </c>
      <c r="U1557">
        <v>-1.6755519999999999</v>
      </c>
      <c r="V1557">
        <v>-0.14001720000000001</v>
      </c>
      <c r="W1557">
        <v>0.13025200000000001</v>
      </c>
      <c r="X1557">
        <v>0.98154450000000004</v>
      </c>
      <c r="Y1557">
        <v>-0.27461269999999999</v>
      </c>
      <c r="Z1557">
        <v>1.56188E-2</v>
      </c>
      <c r="AA1557">
        <v>0.96142799999999995</v>
      </c>
      <c r="AB1557">
        <v>31</v>
      </c>
      <c r="AC1557">
        <v>-9.0298000000000194</v>
      </c>
      <c r="AD1557">
        <v>-1.1125486259149999</v>
      </c>
      <c r="AE1557">
        <v>-5.9119000000000002</v>
      </c>
      <c r="AF1557">
        <v>-3.0059619658372498</v>
      </c>
      <c r="AG1557">
        <v>-1.1125486259149999</v>
      </c>
      <c r="AH1557">
        <v>10.2477030633687</v>
      </c>
      <c r="AI1557">
        <v>95.947410370779593</v>
      </c>
      <c r="AJ1557">
        <v>106.348012301766</v>
      </c>
      <c r="AK1557">
        <v>10.7372710620558</v>
      </c>
      <c r="AL1557">
        <v>82.515845350064595</v>
      </c>
      <c r="AM1557">
        <v>98.118463941355699</v>
      </c>
      <c r="AN1557">
        <v>1.00000000264004</v>
      </c>
    </row>
    <row r="1558" spans="1:40" x14ac:dyDescent="0.3">
      <c r="A1558" t="str">
        <f>"20200111150345546"</f>
        <v>20200111150345546</v>
      </c>
      <c r="B1558" t="str">
        <f>"1578726225540559"</f>
        <v>1578726225540559</v>
      </c>
      <c r="C1558" t="s">
        <v>40</v>
      </c>
      <c r="D1558">
        <v>5.75169</v>
      </c>
      <c r="E1558">
        <v>0.44207479999999899</v>
      </c>
      <c r="F1558" t="s">
        <v>68</v>
      </c>
      <c r="G1558">
        <v>-405.63490000000002</v>
      </c>
      <c r="H1558" s="1">
        <v>-4.7619509999999996E-6</v>
      </c>
      <c r="I1558">
        <v>132.62450000000001</v>
      </c>
      <c r="J1558">
        <v>-396.48430000000002</v>
      </c>
      <c r="K1558">
        <v>1.112835</v>
      </c>
      <c r="L1558">
        <v>138.7551</v>
      </c>
      <c r="M1558">
        <v>-0.95373010000000003</v>
      </c>
      <c r="N1558">
        <v>0</v>
      </c>
      <c r="O1558">
        <v>-0.30028510000000003</v>
      </c>
      <c r="P1558">
        <v>-0.8940439</v>
      </c>
      <c r="Q1558">
        <v>0.1218656</v>
      </c>
      <c r="R1558">
        <v>-0.43108560000000001</v>
      </c>
      <c r="S1558">
        <v>-2.5811459999999999</v>
      </c>
      <c r="T1558">
        <v>-0.30393419999999999</v>
      </c>
      <c r="U1558">
        <v>-1.702499</v>
      </c>
      <c r="V1558">
        <v>-0.1454471</v>
      </c>
      <c r="W1558">
        <v>0.13373979999999999</v>
      </c>
      <c r="X1558">
        <v>0.98028499999999996</v>
      </c>
      <c r="Y1558">
        <v>-0.27457510000000002</v>
      </c>
      <c r="Z1558">
        <v>1.635348E-2</v>
      </c>
      <c r="AA1558">
        <v>0.96142660000000002</v>
      </c>
      <c r="AB1558">
        <v>31</v>
      </c>
      <c r="AC1558">
        <v>-9.1505999999999901</v>
      </c>
      <c r="AD1558">
        <v>-1.112839761951</v>
      </c>
      <c r="AE1558">
        <v>-6.1305999999999798</v>
      </c>
      <c r="AF1558">
        <v>-3.0681818759103701</v>
      </c>
      <c r="AG1558">
        <v>-1.112839761951</v>
      </c>
      <c r="AH1558">
        <v>10.4625325572125</v>
      </c>
      <c r="AI1558">
        <v>95.8277726930569</v>
      </c>
      <c r="AJ1558">
        <v>106.34399798495301</v>
      </c>
      <c r="AK1558">
        <v>10.9597782765061</v>
      </c>
      <c r="AL1558">
        <v>82.314244566023902</v>
      </c>
      <c r="AM1558">
        <v>98.439533452559203</v>
      </c>
      <c r="AN1558">
        <v>0.99999993711372204</v>
      </c>
    </row>
    <row r="1559" spans="1:40" x14ac:dyDescent="0.3">
      <c r="A1559" t="str">
        <f>"20200111150345568"</f>
        <v>20200111150345568</v>
      </c>
      <c r="B1559" t="str">
        <f>"1578726225560082"</f>
        <v>1578726225560082</v>
      </c>
      <c r="C1559" t="s">
        <v>40</v>
      </c>
      <c r="D1559">
        <v>5.5444250000000004</v>
      </c>
      <c r="E1559">
        <v>0.44233240000000001</v>
      </c>
      <c r="F1559" t="s">
        <v>68</v>
      </c>
      <c r="G1559">
        <v>-406.29669999999999</v>
      </c>
      <c r="H1559" s="1">
        <v>-4.972821E-6</v>
      </c>
      <c r="I1559">
        <v>132.10919999999999</v>
      </c>
      <c r="J1559">
        <v>-396.7722</v>
      </c>
      <c r="K1559">
        <v>1.1131089999999999</v>
      </c>
      <c r="L1559">
        <v>138.6533</v>
      </c>
      <c r="M1559">
        <v>-0.95045250000000003</v>
      </c>
      <c r="N1559">
        <v>0</v>
      </c>
      <c r="O1559">
        <v>-0.31050119999999998</v>
      </c>
      <c r="P1559">
        <v>-0.88683650000000003</v>
      </c>
      <c r="Q1559">
        <v>0.12508330000000001</v>
      </c>
      <c r="R1559">
        <v>-0.4448318</v>
      </c>
      <c r="S1559">
        <v>-2.5592959999999998</v>
      </c>
      <c r="T1559">
        <v>-0.2902535</v>
      </c>
      <c r="U1559">
        <v>-1.733398</v>
      </c>
      <c r="V1559">
        <v>-0.150359299999999</v>
      </c>
      <c r="W1559">
        <v>0.13679050000000001</v>
      </c>
      <c r="X1559">
        <v>0.9791223</v>
      </c>
      <c r="Y1559">
        <v>-0.2760494</v>
      </c>
      <c r="Z1559">
        <v>1.655618E-2</v>
      </c>
      <c r="AA1559">
        <v>0.96100090000000005</v>
      </c>
      <c r="AB1559">
        <v>31</v>
      </c>
      <c r="AC1559">
        <v>-9.5244999999999802</v>
      </c>
      <c r="AD1559">
        <v>-1.113113972821</v>
      </c>
      <c r="AE1559">
        <v>-6.54410000000001</v>
      </c>
      <c r="AF1559">
        <v>-3.2328660629097001</v>
      </c>
      <c r="AG1559">
        <v>-1.113113972821</v>
      </c>
      <c r="AH1559">
        <v>10.983894690888</v>
      </c>
      <c r="AI1559">
        <v>95.552680176333396</v>
      </c>
      <c r="AJ1559">
        <v>106.40062432671201</v>
      </c>
      <c r="AK1559">
        <v>11.5037553988999</v>
      </c>
      <c r="AL1559">
        <v>82.137831555633099</v>
      </c>
      <c r="AM1559">
        <v>98.730447083034207</v>
      </c>
      <c r="AN1559">
        <v>1.00000001917201</v>
      </c>
    </row>
    <row r="1560" spans="1:40" x14ac:dyDescent="0.3">
      <c r="A1560" t="str">
        <f>"20200111150345590"</f>
        <v>20200111150345590</v>
      </c>
      <c r="B1560" t="str">
        <f>"1578726225579599"</f>
        <v>1578726225579599</v>
      </c>
      <c r="C1560" t="s">
        <v>40</v>
      </c>
      <c r="D1560">
        <v>5.636209</v>
      </c>
      <c r="E1560">
        <v>0.44375569999999998</v>
      </c>
      <c r="F1560" t="s">
        <v>68</v>
      </c>
      <c r="G1560">
        <v>-406.97980000000001</v>
      </c>
      <c r="H1560" s="1">
        <v>-5.15837E-6</v>
      </c>
      <c r="I1560">
        <v>131.5087</v>
      </c>
      <c r="J1560">
        <v>-397.05079999999998</v>
      </c>
      <c r="K1560">
        <v>1.113367</v>
      </c>
      <c r="L1560">
        <v>138.55090000000001</v>
      </c>
      <c r="M1560">
        <v>-0.94704350000000004</v>
      </c>
      <c r="N1560">
        <v>0</v>
      </c>
      <c r="O1560">
        <v>-0.32074589999999997</v>
      </c>
      <c r="P1560">
        <v>-0.87923510000000005</v>
      </c>
      <c r="Q1560">
        <v>0.12818560000000001</v>
      </c>
      <c r="R1560">
        <v>-0.45881860000000002</v>
      </c>
      <c r="S1560">
        <v>-2.5326230000000001</v>
      </c>
      <c r="T1560">
        <v>-0.27617580000000003</v>
      </c>
      <c r="U1560">
        <v>-1.772675</v>
      </c>
      <c r="V1560">
        <v>-0.15559479999999901</v>
      </c>
      <c r="W1560">
        <v>0.13971520000000001</v>
      </c>
      <c r="X1560">
        <v>0.97789060000000005</v>
      </c>
      <c r="Y1560">
        <v>-0.28043759999999901</v>
      </c>
      <c r="Z1560">
        <v>1.6514330000000001E-2</v>
      </c>
      <c r="AA1560">
        <v>0.95973010000000003</v>
      </c>
      <c r="AB1560">
        <v>31</v>
      </c>
      <c r="AC1560">
        <v>-9.9290000000000305</v>
      </c>
      <c r="AD1560">
        <v>-1.11337215837</v>
      </c>
      <c r="AE1560">
        <v>-7.0422000000000002</v>
      </c>
      <c r="AF1560">
        <v>-3.45607347561607</v>
      </c>
      <c r="AG1560">
        <v>-1.11337215837</v>
      </c>
      <c r="AH1560">
        <v>11.5665357577524</v>
      </c>
      <c r="AI1560">
        <v>95.269420173720604</v>
      </c>
      <c r="AJ1560">
        <v>106.636111805113</v>
      </c>
      <c r="AK1560">
        <v>12.1230685417205</v>
      </c>
      <c r="AL1560">
        <v>81.968633982717705</v>
      </c>
      <c r="AM1560">
        <v>99.040699725094896</v>
      </c>
      <c r="AN1560">
        <v>1.00000005223321</v>
      </c>
    </row>
    <row r="1561" spans="1:40" x14ac:dyDescent="0.3">
      <c r="A1561" t="str">
        <f>"20200111150345612"</f>
        <v>20200111150345612</v>
      </c>
      <c r="B1561" t="str">
        <f>"1578726225609855"</f>
        <v>1578726225609855</v>
      </c>
      <c r="C1561" t="s">
        <v>40</v>
      </c>
      <c r="D1561">
        <v>5.604927</v>
      </c>
      <c r="E1561">
        <v>0.45685969999999998</v>
      </c>
      <c r="F1561" t="s">
        <v>68</v>
      </c>
      <c r="G1561">
        <v>-407.4529</v>
      </c>
      <c r="H1561" s="1">
        <v>-5.2827670000000002E-6</v>
      </c>
      <c r="I1561">
        <v>131.084</v>
      </c>
      <c r="J1561">
        <v>-397.33359999999999</v>
      </c>
      <c r="K1561">
        <v>1.113623</v>
      </c>
      <c r="L1561">
        <v>138.44309999999999</v>
      </c>
      <c r="M1561">
        <v>-0.94333900000000004</v>
      </c>
      <c r="N1561">
        <v>0</v>
      </c>
      <c r="O1561">
        <v>-0.33148060000000001</v>
      </c>
      <c r="P1561">
        <v>-0.87147999999999903</v>
      </c>
      <c r="Q1561">
        <v>0.12948680000000001</v>
      </c>
      <c r="R1561">
        <v>-0.47302860000000002</v>
      </c>
      <c r="S1561">
        <v>-2.5107119999999998</v>
      </c>
      <c r="T1561">
        <v>-0.268731099999999</v>
      </c>
      <c r="U1561">
        <v>-1.8022769999999999</v>
      </c>
      <c r="V1561">
        <v>-0.16054769999999999</v>
      </c>
      <c r="W1561">
        <v>0.14084730000000001</v>
      </c>
      <c r="X1561">
        <v>0.97692699999999999</v>
      </c>
      <c r="Y1561">
        <v>-0.28099679999999999</v>
      </c>
      <c r="Z1561">
        <v>1.702793E-2</v>
      </c>
      <c r="AA1561">
        <v>0.95955769999999996</v>
      </c>
      <c r="AB1561">
        <v>31</v>
      </c>
      <c r="AC1561">
        <v>-10.119300000000001</v>
      </c>
      <c r="AD1561">
        <v>-1.1136282827670001</v>
      </c>
      <c r="AE1561">
        <v>-7.3590999999999802</v>
      </c>
      <c r="AF1561">
        <v>-3.5599903337652501</v>
      </c>
      <c r="AG1561">
        <v>-1.1136282827670001</v>
      </c>
      <c r="AH1561">
        <v>11.892513698801899</v>
      </c>
      <c r="AI1561">
        <v>95.126169718162799</v>
      </c>
      <c r="AJ1561">
        <v>106.66492216563999</v>
      </c>
      <c r="AK1561">
        <v>12.4637707458406</v>
      </c>
      <c r="AL1561">
        <v>81.903120747083406</v>
      </c>
      <c r="AM1561">
        <v>99.332540624585107</v>
      </c>
      <c r="AN1561">
        <v>0.99999994461078801</v>
      </c>
    </row>
    <row r="1562" spans="1:40" x14ac:dyDescent="0.3">
      <c r="A1562" t="str">
        <f>"20200111150345636"</f>
        <v>20200111150345636</v>
      </c>
      <c r="B1562" t="str">
        <f>"1578726225630351"</f>
        <v>1578726225630351</v>
      </c>
      <c r="C1562" t="s">
        <v>40</v>
      </c>
      <c r="D1562">
        <v>5.6792980000000002</v>
      </c>
      <c r="E1562">
        <v>0.45762940000000002</v>
      </c>
      <c r="F1562" t="s">
        <v>68</v>
      </c>
      <c r="G1562">
        <v>-405.16699999999997</v>
      </c>
      <c r="H1562" s="1">
        <v>-4.6372210000000002E-6</v>
      </c>
      <c r="I1562">
        <v>133.041</v>
      </c>
      <c r="J1562">
        <v>-397.62119999999999</v>
      </c>
      <c r="K1562">
        <v>1.1138410000000001</v>
      </c>
      <c r="L1562">
        <v>138.32929999999999</v>
      </c>
      <c r="M1562">
        <v>-0.9393262</v>
      </c>
      <c r="N1562">
        <v>0</v>
      </c>
      <c r="O1562">
        <v>-0.3426845</v>
      </c>
      <c r="P1562">
        <v>-0.86441139999999905</v>
      </c>
      <c r="Q1562">
        <v>0.12901290000000001</v>
      </c>
      <c r="R1562">
        <v>-0.48595159999999998</v>
      </c>
      <c r="S1562">
        <v>-2.5439449999999999</v>
      </c>
      <c r="T1562">
        <v>-0.36165910000000001</v>
      </c>
      <c r="U1562">
        <v>-1.754364</v>
      </c>
      <c r="V1562">
        <v>-0.16351650000000001</v>
      </c>
      <c r="W1562">
        <v>0.14026</v>
      </c>
      <c r="X1562">
        <v>0.97651900000000003</v>
      </c>
      <c r="Y1562">
        <v>-0.25170779999999998</v>
      </c>
      <c r="Z1562">
        <v>2.5947930000000001E-2</v>
      </c>
      <c r="AA1562">
        <v>0.96745539999999997</v>
      </c>
      <c r="AB1562">
        <v>31</v>
      </c>
      <c r="AC1562">
        <v>-7.5457999999999803</v>
      </c>
      <c r="AD1562">
        <v>-1.1138456372209999</v>
      </c>
      <c r="AE1562">
        <v>-5.2882999999999898</v>
      </c>
      <c r="AF1562">
        <v>-2.3475849083647602</v>
      </c>
      <c r="AG1562">
        <v>-1.1138456372209999</v>
      </c>
      <c r="AH1562">
        <v>8.7730325896023196</v>
      </c>
      <c r="AI1562">
        <v>96.9922508517854</v>
      </c>
      <c r="AJ1562">
        <v>104.980852246574</v>
      </c>
      <c r="AK1562">
        <v>9.1497490579667105</v>
      </c>
      <c r="AL1562">
        <v>81.937107874579695</v>
      </c>
      <c r="AM1562">
        <v>99.5058936374175</v>
      </c>
      <c r="AN1562">
        <v>0.99999993536662202</v>
      </c>
    </row>
    <row r="1563" spans="1:40" x14ac:dyDescent="0.3">
      <c r="A1563" t="str">
        <f>"20200111150345658"</f>
        <v>20200111150345658</v>
      </c>
      <c r="B1563" t="str">
        <f>"1578726225649871"</f>
        <v>1578726225649871</v>
      </c>
      <c r="C1563" t="s">
        <v>40</v>
      </c>
      <c r="D1563">
        <v>5.6231289999999996</v>
      </c>
      <c r="E1563">
        <v>0.45869369999999998</v>
      </c>
      <c r="F1563" t="s">
        <v>68</v>
      </c>
      <c r="G1563">
        <v>-405.95060000000001</v>
      </c>
      <c r="H1563" s="1">
        <v>-4.8827080000000001E-6</v>
      </c>
      <c r="I1563">
        <v>132.422</v>
      </c>
      <c r="J1563">
        <v>-397.9083</v>
      </c>
      <c r="K1563">
        <v>1.114042</v>
      </c>
      <c r="L1563">
        <v>138.2114</v>
      </c>
      <c r="M1563">
        <v>-0.93506230000000001</v>
      </c>
      <c r="N1563">
        <v>0</v>
      </c>
      <c r="O1563">
        <v>-0.3541511</v>
      </c>
      <c r="P1563">
        <v>-0.85706009999999999</v>
      </c>
      <c r="Q1563">
        <v>0.13072510000000001</v>
      </c>
      <c r="R1563">
        <v>-0.49835629999999997</v>
      </c>
      <c r="S1563">
        <v>-2.5172119999999998</v>
      </c>
      <c r="T1563">
        <v>-0.3366133</v>
      </c>
      <c r="U1563">
        <v>-1.7852330000000001</v>
      </c>
      <c r="V1563">
        <v>-0.16584760000000001</v>
      </c>
      <c r="W1563">
        <v>0.1418731</v>
      </c>
      <c r="X1563">
        <v>0.97589269999999995</v>
      </c>
      <c r="Y1563">
        <v>-0.25257940000000001</v>
      </c>
      <c r="Z1563">
        <v>2.5454830000000001E-2</v>
      </c>
      <c r="AA1563">
        <v>0.96724129999999997</v>
      </c>
      <c r="AB1563">
        <v>31</v>
      </c>
      <c r="AC1563">
        <v>-8.0423000000000098</v>
      </c>
      <c r="AD1563">
        <v>-1.1140468827079999</v>
      </c>
      <c r="AE1563">
        <v>-5.7893999999999997</v>
      </c>
      <c r="AF1563">
        <v>-2.5335408540989999</v>
      </c>
      <c r="AG1563">
        <v>-1.1140468827079999</v>
      </c>
      <c r="AH1563">
        <v>9.4520362755229197</v>
      </c>
      <c r="AI1563">
        <v>96.494843095290406</v>
      </c>
      <c r="AJ1563">
        <v>105.004950682144</v>
      </c>
      <c r="AK1563">
        <v>9.8489044807055208</v>
      </c>
      <c r="AL1563">
        <v>81.843750858860105</v>
      </c>
      <c r="AM1563">
        <v>99.6449548640133</v>
      </c>
      <c r="AN1563">
        <v>0.99999998242132904</v>
      </c>
    </row>
    <row r="1564" spans="1:40" x14ac:dyDescent="0.3">
      <c r="A1564" t="str">
        <f>"20200111150345679"</f>
        <v>20200111150345679</v>
      </c>
      <c r="B1564" t="str">
        <f>"1578726225670367"</f>
        <v>1578726225670367</v>
      </c>
      <c r="C1564" t="s">
        <v>40</v>
      </c>
      <c r="D1564">
        <v>5.6777009999999999</v>
      </c>
      <c r="E1564">
        <v>0.45901039999999999</v>
      </c>
      <c r="F1564" t="s">
        <v>68</v>
      </c>
      <c r="G1564">
        <v>-406.41090000000003</v>
      </c>
      <c r="H1564" s="1">
        <v>-5.0148069999999998E-6</v>
      </c>
      <c r="I1564">
        <v>132.03229999999999</v>
      </c>
      <c r="J1564">
        <v>-398.17410000000001</v>
      </c>
      <c r="K1564">
        <v>1.1142240000000001</v>
      </c>
      <c r="L1564">
        <v>138.0984</v>
      </c>
      <c r="M1564">
        <v>-0.93087719999999896</v>
      </c>
      <c r="N1564">
        <v>0</v>
      </c>
      <c r="O1564">
        <v>-0.3650082</v>
      </c>
      <c r="P1564">
        <v>-0.84909899999999905</v>
      </c>
      <c r="Q1564">
        <v>0.1336096</v>
      </c>
      <c r="R1564">
        <v>-0.5110574</v>
      </c>
      <c r="S1564">
        <v>-2.4956360000000002</v>
      </c>
      <c r="T1564">
        <v>-0.32698880000000002</v>
      </c>
      <c r="U1564">
        <v>-1.813644</v>
      </c>
      <c r="V1564">
        <v>-0.16931760000000001</v>
      </c>
      <c r="W1564">
        <v>0.1446296</v>
      </c>
      <c r="X1564">
        <v>0.97489170000000003</v>
      </c>
      <c r="Y1564">
        <v>-0.25252459999999999</v>
      </c>
      <c r="Z1564">
        <v>2.59455E-2</v>
      </c>
      <c r="AA1564">
        <v>0.96724250000000001</v>
      </c>
      <c r="AB1564">
        <v>31</v>
      </c>
      <c r="AC1564">
        <v>-8.2368000000000094</v>
      </c>
      <c r="AD1564">
        <v>-1.114229014807</v>
      </c>
      <c r="AE1564">
        <v>-6.0660999999999996</v>
      </c>
      <c r="AF1564">
        <v>-2.6096455707016202</v>
      </c>
      <c r="AG1564">
        <v>-1.114229014807</v>
      </c>
      <c r="AH1564">
        <v>9.7669176688678601</v>
      </c>
      <c r="AI1564">
        <v>96.289499457005306</v>
      </c>
      <c r="AJ1564">
        <v>104.959532680441</v>
      </c>
      <c r="AK1564">
        <v>10.1707638382062</v>
      </c>
      <c r="AL1564">
        <v>81.684169250752902</v>
      </c>
      <c r="AM1564">
        <v>99.852755286613601</v>
      </c>
      <c r="AN1564">
        <v>0.99999999879740498</v>
      </c>
    </row>
    <row r="1565" spans="1:40" x14ac:dyDescent="0.3">
      <c r="A1565" t="str">
        <f>"20200111150345702"</f>
        <v>20200111150345702</v>
      </c>
      <c r="B1565" t="str">
        <f>"1578726225689887"</f>
        <v>1578726225689887</v>
      </c>
      <c r="C1565" t="s">
        <v>40</v>
      </c>
      <c r="D1565">
        <v>5.6374559999999896</v>
      </c>
      <c r="E1565">
        <v>0.45900390000000002</v>
      </c>
      <c r="F1565" t="s">
        <v>68</v>
      </c>
      <c r="G1565">
        <v>-406.56130000000002</v>
      </c>
      <c r="H1565" s="1">
        <v>-5.020852E-6</v>
      </c>
      <c r="I1565">
        <v>131.82560000000001</v>
      </c>
      <c r="J1565">
        <v>-398.44959999999998</v>
      </c>
      <c r="K1565">
        <v>1.1144179999999999</v>
      </c>
      <c r="L1565">
        <v>137.97720000000001</v>
      </c>
      <c r="M1565">
        <v>-0.92628619999999995</v>
      </c>
      <c r="N1565">
        <v>0</v>
      </c>
      <c r="O1565">
        <v>-0.37650539999999999</v>
      </c>
      <c r="P1565">
        <v>-0.84065400000000001</v>
      </c>
      <c r="Q1565">
        <v>0.13542779999999999</v>
      </c>
      <c r="R1565">
        <v>-0.52436709999999997</v>
      </c>
      <c r="S1565">
        <v>-2.4720460000000002</v>
      </c>
      <c r="T1565">
        <v>-0.32840750000000002</v>
      </c>
      <c r="U1565">
        <v>-1.848862</v>
      </c>
      <c r="V1565">
        <v>-0.17282610000000001</v>
      </c>
      <c r="W1565">
        <v>0.146318899999999</v>
      </c>
      <c r="X1565">
        <v>0.97402359999999999</v>
      </c>
      <c r="Y1565">
        <v>-0.25386940000000002</v>
      </c>
      <c r="Z1565">
        <v>2.7253019999999999E-2</v>
      </c>
      <c r="AA1565">
        <v>0.96685449999999995</v>
      </c>
      <c r="AB1565">
        <v>31</v>
      </c>
      <c r="AC1565">
        <v>-8.1117000000000399</v>
      </c>
      <c r="AD1565">
        <v>-1.1144230208520001</v>
      </c>
      <c r="AE1565">
        <v>-6.1516000000000002</v>
      </c>
      <c r="AF1565">
        <v>-2.6130453704637802</v>
      </c>
      <c r="AG1565">
        <v>-1.1144230208520001</v>
      </c>
      <c r="AH1565">
        <v>9.7146240070321195</v>
      </c>
      <c r="AI1565">
        <v>96.321369229928194</v>
      </c>
      <c r="AJ1565">
        <v>105.05512230522601</v>
      </c>
      <c r="AK1565">
        <v>10.1214556450893</v>
      </c>
      <c r="AL1565">
        <v>81.586339002718702</v>
      </c>
      <c r="AM1565">
        <v>100.06157152993499</v>
      </c>
      <c r="AN1565">
        <v>1.0000000273476799</v>
      </c>
    </row>
    <row r="1566" spans="1:40" x14ac:dyDescent="0.3">
      <c r="A1566" t="str">
        <f>"20200111150345725"</f>
        <v>20200111150345725</v>
      </c>
      <c r="B1566" t="str">
        <f>"1578726225720145"</f>
        <v>1578726225720145</v>
      </c>
      <c r="C1566" t="s">
        <v>40</v>
      </c>
      <c r="D1566">
        <v>5.6871830000000001</v>
      </c>
      <c r="E1566">
        <v>0.45812639999999999</v>
      </c>
      <c r="F1566" t="s">
        <v>68</v>
      </c>
      <c r="G1566">
        <v>-406.79910000000001</v>
      </c>
      <c r="H1566" s="1">
        <v>-5.0422800000000003E-6</v>
      </c>
      <c r="I1566">
        <v>131.5241</v>
      </c>
      <c r="J1566">
        <v>-398.72789999999998</v>
      </c>
      <c r="K1566">
        <v>1.114609</v>
      </c>
      <c r="L1566">
        <v>137.85040000000001</v>
      </c>
      <c r="M1566">
        <v>-0.9213751</v>
      </c>
      <c r="N1566">
        <v>0</v>
      </c>
      <c r="O1566">
        <v>-0.38836660000000001</v>
      </c>
      <c r="P1566">
        <v>-0.83218989999999904</v>
      </c>
      <c r="Q1566">
        <v>0.13642509999999999</v>
      </c>
      <c r="R1566">
        <v>-0.53744579999999997</v>
      </c>
      <c r="S1566">
        <v>-2.4433289999999999</v>
      </c>
      <c r="T1566">
        <v>-0.32611489999999999</v>
      </c>
      <c r="U1566">
        <v>-1.8883970000000001</v>
      </c>
      <c r="V1566">
        <v>-0.17570749999999999</v>
      </c>
      <c r="W1566">
        <v>0.14720520000000001</v>
      </c>
      <c r="X1566">
        <v>0.97337430000000003</v>
      </c>
      <c r="Y1566">
        <v>-0.25678230000000002</v>
      </c>
      <c r="Z1566">
        <v>2.8220820000000001E-2</v>
      </c>
      <c r="AA1566">
        <v>0.96605719999999995</v>
      </c>
      <c r="AB1566">
        <v>31</v>
      </c>
      <c r="AC1566">
        <v>-8.0712000000000295</v>
      </c>
      <c r="AD1566">
        <v>-1.1146140422799999</v>
      </c>
      <c r="AE1566">
        <v>-6.3262999999999998</v>
      </c>
      <c r="AF1566">
        <v>-2.6631723100990201</v>
      </c>
      <c r="AG1566">
        <v>-1.1146140422799999</v>
      </c>
      <c r="AH1566">
        <v>9.7791856211355892</v>
      </c>
      <c r="AI1566">
        <v>96.275776460242696</v>
      </c>
      <c r="AJ1566">
        <v>105.233966840512</v>
      </c>
      <c r="AK1566">
        <v>10.1964367613961</v>
      </c>
      <c r="AL1566">
        <v>81.535001736151798</v>
      </c>
      <c r="AM1566">
        <v>100.23248621885899</v>
      </c>
      <c r="AN1566">
        <v>1.0000000121818899</v>
      </c>
    </row>
    <row r="1567" spans="1:40" x14ac:dyDescent="0.3">
      <c r="A1567" t="str">
        <f>"20200111150345747"</f>
        <v>20200111150345747</v>
      </c>
      <c r="B1567" t="str">
        <f>"1578726225739663"</f>
        <v>1578726225739663</v>
      </c>
      <c r="C1567" t="s">
        <v>40</v>
      </c>
      <c r="D1567">
        <v>5.5055489999999896</v>
      </c>
      <c r="E1567">
        <v>0.42713489999999998</v>
      </c>
      <c r="F1567" t="s">
        <v>68</v>
      </c>
      <c r="G1567">
        <v>-406.97699999999998</v>
      </c>
      <c r="H1567" s="1">
        <v>-5.0273570000000002E-6</v>
      </c>
      <c r="I1567">
        <v>131.23220000000001</v>
      </c>
      <c r="J1567">
        <v>-399.00720000000001</v>
      </c>
      <c r="K1567">
        <v>1.1147849999999999</v>
      </c>
      <c r="L1567">
        <v>137.71860000000001</v>
      </c>
      <c r="M1567">
        <v>-0.91616509999999995</v>
      </c>
      <c r="N1567">
        <v>0</v>
      </c>
      <c r="O1567">
        <v>-0.40050069999999999</v>
      </c>
      <c r="P1567">
        <v>-0.82404390000000005</v>
      </c>
      <c r="Q1567">
        <v>0.1367408</v>
      </c>
      <c r="R1567">
        <v>-0.5497763</v>
      </c>
      <c r="S1567">
        <v>-2.409729</v>
      </c>
      <c r="T1567">
        <v>-0.32560270000000002</v>
      </c>
      <c r="U1567">
        <v>-1.933319</v>
      </c>
      <c r="V1567">
        <v>-0.17744190000000001</v>
      </c>
      <c r="W1567">
        <v>0.14744199999999999</v>
      </c>
      <c r="X1567">
        <v>0.97302379999999999</v>
      </c>
      <c r="Y1567">
        <v>-0.26158710000000002</v>
      </c>
      <c r="Z1567">
        <v>2.9266090000000002E-2</v>
      </c>
      <c r="AA1567">
        <v>0.96473600000000004</v>
      </c>
      <c r="AB1567">
        <v>31</v>
      </c>
      <c r="AC1567">
        <v>-7.9697999999999602</v>
      </c>
      <c r="AD1567">
        <v>-1.1147900273569999</v>
      </c>
      <c r="AE1567">
        <v>-6.4863999999999997</v>
      </c>
      <c r="AF1567">
        <v>-2.7190322198173602</v>
      </c>
      <c r="AG1567">
        <v>-1.1147900273569999</v>
      </c>
      <c r="AH1567">
        <v>9.78548151778209</v>
      </c>
      <c r="AI1567">
        <v>96.263953625873498</v>
      </c>
      <c r="AJ1567">
        <v>105.52869274501499</v>
      </c>
      <c r="AK1567">
        <v>10.217217896881399</v>
      </c>
      <c r="AL1567">
        <v>81.521284682872903</v>
      </c>
      <c r="AM1567">
        <v>100.334967027529</v>
      </c>
      <c r="AN1567">
        <v>1.0000000433030201</v>
      </c>
    </row>
    <row r="1568" spans="1:40" x14ac:dyDescent="0.3">
      <c r="A1568" t="str">
        <f>"20200111150345769"</f>
        <v>20200111150345769</v>
      </c>
      <c r="B1568" t="str">
        <f>"1578726225760159"</f>
        <v>1578726225760159</v>
      </c>
      <c r="C1568" t="s">
        <v>40</v>
      </c>
      <c r="D1568">
        <v>5.5126900000000001</v>
      </c>
      <c r="E1568">
        <v>0.42513309999999999</v>
      </c>
      <c r="F1568" t="s">
        <v>68</v>
      </c>
      <c r="G1568">
        <v>-407.13760000000002</v>
      </c>
      <c r="H1568" s="1">
        <v>-4.4834460000000001E-6</v>
      </c>
      <c r="I1568">
        <v>129.83260000000001</v>
      </c>
      <c r="J1568">
        <v>-399.26870000000002</v>
      </c>
      <c r="K1568">
        <v>1.1149450000000001</v>
      </c>
      <c r="L1568">
        <v>137.5907</v>
      </c>
      <c r="M1568">
        <v>-0.91101580000000004</v>
      </c>
      <c r="N1568">
        <v>0</v>
      </c>
      <c r="O1568">
        <v>-0.4120781</v>
      </c>
      <c r="P1568">
        <v>-0.81644619999999901</v>
      </c>
      <c r="Q1568">
        <v>0.1361193</v>
      </c>
      <c r="R1568">
        <v>-0.56114819999999999</v>
      </c>
      <c r="S1568">
        <v>-2.241241</v>
      </c>
      <c r="T1568">
        <v>-0.30730499999999999</v>
      </c>
      <c r="U1568">
        <v>-2.1738740000000001</v>
      </c>
      <c r="V1568">
        <v>-0.17860419999999999</v>
      </c>
      <c r="W1568">
        <v>0.1467628</v>
      </c>
      <c r="X1568">
        <v>0.97291380000000005</v>
      </c>
      <c r="Y1568">
        <v>-0.33876109999999998</v>
      </c>
      <c r="Z1568">
        <v>2.484078E-2</v>
      </c>
      <c r="AA1568">
        <v>0.94054439999999995</v>
      </c>
      <c r="AB1568">
        <v>31</v>
      </c>
      <c r="AC1568">
        <v>-7.8688999999999902</v>
      </c>
      <c r="AD1568">
        <v>-1.1149494834460001</v>
      </c>
      <c r="AE1568">
        <v>-7.7580999999999802</v>
      </c>
      <c r="AF1568">
        <v>-3.7870589652016902</v>
      </c>
      <c r="AG1568">
        <v>-1.1149494834460001</v>
      </c>
      <c r="AH1568">
        <v>10.262412971524</v>
      </c>
      <c r="AI1568">
        <v>95.819799872169398</v>
      </c>
      <c r="AJ1568">
        <v>110.255184040225</v>
      </c>
      <c r="AK1568">
        <v>10.9955467328667</v>
      </c>
      <c r="AL1568">
        <v>81.560627790779805</v>
      </c>
      <c r="AM1568">
        <v>100.40234171674599</v>
      </c>
      <c r="AN1568">
        <v>1.0000000209759501</v>
      </c>
    </row>
    <row r="1569" spans="1:40" x14ac:dyDescent="0.3">
      <c r="A1569" t="str">
        <f>"20200111150345791"</f>
        <v>20200111150345791</v>
      </c>
      <c r="B1569" t="str">
        <f>"1578726225779680"</f>
        <v>1578726225779680</v>
      </c>
      <c r="C1569" t="s">
        <v>40</v>
      </c>
      <c r="D1569">
        <v>5.5674519999999896</v>
      </c>
      <c r="E1569">
        <v>0.42397760000000001</v>
      </c>
      <c r="F1569" t="s">
        <v>68</v>
      </c>
      <c r="G1569">
        <v>-407.29509999999999</v>
      </c>
      <c r="H1569">
        <v>3.0900750000000001E-2</v>
      </c>
      <c r="I1569">
        <v>129.50899999999999</v>
      </c>
      <c r="J1569">
        <v>-399.52910000000003</v>
      </c>
      <c r="K1569">
        <v>1.1150929999999999</v>
      </c>
      <c r="L1569">
        <v>137.4588</v>
      </c>
      <c r="M1569">
        <v>-0.90561769999999997</v>
      </c>
      <c r="N1569">
        <v>0</v>
      </c>
      <c r="O1569">
        <v>-0.42380800000000002</v>
      </c>
      <c r="P1569">
        <v>-0.80973850000000003</v>
      </c>
      <c r="Q1569">
        <v>0.1359525</v>
      </c>
      <c r="R1569">
        <v>-0.57082449999999996</v>
      </c>
      <c r="S1569">
        <v>-2.2009280000000002</v>
      </c>
      <c r="T1569">
        <v>-0.29725800000000002</v>
      </c>
      <c r="U1569">
        <v>-2.21611</v>
      </c>
      <c r="V1569">
        <v>-0.1776546</v>
      </c>
      <c r="W1569">
        <v>0.1466006</v>
      </c>
      <c r="X1569">
        <v>0.97311210000000004</v>
      </c>
      <c r="Y1569">
        <v>-0.3441958</v>
      </c>
      <c r="Z1569">
        <v>2.4971360000000001E-2</v>
      </c>
      <c r="AA1569">
        <v>0.93856580000000001</v>
      </c>
      <c r="AB1569">
        <v>30</v>
      </c>
      <c r="AC1569">
        <v>-7.76599999999996</v>
      </c>
      <c r="AD1569">
        <v>-1.0841922500000001</v>
      </c>
      <c r="AE1569">
        <v>-7.9497999999999998</v>
      </c>
      <c r="AF1569">
        <v>-3.87181339128826</v>
      </c>
      <c r="AG1569">
        <v>-1.0841922500000001</v>
      </c>
      <c r="AH1569">
        <v>10.305403061753999</v>
      </c>
      <c r="AI1569">
        <v>95.624620516421203</v>
      </c>
      <c r="AJ1569">
        <v>110.591557373507</v>
      </c>
      <c r="AK1569">
        <v>11.061995481699</v>
      </c>
      <c r="AL1569">
        <v>81.570022827299994</v>
      </c>
      <c r="AM1569">
        <v>100.34616951488</v>
      </c>
      <c r="AN1569">
        <v>1.0000000259939601</v>
      </c>
    </row>
    <row r="1570" spans="1:40" x14ac:dyDescent="0.3">
      <c r="A1570" t="str">
        <f>"20200111150345813"</f>
        <v>20200111150345813</v>
      </c>
      <c r="B1570" t="str">
        <f>"1578726225809936"</f>
        <v>1578726225809936</v>
      </c>
      <c r="C1570" t="s">
        <v>40</v>
      </c>
      <c r="D1570">
        <v>5.4288109999999996</v>
      </c>
      <c r="E1570">
        <v>0.42499670000000001</v>
      </c>
      <c r="F1570" t="s">
        <v>68</v>
      </c>
      <c r="G1570">
        <v>-407.52510000000001</v>
      </c>
      <c r="H1570">
        <v>7.9987000000000003E-2</v>
      </c>
      <c r="I1570">
        <v>129.1703</v>
      </c>
      <c r="J1570">
        <v>-399.79500000000002</v>
      </c>
      <c r="K1570">
        <v>1.1152219999999999</v>
      </c>
      <c r="L1570">
        <v>137.31950000000001</v>
      </c>
      <c r="M1570">
        <v>-0.89983279999999999</v>
      </c>
      <c r="N1570">
        <v>0</v>
      </c>
      <c r="O1570">
        <v>-0.43595450000000002</v>
      </c>
      <c r="P1570">
        <v>-0.80309680000000006</v>
      </c>
      <c r="Q1570">
        <v>0.13662569999999999</v>
      </c>
      <c r="R1570">
        <v>-0.57997330000000002</v>
      </c>
      <c r="S1570">
        <v>-2.1678470000000001</v>
      </c>
      <c r="T1570">
        <v>-0.28063359999999998</v>
      </c>
      <c r="U1570">
        <v>-2.247147</v>
      </c>
      <c r="V1570">
        <v>-0.17571210000000001</v>
      </c>
      <c r="W1570">
        <v>0.14731269999999999</v>
      </c>
      <c r="X1570">
        <v>0.97335720000000003</v>
      </c>
      <c r="Y1570">
        <v>-0.3452037</v>
      </c>
      <c r="Z1570">
        <v>2.4724840000000001E-2</v>
      </c>
      <c r="AA1570">
        <v>0.93820199999999998</v>
      </c>
      <c r="AB1570">
        <v>30</v>
      </c>
      <c r="AC1570">
        <v>-7.7300999999999904</v>
      </c>
      <c r="AD1570">
        <v>-1.0352349999999999</v>
      </c>
      <c r="AE1570">
        <v>-8.1492000000000004</v>
      </c>
      <c r="AF1570">
        <v>-3.93004618496769</v>
      </c>
      <c r="AG1570">
        <v>-1.0352349999999999</v>
      </c>
      <c r="AH1570">
        <v>10.421239168882099</v>
      </c>
      <c r="AI1570">
        <v>95.310330469075595</v>
      </c>
      <c r="AJ1570">
        <v>110.662407087529</v>
      </c>
      <c r="AK1570">
        <v>11.1856694183338</v>
      </c>
      <c r="AL1570">
        <v>81.528774500199006</v>
      </c>
      <c r="AM1570">
        <v>100.232924415125</v>
      </c>
      <c r="AN1570">
        <v>1.00000000622977</v>
      </c>
    </row>
    <row r="1571" spans="1:40" x14ac:dyDescent="0.3">
      <c r="A1571" t="str">
        <f>"20200111150345836"</f>
        <v>20200111150345836</v>
      </c>
      <c r="B1571" t="str">
        <f>"1578726225830431"</f>
        <v>1578726225830431</v>
      </c>
      <c r="C1571" t="s">
        <v>40</v>
      </c>
      <c r="D1571">
        <v>5.4864620000000004</v>
      </c>
      <c r="E1571">
        <v>0.42544080000000001</v>
      </c>
      <c r="F1571" t="s">
        <v>68</v>
      </c>
      <c r="G1571">
        <v>-407.678</v>
      </c>
      <c r="H1571">
        <v>7.9987089999999997E-2</v>
      </c>
      <c r="I1571">
        <v>128.99780000000001</v>
      </c>
      <c r="J1571">
        <v>-400.05689999999998</v>
      </c>
      <c r="K1571">
        <v>1.115313</v>
      </c>
      <c r="L1571">
        <v>137.17769999999999</v>
      </c>
      <c r="M1571">
        <v>-0.89386429999999995</v>
      </c>
      <c r="N1571">
        <v>0</v>
      </c>
      <c r="O1571">
        <v>-0.4480635</v>
      </c>
      <c r="P1571">
        <v>-0.79575739999999995</v>
      </c>
      <c r="Q1571">
        <v>0.13741210000000001</v>
      </c>
      <c r="R1571">
        <v>-0.58982069999999998</v>
      </c>
      <c r="S1571">
        <v>-2.1468509999999998</v>
      </c>
      <c r="T1571">
        <v>-0.28193289999999999</v>
      </c>
      <c r="U1571">
        <v>-2.2663120000000001</v>
      </c>
      <c r="V1571">
        <v>-0.17467759999999999</v>
      </c>
      <c r="W1571">
        <v>0.14811779999999999</v>
      </c>
      <c r="X1571">
        <v>0.97342119999999999</v>
      </c>
      <c r="Y1571">
        <v>-0.34112379999999998</v>
      </c>
      <c r="Z1571">
        <v>2.6210480000000001E-2</v>
      </c>
      <c r="AA1571">
        <v>0.93965290000000001</v>
      </c>
      <c r="AB1571">
        <v>30</v>
      </c>
      <c r="AC1571">
        <v>-7.6211000000000597</v>
      </c>
      <c r="AD1571">
        <v>-1.0353259100000001</v>
      </c>
      <c r="AE1571">
        <v>-8.1798999999999698</v>
      </c>
      <c r="AF1571">
        <v>-3.8643232298511601</v>
      </c>
      <c r="AG1571">
        <v>-1.0353259100000001</v>
      </c>
      <c r="AH1571">
        <v>10.38953323176</v>
      </c>
      <c r="AI1571">
        <v>95.335918025085405</v>
      </c>
      <c r="AJ1571">
        <v>110.40237607704201</v>
      </c>
      <c r="AK1571">
        <v>11.133161929053699</v>
      </c>
      <c r="AL1571">
        <v>81.482133875166497</v>
      </c>
      <c r="AM1571">
        <v>100.173285461578</v>
      </c>
      <c r="AN1571">
        <v>0.99999998961401904</v>
      </c>
    </row>
    <row r="1572" spans="1:40" x14ac:dyDescent="0.3">
      <c r="A1572" t="str">
        <f>"20200111150345857"</f>
        <v>20200111150345857</v>
      </c>
      <c r="B1572" t="str">
        <f>"1578726225849954"</f>
        <v>1578726225849954</v>
      </c>
      <c r="C1572" t="s">
        <v>40</v>
      </c>
      <c r="D1572">
        <v>5.4281569999999997</v>
      </c>
      <c r="E1572">
        <v>0.42606379999999999</v>
      </c>
      <c r="F1572" t="s">
        <v>68</v>
      </c>
      <c r="G1572">
        <v>-408.10449999999997</v>
      </c>
      <c r="H1572">
        <v>7.9987210000000003E-2</v>
      </c>
      <c r="I1572">
        <v>128.48849999999999</v>
      </c>
      <c r="J1572">
        <v>-400.31599999999997</v>
      </c>
      <c r="K1572">
        <v>1.115372</v>
      </c>
      <c r="L1572">
        <v>137.03280000000001</v>
      </c>
      <c r="M1572">
        <v>-0.88769889999999996</v>
      </c>
      <c r="N1572">
        <v>0</v>
      </c>
      <c r="O1572">
        <v>-0.46015610000000001</v>
      </c>
      <c r="P1572">
        <v>-0.78734469999999901</v>
      </c>
      <c r="Q1572">
        <v>0.1364021</v>
      </c>
      <c r="R1572">
        <v>-0.60123439999999995</v>
      </c>
      <c r="S1572">
        <v>-2.1202390000000002</v>
      </c>
      <c r="T1572">
        <v>-0.27277079999999998</v>
      </c>
      <c r="U1572">
        <v>-2.289291</v>
      </c>
      <c r="V1572">
        <v>-0.1754262</v>
      </c>
      <c r="W1572">
        <v>0.14708309999999999</v>
      </c>
      <c r="X1572">
        <v>0.97344350000000002</v>
      </c>
      <c r="Y1572">
        <v>-0.33896340000000003</v>
      </c>
      <c r="Z1572">
        <v>2.6614519999999999E-2</v>
      </c>
      <c r="AA1572">
        <v>0.94042309999999996</v>
      </c>
      <c r="AB1572">
        <v>30</v>
      </c>
      <c r="AC1572">
        <v>-7.7884999999999902</v>
      </c>
      <c r="AD1572">
        <v>-1.0353847899999999</v>
      </c>
      <c r="AE1572">
        <v>-8.5443000000000193</v>
      </c>
      <c r="AF1572">
        <v>-3.9694981467121302</v>
      </c>
      <c r="AG1572">
        <v>-1.0353847899999999</v>
      </c>
      <c r="AH1572">
        <v>10.760592742171401</v>
      </c>
      <c r="AI1572">
        <v>95.158315484008298</v>
      </c>
      <c r="AJ1572">
        <v>110.248621617316</v>
      </c>
      <c r="AK1572">
        <v>11.516045039986</v>
      </c>
      <c r="AL1572">
        <v>81.542074594353707</v>
      </c>
      <c r="AM1572">
        <v>100.21573878840699</v>
      </c>
      <c r="AN1572">
        <v>1.0000000188221401</v>
      </c>
    </row>
    <row r="1573" spans="1:40" x14ac:dyDescent="0.3">
      <c r="A1573" t="str">
        <f>"20200111150345881"</f>
        <v>20200111150345881</v>
      </c>
      <c r="B1573" t="str">
        <f>"1578726225870447"</f>
        <v>1578726225870447</v>
      </c>
      <c r="C1573" t="s">
        <v>40</v>
      </c>
      <c r="D1573">
        <v>5.4263089999999998</v>
      </c>
      <c r="E1573">
        <v>0.42682559999999897</v>
      </c>
      <c r="F1573" t="s">
        <v>68</v>
      </c>
      <c r="G1573">
        <v>-408.22219999999999</v>
      </c>
      <c r="H1573">
        <v>7.9987249999999996E-2</v>
      </c>
      <c r="I1573">
        <v>128.28049999999999</v>
      </c>
      <c r="J1573">
        <v>-400.57659999999998</v>
      </c>
      <c r="K1573">
        <v>1.115415</v>
      </c>
      <c r="L1573">
        <v>136.88220000000001</v>
      </c>
      <c r="M1573">
        <v>-0.88123609999999897</v>
      </c>
      <c r="N1573">
        <v>0</v>
      </c>
      <c r="O1573">
        <v>-0.472414</v>
      </c>
      <c r="P1573">
        <v>-0.77897130000000003</v>
      </c>
      <c r="Q1573">
        <v>0.1334805</v>
      </c>
      <c r="R1573">
        <v>-0.61268809999999996</v>
      </c>
      <c r="S1573">
        <v>-2.0905149999999999</v>
      </c>
      <c r="T1573">
        <v>-0.27377190000000001</v>
      </c>
      <c r="U1573">
        <v>-2.3142399999999999</v>
      </c>
      <c r="V1573">
        <v>-0.1758834</v>
      </c>
      <c r="W1573">
        <v>0.14415439999999999</v>
      </c>
      <c r="X1573">
        <v>0.97379899999999997</v>
      </c>
      <c r="Y1573">
        <v>-0.3376555</v>
      </c>
      <c r="Z1573">
        <v>2.7952910000000001E-2</v>
      </c>
      <c r="AA1573">
        <v>0.94085459999999999</v>
      </c>
      <c r="AB1573">
        <v>30</v>
      </c>
      <c r="AC1573">
        <v>-7.6456</v>
      </c>
      <c r="AD1573">
        <v>-1.03542775</v>
      </c>
      <c r="AE1573">
        <v>-8.6017000000000206</v>
      </c>
      <c r="AF1573">
        <v>-3.9368640266505901</v>
      </c>
      <c r="AG1573">
        <v>-1.03542775</v>
      </c>
      <c r="AH1573">
        <v>10.715739824905</v>
      </c>
      <c r="AI1573">
        <v>95.182511440891801</v>
      </c>
      <c r="AJ1573">
        <v>110.172866699366</v>
      </c>
      <c r="AK1573">
        <v>11.4629005485025</v>
      </c>
      <c r="AL1573">
        <v>81.711684367637901</v>
      </c>
      <c r="AM1573">
        <v>100.238140637702</v>
      </c>
      <c r="AN1573">
        <v>0.99999997691795905</v>
      </c>
    </row>
    <row r="1574" spans="1:40" x14ac:dyDescent="0.3">
      <c r="A1574" t="str">
        <f>"20200111150345902"</f>
        <v>20200111150345902</v>
      </c>
      <c r="B1574" t="str">
        <f>"1578726225899727"</f>
        <v>1578726225899727</v>
      </c>
      <c r="C1574" t="s">
        <v>40</v>
      </c>
      <c r="D1574">
        <v>5.3443889999999996</v>
      </c>
      <c r="E1574">
        <v>0.42811189999999999</v>
      </c>
      <c r="F1574" t="s">
        <v>68</v>
      </c>
      <c r="G1574">
        <v>-408.22789999999998</v>
      </c>
      <c r="H1574">
        <v>7.9987240000000001E-2</v>
      </c>
      <c r="I1574">
        <v>128.18549999999999</v>
      </c>
      <c r="J1574">
        <v>-400.82709999999997</v>
      </c>
      <c r="K1574">
        <v>1.115445</v>
      </c>
      <c r="L1574">
        <v>136.7328</v>
      </c>
      <c r="M1574">
        <v>-0.87477969999999905</v>
      </c>
      <c r="N1574">
        <v>0</v>
      </c>
      <c r="O1574">
        <v>-0.48426429999999998</v>
      </c>
      <c r="P1574">
        <v>-0.77056819999999904</v>
      </c>
      <c r="Q1574">
        <v>0.12995029999999999</v>
      </c>
      <c r="R1574">
        <v>-0.62396969999999996</v>
      </c>
      <c r="S1574">
        <v>-2.0585939999999998</v>
      </c>
      <c r="T1574">
        <v>-0.27858450000000001</v>
      </c>
      <c r="U1574">
        <v>-2.3398590000000001</v>
      </c>
      <c r="V1574">
        <v>-0.17655470000000001</v>
      </c>
      <c r="W1574">
        <v>0.14061499999999999</v>
      </c>
      <c r="X1574">
        <v>0.97419500000000003</v>
      </c>
      <c r="Y1574">
        <v>-0.33733679999999999</v>
      </c>
      <c r="Z1574">
        <v>2.9630940000000001E-2</v>
      </c>
      <c r="AA1574">
        <v>0.94091760000000002</v>
      </c>
      <c r="AB1574">
        <v>30</v>
      </c>
      <c r="AC1574">
        <v>-7.4008000000000003</v>
      </c>
      <c r="AD1574">
        <v>-1.0354577599999999</v>
      </c>
      <c r="AE1574">
        <v>-8.5472999999999999</v>
      </c>
      <c r="AF1574">
        <v>-3.8611593317734201</v>
      </c>
      <c r="AG1574">
        <v>-1.0354577599999999</v>
      </c>
      <c r="AH1574">
        <v>10.5262510568101</v>
      </c>
      <c r="AI1574">
        <v>95.276416565009697</v>
      </c>
      <c r="AJ1574">
        <v>110.143663038263</v>
      </c>
      <c r="AK1574">
        <v>11.259781768270701</v>
      </c>
      <c r="AL1574">
        <v>81.916564956950296</v>
      </c>
      <c r="AM1574">
        <v>100.272297482309</v>
      </c>
      <c r="AN1574">
        <v>1.0000000191710401</v>
      </c>
    </row>
    <row r="1575" spans="1:40" x14ac:dyDescent="0.3">
      <c r="A1575" t="str">
        <f>"20200111150345926"</f>
        <v>20200111150345926</v>
      </c>
      <c r="B1575" t="str">
        <f>"1578726225920227"</f>
        <v>1578726225920227</v>
      </c>
      <c r="C1575" t="s">
        <v>40</v>
      </c>
      <c r="D1575">
        <v>5.2469869999999998</v>
      </c>
      <c r="E1575">
        <v>0.42860389999999998</v>
      </c>
      <c r="F1575" t="s">
        <v>68</v>
      </c>
      <c r="G1575">
        <v>-408.15030000000002</v>
      </c>
      <c r="H1575">
        <v>7.9987230000000006E-2</v>
      </c>
      <c r="I1575">
        <v>128.21360000000001</v>
      </c>
      <c r="J1575">
        <v>-401.08960000000002</v>
      </c>
      <c r="K1575">
        <v>1.115459</v>
      </c>
      <c r="L1575">
        <v>136.57140000000001</v>
      </c>
      <c r="M1575">
        <v>-0.86776909999999896</v>
      </c>
      <c r="N1575">
        <v>0</v>
      </c>
      <c r="O1575">
        <v>-0.49671690000000002</v>
      </c>
      <c r="P1575">
        <v>-0.76130209999999998</v>
      </c>
      <c r="Q1575">
        <v>0.1268309</v>
      </c>
      <c r="R1575">
        <v>-0.63587190000000005</v>
      </c>
      <c r="S1575">
        <v>-2.0296630000000002</v>
      </c>
      <c r="T1575">
        <v>-0.28698600000000002</v>
      </c>
      <c r="U1575">
        <v>-2.3611759999999999</v>
      </c>
      <c r="V1575">
        <v>-0.17743879999999901</v>
      </c>
      <c r="W1575">
        <v>0.13748389999999999</v>
      </c>
      <c r="X1575">
        <v>0.97448120000000005</v>
      </c>
      <c r="Y1575">
        <v>-0.33477240000000003</v>
      </c>
      <c r="Z1575">
        <v>3.191596E-2</v>
      </c>
      <c r="AA1575">
        <v>0.94175830000000005</v>
      </c>
      <c r="AB1575">
        <v>30</v>
      </c>
      <c r="AC1575">
        <v>-7.06069999999999</v>
      </c>
      <c r="AD1575">
        <v>-1.03547177</v>
      </c>
      <c r="AE1575">
        <v>-8.3577999999999903</v>
      </c>
      <c r="AF1575">
        <v>-3.71268389890849</v>
      </c>
      <c r="AG1575">
        <v>-1.03547177</v>
      </c>
      <c r="AH1575">
        <v>10.188540164741999</v>
      </c>
      <c r="AI1575">
        <v>95.454566210801701</v>
      </c>
      <c r="AJ1575">
        <v>110.021640357994</v>
      </c>
      <c r="AK1575">
        <v>10.893235249834699</v>
      </c>
      <c r="AL1575">
        <v>82.097723412878906</v>
      </c>
      <c r="AM1575">
        <v>100.31966636184301</v>
      </c>
      <c r="AN1575">
        <v>0.99999997982904398</v>
      </c>
    </row>
    <row r="1576" spans="1:40" x14ac:dyDescent="0.3">
      <c r="A1576" t="str">
        <f>"20200111150345948"</f>
        <v>20200111150345948</v>
      </c>
      <c r="B1576" t="str">
        <f>"1578726225940414"</f>
        <v>1578726225940414</v>
      </c>
      <c r="C1576" t="s">
        <v>40</v>
      </c>
      <c r="D1576">
        <v>5.3626050000000003</v>
      </c>
      <c r="E1576">
        <v>0.43775150000000002</v>
      </c>
      <c r="F1576" t="s">
        <v>68</v>
      </c>
      <c r="G1576">
        <v>-408.06009999999998</v>
      </c>
      <c r="H1576">
        <v>7.9987210000000003E-2</v>
      </c>
      <c r="I1576">
        <v>128.232</v>
      </c>
      <c r="J1576">
        <v>-401.33670000000001</v>
      </c>
      <c r="K1576">
        <v>1.1154569999999999</v>
      </c>
      <c r="L1576">
        <v>136.41470000000001</v>
      </c>
      <c r="M1576">
        <v>-0.86093940000000002</v>
      </c>
      <c r="N1576">
        <v>0</v>
      </c>
      <c r="O1576">
        <v>-0.50846250000000004</v>
      </c>
      <c r="P1576">
        <v>-0.75288520000000003</v>
      </c>
      <c r="Q1576">
        <v>0.12620149999999999</v>
      </c>
      <c r="R1576">
        <v>-0.64593909999999999</v>
      </c>
      <c r="S1576">
        <v>-1.9957279999999999</v>
      </c>
      <c r="T1576">
        <v>-0.29646800000000001</v>
      </c>
      <c r="U1576">
        <v>-2.38768</v>
      </c>
      <c r="V1576">
        <v>-0.1770854</v>
      </c>
      <c r="W1576">
        <v>0.13687779999999899</v>
      </c>
      <c r="X1576">
        <v>0.97463080000000002</v>
      </c>
      <c r="Y1576">
        <v>-0.33505420000000002</v>
      </c>
      <c r="Z1576">
        <v>3.4196860000000003E-2</v>
      </c>
      <c r="AA1576">
        <v>0.94157800000000003</v>
      </c>
      <c r="AB1576">
        <v>30</v>
      </c>
      <c r="AC1576">
        <v>-6.7233999999999696</v>
      </c>
      <c r="AD1576">
        <v>-1.0354697899999901</v>
      </c>
      <c r="AE1576">
        <v>-8.1827000000000094</v>
      </c>
      <c r="AF1576">
        <v>-3.59232329331918</v>
      </c>
      <c r="AG1576">
        <v>-1.0354697899999901</v>
      </c>
      <c r="AH1576">
        <v>9.8560573502608904</v>
      </c>
      <c r="AI1576">
        <v>95.637247523171993</v>
      </c>
      <c r="AJ1576">
        <v>110.025722487306</v>
      </c>
      <c r="AK1576">
        <v>10.541292654193599</v>
      </c>
      <c r="AL1576">
        <v>82.132781858128496</v>
      </c>
      <c r="AM1576">
        <v>100.29800622229899</v>
      </c>
      <c r="AN1576">
        <v>0.99999998366731901</v>
      </c>
    </row>
    <row r="1577" spans="1:40" x14ac:dyDescent="0.3">
      <c r="A1577" t="str">
        <f>"20200111150345969"</f>
        <v>20200111150345969</v>
      </c>
      <c r="B1577" t="str">
        <f>"1578726225959935"</f>
        <v>1578726225959935</v>
      </c>
      <c r="C1577" t="s">
        <v>40</v>
      </c>
      <c r="D1577">
        <v>5.2403690000000003</v>
      </c>
      <c r="E1577">
        <v>0.43829289999999999</v>
      </c>
      <c r="F1577" t="s">
        <v>68</v>
      </c>
      <c r="G1577">
        <v>-407.24360000000001</v>
      </c>
      <c r="H1577">
        <v>7.1171940000000003E-2</v>
      </c>
      <c r="I1577">
        <v>129.50110000000001</v>
      </c>
      <c r="J1577">
        <v>-401.57380000000001</v>
      </c>
      <c r="K1577">
        <v>1.1154489999999999</v>
      </c>
      <c r="L1577">
        <v>136.2595</v>
      </c>
      <c r="M1577">
        <v>-0.85417540000000003</v>
      </c>
      <c r="N1577">
        <v>0</v>
      </c>
      <c r="O1577">
        <v>-0.51974500000000001</v>
      </c>
      <c r="P1577">
        <v>-0.74507670000000004</v>
      </c>
      <c r="Q1577">
        <v>0.12809889999999999</v>
      </c>
      <c r="R1577">
        <v>-0.65456250000000005</v>
      </c>
      <c r="S1577">
        <v>-2.0180660000000001</v>
      </c>
      <c r="T1577">
        <v>-0.35677150000000002</v>
      </c>
      <c r="U1577">
        <v>-2.3619539999999999</v>
      </c>
      <c r="V1577">
        <v>-0.1756935</v>
      </c>
      <c r="W1577">
        <v>0.13882649999999999</v>
      </c>
      <c r="X1577">
        <v>0.97460709999999995</v>
      </c>
      <c r="Y1577">
        <v>-0.31277050000000001</v>
      </c>
      <c r="Z1577">
        <v>4.3772680000000001E-2</v>
      </c>
      <c r="AA1577">
        <v>0.94881959999999999</v>
      </c>
      <c r="AB1577">
        <v>30</v>
      </c>
      <c r="AC1577">
        <v>-5.6698000000000004</v>
      </c>
      <c r="AD1577">
        <v>-1.04427706</v>
      </c>
      <c r="AE1577">
        <v>-6.7583999999999902</v>
      </c>
      <c r="AF1577">
        <v>-2.7873034645800399</v>
      </c>
      <c r="AG1577">
        <v>-1.04427706</v>
      </c>
      <c r="AH1577">
        <v>8.2412083238453704</v>
      </c>
      <c r="AI1577">
        <v>96.844725529053903</v>
      </c>
      <c r="AJ1577">
        <v>108.686328009392</v>
      </c>
      <c r="AK1577">
        <v>8.7622536951814194</v>
      </c>
      <c r="AL1577">
        <v>82.020053452612999</v>
      </c>
      <c r="AM1577">
        <v>100.219018767168</v>
      </c>
      <c r="AN1577">
        <v>1.0000000012074499</v>
      </c>
    </row>
    <row r="1578" spans="1:40" x14ac:dyDescent="0.3">
      <c r="A1578" t="str">
        <f>"20200111150345992"</f>
        <v>20200111150345992</v>
      </c>
      <c r="B1578" t="str">
        <f>"1578726225980433"</f>
        <v>1578726225980433</v>
      </c>
      <c r="C1578" t="s">
        <v>40</v>
      </c>
      <c r="D1578">
        <v>5.2316019999999996</v>
      </c>
      <c r="E1578">
        <v>0.44473889999999999</v>
      </c>
      <c r="F1578" t="s">
        <v>68</v>
      </c>
      <c r="G1578">
        <v>-407.41019999999997</v>
      </c>
      <c r="H1578">
        <v>7.9986959999999996E-2</v>
      </c>
      <c r="I1578">
        <v>129.285</v>
      </c>
      <c r="J1578">
        <v>-401.81979999999999</v>
      </c>
      <c r="K1578">
        <v>1.1154230000000001</v>
      </c>
      <c r="L1578">
        <v>136.09370000000001</v>
      </c>
      <c r="M1578">
        <v>-0.84694950000000002</v>
      </c>
      <c r="N1578">
        <v>0</v>
      </c>
      <c r="O1578">
        <v>-0.53143859999999998</v>
      </c>
      <c r="P1578">
        <v>-0.73684099999999997</v>
      </c>
      <c r="Q1578">
        <v>0.1298549</v>
      </c>
      <c r="R1578">
        <v>-0.66347809999999996</v>
      </c>
      <c r="S1578">
        <v>-1.9939579999999999</v>
      </c>
      <c r="T1578">
        <v>-0.35375509999999999</v>
      </c>
      <c r="U1578">
        <v>-2.3827669999999999</v>
      </c>
      <c r="V1578">
        <v>-0.17421879999999901</v>
      </c>
      <c r="W1578">
        <v>0.1406377</v>
      </c>
      <c r="X1578">
        <v>0.97461220000000004</v>
      </c>
      <c r="Y1578">
        <v>-0.3094905</v>
      </c>
      <c r="Z1578">
        <v>4.5026469999999999E-2</v>
      </c>
      <c r="AA1578">
        <v>0.94983589999999996</v>
      </c>
      <c r="AB1578">
        <v>30</v>
      </c>
      <c r="AC1578">
        <v>-5.5903999999999803</v>
      </c>
      <c r="AD1578">
        <v>-1.03543604</v>
      </c>
      <c r="AE1578">
        <v>-6.8087000000000097</v>
      </c>
      <c r="AF1578">
        <v>-2.7579213421252602</v>
      </c>
      <c r="AG1578">
        <v>-1.03543604</v>
      </c>
      <c r="AH1578">
        <v>8.2404010332143507</v>
      </c>
      <c r="AI1578">
        <v>96.795161824056706</v>
      </c>
      <c r="AJ1578">
        <v>108.504512821034</v>
      </c>
      <c r="AK1578">
        <v>8.7511409033611702</v>
      </c>
      <c r="AL1578">
        <v>81.915251512259005</v>
      </c>
      <c r="AM1578">
        <v>100.134977891557</v>
      </c>
      <c r="AN1578">
        <v>1.00000004666178</v>
      </c>
    </row>
    <row r="1579" spans="1:40" x14ac:dyDescent="0.3">
      <c r="A1579" t="str">
        <f>"20200111150346014"</f>
        <v>20200111150346014</v>
      </c>
      <c r="B1579" t="str">
        <f>"1578726226009710"</f>
        <v>1578726226009710</v>
      </c>
      <c r="C1579" t="s">
        <v>40</v>
      </c>
      <c r="D1579">
        <v>5.1875150000000003</v>
      </c>
      <c r="E1579">
        <v>0.44692169999999998</v>
      </c>
      <c r="F1579" t="s">
        <v>68</v>
      </c>
      <c r="G1579">
        <v>-410.5419</v>
      </c>
      <c r="H1579" s="1">
        <v>-4.8763920000000002E-6</v>
      </c>
      <c r="I1579">
        <v>125.73180000000001</v>
      </c>
      <c r="J1579">
        <v>-402.06459999999998</v>
      </c>
      <c r="K1579">
        <v>1.1154029999999999</v>
      </c>
      <c r="L1579">
        <v>135.9237</v>
      </c>
      <c r="M1579">
        <v>-0.83953799999999901</v>
      </c>
      <c r="N1579">
        <v>0</v>
      </c>
      <c r="O1579">
        <v>-0.54307099999999997</v>
      </c>
      <c r="P1579">
        <v>-0.72875440000000002</v>
      </c>
      <c r="Q1579">
        <v>0.1311686</v>
      </c>
      <c r="R1579">
        <v>-0.67209540000000001</v>
      </c>
      <c r="S1579">
        <v>-1.9887999999999999</v>
      </c>
      <c r="T1579">
        <v>-0.25433699999999998</v>
      </c>
      <c r="U1579">
        <v>-2.3627009999999999</v>
      </c>
      <c r="V1579">
        <v>-0.17238200000000001</v>
      </c>
      <c r="W1579">
        <v>0.14201749999999999</v>
      </c>
      <c r="X1579">
        <v>0.97473869999999896</v>
      </c>
      <c r="Y1579">
        <v>-0.29318270000000002</v>
      </c>
      <c r="Z1579">
        <v>3.4289149999999997E-2</v>
      </c>
      <c r="AA1579">
        <v>0.9554414</v>
      </c>
      <c r="AB1579">
        <v>30</v>
      </c>
      <c r="AC1579">
        <v>-8.4773000000000103</v>
      </c>
      <c r="AD1579">
        <v>-1.1154078763919999</v>
      </c>
      <c r="AE1579">
        <v>-10.191899999999899</v>
      </c>
      <c r="AF1579">
        <v>-3.9254157121279398</v>
      </c>
      <c r="AG1579">
        <v>-1.1154078763919999</v>
      </c>
      <c r="AH1579">
        <v>12.5645715798598</v>
      </c>
      <c r="AI1579">
        <v>94.843387864098801</v>
      </c>
      <c r="AJ1579">
        <v>107.34981651785201</v>
      </c>
      <c r="AK1579">
        <v>13.210657902964501</v>
      </c>
      <c r="AL1579">
        <v>81.835393098679901</v>
      </c>
      <c r="AM1579">
        <v>100.02902985943101</v>
      </c>
      <c r="AN1579">
        <v>1.0000000287539601</v>
      </c>
    </row>
    <row r="1580" spans="1:40" x14ac:dyDescent="0.3">
      <c r="A1580" t="str">
        <f>"20200111150346037"</f>
        <v>20200111150346037</v>
      </c>
      <c r="B1580" t="str">
        <f>"1578726226030218"</f>
        <v>1578726226030218</v>
      </c>
      <c r="C1580" t="s">
        <v>40</v>
      </c>
      <c r="D1580">
        <v>5.1013400000000004</v>
      </c>
      <c r="E1580">
        <v>0.4481117</v>
      </c>
      <c r="F1580" t="s">
        <v>41</v>
      </c>
      <c r="G1580">
        <v>-416.58359999999999</v>
      </c>
      <c r="H1580" s="1">
        <v>-4.368876E-6</v>
      </c>
      <c r="I1580">
        <v>118.4041</v>
      </c>
      <c r="J1580">
        <v>-402.30399999999997</v>
      </c>
      <c r="K1580">
        <v>1.1153740000000001</v>
      </c>
      <c r="L1580">
        <v>135.7527</v>
      </c>
      <c r="M1580">
        <v>-0.83207909999999996</v>
      </c>
      <c r="N1580">
        <v>0</v>
      </c>
      <c r="O1580">
        <v>-0.55443199999999904</v>
      </c>
      <c r="P1580">
        <v>-0.72096359999999904</v>
      </c>
      <c r="Q1580">
        <v>0.1305779</v>
      </c>
      <c r="R1580">
        <v>-0.68055959999999904</v>
      </c>
      <c r="S1580">
        <v>-1.961212</v>
      </c>
      <c r="T1580">
        <v>-0.15066789999999999</v>
      </c>
      <c r="U1580">
        <v>-2.3665310000000002</v>
      </c>
      <c r="V1580">
        <v>-0.1704251</v>
      </c>
      <c r="W1580">
        <v>0.14149970000000001</v>
      </c>
      <c r="X1580">
        <v>0.97515799999999997</v>
      </c>
      <c r="Y1580">
        <v>-0.28714909999999999</v>
      </c>
      <c r="Z1580">
        <v>2.1182010000000001E-2</v>
      </c>
      <c r="AA1580">
        <v>0.95765169999999999</v>
      </c>
      <c r="AB1580">
        <v>30</v>
      </c>
      <c r="AC1580">
        <v>-14.279599999999901</v>
      </c>
      <c r="AD1580">
        <v>-1.1153783688759999</v>
      </c>
      <c r="AE1580">
        <v>-17.348600000000001</v>
      </c>
      <c r="AF1580">
        <v>-6.5031294391197401</v>
      </c>
      <c r="AG1580">
        <v>-1.1153783688759999</v>
      </c>
      <c r="AH1580">
        <v>21.450203592400001</v>
      </c>
      <c r="AI1580">
        <v>92.848794441770096</v>
      </c>
      <c r="AJ1580">
        <v>106.865903568683</v>
      </c>
      <c r="AK1580">
        <v>22.4420586302396</v>
      </c>
      <c r="AL1580">
        <v>81.865363300396794</v>
      </c>
      <c r="AM1580">
        <v>99.913272488912597</v>
      </c>
      <c r="AN1580">
        <v>1.0000000023870499</v>
      </c>
    </row>
    <row r="1581" spans="1:40" x14ac:dyDescent="0.3">
      <c r="A1581" t="str">
        <f>"20200111150346059"</f>
        <v>20200111150346059</v>
      </c>
      <c r="B1581" t="str">
        <f>"1578726226050430"</f>
        <v>1578726226050430</v>
      </c>
      <c r="C1581" t="s">
        <v>40</v>
      </c>
      <c r="D1581">
        <v>5.0520379999999996</v>
      </c>
      <c r="E1581">
        <v>0.45564090000000002</v>
      </c>
      <c r="F1581" t="s">
        <v>41</v>
      </c>
      <c r="G1581">
        <v>-416.32119999999998</v>
      </c>
      <c r="H1581" s="1">
        <v>-4.4750539999999997E-6</v>
      </c>
      <c r="I1581">
        <v>118.5431</v>
      </c>
      <c r="J1581">
        <v>-402.53390000000002</v>
      </c>
      <c r="K1581">
        <v>1.115334</v>
      </c>
      <c r="L1581">
        <v>135.58369999999999</v>
      </c>
      <c r="M1581">
        <v>-0.82471830000000002</v>
      </c>
      <c r="N1581">
        <v>0</v>
      </c>
      <c r="O1581">
        <v>-0.56532280000000001</v>
      </c>
      <c r="P1581">
        <v>-0.71347869999999902</v>
      </c>
      <c r="Q1581">
        <v>0.1306707</v>
      </c>
      <c r="R1581">
        <v>-0.68838480000000002</v>
      </c>
      <c r="S1581">
        <v>-1.940369</v>
      </c>
      <c r="T1581">
        <v>-0.15439839999999999</v>
      </c>
      <c r="U1581">
        <v>-2.382263</v>
      </c>
      <c r="V1581">
        <v>-0.16823829999999901</v>
      </c>
      <c r="W1581">
        <v>0.14166960000000001</v>
      </c>
      <c r="X1581">
        <v>0.97551299999999996</v>
      </c>
      <c r="Y1581">
        <v>-0.28270849999999997</v>
      </c>
      <c r="Z1581">
        <v>2.2412060000000001E-2</v>
      </c>
      <c r="AA1581">
        <v>0.95894400000000002</v>
      </c>
      <c r="AB1581">
        <v>30</v>
      </c>
      <c r="AC1581">
        <v>-13.787299999999901</v>
      </c>
      <c r="AD1581">
        <v>-1.1153384750540001</v>
      </c>
      <c r="AE1581">
        <v>-17.040599999999898</v>
      </c>
      <c r="AF1581">
        <v>-6.2440354395994699</v>
      </c>
      <c r="AG1581">
        <v>-1.1153384750540001</v>
      </c>
      <c r="AH1581">
        <v>20.952455233125999</v>
      </c>
      <c r="AI1581">
        <v>92.920398106378201</v>
      </c>
      <c r="AJ1581">
        <v>106.594568378087</v>
      </c>
      <c r="AK1581">
        <v>21.891490099603999</v>
      </c>
      <c r="AL1581">
        <v>81.855529724262595</v>
      </c>
      <c r="AM1581">
        <v>99.785053791243399</v>
      </c>
      <c r="AN1581">
        <v>1.0000000071600199</v>
      </c>
    </row>
    <row r="1582" spans="1:40" x14ac:dyDescent="0.3">
      <c r="A1582" t="str">
        <f>"20200111150346081"</f>
        <v>20200111150346081</v>
      </c>
      <c r="B1582" t="str">
        <f>"1578726226069950"</f>
        <v>1578726226069950</v>
      </c>
      <c r="C1582" t="s">
        <v>40</v>
      </c>
      <c r="D1582">
        <v>5.1379060000000001</v>
      </c>
      <c r="E1582">
        <v>0.4501928</v>
      </c>
      <c r="F1582" t="s">
        <v>68</v>
      </c>
      <c r="G1582">
        <v>-409.69970000000001</v>
      </c>
      <c r="H1582">
        <v>7.9987450000000002E-2</v>
      </c>
      <c r="I1582">
        <v>126.96420000000001</v>
      </c>
      <c r="J1582">
        <v>-402.77339999999998</v>
      </c>
      <c r="K1582">
        <v>1.1152949999999999</v>
      </c>
      <c r="L1582">
        <v>135.40280000000001</v>
      </c>
      <c r="M1582">
        <v>-0.81684400000000001</v>
      </c>
      <c r="N1582">
        <v>0</v>
      </c>
      <c r="O1582">
        <v>-0.57664230000000005</v>
      </c>
      <c r="P1582">
        <v>-0.70457289999999995</v>
      </c>
      <c r="Q1582">
        <v>0.13140289999999999</v>
      </c>
      <c r="R1582">
        <v>-0.69735979999999997</v>
      </c>
      <c r="S1582">
        <v>-1.970245</v>
      </c>
      <c r="T1582">
        <v>-0.2846688</v>
      </c>
      <c r="U1582">
        <v>-2.3699490000000001</v>
      </c>
      <c r="V1582">
        <v>-0.16721279999999999</v>
      </c>
      <c r="W1582">
        <v>0.1424446</v>
      </c>
      <c r="X1582">
        <v>0.97557649999999996</v>
      </c>
      <c r="Y1582">
        <v>-0.26045810000000003</v>
      </c>
      <c r="Z1582">
        <v>4.3144269999999998E-2</v>
      </c>
      <c r="AA1582">
        <v>0.96452070000000001</v>
      </c>
      <c r="AB1582">
        <v>30</v>
      </c>
      <c r="AC1582">
        <v>-6.9263000000000199</v>
      </c>
      <c r="AD1582">
        <v>-1.03530755</v>
      </c>
      <c r="AE1582">
        <v>-8.4385999999999992</v>
      </c>
      <c r="AF1582">
        <v>-2.87354118410251</v>
      </c>
      <c r="AG1582">
        <v>-1.03530755</v>
      </c>
      <c r="AH1582">
        <v>10.4312614426994</v>
      </c>
      <c r="AI1582">
        <v>95.465776326818798</v>
      </c>
      <c r="AJ1582">
        <v>105.40149628309101</v>
      </c>
      <c r="AK1582">
        <v>10.8692371372497</v>
      </c>
      <c r="AL1582">
        <v>81.810670873266503</v>
      </c>
      <c r="AM1582">
        <v>99.725930512128599</v>
      </c>
      <c r="AN1582">
        <v>1.0000000459526199</v>
      </c>
    </row>
    <row r="1583" spans="1:40" x14ac:dyDescent="0.3">
      <c r="A1583" t="str">
        <f>"20200111150346104"</f>
        <v>20200111150346104</v>
      </c>
      <c r="B1583" t="str">
        <f>"1578726226100206"</f>
        <v>1578726226100206</v>
      </c>
      <c r="C1583" t="s">
        <v>40</v>
      </c>
      <c r="D1583">
        <v>5.0992449999999998</v>
      </c>
      <c r="E1583">
        <v>0.44100660000000003</v>
      </c>
      <c r="F1583" t="s">
        <v>68</v>
      </c>
      <c r="G1583">
        <v>-410.62349999999998</v>
      </c>
      <c r="H1583" s="1">
        <v>-4.7585549999999999E-6</v>
      </c>
      <c r="I1583">
        <v>125.4251</v>
      </c>
      <c r="J1583">
        <v>-403.00349999999997</v>
      </c>
      <c r="K1583">
        <v>1.115248</v>
      </c>
      <c r="L1583">
        <v>135.22409999999999</v>
      </c>
      <c r="M1583">
        <v>-0.80907839999999998</v>
      </c>
      <c r="N1583">
        <v>0</v>
      </c>
      <c r="O1583">
        <v>-0.58748840000000002</v>
      </c>
      <c r="P1583">
        <v>-0.6950963</v>
      </c>
      <c r="Q1583">
        <v>0.1319649</v>
      </c>
      <c r="R1583">
        <v>-0.70670100000000002</v>
      </c>
      <c r="S1583">
        <v>-1.9080809999999999</v>
      </c>
      <c r="T1583">
        <v>-0.27109060000000001</v>
      </c>
      <c r="U1583">
        <v>-2.4252470000000002</v>
      </c>
      <c r="V1583">
        <v>-0.16727709999999901</v>
      </c>
      <c r="W1583">
        <v>0.14301759999999999</v>
      </c>
      <c r="X1583">
        <v>0.97548159999999895</v>
      </c>
      <c r="Y1583">
        <v>-0.27345730000000001</v>
      </c>
      <c r="Z1583">
        <v>4.1598209999999997E-2</v>
      </c>
      <c r="AA1583">
        <v>0.96098419999999896</v>
      </c>
      <c r="AB1583">
        <v>30</v>
      </c>
      <c r="AC1583">
        <v>-7.62</v>
      </c>
      <c r="AD1583">
        <v>-1.1152527585550001</v>
      </c>
      <c r="AE1583">
        <v>-9.7989999999999906</v>
      </c>
      <c r="AF1583">
        <v>-3.4242871216891602</v>
      </c>
      <c r="AG1583">
        <v>-1.1152527585550001</v>
      </c>
      <c r="AH1583">
        <v>11.8279871627105</v>
      </c>
      <c r="AI1583">
        <v>95.175166614777993</v>
      </c>
      <c r="AJ1583">
        <v>106.146109160666</v>
      </c>
      <c r="AK1583">
        <v>12.364093631498999</v>
      </c>
      <c r="AL1583">
        <v>81.777500458400993</v>
      </c>
      <c r="AM1583">
        <v>99.730527500217804</v>
      </c>
      <c r="AN1583">
        <v>1.0000000070163599</v>
      </c>
    </row>
    <row r="1584" spans="1:40" x14ac:dyDescent="0.3">
      <c r="A1584" t="str">
        <f>"20200111150346127"</f>
        <v>20200111150346127</v>
      </c>
      <c r="B1584" t="str">
        <f>"1578726226119725"</f>
        <v>1578726226119725</v>
      </c>
      <c r="C1584" t="s">
        <v>40</v>
      </c>
      <c r="D1584">
        <v>5.0695230000000002</v>
      </c>
      <c r="E1584">
        <v>0.43841849999999999</v>
      </c>
      <c r="F1584" t="s">
        <v>68</v>
      </c>
      <c r="G1584">
        <v>-410.63159999999999</v>
      </c>
      <c r="H1584" s="1">
        <v>-4.5254090000000004E-6</v>
      </c>
      <c r="I1584">
        <v>124.7567</v>
      </c>
      <c r="J1584">
        <v>-403.23790000000002</v>
      </c>
      <c r="K1584">
        <v>1.1151799999999901</v>
      </c>
      <c r="L1584">
        <v>135.03700000000001</v>
      </c>
      <c r="M1584">
        <v>-0.80097549999999995</v>
      </c>
      <c r="N1584">
        <v>0</v>
      </c>
      <c r="O1584">
        <v>-0.5984891</v>
      </c>
      <c r="P1584">
        <v>-0.68547259999999999</v>
      </c>
      <c r="Q1584">
        <v>0.1312576</v>
      </c>
      <c r="R1584">
        <v>-0.71616979999999997</v>
      </c>
      <c r="S1584">
        <v>-1.8230900000000001</v>
      </c>
      <c r="T1584">
        <v>-0.26654260000000002</v>
      </c>
      <c r="U1584">
        <v>-2.5016780000000001</v>
      </c>
      <c r="V1584">
        <v>-0.16720679999999999</v>
      </c>
      <c r="W1584">
        <v>0.1423314</v>
      </c>
      <c r="X1584">
        <v>0.97559399999999996</v>
      </c>
      <c r="Y1584">
        <v>-0.2956008</v>
      </c>
      <c r="Z1584">
        <v>4.1006939999999999E-2</v>
      </c>
      <c r="AA1584">
        <v>0.95443109999999998</v>
      </c>
      <c r="AB1584">
        <v>30</v>
      </c>
      <c r="AC1584">
        <v>-7.39369999999996</v>
      </c>
      <c r="AD1584">
        <v>-1.11518452540899</v>
      </c>
      <c r="AE1584">
        <v>-10.2803</v>
      </c>
      <c r="AF1584">
        <v>-3.7803745598854399</v>
      </c>
      <c r="AG1584">
        <v>-1.11518452540899</v>
      </c>
      <c r="AH1584">
        <v>11.9833844288063</v>
      </c>
      <c r="AI1584">
        <v>95.071681033247501</v>
      </c>
      <c r="AJ1584">
        <v>107.508819034665</v>
      </c>
      <c r="AK1584">
        <v>12.6149265042369</v>
      </c>
      <c r="AL1584">
        <v>81.817223118280907</v>
      </c>
      <c r="AM1584">
        <v>99.725417063534906</v>
      </c>
      <c r="AN1584">
        <v>0.99999999711409904</v>
      </c>
    </row>
    <row r="1585" spans="1:40" x14ac:dyDescent="0.3">
      <c r="A1585" t="str">
        <f>"20200111150346149"</f>
        <v>20200111150346149</v>
      </c>
      <c r="B1585" t="str">
        <f>"1578726226140222"</f>
        <v>1578726226140222</v>
      </c>
      <c r="C1585" t="s">
        <v>40</v>
      </c>
      <c r="D1585">
        <v>5.0993019999999998</v>
      </c>
      <c r="E1585">
        <v>0.43684269999999997</v>
      </c>
      <c r="F1585" t="s">
        <v>68</v>
      </c>
      <c r="G1585">
        <v>-410.5806</v>
      </c>
      <c r="H1585" s="1">
        <v>-4.4236149999999997E-6</v>
      </c>
      <c r="I1585">
        <v>124.5217</v>
      </c>
      <c r="J1585">
        <v>-403.46050000000002</v>
      </c>
      <c r="K1585">
        <v>1.1150960000000001</v>
      </c>
      <c r="L1585">
        <v>134.8544</v>
      </c>
      <c r="M1585">
        <v>-0.79310950000000002</v>
      </c>
      <c r="N1585">
        <v>0</v>
      </c>
      <c r="O1585">
        <v>-0.60887480000000005</v>
      </c>
      <c r="P1585">
        <v>-0.67714289999999999</v>
      </c>
      <c r="Q1585">
        <v>0.13045699999999999</v>
      </c>
      <c r="R1585">
        <v>-0.72419519999999904</v>
      </c>
      <c r="S1585">
        <v>-1.7739259999999999</v>
      </c>
      <c r="T1585">
        <v>-0.26941999999999999</v>
      </c>
      <c r="U1585">
        <v>-2.5404360000000001</v>
      </c>
      <c r="V1585">
        <v>-0.16584179999999901</v>
      </c>
      <c r="W1585">
        <v>0.1415922</v>
      </c>
      <c r="X1585">
        <v>0.97593450000000004</v>
      </c>
      <c r="Y1585">
        <v>-0.30244009999999999</v>
      </c>
      <c r="Z1585">
        <v>4.2157939999999998E-2</v>
      </c>
      <c r="AA1585">
        <v>0.95223559999999996</v>
      </c>
      <c r="AB1585">
        <v>30</v>
      </c>
      <c r="AC1585">
        <v>-7.1200999999999697</v>
      </c>
      <c r="AD1585">
        <v>-1.1151004236149999</v>
      </c>
      <c r="AE1585">
        <v>-10.332700000000001</v>
      </c>
      <c r="AF1585">
        <v>-3.82994860555003</v>
      </c>
      <c r="AG1585">
        <v>-1.1151004236149999</v>
      </c>
      <c r="AH1585">
        <v>11.8462762117425</v>
      </c>
      <c r="AI1585">
        <v>95.118109659562194</v>
      </c>
      <c r="AJ1585">
        <v>107.91622813094899</v>
      </c>
      <c r="AK1585">
        <v>12.4998486135152</v>
      </c>
      <c r="AL1585">
        <v>81.860009526146996</v>
      </c>
      <c r="AM1585">
        <v>99.644218569951093</v>
      </c>
      <c r="AN1585">
        <v>1.0000000010091601</v>
      </c>
    </row>
    <row r="1586" spans="1:40" x14ac:dyDescent="0.3">
      <c r="A1586" t="str">
        <f>"20200111150346171"</f>
        <v>20200111150346171</v>
      </c>
      <c r="B1586" t="str">
        <f>"1578726226159743"</f>
        <v>1578726226159743</v>
      </c>
      <c r="C1586" t="s">
        <v>40</v>
      </c>
      <c r="D1586">
        <v>5.1099600000000001</v>
      </c>
      <c r="E1586">
        <v>0.43605929999999998</v>
      </c>
      <c r="F1586" t="s">
        <v>68</v>
      </c>
      <c r="G1586">
        <v>-410.58980000000003</v>
      </c>
      <c r="H1586" s="1">
        <v>-4.277977E-6</v>
      </c>
      <c r="I1586">
        <v>124.2907</v>
      </c>
      <c r="J1586">
        <v>-403.67970000000003</v>
      </c>
      <c r="K1586">
        <v>1.1149770000000001</v>
      </c>
      <c r="L1586">
        <v>134.6696</v>
      </c>
      <c r="M1586">
        <v>-0.78522119999999995</v>
      </c>
      <c r="N1586">
        <v>0</v>
      </c>
      <c r="O1586">
        <v>-0.61901479999999998</v>
      </c>
      <c r="P1586">
        <v>-0.66917349999999998</v>
      </c>
      <c r="Q1586">
        <v>0.1297837</v>
      </c>
      <c r="R1586">
        <v>-0.73168489999999997</v>
      </c>
      <c r="S1586">
        <v>-1.7343139999999999</v>
      </c>
      <c r="T1586">
        <v>-0.27126460000000002</v>
      </c>
      <c r="U1586">
        <v>-2.5697779999999999</v>
      </c>
      <c r="V1586">
        <v>-0.164023</v>
      </c>
      <c r="W1586">
        <v>0.14099739999999999</v>
      </c>
      <c r="X1586">
        <v>0.97632790000000003</v>
      </c>
      <c r="Y1586">
        <v>-0.30535440000000003</v>
      </c>
      <c r="Z1586">
        <v>4.3303969999999997E-2</v>
      </c>
      <c r="AA1586">
        <v>0.95125369999999998</v>
      </c>
      <c r="AB1586">
        <v>30</v>
      </c>
      <c r="AC1586">
        <v>-6.9100999999999999</v>
      </c>
      <c r="AD1586">
        <v>-1.1149812779770001</v>
      </c>
      <c r="AE1586">
        <v>-10.3789</v>
      </c>
      <c r="AF1586">
        <v>-3.8420372241887502</v>
      </c>
      <c r="AG1586">
        <v>-1.1149812779770001</v>
      </c>
      <c r="AH1586">
        <v>11.758100962371801</v>
      </c>
      <c r="AI1586">
        <v>95.150534685500702</v>
      </c>
      <c r="AJ1586">
        <v>108.09514578101999</v>
      </c>
      <c r="AK1586">
        <v>12.4200391111952</v>
      </c>
      <c r="AL1586">
        <v>81.894434330596596</v>
      </c>
      <c r="AM1586">
        <v>99.536630781596401</v>
      </c>
      <c r="AN1586">
        <v>0.99999998982708505</v>
      </c>
    </row>
    <row r="1587" spans="1:40" x14ac:dyDescent="0.3">
      <c r="A1587" t="str">
        <f>"20200111150346193"</f>
        <v>20200111150346193</v>
      </c>
      <c r="B1587" t="str">
        <f>"1578726226189998"</f>
        <v>1578726226189998</v>
      </c>
      <c r="C1587" t="s">
        <v>40</v>
      </c>
      <c r="D1587">
        <v>5.0670060000000001</v>
      </c>
      <c r="E1587">
        <v>0.43626900000000002</v>
      </c>
      <c r="F1587" t="s">
        <v>68</v>
      </c>
      <c r="G1587">
        <v>-410.6044</v>
      </c>
      <c r="H1587" s="1">
        <v>-4.2091159999999997E-6</v>
      </c>
      <c r="I1587">
        <v>124.1206</v>
      </c>
      <c r="J1587">
        <v>-403.9</v>
      </c>
      <c r="K1587">
        <v>1.1148480000000001</v>
      </c>
      <c r="L1587">
        <v>134.47899999999899</v>
      </c>
      <c r="M1587">
        <v>-0.77715249999999902</v>
      </c>
      <c r="N1587">
        <v>0</v>
      </c>
      <c r="O1587">
        <v>-0.6291156</v>
      </c>
      <c r="P1587">
        <v>-0.65953189999999995</v>
      </c>
      <c r="Q1587">
        <v>0.13140859999999999</v>
      </c>
      <c r="R1587">
        <v>-0.74010120000000001</v>
      </c>
      <c r="S1587">
        <v>-1.70172099999999</v>
      </c>
      <c r="T1587">
        <v>-0.27400370000000002</v>
      </c>
      <c r="U1587">
        <v>-2.5923919999999998</v>
      </c>
      <c r="V1587">
        <v>-0.16396379999999999</v>
      </c>
      <c r="W1587">
        <v>0.14264760000000001</v>
      </c>
      <c r="X1587">
        <v>0.97609809999999997</v>
      </c>
      <c r="Y1587">
        <v>-0.3052494</v>
      </c>
      <c r="Z1587">
        <v>4.4732130000000002E-2</v>
      </c>
      <c r="AA1587">
        <v>0.95122119999999999</v>
      </c>
      <c r="AB1587">
        <v>30</v>
      </c>
      <c r="AC1587">
        <v>-6.7044000000000201</v>
      </c>
      <c r="AD1587">
        <v>-1.114852209116</v>
      </c>
      <c r="AE1587">
        <v>-10.3583999999999</v>
      </c>
      <c r="AF1587">
        <v>-3.80165246879324</v>
      </c>
      <c r="AG1587">
        <v>-1.114852209116</v>
      </c>
      <c r="AH1587">
        <v>11.633451321308501</v>
      </c>
      <c r="AI1587">
        <v>95.204775218526805</v>
      </c>
      <c r="AJ1587">
        <v>108.09668251402699</v>
      </c>
      <c r="AK1587">
        <v>12.289534026435099</v>
      </c>
      <c r="AL1587">
        <v>81.798919312315704</v>
      </c>
      <c r="AM1587">
        <v>99.535455138104894</v>
      </c>
      <c r="AN1587">
        <v>0.99999998315990402</v>
      </c>
    </row>
    <row r="1588" spans="1:40" x14ac:dyDescent="0.3">
      <c r="A1588" t="str">
        <f>"20200111150346217"</f>
        <v>20200111150346217</v>
      </c>
      <c r="B1588" t="str">
        <f>"1578726226210493"</f>
        <v>1578726226210493</v>
      </c>
      <c r="C1588" t="s">
        <v>40</v>
      </c>
      <c r="D1588">
        <v>5.1661839999999897</v>
      </c>
      <c r="E1588">
        <v>0.43648429999999999</v>
      </c>
      <c r="F1588" t="s">
        <v>68</v>
      </c>
      <c r="G1588">
        <v>-410.65410000000003</v>
      </c>
      <c r="H1588" s="1">
        <v>-4.1174879999999996E-6</v>
      </c>
      <c r="I1588">
        <v>123.91540000000001</v>
      </c>
      <c r="J1588">
        <v>-404.12450000000001</v>
      </c>
      <c r="K1588">
        <v>1.1147039999999999</v>
      </c>
      <c r="L1588">
        <v>134.28</v>
      </c>
      <c r="M1588">
        <v>-0.76882510000000004</v>
      </c>
      <c r="N1588">
        <v>0</v>
      </c>
      <c r="O1588">
        <v>-0.639266</v>
      </c>
      <c r="P1588">
        <v>-0.64937509999999998</v>
      </c>
      <c r="Q1588">
        <v>0.13263989999999901</v>
      </c>
      <c r="R1588">
        <v>-0.74881140000000002</v>
      </c>
      <c r="S1588">
        <v>-1.6709590000000001</v>
      </c>
      <c r="T1588">
        <v>-0.27581250000000002</v>
      </c>
      <c r="U1588">
        <v>-2.6134339999999998</v>
      </c>
      <c r="V1588">
        <v>-0.164273</v>
      </c>
      <c r="W1588">
        <v>0.14390149999999999</v>
      </c>
      <c r="X1588">
        <v>0.97586209999999995</v>
      </c>
      <c r="Y1588">
        <v>-0.30420799999999998</v>
      </c>
      <c r="Z1588">
        <v>4.6064710000000002E-2</v>
      </c>
      <c r="AA1588">
        <v>0.95149119999999998</v>
      </c>
      <c r="AB1588">
        <v>30</v>
      </c>
      <c r="AC1588">
        <v>-6.5296000000000101</v>
      </c>
      <c r="AD1588">
        <v>-1.114708117488</v>
      </c>
      <c r="AE1588">
        <v>-10.3645999999999</v>
      </c>
      <c r="AF1588">
        <v>-3.7637165662698302</v>
      </c>
      <c r="AG1588">
        <v>-1.114708117488</v>
      </c>
      <c r="AH1588">
        <v>11.551641813687599</v>
      </c>
      <c r="AI1588">
        <v>95.242248084618794</v>
      </c>
      <c r="AJ1588">
        <v>108.046468926521</v>
      </c>
      <c r="AK1588">
        <v>12.2003510265133</v>
      </c>
      <c r="AL1588">
        <v>81.726327744214302</v>
      </c>
      <c r="AM1588">
        <v>99.555373521338694</v>
      </c>
      <c r="AN1588">
        <v>1.0000000492238199</v>
      </c>
    </row>
    <row r="1589" spans="1:40" x14ac:dyDescent="0.3">
      <c r="A1589" t="str">
        <f>"20200111150346239"</f>
        <v>20200111150346239</v>
      </c>
      <c r="B1589" t="str">
        <f>"1578726226230014"</f>
        <v>1578726226230014</v>
      </c>
      <c r="C1589" t="s">
        <v>40</v>
      </c>
      <c r="D1589">
        <v>5.2598219999999998</v>
      </c>
      <c r="E1589">
        <v>0.43666290000000002</v>
      </c>
      <c r="F1589" t="s">
        <v>68</v>
      </c>
      <c r="G1589">
        <v>-410.85</v>
      </c>
      <c r="H1589" s="1">
        <v>-3.8867870000000001E-6</v>
      </c>
      <c r="I1589">
        <v>123.4478</v>
      </c>
      <c r="J1589">
        <v>-404.33769999999998</v>
      </c>
      <c r="K1589">
        <v>1.1145119999999999</v>
      </c>
      <c r="L1589">
        <v>134.08609999999999</v>
      </c>
      <c r="M1589">
        <v>-0.76086880000000001</v>
      </c>
      <c r="N1589">
        <v>0</v>
      </c>
      <c r="O1589">
        <v>-0.64871659999999998</v>
      </c>
      <c r="P1589">
        <v>-0.64070830000000001</v>
      </c>
      <c r="Q1589">
        <v>0.1322863</v>
      </c>
      <c r="R1589">
        <v>-0.75630240000000004</v>
      </c>
      <c r="S1589">
        <v>-1.6362920000000001</v>
      </c>
      <c r="T1589">
        <v>-0.27120319999999998</v>
      </c>
      <c r="U1589">
        <v>-2.6354060000000001</v>
      </c>
      <c r="V1589">
        <v>-0.16342309999999999</v>
      </c>
      <c r="W1589">
        <v>0.14361550000000001</v>
      </c>
      <c r="X1589">
        <v>0.97604690000000005</v>
      </c>
      <c r="Y1589">
        <v>-0.30502220000000002</v>
      </c>
      <c r="Z1589">
        <v>4.6199459999999998E-2</v>
      </c>
      <c r="AA1589">
        <v>0.95122399999999996</v>
      </c>
      <c r="AB1589">
        <v>30</v>
      </c>
      <c r="AC1589">
        <v>-6.5123000000000397</v>
      </c>
      <c r="AD1589">
        <v>-1.114515886787</v>
      </c>
      <c r="AE1589">
        <v>-10.6382999999999</v>
      </c>
      <c r="AF1589">
        <v>-3.83953439109554</v>
      </c>
      <c r="AG1589">
        <v>-1.114515886787</v>
      </c>
      <c r="AH1589">
        <v>11.763783406334399</v>
      </c>
      <c r="AI1589">
        <v>95.146482642317906</v>
      </c>
      <c r="AJ1589">
        <v>108.075958503967</v>
      </c>
      <c r="AK1589">
        <v>12.4246034155403</v>
      </c>
      <c r="AL1589">
        <v>81.742886225708006</v>
      </c>
      <c r="AM1589">
        <v>99.505074373863096</v>
      </c>
      <c r="AN1589">
        <v>1.0000000362267301</v>
      </c>
    </row>
    <row r="1590" spans="1:40" x14ac:dyDescent="0.3">
      <c r="A1590" t="str">
        <f>"20200111150346261"</f>
        <v>20200111150346261</v>
      </c>
      <c r="B1590" t="str">
        <f>"1578726226250510"</f>
        <v>1578726226250510</v>
      </c>
      <c r="C1590" t="s">
        <v>40</v>
      </c>
      <c r="D1590">
        <v>5.4527010000000002</v>
      </c>
      <c r="E1590">
        <v>0.4370617</v>
      </c>
      <c r="F1590" t="s">
        <v>68</v>
      </c>
      <c r="G1590">
        <v>-410.87490000000003</v>
      </c>
      <c r="H1590" s="1">
        <v>-3.819452E-6</v>
      </c>
      <c r="I1590">
        <v>123.2889</v>
      </c>
      <c r="J1590">
        <v>-404.54239999999999</v>
      </c>
      <c r="K1590">
        <v>1.114252</v>
      </c>
      <c r="L1590">
        <v>133.89590000000001</v>
      </c>
      <c r="M1590">
        <v>-0.75326499999999996</v>
      </c>
      <c r="N1590">
        <v>0</v>
      </c>
      <c r="O1590">
        <v>-0.65753119999999998</v>
      </c>
      <c r="P1590">
        <v>-0.63225529999999996</v>
      </c>
      <c r="Q1590">
        <v>0.13024949999999999</v>
      </c>
      <c r="R1590">
        <v>-0.76373329999999995</v>
      </c>
      <c r="S1590">
        <v>-1.606598</v>
      </c>
      <c r="T1590">
        <v>-0.2739046</v>
      </c>
      <c r="U1590">
        <v>-2.6535340000000001</v>
      </c>
      <c r="V1590">
        <v>-0.16304289999999999</v>
      </c>
      <c r="W1590">
        <v>0.14164879999999999</v>
      </c>
      <c r="X1590">
        <v>0.97639779999999998</v>
      </c>
      <c r="Y1590">
        <v>-0.30463849999999998</v>
      </c>
      <c r="Z1590">
        <v>4.7551389999999999E-2</v>
      </c>
      <c r="AA1590">
        <v>0.95128029999999997</v>
      </c>
      <c r="AB1590">
        <v>30</v>
      </c>
      <c r="AC1590">
        <v>-6.3325000000000404</v>
      </c>
      <c r="AD1590">
        <v>-1.114255819452</v>
      </c>
      <c r="AE1590">
        <v>-10.606999999999999</v>
      </c>
      <c r="AF1590">
        <v>-3.7956535454980198</v>
      </c>
      <c r="AG1590">
        <v>-1.114255819452</v>
      </c>
      <c r="AH1590">
        <v>11.6511314734833</v>
      </c>
      <c r="AI1590">
        <v>95.195695506068006</v>
      </c>
      <c r="AJ1590">
        <v>108.04434207680001</v>
      </c>
      <c r="AK1590">
        <v>12.3043657488319</v>
      </c>
      <c r="AL1590">
        <v>81.856733696284607</v>
      </c>
      <c r="AM1590">
        <v>99.480016880803205</v>
      </c>
      <c r="AN1590">
        <v>1.0000000168133401</v>
      </c>
    </row>
    <row r="1591" spans="1:40" x14ac:dyDescent="0.3">
      <c r="A1591" t="str">
        <f>"20200111150346282"</f>
        <v>20200111150346282</v>
      </c>
      <c r="B1591" t="str">
        <f>"1578726226279793"</f>
        <v>1578726226279793</v>
      </c>
      <c r="C1591" t="s">
        <v>40</v>
      </c>
      <c r="D1591">
        <v>5.1707910000000004</v>
      </c>
      <c r="E1591">
        <v>0.43805919999999998</v>
      </c>
      <c r="F1591" t="s">
        <v>68</v>
      </c>
      <c r="G1591">
        <v>-410.66140000000001</v>
      </c>
      <c r="H1591" s="1">
        <v>-3.9793390000000002E-6</v>
      </c>
      <c r="I1591">
        <v>123.5587</v>
      </c>
      <c r="J1591">
        <v>-404.75020000000001</v>
      </c>
      <c r="K1591">
        <v>1.1139049999999999</v>
      </c>
      <c r="L1591">
        <v>133.6987</v>
      </c>
      <c r="M1591">
        <v>-0.74566060000000001</v>
      </c>
      <c r="N1591">
        <v>0</v>
      </c>
      <c r="O1591">
        <v>-0.66614390000000001</v>
      </c>
      <c r="P1591">
        <v>-0.6222628</v>
      </c>
      <c r="Q1591">
        <v>0.12897980000000001</v>
      </c>
      <c r="R1591">
        <v>-0.77210959999999995</v>
      </c>
      <c r="S1591">
        <v>-1.579987</v>
      </c>
      <c r="T1591">
        <v>-0.28771269999999999</v>
      </c>
      <c r="U1591">
        <v>-2.6691590000000001</v>
      </c>
      <c r="V1591">
        <v>-0.164545</v>
      </c>
      <c r="W1591">
        <v>0.14041819999999999</v>
      </c>
      <c r="X1591">
        <v>0.97632350000000001</v>
      </c>
      <c r="Y1591">
        <v>-0.30326170000000002</v>
      </c>
      <c r="Z1591">
        <v>5.0893880000000002E-2</v>
      </c>
      <c r="AA1591">
        <v>0.95154729999999998</v>
      </c>
      <c r="AB1591">
        <v>30</v>
      </c>
      <c r="AC1591">
        <v>-5.9112</v>
      </c>
      <c r="AD1591">
        <v>-1.113908979339</v>
      </c>
      <c r="AE1591">
        <v>-10.14</v>
      </c>
      <c r="AF1591">
        <v>-3.5913813606032101</v>
      </c>
      <c r="AG1591">
        <v>-1.113908979339</v>
      </c>
      <c r="AH1591">
        <v>11.0641496514097</v>
      </c>
      <c r="AI1591">
        <v>95.4699036259954</v>
      </c>
      <c r="AJ1591">
        <v>107.983235372522</v>
      </c>
      <c r="AK1591">
        <v>11.6856416512029</v>
      </c>
      <c r="AL1591">
        <v>81.927953218693901</v>
      </c>
      <c r="AM1591">
        <v>99.566463182328107</v>
      </c>
      <c r="AN1591">
        <v>0.99999995228424299</v>
      </c>
    </row>
    <row r="1592" spans="1:40" x14ac:dyDescent="0.3">
      <c r="A1592" t="str">
        <f>"20200111150346306"</f>
        <v>20200111150346306</v>
      </c>
      <c r="B1592" t="str">
        <f>"1578726226300286"</f>
        <v>1578726226300286</v>
      </c>
      <c r="C1592" t="s">
        <v>40</v>
      </c>
      <c r="D1592">
        <v>5.2363970000000002</v>
      </c>
      <c r="E1592">
        <v>0.43893120000000002</v>
      </c>
      <c r="F1592" t="s">
        <v>68</v>
      </c>
      <c r="G1592">
        <v>-410.54450000000003</v>
      </c>
      <c r="H1592" s="1">
        <v>-4.0558719999999996E-6</v>
      </c>
      <c r="I1592">
        <v>123.6776</v>
      </c>
      <c r="J1592">
        <v>-404.96469999999999</v>
      </c>
      <c r="K1592">
        <v>1.113464</v>
      </c>
      <c r="L1592">
        <v>133.49119999999999</v>
      </c>
      <c r="M1592">
        <v>-0.73802959999999995</v>
      </c>
      <c r="N1592">
        <v>0</v>
      </c>
      <c r="O1592">
        <v>-0.67459019999999903</v>
      </c>
      <c r="P1592">
        <v>-0.61170329999999995</v>
      </c>
      <c r="Q1592">
        <v>0.12798889999999999</v>
      </c>
      <c r="R1592">
        <v>-0.7806651</v>
      </c>
      <c r="S1592">
        <v>-1.5521240000000001</v>
      </c>
      <c r="T1592">
        <v>-0.29838690000000001</v>
      </c>
      <c r="U1592">
        <v>-2.6843870000000001</v>
      </c>
      <c r="V1592">
        <v>-0.16666</v>
      </c>
      <c r="W1592">
        <v>0.13948050000000001</v>
      </c>
      <c r="X1592">
        <v>0.97609919999999994</v>
      </c>
      <c r="Y1592">
        <v>-0.30224190000000001</v>
      </c>
      <c r="Z1592">
        <v>5.3746019999999999E-2</v>
      </c>
      <c r="AA1592">
        <v>0.95171490000000003</v>
      </c>
      <c r="AB1592">
        <v>29</v>
      </c>
      <c r="AC1592">
        <v>-5.5798000000000298</v>
      </c>
      <c r="AD1592">
        <v>-1.113468055872</v>
      </c>
      <c r="AE1592">
        <v>-9.8135999999999903</v>
      </c>
      <c r="AF1592">
        <v>-3.4455469811667698</v>
      </c>
      <c r="AG1592">
        <v>-1.113468055872</v>
      </c>
      <c r="AH1592">
        <v>10.6360339237742</v>
      </c>
      <c r="AI1592">
        <v>95.687492423245502</v>
      </c>
      <c r="AJ1592">
        <v>107.94975013088499</v>
      </c>
      <c r="AK1592">
        <v>11.235516131382299</v>
      </c>
      <c r="AL1592">
        <v>81.982213909715099</v>
      </c>
      <c r="AM1592">
        <v>99.689295155216499</v>
      </c>
      <c r="AN1592">
        <v>1.00000000686044</v>
      </c>
    </row>
    <row r="1593" spans="1:40" x14ac:dyDescent="0.3">
      <c r="A1593" t="str">
        <f>"20200111150346327"</f>
        <v>20200111150346327</v>
      </c>
      <c r="B1593" t="str">
        <f>"1578726226319805"</f>
        <v>1578726226319805</v>
      </c>
      <c r="C1593" t="s">
        <v>40</v>
      </c>
      <c r="D1593">
        <v>5.2256489999999998</v>
      </c>
      <c r="E1593">
        <v>0.43992629999999999</v>
      </c>
      <c r="F1593" t="s">
        <v>68</v>
      </c>
      <c r="G1593">
        <v>-410.55829999999997</v>
      </c>
      <c r="H1593" s="1">
        <v>-4.0080609999999998E-6</v>
      </c>
      <c r="I1593">
        <v>123.5621</v>
      </c>
      <c r="J1593">
        <v>-405.17059999999998</v>
      </c>
      <c r="K1593">
        <v>1.1129519999999999</v>
      </c>
      <c r="L1593">
        <v>133.2885</v>
      </c>
      <c r="M1593">
        <v>-0.73102449999999997</v>
      </c>
      <c r="N1593">
        <v>0</v>
      </c>
      <c r="O1593">
        <v>-0.68217669999999997</v>
      </c>
      <c r="P1593">
        <v>-0.60245349999999998</v>
      </c>
      <c r="Q1593">
        <v>0.1272345</v>
      </c>
      <c r="R1593">
        <v>-0.78794739999999996</v>
      </c>
      <c r="S1593">
        <v>-1.521301</v>
      </c>
      <c r="T1593">
        <v>-0.3028343</v>
      </c>
      <c r="U1593">
        <v>-2.7004700000000001</v>
      </c>
      <c r="V1593">
        <v>-0.1679899</v>
      </c>
      <c r="W1593">
        <v>0.13882559999999999</v>
      </c>
      <c r="X1593">
        <v>0.97596459999999996</v>
      </c>
      <c r="Y1593">
        <v>-0.30310989999999999</v>
      </c>
      <c r="Z1593">
        <v>5.5373859999999997E-2</v>
      </c>
      <c r="AA1593">
        <v>0.95134540000000001</v>
      </c>
      <c r="AB1593">
        <v>29</v>
      </c>
      <c r="AC1593">
        <v>-5.3876999999999899</v>
      </c>
      <c r="AD1593">
        <v>-1.1129560080609999</v>
      </c>
      <c r="AE1593">
        <v>-9.7263999999999893</v>
      </c>
      <c r="AF1593">
        <v>-3.40120510140863</v>
      </c>
      <c r="AG1593">
        <v>-1.1129560080609999</v>
      </c>
      <c r="AH1593">
        <v>10.4700224494654</v>
      </c>
      <c r="AI1593">
        <v>95.772911443011296</v>
      </c>
      <c r="AJ1593">
        <v>107.996478580314</v>
      </c>
      <c r="AK1593">
        <v>11.064729427782501</v>
      </c>
      <c r="AL1593">
        <v>82.020105730871506</v>
      </c>
      <c r="AM1593">
        <v>99.766450951954695</v>
      </c>
      <c r="AN1593">
        <v>1.00000002708526</v>
      </c>
    </row>
    <row r="1594" spans="1:40" x14ac:dyDescent="0.3">
      <c r="A1594" t="str">
        <f>"20200111150346350"</f>
        <v>20200111150346350</v>
      </c>
      <c r="B1594" t="str">
        <f>"1578726226340037"</f>
        <v>1578726226340037</v>
      </c>
      <c r="C1594" t="s">
        <v>40</v>
      </c>
      <c r="D1594">
        <v>5.3757380000000001</v>
      </c>
      <c r="E1594">
        <v>0.44070540000000002</v>
      </c>
      <c r="F1594" t="s">
        <v>68</v>
      </c>
      <c r="G1594">
        <v>-410.61599999999999</v>
      </c>
      <c r="H1594" s="1">
        <v>-3.9343289999999999E-6</v>
      </c>
      <c r="I1594">
        <v>123.4093</v>
      </c>
      <c r="J1594">
        <v>-405.3725</v>
      </c>
      <c r="K1594">
        <v>1.112349</v>
      </c>
      <c r="L1594">
        <v>133.0866</v>
      </c>
      <c r="M1594">
        <v>-0.7246011</v>
      </c>
      <c r="N1594">
        <v>0</v>
      </c>
      <c r="O1594">
        <v>-0.68899790000000005</v>
      </c>
      <c r="P1594">
        <v>-0.59423630000000005</v>
      </c>
      <c r="Q1594">
        <v>0.12591250000000001</v>
      </c>
      <c r="R1594">
        <v>-0.79437329999999995</v>
      </c>
      <c r="S1594">
        <v>-1.495544</v>
      </c>
      <c r="T1594">
        <v>-0.30566850000000001</v>
      </c>
      <c r="U1594">
        <v>-2.7132869999999998</v>
      </c>
      <c r="V1594">
        <v>-0.168905</v>
      </c>
      <c r="W1594">
        <v>0.13764299999999999</v>
      </c>
      <c r="X1594">
        <v>0.97597409999999996</v>
      </c>
      <c r="Y1594">
        <v>-0.30304019999999998</v>
      </c>
      <c r="Z1594">
        <v>5.6682200000000002E-2</v>
      </c>
      <c r="AA1594">
        <v>0.95129050000000004</v>
      </c>
      <c r="AB1594">
        <v>29</v>
      </c>
      <c r="AC1594">
        <v>-5.2434999999999796</v>
      </c>
      <c r="AD1594">
        <v>-1.112352934329</v>
      </c>
      <c r="AE1594">
        <v>-9.6773000000000007</v>
      </c>
      <c r="AF1594">
        <v>-3.3654479063184399</v>
      </c>
      <c r="AG1594">
        <v>-1.112352934329</v>
      </c>
      <c r="AH1594">
        <v>10.3624771671619</v>
      </c>
      <c r="AI1594">
        <v>95.829409861000201</v>
      </c>
      <c r="AJ1594">
        <v>107.992372749194</v>
      </c>
      <c r="AK1594">
        <v>10.9519177179435</v>
      </c>
      <c r="AL1594">
        <v>82.088520073571999</v>
      </c>
      <c r="AM1594">
        <v>99.818525781898401</v>
      </c>
      <c r="AN1594">
        <v>0.99999996917240397</v>
      </c>
    </row>
    <row r="1595" spans="1:40" x14ac:dyDescent="0.3">
      <c r="A1595" t="str">
        <f>"20200111150346372"</f>
        <v>20200111150346372</v>
      </c>
      <c r="B1595" t="str">
        <f>"1578726226360533"</f>
        <v>1578726226360533</v>
      </c>
      <c r="C1595" t="s">
        <v>40</v>
      </c>
      <c r="D1595">
        <v>5.3521789999999996</v>
      </c>
      <c r="E1595">
        <v>0.44126169999999998</v>
      </c>
      <c r="F1595" t="s">
        <v>68</v>
      </c>
      <c r="G1595">
        <v>-410.59739999999999</v>
      </c>
      <c r="H1595" s="1">
        <v>-3.9420459999999997E-6</v>
      </c>
      <c r="I1595">
        <v>123.4165</v>
      </c>
      <c r="J1595">
        <v>-405.57100000000003</v>
      </c>
      <c r="K1595">
        <v>1.1116999999999999</v>
      </c>
      <c r="L1595">
        <v>132.88550000000001</v>
      </c>
      <c r="M1595">
        <v>-0.71879609999999905</v>
      </c>
      <c r="N1595">
        <v>0</v>
      </c>
      <c r="O1595">
        <v>-0.69505380000000005</v>
      </c>
      <c r="P1595">
        <v>-0.58475299999999997</v>
      </c>
      <c r="Q1595">
        <v>0.1268531</v>
      </c>
      <c r="R1595">
        <v>-0.8012319</v>
      </c>
      <c r="S1595">
        <v>-1.472321</v>
      </c>
      <c r="T1595">
        <v>-0.31344569999999999</v>
      </c>
      <c r="U1595">
        <v>-2.7248839999999999</v>
      </c>
      <c r="V1595">
        <v>-0.17201060000000001</v>
      </c>
      <c r="W1595">
        <v>0.1386947</v>
      </c>
      <c r="X1595">
        <v>0.9752826</v>
      </c>
      <c r="Y1595">
        <v>-0.30307970000000001</v>
      </c>
      <c r="Z1595">
        <v>5.8829439999999997E-2</v>
      </c>
      <c r="AA1595">
        <v>0.95114759999999998</v>
      </c>
      <c r="AB1595">
        <v>29</v>
      </c>
      <c r="AC1595">
        <v>-5.0264000000000202</v>
      </c>
      <c r="AD1595">
        <v>-1.111703942046</v>
      </c>
      <c r="AE1595">
        <v>-9.4689999999999994</v>
      </c>
      <c r="AF1595">
        <v>-3.2777983908781598</v>
      </c>
      <c r="AG1595">
        <v>-1.111703942046</v>
      </c>
      <c r="AH1595">
        <v>10.0871319640013</v>
      </c>
      <c r="AI1595">
        <v>95.983617556523797</v>
      </c>
      <c r="AJ1595">
        <v>108.001492676726</v>
      </c>
      <c r="AK1595">
        <v>10.664430561693401</v>
      </c>
      <c r="AL1595">
        <v>82.027678859589699</v>
      </c>
      <c r="AM1595">
        <v>100.002390929296</v>
      </c>
      <c r="AN1595">
        <v>1.0000000080916001</v>
      </c>
    </row>
    <row r="1596" spans="1:40" x14ac:dyDescent="0.3">
      <c r="A1596" t="str">
        <f>"20200111150346394"</f>
        <v>20200111150346394</v>
      </c>
      <c r="B1596" t="str">
        <f>"1578726226389813"</f>
        <v>1578726226389813</v>
      </c>
      <c r="C1596" t="s">
        <v>40</v>
      </c>
      <c r="D1596">
        <v>5.2537520000000004</v>
      </c>
      <c r="E1596">
        <v>0.45611770000000001</v>
      </c>
      <c r="F1596" t="s">
        <v>68</v>
      </c>
      <c r="G1596">
        <v>-410.71879999999999</v>
      </c>
      <c r="H1596" s="1">
        <v>-3.8026089999999998E-6</v>
      </c>
      <c r="I1596">
        <v>123.136</v>
      </c>
      <c r="J1596">
        <v>-405.77800000000002</v>
      </c>
      <c r="K1596">
        <v>1.1110709999999999</v>
      </c>
      <c r="L1596">
        <v>132.67330000000001</v>
      </c>
      <c r="M1596">
        <v>-0.71320399999999995</v>
      </c>
      <c r="N1596">
        <v>0</v>
      </c>
      <c r="O1596">
        <v>-0.70079279999999999</v>
      </c>
      <c r="P1596">
        <v>-0.57457510000000001</v>
      </c>
      <c r="Q1596">
        <v>0.12832080000000001</v>
      </c>
      <c r="R1596">
        <v>-0.80833009999999905</v>
      </c>
      <c r="S1596">
        <v>-1.4459229999999901</v>
      </c>
      <c r="T1596">
        <v>-0.31225439999999999</v>
      </c>
      <c r="U1596">
        <v>-2.7384339999999998</v>
      </c>
      <c r="V1596">
        <v>-0.1761711</v>
      </c>
      <c r="W1596">
        <v>0.1402581</v>
      </c>
      <c r="X1596">
        <v>0.97431590000000001</v>
      </c>
      <c r="Y1596">
        <v>-0.30455860000000001</v>
      </c>
      <c r="Z1596">
        <v>5.922206E-2</v>
      </c>
      <c r="AA1596">
        <v>0.95065080000000002</v>
      </c>
      <c r="AB1596">
        <v>29</v>
      </c>
      <c r="AC1596">
        <v>-4.9407999999999603</v>
      </c>
      <c r="AD1596">
        <v>-1.1110748026089901</v>
      </c>
      <c r="AE1596">
        <v>-9.5373000000000001</v>
      </c>
      <c r="AF1596">
        <v>-3.3045873300834701</v>
      </c>
      <c r="AG1596">
        <v>-1.1110748026089901</v>
      </c>
      <c r="AH1596">
        <v>10.100564022914</v>
      </c>
      <c r="AI1596">
        <v>95.968482283273502</v>
      </c>
      <c r="AJ1596">
        <v>108.116470906348</v>
      </c>
      <c r="AK1596">
        <v>10.685325368004699</v>
      </c>
      <c r="AL1596">
        <v>81.937218608087093</v>
      </c>
      <c r="AM1596">
        <v>100.249207586762</v>
      </c>
      <c r="AN1596">
        <v>1.0000000320418101</v>
      </c>
    </row>
    <row r="1597" spans="1:40" x14ac:dyDescent="0.3">
      <c r="A1597" t="str">
        <f>"20200111150346417"</f>
        <v>20200111150346417</v>
      </c>
      <c r="B1597" t="str">
        <f>"1578726226410309"</f>
        <v>1578726226410309</v>
      </c>
      <c r="C1597" t="s">
        <v>40</v>
      </c>
      <c r="D1597">
        <v>5.2796250000000002</v>
      </c>
      <c r="E1597">
        <v>0.46010610000000002</v>
      </c>
      <c r="F1597" t="s">
        <v>68</v>
      </c>
      <c r="G1597">
        <v>-409.43520000000001</v>
      </c>
      <c r="H1597">
        <v>7.9987639999999999E-2</v>
      </c>
      <c r="I1597">
        <v>126.19970000000001</v>
      </c>
      <c r="J1597">
        <v>-405.97820000000002</v>
      </c>
      <c r="K1597">
        <v>1.1104909999999999</v>
      </c>
      <c r="L1597">
        <v>132.46600000000001</v>
      </c>
      <c r="M1597">
        <v>-0.7083024</v>
      </c>
      <c r="N1597">
        <v>0</v>
      </c>
      <c r="O1597">
        <v>-0.7057483</v>
      </c>
      <c r="P1597">
        <v>-0.56683779999999995</v>
      </c>
      <c r="Q1597">
        <v>0.1269092</v>
      </c>
      <c r="R1597">
        <v>-0.81399589999999999</v>
      </c>
      <c r="S1597">
        <v>-1.5234379999999901</v>
      </c>
      <c r="T1597">
        <v>-0.42950709999999998</v>
      </c>
      <c r="U1597">
        <v>-2.6966399999999999</v>
      </c>
      <c r="V1597">
        <v>-0.1786083</v>
      </c>
      <c r="W1597">
        <v>0.13897709999999999</v>
      </c>
      <c r="X1597">
        <v>0.97405560000000002</v>
      </c>
      <c r="Y1597">
        <v>-0.27185989999999999</v>
      </c>
      <c r="Z1597">
        <v>8.3654709999999993E-2</v>
      </c>
      <c r="AA1597">
        <v>0.95869389999999999</v>
      </c>
      <c r="AB1597">
        <v>29</v>
      </c>
      <c r="AC1597">
        <v>-3.4569999999999901</v>
      </c>
      <c r="AD1597">
        <v>-1.03050336</v>
      </c>
      <c r="AE1597">
        <v>-6.2663000000000002</v>
      </c>
      <c r="AF1597">
        <v>-1.9582873993110199</v>
      </c>
      <c r="AG1597">
        <v>-1.03050336</v>
      </c>
      <c r="AH1597">
        <v>6.7322266211473103</v>
      </c>
      <c r="AI1597">
        <v>98.361372517282007</v>
      </c>
      <c r="AJ1597">
        <v>106.218792851961</v>
      </c>
      <c r="AK1597">
        <v>7.0865860604212099</v>
      </c>
      <c r="AL1597">
        <v>82.011339715602006</v>
      </c>
      <c r="AM1597">
        <v>100.390647027322</v>
      </c>
      <c r="AN1597">
        <v>0.99999993552232702</v>
      </c>
    </row>
    <row r="1598" spans="1:40" x14ac:dyDescent="0.3">
      <c r="A1598" t="str">
        <f>"20200111150346439"</f>
        <v>20200111150346439</v>
      </c>
      <c r="B1598" t="str">
        <f>"1578726226429830"</f>
        <v>1578726226429830</v>
      </c>
      <c r="C1598" t="s">
        <v>40</v>
      </c>
      <c r="D1598">
        <v>5.2733420000000004</v>
      </c>
      <c r="E1598">
        <v>0.46180870000000002</v>
      </c>
      <c r="F1598" t="s">
        <v>68</v>
      </c>
      <c r="G1598">
        <v>-410.45080000000002</v>
      </c>
      <c r="H1598" s="1">
        <v>-4.4587390000000002E-6</v>
      </c>
      <c r="I1598">
        <v>124.5485</v>
      </c>
      <c r="J1598">
        <v>-406.17469999999997</v>
      </c>
      <c r="K1598">
        <v>1.109899</v>
      </c>
      <c r="L1598">
        <v>132.26089999999999</v>
      </c>
      <c r="M1598">
        <v>-0.70405629999999997</v>
      </c>
      <c r="N1598">
        <v>0</v>
      </c>
      <c r="O1598">
        <v>-0.70998609999999995</v>
      </c>
      <c r="P1598">
        <v>-0.56194480000000002</v>
      </c>
      <c r="Q1598">
        <v>0.1252093</v>
      </c>
      <c r="R1598">
        <v>-0.81764340000000002</v>
      </c>
      <c r="S1598">
        <v>-1.5179750000000001</v>
      </c>
      <c r="T1598">
        <v>-0.37689990000000001</v>
      </c>
      <c r="U1598">
        <v>-2.687195</v>
      </c>
      <c r="V1598">
        <v>-0.17856429999999901</v>
      </c>
      <c r="W1598">
        <v>0.13745789999999999</v>
      </c>
      <c r="X1598">
        <v>0.97427929999999996</v>
      </c>
      <c r="Y1598">
        <v>-0.26564660000000001</v>
      </c>
      <c r="Z1598">
        <v>7.4654040000000005E-2</v>
      </c>
      <c r="AA1598">
        <v>0.96117569999999997</v>
      </c>
      <c r="AB1598">
        <v>29</v>
      </c>
      <c r="AC1598">
        <v>-4.2761000000000404</v>
      </c>
      <c r="AD1598">
        <v>-1.109903458739</v>
      </c>
      <c r="AE1598">
        <v>-7.7123999999999802</v>
      </c>
      <c r="AF1598">
        <v>-2.3569251593709302</v>
      </c>
      <c r="AG1598">
        <v>-1.109903458739</v>
      </c>
      <c r="AH1598">
        <v>8.3549151676271105</v>
      </c>
      <c r="AI1598">
        <v>97.285987294616703</v>
      </c>
      <c r="AJ1598">
        <v>105.753782076513</v>
      </c>
      <c r="AK1598">
        <v>8.7516620908740492</v>
      </c>
      <c r="AL1598">
        <v>82.099227693274102</v>
      </c>
      <c r="AM1598">
        <v>100.385809770424</v>
      </c>
      <c r="AN1598">
        <v>1.0000000189576901</v>
      </c>
    </row>
    <row r="1599" spans="1:40" x14ac:dyDescent="0.3">
      <c r="A1599" t="str">
        <f>"20200111150346461"</f>
        <v>20200111150346461</v>
      </c>
      <c r="B1599" t="str">
        <f>"1578726226449940"</f>
        <v>1578726226449940</v>
      </c>
      <c r="C1599" t="s">
        <v>40</v>
      </c>
      <c r="D1599">
        <v>5.3729110000000002</v>
      </c>
      <c r="E1599">
        <v>0.45839560000000001</v>
      </c>
      <c r="F1599" t="s">
        <v>68</v>
      </c>
      <c r="G1599">
        <v>-410.83260000000001</v>
      </c>
      <c r="H1599" s="1">
        <v>-4.0941959999999996E-6</v>
      </c>
      <c r="I1599">
        <v>123.9787</v>
      </c>
      <c r="J1599">
        <v>-406.37700000000001</v>
      </c>
      <c r="K1599">
        <v>1.109251</v>
      </c>
      <c r="L1599">
        <v>132.04839999999999</v>
      </c>
      <c r="M1599">
        <v>-0.70030590000000004</v>
      </c>
      <c r="N1599">
        <v>0</v>
      </c>
      <c r="O1599">
        <v>-0.71368730000000002</v>
      </c>
      <c r="P1599">
        <v>-0.55773850000000003</v>
      </c>
      <c r="Q1599">
        <v>0.12635080000000001</v>
      </c>
      <c r="R1599">
        <v>-0.8203435</v>
      </c>
      <c r="S1599">
        <v>-1.5105900000000001</v>
      </c>
      <c r="T1599">
        <v>-0.35995480000000002</v>
      </c>
      <c r="U1599">
        <v>-2.6860200000000001</v>
      </c>
      <c r="V1599">
        <v>-0.17809939999999999</v>
      </c>
      <c r="W1599">
        <v>0.13880479999999901</v>
      </c>
      <c r="X1599">
        <v>0.97417339999999997</v>
      </c>
      <c r="Y1599">
        <v>-0.26226149999999998</v>
      </c>
      <c r="Z1599">
        <v>7.2072929999999993E-2</v>
      </c>
      <c r="AA1599">
        <v>0.96230159999999998</v>
      </c>
      <c r="AB1599">
        <v>29</v>
      </c>
      <c r="AC1599">
        <v>-4.45560000000006</v>
      </c>
      <c r="AD1599">
        <v>-1.109255094196</v>
      </c>
      <c r="AE1599">
        <v>-8.0696999999999797</v>
      </c>
      <c r="AF1599">
        <v>-2.4363482138791999</v>
      </c>
      <c r="AG1599">
        <v>-1.109255094196</v>
      </c>
      <c r="AH1599">
        <v>8.7537524552229993</v>
      </c>
      <c r="AI1599">
        <v>96.960094748992901</v>
      </c>
      <c r="AJ1599">
        <v>105.55297184336401</v>
      </c>
      <c r="AK1599">
        <v>9.1539292946032091</v>
      </c>
      <c r="AL1599">
        <v>82.021308844453699</v>
      </c>
      <c r="AM1599">
        <v>100.360457805908</v>
      </c>
      <c r="AN1599">
        <v>0.99999999102547898</v>
      </c>
    </row>
    <row r="1600" spans="1:40" x14ac:dyDescent="0.3">
      <c r="A1600" t="str">
        <f>"20200111150346484"</f>
        <v>20200111150346484</v>
      </c>
      <c r="B1600" t="str">
        <f>"1578726226480196"</f>
        <v>1578726226480196</v>
      </c>
      <c r="C1600" t="s">
        <v>40</v>
      </c>
      <c r="D1600">
        <v>5.453449</v>
      </c>
      <c r="E1600">
        <v>0.43014239999999998</v>
      </c>
      <c r="F1600" t="s">
        <v>68</v>
      </c>
      <c r="G1600">
        <v>-410.89299999999997</v>
      </c>
      <c r="H1600" s="1">
        <v>-3.9956950000000002E-6</v>
      </c>
      <c r="I1600">
        <v>123.7629</v>
      </c>
      <c r="J1600">
        <v>-406.57409999999999</v>
      </c>
      <c r="K1600">
        <v>1.1085780000000001</v>
      </c>
      <c r="L1600">
        <v>131.84039999999999</v>
      </c>
      <c r="M1600">
        <v>-0.69725219999999999</v>
      </c>
      <c r="N1600">
        <v>0</v>
      </c>
      <c r="O1600">
        <v>-0.7166728</v>
      </c>
      <c r="P1600">
        <v>-0.55286049999999998</v>
      </c>
      <c r="Q1600">
        <v>0.1292007</v>
      </c>
      <c r="R1600">
        <v>-0.82319659999999995</v>
      </c>
      <c r="S1600">
        <v>-1.476532</v>
      </c>
      <c r="T1600">
        <v>-0.36267569999999999</v>
      </c>
      <c r="U1600">
        <v>-2.7089840000000001</v>
      </c>
      <c r="V1600">
        <v>-0.17920649999999999</v>
      </c>
      <c r="W1600">
        <v>0.1418547</v>
      </c>
      <c r="X1600">
        <v>0.97353080000000003</v>
      </c>
      <c r="Y1600">
        <v>-0.2709048</v>
      </c>
      <c r="Z1600">
        <v>7.2551329999999997E-2</v>
      </c>
      <c r="AA1600">
        <v>0.9598681</v>
      </c>
      <c r="AB1600">
        <v>29</v>
      </c>
      <c r="AC1600">
        <v>-4.3189000000000402</v>
      </c>
      <c r="AD1600">
        <v>-1.108581995695</v>
      </c>
      <c r="AE1600">
        <v>-8.0774999999999793</v>
      </c>
      <c r="AF1600">
        <v>-2.5004679682594202</v>
      </c>
      <c r="AG1600">
        <v>-1.108581995695</v>
      </c>
      <c r="AH1600">
        <v>8.6741930355851196</v>
      </c>
      <c r="AI1600">
        <v>97.0009788726652</v>
      </c>
      <c r="AJ1600">
        <v>106.080430460716</v>
      </c>
      <c r="AK1600">
        <v>9.0952140667531207</v>
      </c>
      <c r="AL1600">
        <v>81.844815787443906</v>
      </c>
      <c r="AM1600">
        <v>100.43018227072599</v>
      </c>
      <c r="AN1600">
        <v>0.99999997205148905</v>
      </c>
    </row>
    <row r="1601" spans="1:40" x14ac:dyDescent="0.3">
      <c r="A1601" t="str">
        <f>"20200111150346507"</f>
        <v>20200111150346507</v>
      </c>
      <c r="B1601" t="str">
        <f>"1578726226499715"</f>
        <v>1578726226499715</v>
      </c>
      <c r="C1601" t="s">
        <v>40</v>
      </c>
      <c r="D1601">
        <v>5.4652000000000003</v>
      </c>
      <c r="E1601">
        <v>0.43153940000000002</v>
      </c>
      <c r="F1601" t="s">
        <v>68</v>
      </c>
      <c r="G1601">
        <v>-411.3229</v>
      </c>
      <c r="H1601" s="1">
        <v>-2.9103089999999999E-6</v>
      </c>
      <c r="I1601">
        <v>121.22069999999999</v>
      </c>
      <c r="J1601">
        <v>-406.77629999999999</v>
      </c>
      <c r="K1601">
        <v>1.107866</v>
      </c>
      <c r="L1601">
        <v>131.62649999999999</v>
      </c>
      <c r="M1601">
        <v>-0.69472149999999999</v>
      </c>
      <c r="N1601">
        <v>0</v>
      </c>
      <c r="O1601">
        <v>-0.71912769999999904</v>
      </c>
      <c r="P1601">
        <v>-0.5489174</v>
      </c>
      <c r="Q1601">
        <v>0.1316918</v>
      </c>
      <c r="R1601">
        <v>-0.82543729999999904</v>
      </c>
      <c r="S1601">
        <v>-1.2692570000000001</v>
      </c>
      <c r="T1601">
        <v>-0.29629650000000002</v>
      </c>
      <c r="U1601">
        <v>-2.8383790000000002</v>
      </c>
      <c r="V1601">
        <v>-0.17992439999999901</v>
      </c>
      <c r="W1601">
        <v>0.14457619999999999</v>
      </c>
      <c r="X1601">
        <v>0.97299789999999997</v>
      </c>
      <c r="Y1601">
        <v>-0.34146100000000001</v>
      </c>
      <c r="Z1601">
        <v>5.6681349999999998E-2</v>
      </c>
      <c r="AA1601">
        <v>0.9381853</v>
      </c>
      <c r="AB1601">
        <v>29</v>
      </c>
      <c r="AC1601">
        <v>-4.5466000000000104</v>
      </c>
      <c r="AD1601">
        <v>-1.107868910309</v>
      </c>
      <c r="AE1601">
        <v>-10.405799999999999</v>
      </c>
      <c r="AF1601">
        <v>-3.9226415477445502</v>
      </c>
      <c r="AG1601">
        <v>-1.107868910309</v>
      </c>
      <c r="AH1601">
        <v>10.5425323572866</v>
      </c>
      <c r="AI1601">
        <v>95.624867227847403</v>
      </c>
      <c r="AJ1601">
        <v>110.409113344896</v>
      </c>
      <c r="AK1601">
        <v>11.303073862403799</v>
      </c>
      <c r="AL1601">
        <v>81.687261273391599</v>
      </c>
      <c r="AM1601">
        <v>100.476651062868</v>
      </c>
      <c r="AN1601">
        <v>0.99999999036310405</v>
      </c>
    </row>
    <row r="1602" spans="1:40" x14ac:dyDescent="0.3">
      <c r="A1602" t="str">
        <f>"20200111150346528"</f>
        <v>20200111150346528</v>
      </c>
      <c r="B1602" t="str">
        <f>"1578726226520211"</f>
        <v>1578726226520211</v>
      </c>
      <c r="C1602" t="s">
        <v>40</v>
      </c>
      <c r="D1602">
        <v>5.3429399999999996</v>
      </c>
      <c r="E1602">
        <v>0.43228299999999997</v>
      </c>
      <c r="F1602" t="s">
        <v>68</v>
      </c>
      <c r="G1602">
        <v>-411.97390000000001</v>
      </c>
      <c r="H1602" s="1">
        <v>-2.2568059999999999E-6</v>
      </c>
      <c r="I1602">
        <v>119.9632</v>
      </c>
      <c r="J1602">
        <v>-406.97269999999997</v>
      </c>
      <c r="K1602">
        <v>1.107183</v>
      </c>
      <c r="L1602">
        <v>131.41849999999999</v>
      </c>
      <c r="M1602">
        <v>-0.69284760000000001</v>
      </c>
      <c r="N1602">
        <v>0</v>
      </c>
      <c r="O1602">
        <v>-0.72093459999999998</v>
      </c>
      <c r="P1602">
        <v>-0.54644250000000005</v>
      </c>
      <c r="Q1602">
        <v>0.132485299999999</v>
      </c>
      <c r="R1602">
        <v>-0.8269514</v>
      </c>
      <c r="S1602">
        <v>-1.26416</v>
      </c>
      <c r="T1602">
        <v>-0.26945560000000002</v>
      </c>
      <c r="U1602">
        <v>-2.8367309999999999</v>
      </c>
      <c r="V1602">
        <v>-0.17997769999999999</v>
      </c>
      <c r="W1602">
        <v>0.1456066</v>
      </c>
      <c r="X1602">
        <v>0.97283439999999999</v>
      </c>
      <c r="Y1602">
        <v>-0.3400878</v>
      </c>
      <c r="Z1602">
        <v>5.1866990000000002E-2</v>
      </c>
      <c r="AA1602">
        <v>0.93896219999999997</v>
      </c>
      <c r="AB1602">
        <v>29</v>
      </c>
      <c r="AC1602">
        <v>-5.0012000000000398</v>
      </c>
      <c r="AD1602">
        <v>-1.1071852568060001</v>
      </c>
      <c r="AE1602">
        <v>-11.4552999999999</v>
      </c>
      <c r="AF1602">
        <v>-4.29798290640991</v>
      </c>
      <c r="AG1602">
        <v>-1.1071852568060001</v>
      </c>
      <c r="AH1602">
        <v>11.6335755543149</v>
      </c>
      <c r="AI1602">
        <v>95.101489443154094</v>
      </c>
      <c r="AJ1602">
        <v>110.276570477544</v>
      </c>
      <c r="AK1602">
        <v>12.451449571621501</v>
      </c>
      <c r="AL1602">
        <v>81.627592480588504</v>
      </c>
      <c r="AM1602">
        <v>100.48140811825699</v>
      </c>
      <c r="AN1602">
        <v>1.0000000121421</v>
      </c>
    </row>
    <row r="1603" spans="1:40" x14ac:dyDescent="0.3">
      <c r="A1603" t="str">
        <f>"20200111150346551"</f>
        <v>20200111150346551</v>
      </c>
      <c r="B1603" t="str">
        <f>"1578726226540527"</f>
        <v>1578726226540527</v>
      </c>
      <c r="C1603" t="s">
        <v>40</v>
      </c>
      <c r="D1603">
        <v>5.2431549999999998</v>
      </c>
      <c r="E1603">
        <v>0.43281229999999998</v>
      </c>
      <c r="F1603" t="s">
        <v>41</v>
      </c>
      <c r="G1603">
        <v>-412.26350000000002</v>
      </c>
      <c r="H1603" s="1">
        <v>-5.6069280000000004E-6</v>
      </c>
      <c r="I1603">
        <v>119.5038</v>
      </c>
      <c r="J1603">
        <v>-407.17140000000001</v>
      </c>
      <c r="K1603">
        <v>1.106555</v>
      </c>
      <c r="L1603">
        <v>131.20830000000001</v>
      </c>
      <c r="M1603">
        <v>-0.69154079999999996</v>
      </c>
      <c r="N1603">
        <v>0</v>
      </c>
      <c r="O1603">
        <v>-0.72218959999999999</v>
      </c>
      <c r="P1603">
        <v>-0.54613650000000002</v>
      </c>
      <c r="Q1603">
        <v>0.13315869999999999</v>
      </c>
      <c r="R1603">
        <v>-0.82704569999999999</v>
      </c>
      <c r="S1603">
        <v>-1.259979</v>
      </c>
      <c r="T1603">
        <v>-0.26367200000000002</v>
      </c>
      <c r="U1603">
        <v>-2.8374329999999999</v>
      </c>
      <c r="V1603">
        <v>-0.17826979999999901</v>
      </c>
      <c r="W1603">
        <v>0.14651610000000001</v>
      </c>
      <c r="X1603">
        <v>0.97301230000000005</v>
      </c>
      <c r="Y1603">
        <v>-0.33960089999999998</v>
      </c>
      <c r="Z1603">
        <v>5.0918350000000001E-2</v>
      </c>
      <c r="AA1603">
        <v>0.93919039999999998</v>
      </c>
      <c r="AB1603">
        <v>29</v>
      </c>
      <c r="AC1603">
        <v>-5.0921000000000101</v>
      </c>
      <c r="AD1603">
        <v>-1.1065606069279901</v>
      </c>
      <c r="AE1603">
        <v>-11.704499999999999</v>
      </c>
      <c r="AF1603">
        <v>-4.3841993408214401</v>
      </c>
      <c r="AG1603">
        <v>-1.1065606069279901</v>
      </c>
      <c r="AH1603">
        <v>11.8862096550389</v>
      </c>
      <c r="AI1603">
        <v>94.991777709532599</v>
      </c>
      <c r="AJ1603">
        <v>110.246372623892</v>
      </c>
      <c r="AK1603">
        <v>12.7172190435018</v>
      </c>
      <c r="AL1603">
        <v>81.574917055438107</v>
      </c>
      <c r="AM1603">
        <v>100.38226120103801</v>
      </c>
      <c r="AN1603">
        <v>1.00000001255127</v>
      </c>
    </row>
    <row r="1604" spans="1:40" x14ac:dyDescent="0.3">
      <c r="A1604" t="str">
        <f>"20200111150346572"</f>
        <v>20200111150346572</v>
      </c>
      <c r="B1604" t="str">
        <f>"1578726226569807"</f>
        <v>1578726226569807</v>
      </c>
      <c r="C1604" t="s">
        <v>40</v>
      </c>
      <c r="D1604">
        <v>5.3106090000000004</v>
      </c>
      <c r="E1604">
        <v>0.43399870000000002</v>
      </c>
      <c r="F1604" t="s">
        <v>41</v>
      </c>
      <c r="G1604">
        <v>-412.54410000000001</v>
      </c>
      <c r="H1604" s="1">
        <v>-5.3923229999999996E-6</v>
      </c>
      <c r="I1604">
        <v>119.1195</v>
      </c>
      <c r="J1604">
        <v>-407.3691</v>
      </c>
      <c r="K1604">
        <v>1.106007</v>
      </c>
      <c r="L1604">
        <v>130.99940000000001</v>
      </c>
      <c r="M1604">
        <v>-0.69072469999999997</v>
      </c>
      <c r="N1604">
        <v>0</v>
      </c>
      <c r="O1604">
        <v>-0.72297109999999998</v>
      </c>
      <c r="P1604">
        <v>-0.54654700000000001</v>
      </c>
      <c r="Q1604">
        <v>0.13340189999999999</v>
      </c>
      <c r="R1604">
        <v>-0.82673459999999999</v>
      </c>
      <c r="S1604">
        <v>-1.2607120000000001</v>
      </c>
      <c r="T1604">
        <v>-0.25965769999999999</v>
      </c>
      <c r="U1604">
        <v>-2.8366699999999998</v>
      </c>
      <c r="V1604">
        <v>-0.17645469999999999</v>
      </c>
      <c r="W1604">
        <v>0.14696129999999999</v>
      </c>
      <c r="X1604">
        <v>0.97327600000000003</v>
      </c>
      <c r="Y1604">
        <v>-0.33822600000000003</v>
      </c>
      <c r="Z1604">
        <v>5.0274199999999998E-2</v>
      </c>
      <c r="AA1604">
        <v>0.93972100000000003</v>
      </c>
      <c r="AB1604">
        <v>29</v>
      </c>
      <c r="AC1604">
        <v>-5.1750000000000096</v>
      </c>
      <c r="AD1604">
        <v>-1.1060123923230001</v>
      </c>
      <c r="AE1604">
        <v>-11.879899999999999</v>
      </c>
      <c r="AF1604">
        <v>-4.4325469884878501</v>
      </c>
      <c r="AG1604">
        <v>-1.1060123923230001</v>
      </c>
      <c r="AH1604">
        <v>12.0766355782687</v>
      </c>
      <c r="AI1604">
        <v>94.913904335559707</v>
      </c>
      <c r="AJ1604">
        <v>110.154900127253</v>
      </c>
      <c r="AK1604">
        <v>12.9118497167304</v>
      </c>
      <c r="AL1604">
        <v>81.549129971187796</v>
      </c>
      <c r="AM1604">
        <v>100.276090676343</v>
      </c>
      <c r="AN1604">
        <v>1.0000000285128801</v>
      </c>
    </row>
    <row r="1605" spans="1:40" x14ac:dyDescent="0.3">
      <c r="A1605" t="str">
        <f>"20200111150346596"</f>
        <v>20200111150346596</v>
      </c>
      <c r="B1605" t="str">
        <f>"1578726226590305"</f>
        <v>1578726226590305</v>
      </c>
      <c r="C1605" t="s">
        <v>40</v>
      </c>
      <c r="D1605">
        <v>5.2133180000000001</v>
      </c>
      <c r="E1605">
        <v>0.4350175</v>
      </c>
      <c r="F1605" t="s">
        <v>41</v>
      </c>
      <c r="G1605">
        <v>-412.73090000000002</v>
      </c>
      <c r="H1605" s="1">
        <v>-5.3255759999999996E-6</v>
      </c>
      <c r="I1605">
        <v>119.0412</v>
      </c>
      <c r="J1605">
        <v>-407.57530000000003</v>
      </c>
      <c r="K1605">
        <v>1.1055489999999999</v>
      </c>
      <c r="L1605">
        <v>130.7818</v>
      </c>
      <c r="M1605">
        <v>-0.69025019999999904</v>
      </c>
      <c r="N1605">
        <v>0</v>
      </c>
      <c r="O1605">
        <v>-0.72342530000000005</v>
      </c>
      <c r="P1605">
        <v>-0.54717450000000001</v>
      </c>
      <c r="Q1605">
        <v>0.1345016</v>
      </c>
      <c r="R1605">
        <v>-0.82614120000000002</v>
      </c>
      <c r="S1605">
        <v>-1.2696529999999999</v>
      </c>
      <c r="T1605">
        <v>-0.26189990000000002</v>
      </c>
      <c r="U1605">
        <v>-2.8316650000000001</v>
      </c>
      <c r="V1605">
        <v>-0.17478450000000001</v>
      </c>
      <c r="W1605">
        <v>0.14821870000000001</v>
      </c>
      <c r="X1605">
        <v>0.97338659999999999</v>
      </c>
      <c r="Y1605">
        <v>-0.33453280000000002</v>
      </c>
      <c r="Z1605">
        <v>5.0883400000000002E-2</v>
      </c>
      <c r="AA1605">
        <v>0.9410094</v>
      </c>
      <c r="AB1605">
        <v>29</v>
      </c>
      <c r="AC1605">
        <v>-5.15559999999999</v>
      </c>
      <c r="AD1605">
        <v>-1.1055543255760001</v>
      </c>
      <c r="AE1605">
        <v>-11.740600000000001</v>
      </c>
      <c r="AF1605">
        <v>-4.3424404141741402</v>
      </c>
      <c r="AG1605">
        <v>-1.1055543255760001</v>
      </c>
      <c r="AH1605">
        <v>11.9644306094364</v>
      </c>
      <c r="AI1605">
        <v>94.964216337285507</v>
      </c>
      <c r="AJ1605">
        <v>109.94815571697499</v>
      </c>
      <c r="AK1605">
        <v>12.7760181169827</v>
      </c>
      <c r="AL1605">
        <v>81.476287770800596</v>
      </c>
      <c r="AM1605">
        <v>100.17973547726599</v>
      </c>
      <c r="AN1605">
        <v>0.99999993876474802</v>
      </c>
    </row>
    <row r="1606" spans="1:40" x14ac:dyDescent="0.3">
      <c r="A1606" t="str">
        <f>"20200111150346618"</f>
        <v>20200111150346618</v>
      </c>
      <c r="B1606" t="str">
        <f>"1578726226609823"</f>
        <v>1578726226609823</v>
      </c>
      <c r="C1606" t="s">
        <v>40</v>
      </c>
      <c r="D1606">
        <v>5.3002089999999997</v>
      </c>
      <c r="E1606">
        <v>0.43618489999999999</v>
      </c>
      <c r="F1606" t="s">
        <v>41</v>
      </c>
      <c r="G1606">
        <v>-412.95319999999998</v>
      </c>
      <c r="H1606" s="1">
        <v>-5.2197159999999998E-6</v>
      </c>
      <c r="I1606">
        <v>118.88630000000001</v>
      </c>
      <c r="J1606">
        <v>-407.77019999999999</v>
      </c>
      <c r="K1606">
        <v>1.1052150000000001</v>
      </c>
      <c r="L1606">
        <v>130.57660000000001</v>
      </c>
      <c r="M1606">
        <v>-0.69006719999999999</v>
      </c>
      <c r="N1606">
        <v>0</v>
      </c>
      <c r="O1606">
        <v>-0.72360080000000004</v>
      </c>
      <c r="P1606">
        <v>-0.54810150000000002</v>
      </c>
      <c r="Q1606">
        <v>0.136077799999999</v>
      </c>
      <c r="R1606">
        <v>-0.82526840000000001</v>
      </c>
      <c r="S1606">
        <v>-1.2782899999999999</v>
      </c>
      <c r="T1606">
        <v>-0.26278410000000002</v>
      </c>
      <c r="U1606">
        <v>-2.827499</v>
      </c>
      <c r="V1606">
        <v>-0.173141299999999</v>
      </c>
      <c r="W1606">
        <v>0.14990059999999999</v>
      </c>
      <c r="X1606">
        <v>0.97342280000000003</v>
      </c>
      <c r="Y1606">
        <v>-0.33139479999999999</v>
      </c>
      <c r="Z1606">
        <v>5.117563E-2</v>
      </c>
      <c r="AA1606">
        <v>0.94210329999999998</v>
      </c>
      <c r="AB1606">
        <v>29</v>
      </c>
      <c r="AC1606">
        <v>-5.1829999999999901</v>
      </c>
      <c r="AD1606">
        <v>-1.1052202197159999</v>
      </c>
      <c r="AE1606">
        <v>-11.690300000000001</v>
      </c>
      <c r="AF1606">
        <v>-4.2851121609038199</v>
      </c>
      <c r="AG1606">
        <v>-1.1052202197159999</v>
      </c>
      <c r="AH1606">
        <v>11.947740231645</v>
      </c>
      <c r="AI1606">
        <v>94.976400141387202</v>
      </c>
      <c r="AJ1606">
        <v>109.73060619759499</v>
      </c>
      <c r="AK1606">
        <v>12.740965214946</v>
      </c>
      <c r="AL1606">
        <v>81.3788339758013</v>
      </c>
      <c r="AM1606">
        <v>100.085639324147</v>
      </c>
      <c r="AN1606">
        <v>1.00000002360294</v>
      </c>
    </row>
    <row r="1607" spans="1:40" x14ac:dyDescent="0.3">
      <c r="A1607" t="str">
        <f>"20200111150346639"</f>
        <v>20200111150346639</v>
      </c>
      <c r="B1607" t="str">
        <f>"1578726226630319"</f>
        <v>1578726226630319</v>
      </c>
      <c r="C1607" t="s">
        <v>40</v>
      </c>
      <c r="D1607">
        <v>5.3844019999999997</v>
      </c>
      <c r="E1607">
        <v>0.43703619999999999</v>
      </c>
      <c r="F1607" t="s">
        <v>41</v>
      </c>
      <c r="G1607">
        <v>-413.24919999999997</v>
      </c>
      <c r="H1607" s="1">
        <v>-5.0390899999999999E-6</v>
      </c>
      <c r="I1607">
        <v>118.5877</v>
      </c>
      <c r="J1607">
        <v>-407.96260000000001</v>
      </c>
      <c r="K1607">
        <v>1.104959</v>
      </c>
      <c r="L1607">
        <v>130.37440000000001</v>
      </c>
      <c r="M1607">
        <v>-0.69006659999999997</v>
      </c>
      <c r="N1607">
        <v>0</v>
      </c>
      <c r="O1607">
        <v>-0.72360239999999998</v>
      </c>
      <c r="P1607">
        <v>-0.54906809999999995</v>
      </c>
      <c r="Q1607">
        <v>0.1369756</v>
      </c>
      <c r="R1607">
        <v>-0.82447719999999902</v>
      </c>
      <c r="S1607">
        <v>-1.28949</v>
      </c>
      <c r="T1607">
        <v>-0.2601155</v>
      </c>
      <c r="U1607">
        <v>-2.821609</v>
      </c>
      <c r="V1607">
        <v>-0.17180049999999999</v>
      </c>
      <c r="W1607">
        <v>0.1508698</v>
      </c>
      <c r="X1607">
        <v>0.9735106</v>
      </c>
      <c r="Y1607">
        <v>-0.32754749999999999</v>
      </c>
      <c r="Z1607">
        <v>5.0791679999999999E-2</v>
      </c>
      <c r="AA1607">
        <v>0.94346850000000004</v>
      </c>
      <c r="AB1607">
        <v>29</v>
      </c>
      <c r="AC1607">
        <v>-5.28659999999996</v>
      </c>
      <c r="AD1607">
        <v>-1.10496403909</v>
      </c>
      <c r="AE1607">
        <v>-11.7867</v>
      </c>
      <c r="AF1607">
        <v>-4.2773633728755103</v>
      </c>
      <c r="AG1607">
        <v>-1.10496403909</v>
      </c>
      <c r="AH1607">
        <v>12.0897993464755</v>
      </c>
      <c r="AI1607">
        <v>94.924595314587293</v>
      </c>
      <c r="AJ1607">
        <v>109.483747212811</v>
      </c>
      <c r="AK1607">
        <v>12.8716755393126</v>
      </c>
      <c r="AL1607">
        <v>81.322663891316694</v>
      </c>
      <c r="AM1607">
        <v>100.008237320647</v>
      </c>
      <c r="AN1607">
        <v>0.999999998332324</v>
      </c>
    </row>
    <row r="1608" spans="1:40" x14ac:dyDescent="0.3">
      <c r="A1608" t="str">
        <f>"20200111150346662"</f>
        <v>20200111150346662</v>
      </c>
      <c r="B1608" t="str">
        <f>"1578726226650448"</f>
        <v>1578726226650448</v>
      </c>
      <c r="C1608" t="s">
        <v>40</v>
      </c>
      <c r="D1608">
        <v>5.2841060000000004</v>
      </c>
      <c r="E1608">
        <v>0.43769429999999998</v>
      </c>
      <c r="F1608" t="s">
        <v>41</v>
      </c>
      <c r="G1608">
        <v>-413.62279999999998</v>
      </c>
      <c r="H1608" s="1">
        <v>-4.7598559999999996E-6</v>
      </c>
      <c r="I1608">
        <v>118.0912</v>
      </c>
      <c r="J1608">
        <v>-408.1626</v>
      </c>
      <c r="K1608">
        <v>1.1047559999999901</v>
      </c>
      <c r="L1608">
        <v>130.1644</v>
      </c>
      <c r="M1608">
        <v>-0.6901853</v>
      </c>
      <c r="N1608">
        <v>0</v>
      </c>
      <c r="O1608">
        <v>-0.72348959999999995</v>
      </c>
      <c r="P1608">
        <v>-0.54995260000000001</v>
      </c>
      <c r="Q1608">
        <v>0.13680510000000001</v>
      </c>
      <c r="R1608">
        <v>-0.82391539999999996</v>
      </c>
      <c r="S1608">
        <v>-1.297852</v>
      </c>
      <c r="T1608">
        <v>-0.25335999999999997</v>
      </c>
      <c r="U1608">
        <v>-2.8164370000000001</v>
      </c>
      <c r="V1608">
        <v>-0.17085799999999901</v>
      </c>
      <c r="W1608">
        <v>0.15075050000000001</v>
      </c>
      <c r="X1608">
        <v>0.97369490000000003</v>
      </c>
      <c r="Y1608">
        <v>-0.32470349999999998</v>
      </c>
      <c r="Z1608">
        <v>4.9574979999999998E-2</v>
      </c>
      <c r="AA1608">
        <v>0.94451569999999996</v>
      </c>
      <c r="AB1608">
        <v>29</v>
      </c>
      <c r="AC1608">
        <v>-5.46019999999998</v>
      </c>
      <c r="AD1608">
        <v>-1.1047607598560001</v>
      </c>
      <c r="AE1608">
        <v>-12.0732</v>
      </c>
      <c r="AF1608">
        <v>-4.3525447802368502</v>
      </c>
      <c r="AG1608">
        <v>-1.1047607598560001</v>
      </c>
      <c r="AH1608">
        <v>12.418354242694001</v>
      </c>
      <c r="AI1608">
        <v>94.798987520138397</v>
      </c>
      <c r="AJ1608">
        <v>109.315200582375</v>
      </c>
      <c r="AK1608">
        <v>13.205327125729299</v>
      </c>
      <c r="AL1608">
        <v>81.329578059103696</v>
      </c>
      <c r="AM1608">
        <v>99.952586650010701</v>
      </c>
      <c r="AN1608">
        <v>0.99999996385012901</v>
      </c>
    </row>
    <row r="1609" spans="1:40" x14ac:dyDescent="0.3">
      <c r="A1609" t="str">
        <f>"20200111150346684"</f>
        <v>20200111150346684</v>
      </c>
      <c r="B1609" t="str">
        <f>"1578726226679727"</f>
        <v>1578726226679727</v>
      </c>
      <c r="C1609" t="s">
        <v>40</v>
      </c>
      <c r="D1609">
        <v>5.3351220000000001</v>
      </c>
      <c r="E1609">
        <v>0.4383146</v>
      </c>
      <c r="F1609" t="s">
        <v>41</v>
      </c>
      <c r="G1609">
        <v>-414.041</v>
      </c>
      <c r="H1609" s="1">
        <v>-4.4316239999999999E-6</v>
      </c>
      <c r="I1609">
        <v>117.4991</v>
      </c>
      <c r="J1609">
        <v>-408.36219999999997</v>
      </c>
      <c r="K1609">
        <v>1.1046020000000001</v>
      </c>
      <c r="L1609">
        <v>129.95519999999999</v>
      </c>
      <c r="M1609">
        <v>-0.6903608</v>
      </c>
      <c r="N1609">
        <v>0</v>
      </c>
      <c r="O1609">
        <v>-0.7233231</v>
      </c>
      <c r="P1609">
        <v>-0.55160310000000001</v>
      </c>
      <c r="Q1609">
        <v>0.13526569999999999</v>
      </c>
      <c r="R1609">
        <v>-0.82306590000000002</v>
      </c>
      <c r="S1609">
        <v>-1.3046879999999901</v>
      </c>
      <c r="T1609">
        <v>-0.24519540000000001</v>
      </c>
      <c r="U1609">
        <v>-2.8110050000000002</v>
      </c>
      <c r="V1609">
        <v>-0.16925780000000001</v>
      </c>
      <c r="W1609">
        <v>0.14924799999999999</v>
      </c>
      <c r="X1609">
        <v>0.97420569999999895</v>
      </c>
      <c r="Y1609">
        <v>-0.32231009999999999</v>
      </c>
      <c r="Z1609">
        <v>4.8072480000000001E-2</v>
      </c>
      <c r="AA1609">
        <v>0.94541280000000005</v>
      </c>
      <c r="AB1609">
        <v>29</v>
      </c>
      <c r="AC1609">
        <v>-5.6788000000000203</v>
      </c>
      <c r="AD1609">
        <v>-1.1046064316240001</v>
      </c>
      <c r="AE1609">
        <v>-12.4560999999999</v>
      </c>
      <c r="AF1609">
        <v>-4.46299992681476</v>
      </c>
      <c r="AG1609">
        <v>-1.1046064316240001</v>
      </c>
      <c r="AH1609">
        <v>12.8478848497043</v>
      </c>
      <c r="AI1609">
        <v>94.643099901990794</v>
      </c>
      <c r="AJ1609">
        <v>109.15581321561601</v>
      </c>
      <c r="AK1609">
        <v>13.6457564402562</v>
      </c>
      <c r="AL1609">
        <v>81.4166500453114</v>
      </c>
      <c r="AM1609">
        <v>99.856143207037206</v>
      </c>
      <c r="AN1609">
        <v>0.99999995713866296</v>
      </c>
    </row>
    <row r="1610" spans="1:40" x14ac:dyDescent="0.3">
      <c r="A1610" t="str">
        <f>"20200111150346708"</f>
        <v>20200111150346708</v>
      </c>
      <c r="B1610" t="str">
        <f>"1578726226700223"</f>
        <v>1578726226700223</v>
      </c>
      <c r="C1610" t="s">
        <v>40</v>
      </c>
      <c r="D1610">
        <v>5.3122259999999999</v>
      </c>
      <c r="E1610">
        <v>0.43844490000000003</v>
      </c>
      <c r="F1610" t="s">
        <v>41</v>
      </c>
      <c r="G1610">
        <v>-413.91579999999999</v>
      </c>
      <c r="H1610" s="1">
        <v>-4.7122170000000002E-6</v>
      </c>
      <c r="I1610">
        <v>118.1014</v>
      </c>
      <c r="J1610">
        <v>-408.5668</v>
      </c>
      <c r="K1610">
        <v>1.1044879999999999</v>
      </c>
      <c r="L1610">
        <v>129.74090000000001</v>
      </c>
      <c r="M1610">
        <v>-0.69055359999999999</v>
      </c>
      <c r="N1610">
        <v>0</v>
      </c>
      <c r="O1610">
        <v>-0.72313950000000005</v>
      </c>
      <c r="P1610">
        <v>-0.5532068</v>
      </c>
      <c r="Q1610">
        <v>0.13371520000000001</v>
      </c>
      <c r="R1610">
        <v>-0.82224229999999998</v>
      </c>
      <c r="S1610">
        <v>-1.3149409999999999</v>
      </c>
      <c r="T1610">
        <v>-0.2615384</v>
      </c>
      <c r="U1610">
        <v>-2.8066409999999999</v>
      </c>
      <c r="V1610">
        <v>-0.16775010000000001</v>
      </c>
      <c r="W1610">
        <v>0.14771879999999901</v>
      </c>
      <c r="X1610">
        <v>0.97469939999999999</v>
      </c>
      <c r="Y1610">
        <v>-0.31924950000000002</v>
      </c>
      <c r="Z1610">
        <v>5.1331479999999999E-2</v>
      </c>
      <c r="AA1610">
        <v>0.94627950000000005</v>
      </c>
      <c r="AB1610">
        <v>29</v>
      </c>
      <c r="AC1610">
        <v>-5.3489999999999798</v>
      </c>
      <c r="AD1610">
        <v>-1.1044927122170001</v>
      </c>
      <c r="AE1610">
        <v>-11.6395</v>
      </c>
      <c r="AF1610">
        <v>-4.1392799288449504</v>
      </c>
      <c r="AG1610">
        <v>-1.1044927122170001</v>
      </c>
      <c r="AH1610">
        <v>12.022614319115201</v>
      </c>
      <c r="AI1610">
        <v>94.964468586832794</v>
      </c>
      <c r="AJ1610">
        <v>108.998133162309</v>
      </c>
      <c r="AK1610">
        <v>12.7631029748597</v>
      </c>
      <c r="AL1610">
        <v>81.505248660525496</v>
      </c>
      <c r="AM1610">
        <v>99.765193513827498</v>
      </c>
      <c r="AN1610">
        <v>0.99999993014190203</v>
      </c>
    </row>
    <row r="1611" spans="1:40" x14ac:dyDescent="0.3">
      <c r="A1611" t="str">
        <f>"20200111150346729"</f>
        <v>20200111150346729</v>
      </c>
      <c r="B1611" t="str">
        <f>"1578726226719744"</f>
        <v>1578726226719744</v>
      </c>
      <c r="C1611" t="s">
        <v>40</v>
      </c>
      <c r="D1611">
        <v>5.2985069999999999</v>
      </c>
      <c r="E1611">
        <v>0.43859700000000001</v>
      </c>
      <c r="F1611" t="s">
        <v>41</v>
      </c>
      <c r="G1611">
        <v>-413.97390000000001</v>
      </c>
      <c r="H1611" s="1">
        <v>-4.7688279999999999E-6</v>
      </c>
      <c r="I1611">
        <v>118.2573</v>
      </c>
      <c r="J1611">
        <v>-408.7568</v>
      </c>
      <c r="K1611">
        <v>1.1032930000000001</v>
      </c>
      <c r="L1611">
        <v>129.54140000000001</v>
      </c>
      <c r="M1611">
        <v>-0.69152630000000004</v>
      </c>
      <c r="N1611">
        <v>0</v>
      </c>
      <c r="O1611">
        <v>-0.72220719999999905</v>
      </c>
      <c r="P1611">
        <v>-0.55465629999999999</v>
      </c>
      <c r="Q1611">
        <v>0.13205129999999901</v>
      </c>
      <c r="R1611">
        <v>-0.82153489999999996</v>
      </c>
      <c r="S1611">
        <v>-1.3203129999999901</v>
      </c>
      <c r="T1611">
        <v>-0.2697001</v>
      </c>
      <c r="U1611">
        <v>-2.8041079999999998</v>
      </c>
      <c r="V1611">
        <v>-0.16726649999999901</v>
      </c>
      <c r="W1611">
        <v>0.1464704</v>
      </c>
      <c r="X1611">
        <v>0.97497089999999997</v>
      </c>
      <c r="Y1611">
        <v>-0.31875599999999998</v>
      </c>
      <c r="Z1611">
        <v>5.284573E-2</v>
      </c>
      <c r="AA1611">
        <v>0.9463625</v>
      </c>
      <c r="AB1611">
        <v>29</v>
      </c>
      <c r="AC1611">
        <v>-5.2171000000000101</v>
      </c>
      <c r="AD1611">
        <v>-1.1032977688279999</v>
      </c>
      <c r="AE1611">
        <v>-11.2841</v>
      </c>
      <c r="AF1611">
        <v>-4.0043058747117097</v>
      </c>
      <c r="AG1611">
        <v>-1.1032977688279999</v>
      </c>
      <c r="AH1611">
        <v>11.6665552367276</v>
      </c>
      <c r="AI1611">
        <v>95.111344807133804</v>
      </c>
      <c r="AJ1611">
        <v>108.94373243015001</v>
      </c>
      <c r="AK1611">
        <v>12.383870259194699</v>
      </c>
      <c r="AL1611">
        <v>81.577563565927505</v>
      </c>
      <c r="AM1611">
        <v>99.734921821955993</v>
      </c>
      <c r="AN1611">
        <v>0.99999995797260899</v>
      </c>
    </row>
    <row r="1612" spans="1:40" x14ac:dyDescent="0.3">
      <c r="A1612" t="str">
        <f>"20200111150346751"</f>
        <v>20200111150346751</v>
      </c>
      <c r="B1612" t="str">
        <f>"1578726226740240"</f>
        <v>1578726226740240</v>
      </c>
      <c r="C1612" t="s">
        <v>40</v>
      </c>
      <c r="D1612">
        <v>5.2993860000000002</v>
      </c>
      <c r="E1612">
        <v>0.43876589999999999</v>
      </c>
      <c r="F1612" t="s">
        <v>41</v>
      </c>
      <c r="G1612">
        <v>-414.01010000000002</v>
      </c>
      <c r="H1612" s="1">
        <v>-4.8482310000000002E-6</v>
      </c>
      <c r="I1612">
        <v>118.45740000000001</v>
      </c>
      <c r="J1612">
        <v>-408.9615</v>
      </c>
      <c r="K1612">
        <v>1.103081</v>
      </c>
      <c r="L1612">
        <v>129.32749999999999</v>
      </c>
      <c r="M1612">
        <v>-0.6930134</v>
      </c>
      <c r="N1612">
        <v>0</v>
      </c>
      <c r="O1612">
        <v>-0.72078790000000004</v>
      </c>
      <c r="P1612">
        <v>-0.55597810000000003</v>
      </c>
      <c r="Q1612">
        <v>0.1316368</v>
      </c>
      <c r="R1612">
        <v>-0.82070659999999895</v>
      </c>
      <c r="S1612">
        <v>-1.3272710000000001</v>
      </c>
      <c r="T1612">
        <v>-0.27875409999999901</v>
      </c>
      <c r="U1612">
        <v>-2.80043</v>
      </c>
      <c r="V1612">
        <v>-0.16777790000000001</v>
      </c>
      <c r="W1612">
        <v>0.14563299999999901</v>
      </c>
      <c r="X1612">
        <v>0.97500849999999994</v>
      </c>
      <c r="Y1612">
        <v>-0.31835200000000002</v>
      </c>
      <c r="Z1612">
        <v>5.4479430000000002E-2</v>
      </c>
      <c r="AA1612">
        <v>0.94640579999999996</v>
      </c>
      <c r="AB1612">
        <v>29</v>
      </c>
      <c r="AC1612">
        <v>-5.04860000000002</v>
      </c>
      <c r="AD1612">
        <v>-1.103085848231</v>
      </c>
      <c r="AE1612">
        <v>-10.8700999999999</v>
      </c>
      <c r="AF1612">
        <v>-3.8618267626501899</v>
      </c>
      <c r="AG1612">
        <v>-1.103085848231</v>
      </c>
      <c r="AH1612">
        <v>11.2396934645574</v>
      </c>
      <c r="AI1612">
        <v>95.302782423204206</v>
      </c>
      <c r="AJ1612">
        <v>108.96211987907</v>
      </c>
      <c r="AK1612">
        <v>11.9357116884793</v>
      </c>
      <c r="AL1612">
        <v>81.626063343778995</v>
      </c>
      <c r="AM1612">
        <v>99.763743974926001</v>
      </c>
      <c r="AN1612">
        <v>0.99999998474482898</v>
      </c>
    </row>
    <row r="1613" spans="1:40" x14ac:dyDescent="0.3">
      <c r="A1613" t="str">
        <f>"20200111150346774"</f>
        <v>20200111150346774</v>
      </c>
      <c r="B1613" t="str">
        <f>"1578726226770496"</f>
        <v>1578726226770496</v>
      </c>
      <c r="C1613" t="s">
        <v>40</v>
      </c>
      <c r="D1613">
        <v>6.0286530000000003</v>
      </c>
      <c r="E1613">
        <v>0.47862779999999999</v>
      </c>
      <c r="F1613" t="s">
        <v>41</v>
      </c>
      <c r="G1613">
        <v>-414.18009999999998</v>
      </c>
      <c r="H1613" s="1">
        <v>-4.785149E-6</v>
      </c>
      <c r="I1613">
        <v>118.3806</v>
      </c>
      <c r="J1613">
        <v>-409.15730000000002</v>
      </c>
      <c r="K1613">
        <v>1.1033440000000001</v>
      </c>
      <c r="L1613">
        <v>129.124</v>
      </c>
      <c r="M1613">
        <v>-0.69344130000000004</v>
      </c>
      <c r="N1613">
        <v>0</v>
      </c>
      <c r="O1613">
        <v>-0.72037309999999999</v>
      </c>
      <c r="P1613">
        <v>-0.55513259999999998</v>
      </c>
      <c r="Q1613">
        <v>0.1305818</v>
      </c>
      <c r="R1613">
        <v>-0.821447699999999</v>
      </c>
      <c r="S1613">
        <v>-1.333496</v>
      </c>
      <c r="T1613">
        <v>-0.28187220000000002</v>
      </c>
      <c r="U1613">
        <v>-2.797256</v>
      </c>
      <c r="V1613">
        <v>-0.16955689999999901</v>
      </c>
      <c r="W1613">
        <v>0.14465129999999901</v>
      </c>
      <c r="X1613">
        <v>0.97484689999999996</v>
      </c>
      <c r="Y1613">
        <v>-0.3168028</v>
      </c>
      <c r="Z1613">
        <v>5.5097319999999998E-2</v>
      </c>
      <c r="AA1613">
        <v>0.9468898</v>
      </c>
      <c r="AB1613">
        <v>29</v>
      </c>
      <c r="AC1613">
        <v>-5.0227999999999602</v>
      </c>
      <c r="AD1613">
        <v>-1.103348785149</v>
      </c>
      <c r="AE1613">
        <v>-10.7433999999999</v>
      </c>
      <c r="AF1613">
        <v>-3.7991307510669401</v>
      </c>
      <c r="AG1613">
        <v>-1.103348785149</v>
      </c>
      <c r="AH1613">
        <v>11.1270958360838</v>
      </c>
      <c r="AI1613">
        <v>95.360925340384696</v>
      </c>
      <c r="AJ1613">
        <v>108.851473752468</v>
      </c>
      <c r="AK1613">
        <v>11.809446843556501</v>
      </c>
      <c r="AL1613">
        <v>81.682912810189706</v>
      </c>
      <c r="AM1613">
        <v>99.866851426180204</v>
      </c>
      <c r="AN1613">
        <v>1.0000000096844499</v>
      </c>
    </row>
    <row r="1614" spans="1:40" x14ac:dyDescent="0.3">
      <c r="A1614" t="str">
        <f>"20200111150346796"</f>
        <v>20200111150346796</v>
      </c>
      <c r="B1614" t="str">
        <f>"1578726226790015"</f>
        <v>1578726226790015</v>
      </c>
      <c r="C1614" t="s">
        <v>40</v>
      </c>
      <c r="D1614">
        <v>5.2334610000000001</v>
      </c>
      <c r="E1614">
        <v>0.46964739999999999</v>
      </c>
      <c r="F1614" t="s">
        <v>41</v>
      </c>
      <c r="G1614">
        <v>-416.11070000000001</v>
      </c>
      <c r="H1614" s="1">
        <v>-4.1437800000000003E-6</v>
      </c>
      <c r="I1614">
        <v>117.68380000000001</v>
      </c>
      <c r="J1614">
        <v>-409.36160000000001</v>
      </c>
      <c r="K1614">
        <v>1.103693</v>
      </c>
      <c r="L1614">
        <v>128.91239999999999</v>
      </c>
      <c r="M1614">
        <v>-0.69309259999999995</v>
      </c>
      <c r="N1614">
        <v>0</v>
      </c>
      <c r="O1614">
        <v>-0.72070310000000004</v>
      </c>
      <c r="P1614">
        <v>-0.55293300000000001</v>
      </c>
      <c r="Q1614">
        <v>0.1297082</v>
      </c>
      <c r="R1614">
        <v>-0.82306800000000002</v>
      </c>
      <c r="S1614">
        <v>-1.5907290000000001</v>
      </c>
      <c r="T1614">
        <v>-0.25241629999999998</v>
      </c>
      <c r="U1614">
        <v>-2.6172029999999999</v>
      </c>
      <c r="V1614">
        <v>-0.17186479999999901</v>
      </c>
      <c r="W1614">
        <v>0.14397509999999999</v>
      </c>
      <c r="X1614">
        <v>0.97454280000000004</v>
      </c>
      <c r="Y1614">
        <v>-0.21894640000000001</v>
      </c>
      <c r="Z1614">
        <v>5.293312E-2</v>
      </c>
      <c r="AA1614">
        <v>0.97430000000000005</v>
      </c>
      <c r="AB1614">
        <v>29</v>
      </c>
      <c r="AC1614">
        <v>-6.7490999999999897</v>
      </c>
      <c r="AD1614">
        <v>-1.1036971437799901</v>
      </c>
      <c r="AE1614">
        <v>-11.228599999999901</v>
      </c>
      <c r="AF1614">
        <v>-2.8980991984898998</v>
      </c>
      <c r="AG1614">
        <v>-1.1036971437799901</v>
      </c>
      <c r="AH1614">
        <v>12.681570444844199</v>
      </c>
      <c r="AI1614">
        <v>94.849604200745702</v>
      </c>
      <c r="AJ1614">
        <v>102.872659427605</v>
      </c>
      <c r="AK1614">
        <v>13.055242444972899</v>
      </c>
      <c r="AL1614">
        <v>81.722066022972399</v>
      </c>
      <c r="AM1614">
        <v>100.001517314886</v>
      </c>
      <c r="AN1614">
        <v>1.00000000396544</v>
      </c>
    </row>
    <row r="1615" spans="1:40" x14ac:dyDescent="0.3">
      <c r="A1615" t="str">
        <f>"20200111150346819"</f>
        <v>20200111150346819</v>
      </c>
      <c r="B1615" t="str">
        <f>"1578726226810511"</f>
        <v>1578726226810511</v>
      </c>
      <c r="C1615" t="s">
        <v>40</v>
      </c>
      <c r="D1615">
        <v>5.1183350000000001</v>
      </c>
      <c r="E1615">
        <v>0.4913535</v>
      </c>
      <c r="F1615" t="s">
        <v>62</v>
      </c>
      <c r="G1615">
        <v>-444.72309999999999</v>
      </c>
      <c r="H1615">
        <v>11.36698</v>
      </c>
      <c r="I1615">
        <v>65.675449999999998</v>
      </c>
      <c r="J1615">
        <v>-409.56</v>
      </c>
      <c r="K1615">
        <v>1.1039859999999999</v>
      </c>
      <c r="L1615">
        <v>128.70679999999999</v>
      </c>
      <c r="M1615">
        <v>-0.69244059999999996</v>
      </c>
      <c r="N1615">
        <v>0</v>
      </c>
      <c r="O1615">
        <v>-0.72132769999999902</v>
      </c>
      <c r="P1615">
        <v>-0.54987159999999902</v>
      </c>
      <c r="Q1615">
        <v>0.12893160000000001</v>
      </c>
      <c r="R1615">
        <v>-0.82523809999999997</v>
      </c>
      <c r="S1615">
        <v>-1.4545589999999999</v>
      </c>
      <c r="T1615">
        <v>0.42216959999999998</v>
      </c>
      <c r="U1615">
        <v>-2.601181</v>
      </c>
      <c r="V1615">
        <v>-0.17475950000000001</v>
      </c>
      <c r="W1615">
        <v>0.14319789999999999</v>
      </c>
      <c r="X1615">
        <v>0.97414239999999996</v>
      </c>
      <c r="Y1615">
        <v>-0.25486249999999999</v>
      </c>
      <c r="Z1615">
        <v>-8.8787649999999996E-2</v>
      </c>
      <c r="AA1615">
        <v>0.96289250000000004</v>
      </c>
      <c r="AB1615">
        <v>29</v>
      </c>
      <c r="AC1615">
        <v>-35.163099999999901</v>
      </c>
      <c r="AD1615">
        <v>10.262994000000001</v>
      </c>
      <c r="AE1615">
        <v>-63.031349999999897</v>
      </c>
      <c r="AF1615">
        <v>-17.9209446370071</v>
      </c>
      <c r="AG1615">
        <v>10.262994000000001</v>
      </c>
      <c r="AH1615">
        <v>68.438273717535594</v>
      </c>
      <c r="AI1615">
        <v>81.745754721114906</v>
      </c>
      <c r="AJ1615">
        <v>104.673756684791</v>
      </c>
      <c r="AK1615">
        <v>71.486268695204998</v>
      </c>
      <c r="AL1615">
        <v>81.767062273872995</v>
      </c>
      <c r="AM1615">
        <v>100.17057782300699</v>
      </c>
      <c r="AN1615">
        <v>0.99999996844120898</v>
      </c>
    </row>
    <row r="1616" spans="1:40" x14ac:dyDescent="0.3">
      <c r="A1616" t="str">
        <f>"20200111150346840"</f>
        <v>20200111150346840</v>
      </c>
      <c r="B1616" t="str">
        <f>"1578726226830031"</f>
        <v>1578726226830031</v>
      </c>
      <c r="C1616" t="s">
        <v>40</v>
      </c>
      <c r="D1616">
        <v>5.1969609999999999</v>
      </c>
      <c r="E1616">
        <v>0.46967920000000002</v>
      </c>
      <c r="F1616" t="s">
        <v>41</v>
      </c>
      <c r="G1616">
        <v>-417.05079999999998</v>
      </c>
      <c r="H1616" s="1">
        <v>-3.7138419999999998E-6</v>
      </c>
      <c r="I1616">
        <v>117.07040000000001</v>
      </c>
      <c r="J1616">
        <v>-409.75310000000002</v>
      </c>
      <c r="K1616">
        <v>1.1042920000000001</v>
      </c>
      <c r="L1616">
        <v>128.50620000000001</v>
      </c>
      <c r="M1616">
        <v>-0.69190229999999997</v>
      </c>
      <c r="N1616">
        <v>0</v>
      </c>
      <c r="O1616">
        <v>-0.72184530000000002</v>
      </c>
      <c r="P1616">
        <v>-0.54611359999999998</v>
      </c>
      <c r="Q1616">
        <v>0.12862680000000001</v>
      </c>
      <c r="R1616">
        <v>-0.8277776</v>
      </c>
      <c r="S1616">
        <v>-1.6548769999999999</v>
      </c>
      <c r="T1616">
        <v>-0.24389279999999999</v>
      </c>
      <c r="U1616">
        <v>-2.5707089999999999</v>
      </c>
      <c r="V1616">
        <v>-0.1785841</v>
      </c>
      <c r="W1616">
        <v>0.14274289999999901</v>
      </c>
      <c r="X1616">
        <v>0.97351540000000003</v>
      </c>
      <c r="Y1616">
        <v>-0.1920666</v>
      </c>
      <c r="Z1616">
        <v>5.2110400000000001E-2</v>
      </c>
      <c r="AA1616">
        <v>0.97999740000000002</v>
      </c>
      <c r="AB1616">
        <v>29</v>
      </c>
      <c r="AC1616">
        <v>-7.2976999999999599</v>
      </c>
      <c r="AD1616">
        <v>-1.104295713842</v>
      </c>
      <c r="AE1616">
        <v>-11.4358</v>
      </c>
      <c r="AF1616">
        <v>-2.6275135991638598</v>
      </c>
      <c r="AG1616">
        <v>-1.104295713842</v>
      </c>
      <c r="AH1616">
        <v>13.2179881430588</v>
      </c>
      <c r="AI1616">
        <v>94.684444909081904</v>
      </c>
      <c r="AJ1616">
        <v>101.242879161772</v>
      </c>
      <c r="AK1616">
        <v>13.5217789986171</v>
      </c>
      <c r="AL1616">
        <v>81.793402916812795</v>
      </c>
      <c r="AM1616">
        <v>100.394909163772</v>
      </c>
      <c r="AN1616">
        <v>1.0000000251551799</v>
      </c>
    </row>
    <row r="1617" spans="1:40" x14ac:dyDescent="0.3">
      <c r="A1617" t="str">
        <f>"20200111150346864"</f>
        <v>20200111150346864</v>
      </c>
      <c r="B1617" t="str">
        <f>"1578726226860288"</f>
        <v>1578726226860288</v>
      </c>
      <c r="C1617" t="s">
        <v>40</v>
      </c>
      <c r="D1617">
        <v>6.0232989999999997</v>
      </c>
      <c r="E1617">
        <v>0.4712829</v>
      </c>
      <c r="F1617" t="s">
        <v>62</v>
      </c>
      <c r="G1617">
        <v>-443.70769999999999</v>
      </c>
      <c r="H1617">
        <v>21.627109999999998</v>
      </c>
      <c r="I1617">
        <v>65.675449999999998</v>
      </c>
      <c r="J1617">
        <v>-409.952</v>
      </c>
      <c r="K1617">
        <v>1.1046320000000001</v>
      </c>
      <c r="L1617">
        <v>128.29910000000001</v>
      </c>
      <c r="M1617">
        <v>-0.69152720000000001</v>
      </c>
      <c r="N1617">
        <v>0</v>
      </c>
      <c r="O1617">
        <v>-0.72220479999999998</v>
      </c>
      <c r="P1617">
        <v>-0.54411659999999995</v>
      </c>
      <c r="Q1617">
        <v>0.1293589</v>
      </c>
      <c r="R1617">
        <v>-0.82897699999999996</v>
      </c>
      <c r="S1617">
        <v>-1.391724</v>
      </c>
      <c r="T1617">
        <v>0.84118250000000006</v>
      </c>
      <c r="U1617">
        <v>-2.5752869999999999</v>
      </c>
      <c r="V1617">
        <v>-0.18044470000000001</v>
      </c>
      <c r="W1617">
        <v>0.14330879999999999</v>
      </c>
      <c r="X1617">
        <v>0.97308899999999998</v>
      </c>
      <c r="Y1617">
        <v>-0.2745089</v>
      </c>
      <c r="Z1617">
        <v>-0.1742282</v>
      </c>
      <c r="AA1617">
        <v>0.94566879999999998</v>
      </c>
      <c r="AB1617">
        <v>29</v>
      </c>
      <c r="AC1617">
        <v>-33.755699999999898</v>
      </c>
      <c r="AD1617">
        <v>20.522478</v>
      </c>
      <c r="AE1617">
        <v>-62.623649999999998</v>
      </c>
      <c r="AF1617">
        <v>-17.4751973490119</v>
      </c>
      <c r="AG1617">
        <v>20.522478</v>
      </c>
      <c r="AH1617">
        <v>63.308956956488501</v>
      </c>
      <c r="AI1617">
        <v>72.6471178894665</v>
      </c>
      <c r="AJ1617">
        <v>105.431124072066</v>
      </c>
      <c r="AK1617">
        <v>68.808274622794499</v>
      </c>
      <c r="AL1617">
        <v>81.760641815762497</v>
      </c>
      <c r="AM1617">
        <v>100.505311805368</v>
      </c>
      <c r="AN1617">
        <v>0.99999995191826296</v>
      </c>
    </row>
    <row r="1618" spans="1:40" x14ac:dyDescent="0.3">
      <c r="A1618" t="str">
        <f>"20200111150346885"</f>
        <v>20200111150346885</v>
      </c>
      <c r="B1618" t="str">
        <f>"1578726226879810"</f>
        <v>1578726226879810</v>
      </c>
      <c r="C1618" t="s">
        <v>40</v>
      </c>
      <c r="D1618">
        <v>5.1185999999999998</v>
      </c>
      <c r="E1618">
        <v>0.50461709999999904</v>
      </c>
      <c r="F1618" t="s">
        <v>62</v>
      </c>
      <c r="G1618">
        <v>-444.11880000000002</v>
      </c>
      <c r="H1618">
        <v>18.537970000000001</v>
      </c>
      <c r="I1618">
        <v>65.675449999999998</v>
      </c>
      <c r="J1618">
        <v>-410.14789999999999</v>
      </c>
      <c r="K1618">
        <v>1.104946</v>
      </c>
      <c r="L1618">
        <v>128.0942</v>
      </c>
      <c r="M1618">
        <v>-0.69120029999999999</v>
      </c>
      <c r="N1618">
        <v>0</v>
      </c>
      <c r="O1618">
        <v>-0.72251860000000001</v>
      </c>
      <c r="P1618">
        <v>-0.54430610000000001</v>
      </c>
      <c r="Q1618">
        <v>0.1302769</v>
      </c>
      <c r="R1618">
        <v>-0.82870900000000003</v>
      </c>
      <c r="S1618">
        <v>-1.408752</v>
      </c>
      <c r="T1618">
        <v>0.71880169999999999</v>
      </c>
      <c r="U1618">
        <v>-2.5820620000000001</v>
      </c>
      <c r="V1618">
        <v>-0.17976400000000001</v>
      </c>
      <c r="W1618">
        <v>0.14410200000000001</v>
      </c>
      <c r="X1618">
        <v>0.97309789999999996</v>
      </c>
      <c r="Y1618">
        <v>-0.2678198</v>
      </c>
      <c r="Z1618">
        <v>-0.15008750000000001</v>
      </c>
      <c r="AA1618">
        <v>0.95170699999999997</v>
      </c>
      <c r="AB1618">
        <v>29</v>
      </c>
      <c r="AC1618">
        <v>-33.9709</v>
      </c>
      <c r="AD1618">
        <v>17.433024</v>
      </c>
      <c r="AE1618">
        <v>-62.418750000000003</v>
      </c>
      <c r="AF1618">
        <v>-17.545338239880099</v>
      </c>
      <c r="AG1618">
        <v>17.433024</v>
      </c>
      <c r="AH1618">
        <v>64.693400929423305</v>
      </c>
      <c r="AI1618">
        <v>75.421685321153205</v>
      </c>
      <c r="AJ1618">
        <v>105.174041525466</v>
      </c>
      <c r="AK1618">
        <v>69.260272476734301</v>
      </c>
      <c r="AL1618">
        <v>81.714718558028693</v>
      </c>
      <c r="AM1618">
        <v>100.466465888458</v>
      </c>
      <c r="AN1618">
        <v>1.0000000025422</v>
      </c>
    </row>
    <row r="1619" spans="1:40" x14ac:dyDescent="0.3">
      <c r="A1619" t="str">
        <f>"20200111150346909"</f>
        <v>20200111150346909</v>
      </c>
      <c r="B1619" t="str">
        <f>"1578726226900304"</f>
        <v>1578726226900304</v>
      </c>
      <c r="C1619" t="s">
        <v>40</v>
      </c>
      <c r="D1619">
        <v>5.1799160000000004</v>
      </c>
      <c r="E1619">
        <v>0.47857450000000001</v>
      </c>
      <c r="F1619" t="s">
        <v>62</v>
      </c>
      <c r="G1619">
        <v>-453.33949999999999</v>
      </c>
      <c r="H1619">
        <v>1.7452890000000001</v>
      </c>
      <c r="I1619">
        <v>64.450009999999907</v>
      </c>
      <c r="J1619">
        <v>-410.34969999999998</v>
      </c>
      <c r="K1619">
        <v>1.1051930000000001</v>
      </c>
      <c r="L1619">
        <v>127.8823</v>
      </c>
      <c r="M1619">
        <v>-0.69073850000000003</v>
      </c>
      <c r="N1619">
        <v>0</v>
      </c>
      <c r="O1619">
        <v>-0.72296050000000001</v>
      </c>
      <c r="P1619">
        <v>-0.54388590000000003</v>
      </c>
      <c r="Q1619">
        <v>0.1305683</v>
      </c>
      <c r="R1619">
        <v>-0.82893909999999904</v>
      </c>
      <c r="S1619">
        <v>-1.697449</v>
      </c>
      <c r="T1619">
        <v>2.516639E-2</v>
      </c>
      <c r="U1619">
        <v>-2.501236</v>
      </c>
      <c r="V1619">
        <v>-0.179671</v>
      </c>
      <c r="W1619">
        <v>0.1442832</v>
      </c>
      <c r="X1619">
        <v>0.97308819999999996</v>
      </c>
      <c r="Y1619">
        <v>-0.165606</v>
      </c>
      <c r="Z1619">
        <v>-5.539904E-3</v>
      </c>
      <c r="AA1619">
        <v>0.98617639999999995</v>
      </c>
      <c r="AB1619">
        <v>28</v>
      </c>
      <c r="AC1619">
        <v>-42.989800000000002</v>
      </c>
      <c r="AD1619">
        <v>0.640095999999999</v>
      </c>
      <c r="AE1619">
        <v>-63.432290000000002</v>
      </c>
      <c r="AF1619">
        <v>-12.735636342002</v>
      </c>
      <c r="AG1619">
        <v>0.640095999999999</v>
      </c>
      <c r="AH1619">
        <v>75.556353310832193</v>
      </c>
      <c r="AI1619">
        <v>89.521366468145501</v>
      </c>
      <c r="AJ1619">
        <v>99.567732681512297</v>
      </c>
      <c r="AK1619">
        <v>76.624856812631194</v>
      </c>
      <c r="AL1619">
        <v>81.704226712320207</v>
      </c>
      <c r="AM1619">
        <v>100.461272661102</v>
      </c>
      <c r="AN1619">
        <v>0.99999997751123904</v>
      </c>
    </row>
    <row r="1620" spans="1:40" x14ac:dyDescent="0.3">
      <c r="A1620" t="str">
        <f>"20200111150346931"</f>
        <v>20200111150346931</v>
      </c>
      <c r="B1620" t="str">
        <f>"1578726226919824"</f>
        <v>1578726226919824</v>
      </c>
      <c r="C1620" t="s">
        <v>40</v>
      </c>
      <c r="D1620">
        <v>5.1114050000000004</v>
      </c>
      <c r="E1620">
        <v>0.47049360000000001</v>
      </c>
      <c r="F1620" t="s">
        <v>62</v>
      </c>
      <c r="G1620">
        <v>-446.43560000000002</v>
      </c>
      <c r="H1620">
        <v>24.595130000000001</v>
      </c>
      <c r="I1620">
        <v>64.450009999999907</v>
      </c>
      <c r="J1620">
        <v>-410.53750000000002</v>
      </c>
      <c r="K1620">
        <v>1.1042350000000001</v>
      </c>
      <c r="L1620">
        <v>127.68380000000001</v>
      </c>
      <c r="M1620">
        <v>-0.69007640000000003</v>
      </c>
      <c r="N1620">
        <v>0</v>
      </c>
      <c r="O1620">
        <v>-0.7236051</v>
      </c>
      <c r="P1620">
        <v>-0.54349939999999997</v>
      </c>
      <c r="Q1620">
        <v>0.13123899999999999</v>
      </c>
      <c r="R1620">
        <v>-0.82908669999999995</v>
      </c>
      <c r="S1620">
        <v>-1.4381710000000001</v>
      </c>
      <c r="T1620">
        <v>0.93616820000000001</v>
      </c>
      <c r="U1620">
        <v>-2.5280300000000002</v>
      </c>
      <c r="V1620">
        <v>-0.17899989999999999</v>
      </c>
      <c r="W1620">
        <v>0.14451729999999999</v>
      </c>
      <c r="X1620">
        <v>0.97317719999999996</v>
      </c>
      <c r="Y1620">
        <v>-0.25476110000000002</v>
      </c>
      <c r="Z1620">
        <v>-0.19640389999999999</v>
      </c>
      <c r="AA1620">
        <v>0.94684860000000004</v>
      </c>
      <c r="AB1620">
        <v>28</v>
      </c>
      <c r="AC1620">
        <v>-35.898099999999999</v>
      </c>
      <c r="AD1620">
        <v>23.490894999999998</v>
      </c>
      <c r="AE1620">
        <v>-63.233789999999999</v>
      </c>
      <c r="AF1620">
        <v>-15.992631235135701</v>
      </c>
      <c r="AG1620">
        <v>23.490894999999998</v>
      </c>
      <c r="AH1620">
        <v>63.869401419022601</v>
      </c>
      <c r="AI1620">
        <v>70.364563338315804</v>
      </c>
      <c r="AJ1620">
        <v>104.057586325952</v>
      </c>
      <c r="AK1620">
        <v>69.906271816971497</v>
      </c>
      <c r="AL1620">
        <v>81.690672214387007</v>
      </c>
      <c r="AM1620">
        <v>100.422123739702</v>
      </c>
      <c r="AN1620">
        <v>1.00000003839956</v>
      </c>
    </row>
    <row r="1621" spans="1:40" x14ac:dyDescent="0.3">
      <c r="A1621" t="str">
        <f>"20200111150346953"</f>
        <v>20200111150346953</v>
      </c>
      <c r="B1621" t="str">
        <f>"1578726226950080"</f>
        <v>1578726226950080</v>
      </c>
      <c r="C1621" t="s">
        <v>40</v>
      </c>
      <c r="D1621">
        <v>5.1857139999999999</v>
      </c>
      <c r="E1621">
        <v>0.49532500000000002</v>
      </c>
      <c r="F1621" t="s">
        <v>62</v>
      </c>
      <c r="G1621">
        <v>-444.11439999999999</v>
      </c>
      <c r="H1621">
        <v>20.061330000000002</v>
      </c>
      <c r="I1621">
        <v>65.675449999999998</v>
      </c>
      <c r="J1621">
        <v>-410.73230000000001</v>
      </c>
      <c r="K1621">
        <v>1.1044400000000001</v>
      </c>
      <c r="L1621">
        <v>127.4778</v>
      </c>
      <c r="M1621">
        <v>-0.68982359999999998</v>
      </c>
      <c r="N1621">
        <v>0</v>
      </c>
      <c r="O1621">
        <v>-0.72385449999999996</v>
      </c>
      <c r="P1621">
        <v>-0.5434156</v>
      </c>
      <c r="Q1621">
        <v>0.13118350000000001</v>
      </c>
      <c r="R1621">
        <v>-0.82915099999999997</v>
      </c>
      <c r="S1621">
        <v>-1.3961790000000001</v>
      </c>
      <c r="T1621">
        <v>0.78826430000000003</v>
      </c>
      <c r="U1621">
        <v>-2.5783999999999998</v>
      </c>
      <c r="V1621">
        <v>-0.17888999999999999</v>
      </c>
      <c r="W1621">
        <v>0.143876</v>
      </c>
      <c r="X1621">
        <v>0.97329239999999995</v>
      </c>
      <c r="Y1621">
        <v>-0.27039269999999999</v>
      </c>
      <c r="Z1621">
        <v>-0.16449040000000001</v>
      </c>
      <c r="AA1621">
        <v>0.9485941</v>
      </c>
      <c r="AB1621">
        <v>28</v>
      </c>
      <c r="AC1621">
        <v>-33.382099999999902</v>
      </c>
      <c r="AD1621">
        <v>18.956890000000001</v>
      </c>
      <c r="AE1621">
        <v>-61.802349999999997</v>
      </c>
      <c r="AF1621">
        <v>-17.2165979212092</v>
      </c>
      <c r="AG1621">
        <v>18.956890000000001</v>
      </c>
      <c r="AH1621">
        <v>63.168762722301601</v>
      </c>
      <c r="AI1621">
        <v>73.852268903298906</v>
      </c>
      <c r="AJ1621">
        <v>105.24562364435</v>
      </c>
      <c r="AK1621">
        <v>68.162067943388607</v>
      </c>
      <c r="AL1621">
        <v>81.727803870822996</v>
      </c>
      <c r="AM1621">
        <v>100.414659137908</v>
      </c>
      <c r="AN1621">
        <v>1.00000001568687</v>
      </c>
    </row>
    <row r="1622" spans="1:40" x14ac:dyDescent="0.3">
      <c r="A1622" t="str">
        <f>"20200111150346975"</f>
        <v>20200111150346975</v>
      </c>
      <c r="B1622" t="str">
        <f>"1578726226969599"</f>
        <v>1578726226969599</v>
      </c>
      <c r="C1622" t="s">
        <v>40</v>
      </c>
      <c r="D1622">
        <v>5.9849040000000002</v>
      </c>
      <c r="E1622">
        <v>0.49447049999999998</v>
      </c>
      <c r="F1622" t="s">
        <v>68</v>
      </c>
      <c r="G1622">
        <v>-415.274</v>
      </c>
      <c r="H1622" s="1">
        <v>-1.5682009999999999E-6</v>
      </c>
      <c r="I1622">
        <v>120.4593</v>
      </c>
      <c r="J1622">
        <v>-410.92959999999999</v>
      </c>
      <c r="K1622">
        <v>1.1051070000000001</v>
      </c>
      <c r="L1622">
        <v>127.2684</v>
      </c>
      <c r="M1622">
        <v>-0.68918459999999904</v>
      </c>
      <c r="N1622">
        <v>0</v>
      </c>
      <c r="O1622">
        <v>-0.72446189999999999</v>
      </c>
      <c r="P1622">
        <v>-0.54262200000000005</v>
      </c>
      <c r="Q1622">
        <v>0.1308754</v>
      </c>
      <c r="R1622">
        <v>-0.82971879999999998</v>
      </c>
      <c r="S1622">
        <v>-1.6733089999999999</v>
      </c>
      <c r="T1622">
        <v>-0.40691240000000001</v>
      </c>
      <c r="U1622">
        <v>-2.585861</v>
      </c>
      <c r="V1622">
        <v>-0.1791866</v>
      </c>
      <c r="W1622">
        <v>0.14338239999999999</v>
      </c>
      <c r="X1622">
        <v>0.97331060000000003</v>
      </c>
      <c r="Y1622">
        <v>-0.1877875</v>
      </c>
      <c r="Z1622">
        <v>8.6506459999999993E-2</v>
      </c>
      <c r="AA1622">
        <v>0.97839279999999995</v>
      </c>
      <c r="AB1622">
        <v>29</v>
      </c>
      <c r="AC1622">
        <v>-4.3444000000000003</v>
      </c>
      <c r="AD1622">
        <v>-1.105108568201</v>
      </c>
      <c r="AE1622">
        <v>-6.8090999999999999</v>
      </c>
      <c r="AF1622">
        <v>-1.5171126088964799</v>
      </c>
      <c r="AG1622">
        <v>-1.105108568201</v>
      </c>
      <c r="AH1622">
        <v>7.7820567956333599</v>
      </c>
      <c r="AI1622">
        <v>97.934951908234794</v>
      </c>
      <c r="AJ1622">
        <v>101.03145364679401</v>
      </c>
      <c r="AK1622">
        <v>8.00520478101887</v>
      </c>
      <c r="AL1622">
        <v>81.756380719294299</v>
      </c>
      <c r="AM1622">
        <v>100.431357126267</v>
      </c>
      <c r="AN1622">
        <v>0.99999993716083801</v>
      </c>
    </row>
    <row r="1623" spans="1:40" x14ac:dyDescent="0.3">
      <c r="A1623" t="str">
        <f>"20200111150346997"</f>
        <v>20200111150346997</v>
      </c>
      <c r="B1623" t="str">
        <f>"1578726226990095"</f>
        <v>1578726226990095</v>
      </c>
      <c r="C1623" t="s">
        <v>40</v>
      </c>
      <c r="D1623">
        <v>6.0084589999999896</v>
      </c>
      <c r="E1623">
        <v>0.48017179999999998</v>
      </c>
      <c r="F1623" t="s">
        <v>41</v>
      </c>
      <c r="G1623">
        <v>-415.86750000000001</v>
      </c>
      <c r="H1623" s="1">
        <v>-4.998721E-6</v>
      </c>
      <c r="I1623">
        <v>119.5762</v>
      </c>
      <c r="J1623">
        <v>-411.11970000000002</v>
      </c>
      <c r="K1623">
        <v>1.1056709999999901</v>
      </c>
      <c r="L1623">
        <v>127.06570000000001</v>
      </c>
      <c r="M1623">
        <v>-0.68787169999999997</v>
      </c>
      <c r="N1623">
        <v>0</v>
      </c>
      <c r="O1623">
        <v>-0.72570330000000005</v>
      </c>
      <c r="P1623">
        <v>-0.54166230000000004</v>
      </c>
      <c r="Q1623">
        <v>0.1325711</v>
      </c>
      <c r="R1623">
        <v>-0.83007659999999905</v>
      </c>
      <c r="S1623">
        <v>-1.6612849999999999</v>
      </c>
      <c r="T1623">
        <v>-0.37179390000000001</v>
      </c>
      <c r="U1623">
        <v>-2.5878909999999999</v>
      </c>
      <c r="V1623">
        <v>-0.17849689999999999</v>
      </c>
      <c r="W1623">
        <v>0.14520039999999901</v>
      </c>
      <c r="X1623">
        <v>0.97316789999999997</v>
      </c>
      <c r="Y1623">
        <v>-0.1891352</v>
      </c>
      <c r="Z1623">
        <v>7.9357150000000001E-2</v>
      </c>
      <c r="AA1623">
        <v>0.97873909999999997</v>
      </c>
      <c r="AB1623">
        <v>28</v>
      </c>
      <c r="AC1623">
        <v>-4.7477999999999803</v>
      </c>
      <c r="AD1623">
        <v>-1.1056759987210001</v>
      </c>
      <c r="AE1623">
        <v>-7.4894999999999996</v>
      </c>
      <c r="AF1623">
        <v>-1.6803563846904199</v>
      </c>
      <c r="AG1623">
        <v>-1.1056759987210001</v>
      </c>
      <c r="AH1623">
        <v>8.5686310739529201</v>
      </c>
      <c r="AI1623">
        <v>97.216714541981801</v>
      </c>
      <c r="AJ1623">
        <v>101.09522103252399</v>
      </c>
      <c r="AK1623">
        <v>8.8015655127499404</v>
      </c>
      <c r="AL1623">
        <v>81.651116178630105</v>
      </c>
      <c r="AM1623">
        <v>100.393573261593</v>
      </c>
      <c r="AN1623">
        <v>1.00000003053008</v>
      </c>
    </row>
    <row r="1624" spans="1:40" x14ac:dyDescent="0.3">
      <c r="A1624" t="str">
        <f>"20200111150347019"</f>
        <v>20200111150347019</v>
      </c>
      <c r="B1624" t="str">
        <f>"1578726227009615"</f>
        <v>1578726227009615</v>
      </c>
      <c r="C1624" t="s">
        <v>40</v>
      </c>
      <c r="D1624">
        <v>4.6878399999999996</v>
      </c>
      <c r="E1624">
        <v>0.48798720000000001</v>
      </c>
      <c r="F1624" t="s">
        <v>62</v>
      </c>
      <c r="G1624">
        <v>-447.39409999999998</v>
      </c>
      <c r="H1624">
        <v>10.767160000000001</v>
      </c>
      <c r="I1624">
        <v>64.450009999999907</v>
      </c>
      <c r="J1624">
        <v>-411.31049999999999</v>
      </c>
      <c r="K1624">
        <v>1.106079</v>
      </c>
      <c r="L1624">
        <v>126.8613</v>
      </c>
      <c r="M1624">
        <v>-0.68594809999999995</v>
      </c>
      <c r="N1624">
        <v>0</v>
      </c>
      <c r="O1624">
        <v>-0.72751659999999996</v>
      </c>
      <c r="P1624">
        <v>-0.5388946</v>
      </c>
      <c r="Q1624">
        <v>0.13410729999999901</v>
      </c>
      <c r="R1624">
        <v>-0.83162959999999997</v>
      </c>
      <c r="S1624">
        <v>-1.4926759999999999</v>
      </c>
      <c r="T1624">
        <v>0.3975651</v>
      </c>
      <c r="U1624">
        <v>-2.5765989999999999</v>
      </c>
      <c r="V1624">
        <v>-0.1790783</v>
      </c>
      <c r="W1624">
        <v>0.14689859999999999</v>
      </c>
      <c r="X1624">
        <v>0.97280610000000001</v>
      </c>
      <c r="Y1624">
        <v>-0.23131170000000001</v>
      </c>
      <c r="Z1624">
        <v>-8.5805530000000005E-2</v>
      </c>
      <c r="AA1624">
        <v>0.96908839999999996</v>
      </c>
      <c r="AB1624">
        <v>28</v>
      </c>
      <c r="AC1624">
        <v>-36.083599999999898</v>
      </c>
      <c r="AD1624">
        <v>9.6610809999999994</v>
      </c>
      <c r="AE1624">
        <v>-62.411290000000001</v>
      </c>
      <c r="AF1624">
        <v>-16.268927107174001</v>
      </c>
      <c r="AG1624">
        <v>9.6610809999999994</v>
      </c>
      <c r="AH1624">
        <v>68.925722862845006</v>
      </c>
      <c r="AI1624">
        <v>82.231779287588296</v>
      </c>
      <c r="AJ1624">
        <v>103.280770575399</v>
      </c>
      <c r="AK1624">
        <v>71.475658426297997</v>
      </c>
      <c r="AL1624">
        <v>81.552761354300799</v>
      </c>
      <c r="AM1624">
        <v>100.430478612979</v>
      </c>
      <c r="AN1624">
        <v>0.99999997220502901</v>
      </c>
    </row>
    <row r="1625" spans="1:40" x14ac:dyDescent="0.3">
      <c r="A1625" t="str">
        <f>"20200111150347041"</f>
        <v>20200111150347041</v>
      </c>
      <c r="B1625" t="str">
        <f>"1578726227030112"</f>
        <v>1578726227030112</v>
      </c>
      <c r="C1625" t="s">
        <v>40</v>
      </c>
      <c r="D1625">
        <v>5.2359589999999896</v>
      </c>
      <c r="E1625">
        <v>0.48711339999999997</v>
      </c>
      <c r="F1625" t="s">
        <v>41</v>
      </c>
      <c r="G1625">
        <v>-420.83690000000001</v>
      </c>
      <c r="H1625" s="1">
        <v>-9.2259550000000005E-7</v>
      </c>
      <c r="I1625">
        <v>111.2206</v>
      </c>
      <c r="J1625">
        <v>-411.4984</v>
      </c>
      <c r="K1625">
        <v>1.1064350000000001</v>
      </c>
      <c r="L1625">
        <v>126.65860000000001</v>
      </c>
      <c r="M1625">
        <v>-0.68373309999999998</v>
      </c>
      <c r="N1625">
        <v>0</v>
      </c>
      <c r="O1625">
        <v>-0.72959490000000005</v>
      </c>
      <c r="P1625">
        <v>-0.53381190000000001</v>
      </c>
      <c r="Q1625">
        <v>0.13121240000000001</v>
      </c>
      <c r="R1625">
        <v>-0.83536100000000002</v>
      </c>
      <c r="S1625">
        <v>-1.588379</v>
      </c>
      <c r="T1625">
        <v>-0.18442130000000001</v>
      </c>
      <c r="U1625">
        <v>-2.607834</v>
      </c>
      <c r="V1625">
        <v>-0.18243789999999999</v>
      </c>
      <c r="W1625">
        <v>0.14408319999999999</v>
      </c>
      <c r="X1625">
        <v>0.972603</v>
      </c>
      <c r="Y1625">
        <v>-0.20498469999999999</v>
      </c>
      <c r="Z1625">
        <v>3.9734650000000003E-2</v>
      </c>
      <c r="AA1625">
        <v>0.97795829999999995</v>
      </c>
      <c r="AB1625">
        <v>28</v>
      </c>
      <c r="AC1625">
        <v>-9.3384999999999998</v>
      </c>
      <c r="AD1625">
        <v>-1.1064359225955001</v>
      </c>
      <c r="AE1625">
        <v>-15.438000000000001</v>
      </c>
      <c r="AF1625">
        <v>-3.72850336761429</v>
      </c>
      <c r="AG1625">
        <v>-1.1064359225955001</v>
      </c>
      <c r="AH1625">
        <v>17.584169869103299</v>
      </c>
      <c r="AI1625">
        <v>93.522326587646205</v>
      </c>
      <c r="AJ1625">
        <v>101.971542377209</v>
      </c>
      <c r="AK1625">
        <v>18.0091356760562</v>
      </c>
      <c r="AL1625">
        <v>81.715807688928606</v>
      </c>
      <c r="AM1625">
        <v>100.623914145692</v>
      </c>
      <c r="AN1625">
        <v>1.0000000757438201</v>
      </c>
    </row>
    <row r="1626" spans="1:40" x14ac:dyDescent="0.3">
      <c r="A1626" t="str">
        <f>"20200111150347064"</f>
        <v>20200111150347064</v>
      </c>
      <c r="B1626" t="str">
        <f>"1578726227060367"</f>
        <v>1578726227060367</v>
      </c>
      <c r="C1626" t="s">
        <v>40</v>
      </c>
      <c r="D1626">
        <v>5.2518459999999996</v>
      </c>
      <c r="E1626">
        <v>0.48034539999999998</v>
      </c>
      <c r="F1626" t="s">
        <v>41</v>
      </c>
      <c r="G1626">
        <v>-417.18360000000001</v>
      </c>
      <c r="H1626" s="1">
        <v>-3.734017E-6</v>
      </c>
      <c r="I1626">
        <v>117.17230000000001</v>
      </c>
      <c r="J1626">
        <v>-411.68950000000001</v>
      </c>
      <c r="K1626">
        <v>1.1068249999999999</v>
      </c>
      <c r="L1626">
        <v>126.45059999999999</v>
      </c>
      <c r="M1626">
        <v>-0.68134819999999996</v>
      </c>
      <c r="N1626">
        <v>0</v>
      </c>
      <c r="O1626">
        <v>-0.73181989999999997</v>
      </c>
      <c r="P1626">
        <v>-0.52925929999999999</v>
      </c>
      <c r="Q1626">
        <v>0.125637</v>
      </c>
      <c r="R1626">
        <v>-0.83910669999999898</v>
      </c>
      <c r="S1626">
        <v>-1.577148</v>
      </c>
      <c r="T1626">
        <v>-0.30694070000000001</v>
      </c>
      <c r="U1626">
        <v>-2.6316380000000001</v>
      </c>
      <c r="V1626">
        <v>-0.1852143</v>
      </c>
      <c r="W1626">
        <v>0.138505399999999</v>
      </c>
      <c r="X1626">
        <v>0.97288850000000004</v>
      </c>
      <c r="Y1626">
        <v>-0.209726</v>
      </c>
      <c r="Z1626">
        <v>6.5734550000000003E-2</v>
      </c>
      <c r="AA1626">
        <v>0.97554799999999997</v>
      </c>
      <c r="AB1626">
        <v>28</v>
      </c>
      <c r="AC1626">
        <v>-5.4941000000000004</v>
      </c>
      <c r="AD1626">
        <v>-1.106828734017</v>
      </c>
      <c r="AE1626">
        <v>-9.2782999999999802</v>
      </c>
      <c r="AF1626">
        <v>-2.2773021321510498</v>
      </c>
      <c r="AG1626">
        <v>-1.106828734017</v>
      </c>
      <c r="AH1626">
        <v>10.424678747495401</v>
      </c>
      <c r="AI1626">
        <v>95.921981323704998</v>
      </c>
      <c r="AJ1626">
        <v>102.322845398607</v>
      </c>
      <c r="AK1626">
        <v>10.727772454523199</v>
      </c>
      <c r="AL1626">
        <v>82.038631053162803</v>
      </c>
      <c r="AM1626">
        <v>100.77874000653399</v>
      </c>
      <c r="AN1626">
        <v>1.00000005809294</v>
      </c>
    </row>
    <row r="1627" spans="1:40" x14ac:dyDescent="0.3">
      <c r="A1627" t="str">
        <f>"20200111150347087"</f>
        <v>20200111150347087</v>
      </c>
      <c r="B1627" t="str">
        <f>"1578726227079890"</f>
        <v>1578726227079890</v>
      </c>
      <c r="C1627" t="s">
        <v>40</v>
      </c>
      <c r="D1627">
        <v>5.2425639999999998</v>
      </c>
      <c r="E1627">
        <v>0.48149750000000002</v>
      </c>
      <c r="F1627" t="s">
        <v>41</v>
      </c>
      <c r="G1627">
        <v>-416.02589999999998</v>
      </c>
      <c r="H1627" s="1">
        <v>-4.6528590000000003E-6</v>
      </c>
      <c r="I1627">
        <v>118.8355</v>
      </c>
      <c r="J1627">
        <v>-411.8827</v>
      </c>
      <c r="K1627">
        <v>1.107243</v>
      </c>
      <c r="L1627">
        <v>126.2383</v>
      </c>
      <c r="M1627">
        <v>-0.67879460000000003</v>
      </c>
      <c r="N1627">
        <v>0</v>
      </c>
      <c r="O1627">
        <v>-0.73418709999999998</v>
      </c>
      <c r="P1627">
        <v>-0.52793749999999995</v>
      </c>
      <c r="Q1627">
        <v>0.1223197</v>
      </c>
      <c r="R1627">
        <v>-0.84042850000000002</v>
      </c>
      <c r="S1627">
        <v>-1.5222469999999999</v>
      </c>
      <c r="T1627">
        <v>-0.38854100000000003</v>
      </c>
      <c r="U1627">
        <v>-2.6732179999999999</v>
      </c>
      <c r="V1627">
        <v>-0.18378559999999999</v>
      </c>
      <c r="W1627">
        <v>0.13514319999999999</v>
      </c>
      <c r="X1627">
        <v>0.97363200000000005</v>
      </c>
      <c r="Y1627">
        <v>-0.2287767</v>
      </c>
      <c r="Z1627">
        <v>8.2283739999999994E-2</v>
      </c>
      <c r="AA1627">
        <v>0.9699951</v>
      </c>
      <c r="AB1627">
        <v>28</v>
      </c>
      <c r="AC1627">
        <v>-4.14319999999997</v>
      </c>
      <c r="AD1627">
        <v>-1.1072476528590001</v>
      </c>
      <c r="AE1627">
        <v>-7.4027999999999903</v>
      </c>
      <c r="AF1627">
        <v>-1.95008168949135</v>
      </c>
      <c r="AG1627">
        <v>-1.1072476528590001</v>
      </c>
      <c r="AH1627">
        <v>8.1101173493798093</v>
      </c>
      <c r="AI1627">
        <v>97.561422554647393</v>
      </c>
      <c r="AJ1627">
        <v>103.520136200447</v>
      </c>
      <c r="AK1627">
        <v>8.4144411211418397</v>
      </c>
      <c r="AL1627">
        <v>82.233099871948994</v>
      </c>
      <c r="AM1627">
        <v>100.689540633373</v>
      </c>
      <c r="AN1627">
        <v>1.0000000513487901</v>
      </c>
    </row>
    <row r="1628" spans="1:40" x14ac:dyDescent="0.3">
      <c r="A1628" t="str">
        <f>"20200111150347109"</f>
        <v>20200111150347109</v>
      </c>
      <c r="B1628" t="str">
        <f>"1578726227100384"</f>
        <v>1578726227100384</v>
      </c>
      <c r="C1628" t="s">
        <v>40</v>
      </c>
      <c r="D1628">
        <v>5.1644829999999997</v>
      </c>
      <c r="E1628">
        <v>0.4832205</v>
      </c>
      <c r="F1628" t="s">
        <v>41</v>
      </c>
      <c r="G1628">
        <v>-416.3415</v>
      </c>
      <c r="H1628" s="1">
        <v>-4.4128609999999997E-6</v>
      </c>
      <c r="I1628">
        <v>118.40649999999999</v>
      </c>
      <c r="J1628">
        <v>-412.06450000000001</v>
      </c>
      <c r="K1628">
        <v>1.107629</v>
      </c>
      <c r="L1628">
        <v>126.0361</v>
      </c>
      <c r="M1628">
        <v>-0.67613400000000001</v>
      </c>
      <c r="N1628">
        <v>0</v>
      </c>
      <c r="O1628">
        <v>-0.73663699999999999</v>
      </c>
      <c r="P1628">
        <v>-0.52693540000000005</v>
      </c>
      <c r="Q1628">
        <v>0.1240766</v>
      </c>
      <c r="R1628">
        <v>-0.84079969999999904</v>
      </c>
      <c r="S1628">
        <v>-1.5199279999999999</v>
      </c>
      <c r="T1628">
        <v>-0.37744529999999998</v>
      </c>
      <c r="U1628">
        <v>-2.6697389999999999</v>
      </c>
      <c r="V1628">
        <v>-0.1813708</v>
      </c>
      <c r="W1628">
        <v>0.1368231</v>
      </c>
      <c r="X1628">
        <v>0.97385010000000005</v>
      </c>
      <c r="Y1628">
        <v>-0.2252506</v>
      </c>
      <c r="Z1628">
        <v>8.0556680000000006E-2</v>
      </c>
      <c r="AA1628">
        <v>0.97096479999999996</v>
      </c>
      <c r="AB1628">
        <v>28</v>
      </c>
      <c r="AC1628">
        <v>-4.2769999999999797</v>
      </c>
      <c r="AD1628">
        <v>-1.1076334128609999</v>
      </c>
      <c r="AE1628">
        <v>-7.6296000000000097</v>
      </c>
      <c r="AF1628">
        <v>-1.97654814149936</v>
      </c>
      <c r="AG1628">
        <v>-1.1076334128609999</v>
      </c>
      <c r="AH1628">
        <v>8.3785956579412009</v>
      </c>
      <c r="AI1628">
        <v>97.331751241725996</v>
      </c>
      <c r="AJ1628">
        <v>103.273651320963</v>
      </c>
      <c r="AK1628">
        <v>8.67954258773017</v>
      </c>
      <c r="AL1628">
        <v>82.135945615514004</v>
      </c>
      <c r="AM1628">
        <v>100.549952973354</v>
      </c>
      <c r="AN1628">
        <v>0.999999972528129</v>
      </c>
    </row>
    <row r="1629" spans="1:40" x14ac:dyDescent="0.3">
      <c r="A1629" t="str">
        <f>"20200111150347154"</f>
        <v>20200111150347154</v>
      </c>
      <c r="B1629" t="str">
        <f>"1578726227150160"</f>
        <v>1578726227150160</v>
      </c>
      <c r="C1629" t="s">
        <v>40</v>
      </c>
      <c r="D1629">
        <v>5.2681269999999998</v>
      </c>
      <c r="E1629">
        <v>0.48303010000000002</v>
      </c>
      <c r="F1629" t="s">
        <v>41</v>
      </c>
      <c r="G1629">
        <v>-416.50240000000002</v>
      </c>
      <c r="H1629" s="1">
        <v>-4.3321730000000001E-6</v>
      </c>
      <c r="I1629">
        <v>118.285</v>
      </c>
      <c r="J1629">
        <v>-412.4298</v>
      </c>
      <c r="K1629">
        <v>1.1082809999999901</v>
      </c>
      <c r="L1629">
        <v>125.6223</v>
      </c>
      <c r="M1629">
        <v>-0.66961300000000001</v>
      </c>
      <c r="N1629">
        <v>0</v>
      </c>
      <c r="O1629">
        <v>-0.74256889999999998</v>
      </c>
      <c r="P1629">
        <v>-0.52221839999999997</v>
      </c>
      <c r="Q1629">
        <v>0.12753999999999999</v>
      </c>
      <c r="R1629">
        <v>-0.843220999999999</v>
      </c>
      <c r="S1629">
        <v>-1.5270999999999999</v>
      </c>
      <c r="T1629">
        <v>-0.38114589999999998</v>
      </c>
      <c r="U1629">
        <v>-2.6672210000000001</v>
      </c>
      <c r="V1629">
        <v>-0.17811340000000001</v>
      </c>
      <c r="W1629">
        <v>0.1401056</v>
      </c>
      <c r="X1629">
        <v>0.97398459999999998</v>
      </c>
      <c r="Y1629">
        <v>-0.2143824</v>
      </c>
      <c r="Z1629">
        <v>8.2587389999999997E-2</v>
      </c>
      <c r="AA1629">
        <v>0.97325209999999995</v>
      </c>
      <c r="AB1629">
        <v>28</v>
      </c>
      <c r="AC1629">
        <v>-4.07260000000002</v>
      </c>
      <c r="AD1629">
        <v>-1.108285332173</v>
      </c>
      <c r="AE1629">
        <v>-7.3372999999999902</v>
      </c>
      <c r="AF1629">
        <v>-1.8567778122037599</v>
      </c>
      <c r="AG1629">
        <v>-1.108285332173</v>
      </c>
      <c r="AH1629">
        <v>8.0362077037314208</v>
      </c>
      <c r="AI1629">
        <v>97.653074529920005</v>
      </c>
      <c r="AJ1629">
        <v>103.00997073296899</v>
      </c>
      <c r="AK1629">
        <v>8.3220522996983295</v>
      </c>
      <c r="AL1629">
        <v>81.946042943748907</v>
      </c>
      <c r="AM1629">
        <v>100.363219520827</v>
      </c>
      <c r="AN1629">
        <v>0.99999998172403903</v>
      </c>
    </row>
    <row r="1630" spans="1:40" x14ac:dyDescent="0.3">
      <c r="A1630" t="str">
        <f>"20200111150347177"</f>
        <v>20200111150347177</v>
      </c>
      <c r="B1630" t="str">
        <f>"1578726227169679"</f>
        <v>1578726227169679</v>
      </c>
      <c r="C1630" t="s">
        <v>40</v>
      </c>
      <c r="D1630">
        <v>5.2477140000000002</v>
      </c>
      <c r="E1630">
        <v>0.48345860000000002</v>
      </c>
      <c r="F1630" t="s">
        <v>41</v>
      </c>
      <c r="G1630">
        <v>-416.56290000000001</v>
      </c>
      <c r="H1630" s="1">
        <v>-4.3342860000000002E-6</v>
      </c>
      <c r="I1630">
        <v>118.31489999999999</v>
      </c>
      <c r="J1630">
        <v>-412.61849999999998</v>
      </c>
      <c r="K1630">
        <v>1.10856</v>
      </c>
      <c r="L1630">
        <v>125.40430000000001</v>
      </c>
      <c r="M1630">
        <v>-0.66562219999999905</v>
      </c>
      <c r="N1630">
        <v>0</v>
      </c>
      <c r="O1630">
        <v>-0.74614789999999998</v>
      </c>
      <c r="P1630">
        <v>-0.51975749999999998</v>
      </c>
      <c r="Q1630">
        <v>0.12974759999999999</v>
      </c>
      <c r="R1630">
        <v>-0.84440409999999899</v>
      </c>
      <c r="S1630">
        <v>-1.516022</v>
      </c>
      <c r="T1630">
        <v>-0.40652250000000001</v>
      </c>
      <c r="U1630">
        <v>-2.6803590000000002</v>
      </c>
      <c r="V1630">
        <v>-0.17561370000000001</v>
      </c>
      <c r="W1630">
        <v>0.14223649999999999</v>
      </c>
      <c r="X1630">
        <v>0.97412969999999999</v>
      </c>
      <c r="Y1630">
        <v>-0.2145523</v>
      </c>
      <c r="Z1630">
        <v>8.8361910000000002E-2</v>
      </c>
      <c r="AA1630">
        <v>0.97270730000000005</v>
      </c>
      <c r="AB1630">
        <v>28</v>
      </c>
      <c r="AC1630">
        <v>-3.9444000000000199</v>
      </c>
      <c r="AD1630">
        <v>-1.1085643342859901</v>
      </c>
      <c r="AE1630">
        <v>-7.0894000000000101</v>
      </c>
      <c r="AF1630">
        <v>-1.7433914507533601</v>
      </c>
      <c r="AG1630">
        <v>-1.1085643342859901</v>
      </c>
      <c r="AH1630">
        <v>7.7709589147929004</v>
      </c>
      <c r="AI1630">
        <v>97.924358869231895</v>
      </c>
      <c r="AJ1630">
        <v>102.644768114995</v>
      </c>
      <c r="AK1630">
        <v>8.0409036239225102</v>
      </c>
      <c r="AL1630">
        <v>81.822716672217197</v>
      </c>
      <c r="AM1630">
        <v>100.219375456021</v>
      </c>
      <c r="AN1630">
        <v>1.0000000329910099</v>
      </c>
    </row>
    <row r="1631" spans="1:40" x14ac:dyDescent="0.3">
      <c r="A1631" t="str">
        <f>"20200111150347198"</f>
        <v>20200111150347198</v>
      </c>
      <c r="B1631" t="str">
        <f>"1578726227190176"</f>
        <v>1578726227190176</v>
      </c>
      <c r="C1631" t="s">
        <v>40</v>
      </c>
      <c r="D1631">
        <v>5.1930540000000001</v>
      </c>
      <c r="E1631">
        <v>0.4837902</v>
      </c>
      <c r="F1631" t="s">
        <v>41</v>
      </c>
      <c r="G1631">
        <v>-416.8098</v>
      </c>
      <c r="H1631" s="1">
        <v>-4.1397049999999999E-6</v>
      </c>
      <c r="I1631">
        <v>117.96339999999999</v>
      </c>
      <c r="J1631">
        <v>-412.79770000000002</v>
      </c>
      <c r="K1631">
        <v>1.1088499999999999</v>
      </c>
      <c r="L1631">
        <v>125.1944</v>
      </c>
      <c r="M1631">
        <v>-0.66139749999999997</v>
      </c>
      <c r="N1631">
        <v>0</v>
      </c>
      <c r="O1631">
        <v>-0.74989519999999998</v>
      </c>
      <c r="P1631">
        <v>-0.5169165</v>
      </c>
      <c r="Q1631">
        <v>0.13294539999999999</v>
      </c>
      <c r="R1631">
        <v>-0.84564919999999999</v>
      </c>
      <c r="S1631">
        <v>-1.511719</v>
      </c>
      <c r="T1631">
        <v>-0.39983619999999997</v>
      </c>
      <c r="U1631">
        <v>-2.6837620000000002</v>
      </c>
      <c r="V1631">
        <v>-0.17318129999999901</v>
      </c>
      <c r="W1631">
        <v>0.14534949999999999</v>
      </c>
      <c r="X1631">
        <v>0.97410560000000002</v>
      </c>
      <c r="Y1631">
        <v>-0.21069370000000001</v>
      </c>
      <c r="Z1631">
        <v>8.7615199999999893E-2</v>
      </c>
      <c r="AA1631">
        <v>0.97361790000000004</v>
      </c>
      <c r="AB1631">
        <v>28</v>
      </c>
      <c r="AC1631">
        <v>-4.01209999999997</v>
      </c>
      <c r="AD1631">
        <v>-1.10885413970499</v>
      </c>
      <c r="AE1631">
        <v>-7.2309999999999999</v>
      </c>
      <c r="AF1631">
        <v>-1.74276249141658</v>
      </c>
      <c r="AG1631">
        <v>-1.10885413970499</v>
      </c>
      <c r="AH1631">
        <v>7.9342762139813399</v>
      </c>
      <c r="AI1631">
        <v>97.772886475988003</v>
      </c>
      <c r="AJ1631">
        <v>102.388280572122</v>
      </c>
      <c r="AK1631">
        <v>8.1987509807518499</v>
      </c>
      <c r="AL1631">
        <v>81.642481352307101</v>
      </c>
      <c r="AM1631">
        <v>100.080995457811</v>
      </c>
      <c r="AN1631">
        <v>0.99999997988564904</v>
      </c>
    </row>
    <row r="1632" spans="1:40" x14ac:dyDescent="0.3">
      <c r="A1632" t="str">
        <f>"20200111150347221"</f>
        <v>20200111150347221</v>
      </c>
      <c r="B1632" t="str">
        <f>"1578726227209696"</f>
        <v>1578726227209696</v>
      </c>
      <c r="C1632" t="s">
        <v>40</v>
      </c>
      <c r="D1632">
        <v>5.5356569999999996</v>
      </c>
      <c r="E1632">
        <v>0.48271589999999998</v>
      </c>
      <c r="F1632" t="s">
        <v>41</v>
      </c>
      <c r="G1632">
        <v>-417.08909999999997</v>
      </c>
      <c r="H1632" s="1">
        <v>-3.9035510000000003E-6</v>
      </c>
      <c r="I1632">
        <v>117.5284</v>
      </c>
      <c r="J1632">
        <v>-412.97089999999997</v>
      </c>
      <c r="K1632">
        <v>1.1091629999999999</v>
      </c>
      <c r="L1632">
        <v>124.98860000000001</v>
      </c>
      <c r="M1632">
        <v>-0.65687869999999904</v>
      </c>
      <c r="N1632">
        <v>0</v>
      </c>
      <c r="O1632">
        <v>-0.75385630000000003</v>
      </c>
      <c r="P1632">
        <v>-0.51064529999999997</v>
      </c>
      <c r="Q1632">
        <v>0.13395179999999901</v>
      </c>
      <c r="R1632">
        <v>-0.84929290000000002</v>
      </c>
      <c r="S1632">
        <v>-1.505096</v>
      </c>
      <c r="T1632">
        <v>-0.38890829999999998</v>
      </c>
      <c r="U1632">
        <v>-2.6887050000000001</v>
      </c>
      <c r="V1632">
        <v>-0.1745563</v>
      </c>
      <c r="W1632">
        <v>0.1462147</v>
      </c>
      <c r="X1632">
        <v>0.9737306</v>
      </c>
      <c r="Y1632">
        <v>-0.20730270000000001</v>
      </c>
      <c r="Z1632">
        <v>8.5921730000000002E-2</v>
      </c>
      <c r="AA1632">
        <v>0.97449629999999998</v>
      </c>
      <c r="AB1632">
        <v>28</v>
      </c>
      <c r="AC1632">
        <v>-4.1181999999999999</v>
      </c>
      <c r="AD1632">
        <v>-1.1091669035509999</v>
      </c>
      <c r="AE1632">
        <v>-7.4602000000000004</v>
      </c>
      <c r="AF1632">
        <v>-1.76618181691321</v>
      </c>
      <c r="AG1632">
        <v>-1.1091669035509999</v>
      </c>
      <c r="AH1632">
        <v>8.1911782602394201</v>
      </c>
      <c r="AI1632">
        <v>97.540285628277005</v>
      </c>
      <c r="AJ1632">
        <v>102.167829442564</v>
      </c>
      <c r="AK1632">
        <v>8.4525174191684904</v>
      </c>
      <c r="AL1632">
        <v>81.592373566534107</v>
      </c>
      <c r="AM1632">
        <v>100.163205315986</v>
      </c>
      <c r="AN1632">
        <v>0.99999996087106902</v>
      </c>
    </row>
    <row r="1633" spans="1:40" x14ac:dyDescent="0.3">
      <c r="A1633" t="str">
        <f>"20200111150347243"</f>
        <v>20200111150347243</v>
      </c>
      <c r="B1633" t="str">
        <f>"1578726227239953"</f>
        <v>1578726227239953</v>
      </c>
      <c r="C1633" t="s">
        <v>40</v>
      </c>
      <c r="D1633">
        <v>5.3328949999999997</v>
      </c>
      <c r="E1633">
        <v>0.41751500000000002</v>
      </c>
      <c r="F1633" t="s">
        <v>41</v>
      </c>
      <c r="G1633">
        <v>-417.37849999999997</v>
      </c>
      <c r="H1633" s="1">
        <v>-3.5968999999999998E-6</v>
      </c>
      <c r="I1633">
        <v>116.9333</v>
      </c>
      <c r="J1633">
        <v>-413.14510000000001</v>
      </c>
      <c r="K1633">
        <v>1.109523</v>
      </c>
      <c r="L1633">
        <v>124.7782</v>
      </c>
      <c r="M1633">
        <v>-0.65186549999999999</v>
      </c>
      <c r="N1633">
        <v>0</v>
      </c>
      <c r="O1633">
        <v>-0.75819499999999995</v>
      </c>
      <c r="P1633">
        <v>-0.50312820000000003</v>
      </c>
      <c r="Q1633">
        <v>0.13251260000000001</v>
      </c>
      <c r="R1633">
        <v>-0.85399219999999898</v>
      </c>
      <c r="S1633">
        <v>-1.478485</v>
      </c>
      <c r="T1633">
        <v>-0.3720638</v>
      </c>
      <c r="U1633">
        <v>-2.7021030000000001</v>
      </c>
      <c r="V1633">
        <v>-0.1769599</v>
      </c>
      <c r="W1633">
        <v>0.1446074</v>
      </c>
      <c r="X1633">
        <v>0.97353679999999998</v>
      </c>
      <c r="Y1633">
        <v>-0.2100496</v>
      </c>
      <c r="Z1633">
        <v>8.2745920000000001E-2</v>
      </c>
      <c r="AA1633">
        <v>0.97418289999999996</v>
      </c>
      <c r="AB1633">
        <v>28</v>
      </c>
      <c r="AC1633">
        <v>-4.2333999999999596</v>
      </c>
      <c r="AD1633">
        <v>-1.1095265968999899</v>
      </c>
      <c r="AE1633">
        <v>-7.8448999999999902</v>
      </c>
      <c r="AF1633">
        <v>-1.8752277236567401</v>
      </c>
      <c r="AG1633">
        <v>-1.1095265968999899</v>
      </c>
      <c r="AH1633">
        <v>8.5756404138876707</v>
      </c>
      <c r="AI1633">
        <v>97.203679574055499</v>
      </c>
      <c r="AJ1633">
        <v>102.334664620994</v>
      </c>
      <c r="AK1633">
        <v>8.8481148722822809</v>
      </c>
      <c r="AL1633">
        <v>81.685454771302702</v>
      </c>
      <c r="AM1633">
        <v>100.30218077182499</v>
      </c>
      <c r="AN1633">
        <v>1.0000000036484999</v>
      </c>
    </row>
    <row r="1634" spans="1:40" x14ac:dyDescent="0.3">
      <c r="A1634" t="str">
        <f>"20200111150347266"</f>
        <v>20200111150347266</v>
      </c>
      <c r="B1634" t="str">
        <f>"1578726227260448"</f>
        <v>1578726227260448</v>
      </c>
      <c r="C1634" t="s">
        <v>40</v>
      </c>
      <c r="D1634">
        <v>5.3046720000000001</v>
      </c>
      <c r="E1634">
        <v>0.41359119999999999</v>
      </c>
      <c r="F1634" t="s">
        <v>41</v>
      </c>
      <c r="G1634">
        <v>-417.80489999999998</v>
      </c>
      <c r="H1634" s="1">
        <v>-1.0159479999999999E-6</v>
      </c>
      <c r="I1634">
        <v>110.91719999999999</v>
      </c>
      <c r="J1634">
        <v>-413.32069999999999</v>
      </c>
      <c r="K1634">
        <v>1.109931</v>
      </c>
      <c r="L1634">
        <v>124.5621</v>
      </c>
      <c r="M1634">
        <v>-0.64628719999999995</v>
      </c>
      <c r="N1634">
        <v>0</v>
      </c>
      <c r="O1634">
        <v>-0.7629553</v>
      </c>
      <c r="P1634">
        <v>-0.49663259999999998</v>
      </c>
      <c r="Q1634">
        <v>0.13263069999999999</v>
      </c>
      <c r="R1634">
        <v>-0.85776770000000002</v>
      </c>
      <c r="S1634">
        <v>-0.99606320000000004</v>
      </c>
      <c r="T1634">
        <v>-0.23716880000000001</v>
      </c>
      <c r="U1634">
        <v>-2.9628909999999999</v>
      </c>
      <c r="V1634">
        <v>-0.17734249999999999</v>
      </c>
      <c r="W1634">
        <v>0.14457110000000001</v>
      </c>
      <c r="X1634">
        <v>0.97347260000000002</v>
      </c>
      <c r="Y1634">
        <v>-0.3699228</v>
      </c>
      <c r="Z1634">
        <v>4.8376080000000002E-2</v>
      </c>
      <c r="AA1634">
        <v>0.92780209999999996</v>
      </c>
      <c r="AB1634">
        <v>28</v>
      </c>
      <c r="AC1634">
        <v>-4.48419999999998</v>
      </c>
      <c r="AD1634">
        <v>-1.109932015948</v>
      </c>
      <c r="AE1634">
        <v>-13.6449</v>
      </c>
      <c r="AF1634">
        <v>-5.3658084240937596</v>
      </c>
      <c r="AG1634">
        <v>-1.109932015948</v>
      </c>
      <c r="AH1634">
        <v>13.230927563732701</v>
      </c>
      <c r="AI1634">
        <v>94.445204635286203</v>
      </c>
      <c r="AJ1634">
        <v>112.075035834017</v>
      </c>
      <c r="AK1634">
        <v>14.3206596677962</v>
      </c>
      <c r="AL1634">
        <v>81.687556950578994</v>
      </c>
      <c r="AM1634">
        <v>100.324642541583</v>
      </c>
      <c r="AN1634">
        <v>1.0000000341060999</v>
      </c>
    </row>
    <row r="1635" spans="1:40" x14ac:dyDescent="0.3">
      <c r="A1635" t="str">
        <f>"20200111150347287"</f>
        <v>20200111150347287</v>
      </c>
      <c r="B1635" t="str">
        <f>"1578726227279967"</f>
        <v>1578726227279967</v>
      </c>
      <c r="C1635" t="s">
        <v>40</v>
      </c>
      <c r="D1635">
        <v>5.2918129999999897</v>
      </c>
      <c r="E1635">
        <v>0.41227819999999998</v>
      </c>
      <c r="F1635" t="s">
        <v>41</v>
      </c>
      <c r="G1635">
        <v>-417.73669999999998</v>
      </c>
      <c r="H1635" s="1">
        <v>-9.2804089999999997E-7</v>
      </c>
      <c r="I1635">
        <v>110.60550000000001</v>
      </c>
      <c r="J1635">
        <v>-413.48989999999998</v>
      </c>
      <c r="K1635">
        <v>1.1103459999999901</v>
      </c>
      <c r="L1635">
        <v>124.34990000000001</v>
      </c>
      <c r="M1635">
        <v>-0.64036649999999995</v>
      </c>
      <c r="N1635">
        <v>0</v>
      </c>
      <c r="O1635">
        <v>-0.76793069999999997</v>
      </c>
      <c r="P1635">
        <v>-0.49095519999999998</v>
      </c>
      <c r="Q1635">
        <v>0.13411500000000001</v>
      </c>
      <c r="R1635">
        <v>-0.86079969999999995</v>
      </c>
      <c r="S1635">
        <v>-0.94509889999999996</v>
      </c>
      <c r="T1635">
        <v>-0.2375476</v>
      </c>
      <c r="U1635">
        <v>-2.9869840000000001</v>
      </c>
      <c r="V1635">
        <v>-0.17626120000000001</v>
      </c>
      <c r="W1635">
        <v>0.1459251</v>
      </c>
      <c r="X1635">
        <v>0.97346690000000002</v>
      </c>
      <c r="Y1635">
        <v>-0.37929410000000002</v>
      </c>
      <c r="Z1635">
        <v>4.8551339999999998E-2</v>
      </c>
      <c r="AA1635">
        <v>0.92400150000000003</v>
      </c>
      <c r="AB1635">
        <v>28</v>
      </c>
      <c r="AC1635">
        <v>-4.2468000000000004</v>
      </c>
      <c r="AD1635">
        <v>-1.11034692804089</v>
      </c>
      <c r="AE1635">
        <v>-13.744400000000001</v>
      </c>
      <c r="AF1635">
        <v>-5.5079820007779796</v>
      </c>
      <c r="AG1635">
        <v>-1.11034692804089</v>
      </c>
      <c r="AH1635">
        <v>13.1970487632993</v>
      </c>
      <c r="AI1635">
        <v>94.439808507891598</v>
      </c>
      <c r="AJ1635">
        <v>112.653933439844</v>
      </c>
      <c r="AK1635">
        <v>14.343389839309401</v>
      </c>
      <c r="AL1635">
        <v>81.609146447981701</v>
      </c>
      <c r="AM1635">
        <v>100.26309142434999</v>
      </c>
      <c r="AN1635">
        <v>0.99999997541552899</v>
      </c>
    </row>
    <row r="1636" spans="1:40" x14ac:dyDescent="0.3">
      <c r="A1636" t="str">
        <f>"20200111150347310"</f>
        <v>20200111150347310</v>
      </c>
      <c r="B1636" t="str">
        <f>"1578726227300463"</f>
        <v>1578726227300463</v>
      </c>
      <c r="C1636" t="s">
        <v>40</v>
      </c>
      <c r="D1636">
        <v>5.2787629999999996</v>
      </c>
      <c r="E1636">
        <v>0.4106687</v>
      </c>
      <c r="F1636" t="s">
        <v>41</v>
      </c>
      <c r="G1636">
        <v>-417.68110000000001</v>
      </c>
      <c r="H1636" s="1">
        <v>-9.5482800000000008E-7</v>
      </c>
      <c r="I1636">
        <v>110.6408</v>
      </c>
      <c r="J1636">
        <v>-413.6533</v>
      </c>
      <c r="K1636">
        <v>1.1107549999999999</v>
      </c>
      <c r="L1636">
        <v>124.14060000000001</v>
      </c>
      <c r="M1636">
        <v>-0.63406819999999997</v>
      </c>
      <c r="N1636">
        <v>0</v>
      </c>
      <c r="O1636">
        <v>-0.7731384</v>
      </c>
      <c r="P1636">
        <v>-0.48472460000000001</v>
      </c>
      <c r="Q1636">
        <v>0.13495570000000001</v>
      </c>
      <c r="R1636">
        <v>-0.86419249999999903</v>
      </c>
      <c r="S1636">
        <v>-0.91714479999999998</v>
      </c>
      <c r="T1636">
        <v>-0.24297289999999999</v>
      </c>
      <c r="U1636">
        <v>-2.999908</v>
      </c>
      <c r="V1636">
        <v>-0.1754095</v>
      </c>
      <c r="W1636">
        <v>0.146643</v>
      </c>
      <c r="X1636">
        <v>0.97351290000000001</v>
      </c>
      <c r="Y1636">
        <v>-0.38075029999999999</v>
      </c>
      <c r="Z1636">
        <v>5.0048780000000001E-2</v>
      </c>
      <c r="AA1636">
        <v>0.92332239999999999</v>
      </c>
      <c r="AB1636">
        <v>28</v>
      </c>
      <c r="AC1636">
        <v>-4.0278000000000098</v>
      </c>
      <c r="AD1636">
        <v>-1.1107559548279999</v>
      </c>
      <c r="AE1636">
        <v>-13.4998</v>
      </c>
      <c r="AF1636">
        <v>-5.4126832257566901</v>
      </c>
      <c r="AG1636">
        <v>-1.1107559548279999</v>
      </c>
      <c r="AH1636">
        <v>12.9122382172154</v>
      </c>
      <c r="AI1636">
        <v>94.536062669368704</v>
      </c>
      <c r="AJ1636">
        <v>112.74295169203999</v>
      </c>
      <c r="AK1636">
        <v>14.044814497589201</v>
      </c>
      <c r="AL1636">
        <v>81.5675668453637</v>
      </c>
      <c r="AM1636">
        <v>100.214073897593</v>
      </c>
      <c r="AN1636">
        <v>1.00000001430282</v>
      </c>
    </row>
    <row r="1637" spans="1:40" x14ac:dyDescent="0.3">
      <c r="A1637" t="str">
        <f>"20200111150347332"</f>
        <v>20200111150347332</v>
      </c>
      <c r="B1637" t="str">
        <f>"1578726227329744"</f>
        <v>1578726227329744</v>
      </c>
      <c r="C1637" t="s">
        <v>40</v>
      </c>
      <c r="D1637">
        <v>5.2912600000000003</v>
      </c>
      <c r="E1637">
        <v>0.40942220000000001</v>
      </c>
      <c r="F1637" t="s">
        <v>41</v>
      </c>
      <c r="G1637">
        <v>-417.7269</v>
      </c>
      <c r="H1637" s="1">
        <v>-8.2712800000000002E-7</v>
      </c>
      <c r="I1637">
        <v>110.3013</v>
      </c>
      <c r="J1637">
        <v>-413.82209999999998</v>
      </c>
      <c r="K1637">
        <v>1.111167</v>
      </c>
      <c r="L1637">
        <v>123.91930000000001</v>
      </c>
      <c r="M1637">
        <v>-0.62692429999999999</v>
      </c>
      <c r="N1637">
        <v>0</v>
      </c>
      <c r="O1637">
        <v>-0.77894169999999996</v>
      </c>
      <c r="P1637">
        <v>-0.4788384</v>
      </c>
      <c r="Q1637">
        <v>0.13480899999999901</v>
      </c>
      <c r="R1637">
        <v>-0.86749080000000001</v>
      </c>
      <c r="S1637">
        <v>-0.88656619999999997</v>
      </c>
      <c r="T1637">
        <v>-0.2417426</v>
      </c>
      <c r="U1637">
        <v>-3.0119479999999998</v>
      </c>
      <c r="V1637">
        <v>-0.17322360000000001</v>
      </c>
      <c r="W1637">
        <v>0.14640810000000001</v>
      </c>
      <c r="X1637">
        <v>0.97393949999999996</v>
      </c>
      <c r="Y1637">
        <v>-0.3818743</v>
      </c>
      <c r="Z1637">
        <v>5.0276500000000002E-2</v>
      </c>
      <c r="AA1637">
        <v>0.92284569999999999</v>
      </c>
      <c r="AB1637">
        <v>28</v>
      </c>
      <c r="AC1637">
        <v>-3.9048000000000198</v>
      </c>
      <c r="AD1637">
        <v>-1.1111678271279899</v>
      </c>
      <c r="AE1637">
        <v>-13.618</v>
      </c>
      <c r="AF1637">
        <v>-5.4628291044615196</v>
      </c>
      <c r="AG1637">
        <v>-1.1111678271279899</v>
      </c>
      <c r="AH1637">
        <v>12.9772146249054</v>
      </c>
      <c r="AI1637">
        <v>94.512278229606494</v>
      </c>
      <c r="AJ1637">
        <v>112.828923967234</v>
      </c>
      <c r="AK1637">
        <v>14.1239263374408</v>
      </c>
      <c r="AL1637">
        <v>81.581171912883903</v>
      </c>
      <c r="AM1637">
        <v>100.085091618484</v>
      </c>
      <c r="AN1637">
        <v>0.99999994850140805</v>
      </c>
    </row>
    <row r="1638" spans="1:40" x14ac:dyDescent="0.3">
      <c r="A1638" t="str">
        <f>"20200111150347355"</f>
        <v>20200111150347355</v>
      </c>
      <c r="B1638" t="str">
        <f>"1578726227350239"</f>
        <v>1578726227350239</v>
      </c>
      <c r="C1638" t="s">
        <v>40</v>
      </c>
      <c r="D1638">
        <v>5.1873370000000003</v>
      </c>
      <c r="E1638">
        <v>0.40894170000000002</v>
      </c>
      <c r="F1638" t="s">
        <v>41</v>
      </c>
      <c r="G1638">
        <v>-417.74180000000001</v>
      </c>
      <c r="H1638" s="1">
        <v>-7.5190790000000002E-7</v>
      </c>
      <c r="I1638">
        <v>110.0919</v>
      </c>
      <c r="J1638">
        <v>-413.9828</v>
      </c>
      <c r="K1638">
        <v>1.1115219999999999</v>
      </c>
      <c r="L1638">
        <v>123.7038</v>
      </c>
      <c r="M1638">
        <v>-0.61958429999999998</v>
      </c>
      <c r="N1638">
        <v>0</v>
      </c>
      <c r="O1638">
        <v>-0.78479169999999998</v>
      </c>
      <c r="P1638">
        <v>-0.47178150000000002</v>
      </c>
      <c r="Q1638">
        <v>0.13532429999999901</v>
      </c>
      <c r="R1638">
        <v>-0.87126909999999902</v>
      </c>
      <c r="S1638">
        <v>-0.85693359999999996</v>
      </c>
      <c r="T1638">
        <v>-0.2429258</v>
      </c>
      <c r="U1638">
        <v>-3.022964</v>
      </c>
      <c r="V1638">
        <v>-0.17207310000000001</v>
      </c>
      <c r="W1638">
        <v>0.146842</v>
      </c>
      <c r="X1638">
        <v>0.97407820000000001</v>
      </c>
      <c r="Y1638">
        <v>-0.38247029999999999</v>
      </c>
      <c r="Z1638">
        <v>5.1030449999999998E-2</v>
      </c>
      <c r="AA1638">
        <v>0.92255750000000003</v>
      </c>
      <c r="AB1638">
        <v>28</v>
      </c>
      <c r="AC1638">
        <v>-3.7590000000000101</v>
      </c>
      <c r="AD1638">
        <v>-1.1115227519078901</v>
      </c>
      <c r="AE1638">
        <v>-13.6119</v>
      </c>
      <c r="AF1638">
        <v>-5.4505143413705799</v>
      </c>
      <c r="AG1638">
        <v>-1.1115227519078901</v>
      </c>
      <c r="AH1638">
        <v>12.932811206074399</v>
      </c>
      <c r="AI1638">
        <v>94.528351014395199</v>
      </c>
      <c r="AJ1638">
        <v>112.852919181285</v>
      </c>
      <c r="AK1638">
        <v>14.0783946210304</v>
      </c>
      <c r="AL1638">
        <v>81.556040358685905</v>
      </c>
      <c r="AM1638">
        <v>100.018073265235</v>
      </c>
      <c r="AN1638">
        <v>1.00000003221142</v>
      </c>
    </row>
    <row r="1639" spans="1:40" x14ac:dyDescent="0.3">
      <c r="A1639" t="str">
        <f>"20200111150347377"</f>
        <v>20200111150347377</v>
      </c>
      <c r="B1639" t="str">
        <f>"1578726227369759"</f>
        <v>1578726227369759</v>
      </c>
      <c r="C1639" t="s">
        <v>40</v>
      </c>
      <c r="D1639">
        <v>5.1421049999999999</v>
      </c>
      <c r="E1639">
        <v>0.40843590000000002</v>
      </c>
      <c r="F1639" t="s">
        <v>41</v>
      </c>
      <c r="G1639">
        <v>-417.81229999999999</v>
      </c>
      <c r="H1639" s="1">
        <v>-5.9463259999999998E-7</v>
      </c>
      <c r="I1639">
        <v>109.6849</v>
      </c>
      <c r="J1639">
        <v>-414.14429999999999</v>
      </c>
      <c r="K1639">
        <v>1.1118429999999999</v>
      </c>
      <c r="L1639">
        <v>123.4819</v>
      </c>
      <c r="M1639">
        <v>-0.61165419999999904</v>
      </c>
      <c r="N1639">
        <v>0</v>
      </c>
      <c r="O1639">
        <v>-0.79098710000000005</v>
      </c>
      <c r="P1639">
        <v>-0.4615109</v>
      </c>
      <c r="Q1639">
        <v>0.13507350000000001</v>
      </c>
      <c r="R1639">
        <v>-0.8767914</v>
      </c>
      <c r="S1639">
        <v>-0.82827759999999995</v>
      </c>
      <c r="T1639">
        <v>-0.2404096</v>
      </c>
      <c r="U1639">
        <v>-3.0321199999999999</v>
      </c>
      <c r="V1639">
        <v>-0.17385829999999999</v>
      </c>
      <c r="W1639">
        <v>0.14646609999999999</v>
      </c>
      <c r="X1639">
        <v>0.97381770000000001</v>
      </c>
      <c r="Y1639">
        <v>-0.38199529999999998</v>
      </c>
      <c r="Z1639">
        <v>5.1091089999999999E-2</v>
      </c>
      <c r="AA1639">
        <v>0.92275090000000004</v>
      </c>
      <c r="AB1639">
        <v>28</v>
      </c>
      <c r="AC1639">
        <v>-3.6680000000000001</v>
      </c>
      <c r="AD1639">
        <v>-1.1118435946326</v>
      </c>
      <c r="AE1639">
        <v>-13.796999999999899</v>
      </c>
      <c r="AF1639">
        <v>-5.5048683502304501</v>
      </c>
      <c r="AG1639">
        <v>-1.1118435946326</v>
      </c>
      <c r="AH1639">
        <v>13.0789058635147</v>
      </c>
      <c r="AI1639">
        <v>94.480143095352204</v>
      </c>
      <c r="AJ1639">
        <v>112.826065043551</v>
      </c>
      <c r="AK1639">
        <v>14.2336766268935</v>
      </c>
      <c r="AL1639">
        <v>81.577812724807202</v>
      </c>
      <c r="AM1639">
        <v>100.122521041581</v>
      </c>
      <c r="AN1639">
        <v>0.99999996988069395</v>
      </c>
    </row>
    <row r="1640" spans="1:40" x14ac:dyDescent="0.3">
      <c r="A1640" t="str">
        <f>"20200111150347399"</f>
        <v>20200111150347399</v>
      </c>
      <c r="B1640" t="str">
        <f>"1578726227390257"</f>
        <v>1578726227390257</v>
      </c>
      <c r="C1640" t="s">
        <v>40</v>
      </c>
      <c r="D1640">
        <v>5.1611310000000001</v>
      </c>
      <c r="E1640">
        <v>0.4081149</v>
      </c>
      <c r="F1640" t="s">
        <v>41</v>
      </c>
      <c r="G1640">
        <v>-417.7747</v>
      </c>
      <c r="H1640" s="1">
        <v>-5.0568969999999999E-6</v>
      </c>
      <c r="I1640">
        <v>109.4939</v>
      </c>
      <c r="J1640">
        <v>-414.29660000000001</v>
      </c>
      <c r="K1640">
        <v>1.1121289999999999</v>
      </c>
      <c r="L1640">
        <v>123.2676</v>
      </c>
      <c r="M1640">
        <v>-0.60364309999999999</v>
      </c>
      <c r="N1640">
        <v>0</v>
      </c>
      <c r="O1640">
        <v>-0.79711669999999901</v>
      </c>
      <c r="P1640">
        <v>-0.4511907</v>
      </c>
      <c r="Q1640">
        <v>0.133456399999999</v>
      </c>
      <c r="R1640">
        <v>-0.88239249999999902</v>
      </c>
      <c r="S1640">
        <v>-0.78979489999999997</v>
      </c>
      <c r="T1640">
        <v>-0.24188419999999999</v>
      </c>
      <c r="U1640">
        <v>-3.0431059999999999</v>
      </c>
      <c r="V1640">
        <v>-0.17569109999999999</v>
      </c>
      <c r="W1640">
        <v>0.14473429999999901</v>
      </c>
      <c r="X1640">
        <v>0.97374769999999999</v>
      </c>
      <c r="Y1640">
        <v>-0.3844244</v>
      </c>
      <c r="Z1640">
        <v>5.1919760000000002E-2</v>
      </c>
      <c r="AA1640">
        <v>0.9216953</v>
      </c>
      <c r="AB1640">
        <v>28</v>
      </c>
      <c r="AC1640">
        <v>-3.47809999999998</v>
      </c>
      <c r="AD1640">
        <v>-1.112134056897</v>
      </c>
      <c r="AE1640">
        <v>-13.7737</v>
      </c>
      <c r="AF1640">
        <v>-5.5087953436749304</v>
      </c>
      <c r="AG1640">
        <v>-1.112134056897</v>
      </c>
      <c r="AH1640">
        <v>13.000539876301699</v>
      </c>
      <c r="AI1640">
        <v>94.503644473160406</v>
      </c>
      <c r="AJ1640">
        <v>112.964116825593</v>
      </c>
      <c r="AK1640">
        <v>14.163251935001201</v>
      </c>
      <c r="AL1640">
        <v>81.678106449633702</v>
      </c>
      <c r="AM1640">
        <v>100.227710697315</v>
      </c>
      <c r="AN1640">
        <v>0.99999998173549398</v>
      </c>
    </row>
    <row r="1641" spans="1:40" x14ac:dyDescent="0.3">
      <c r="A1641" t="str">
        <f>"20200111150347421"</f>
        <v>20200111150347421</v>
      </c>
      <c r="B1641" t="str">
        <f>"1578726227409775"</f>
        <v>1578726227409775</v>
      </c>
      <c r="C1641" t="s">
        <v>40</v>
      </c>
      <c r="D1641">
        <v>5.1383769999999904</v>
      </c>
      <c r="E1641">
        <v>0.40776279999999998</v>
      </c>
      <c r="F1641" t="s">
        <v>41</v>
      </c>
      <c r="G1641">
        <v>-417.68259999999998</v>
      </c>
      <c r="H1641" s="1">
        <v>-5.0715060000000002E-6</v>
      </c>
      <c r="I1641">
        <v>109.4903</v>
      </c>
      <c r="J1641">
        <v>-414.45030000000003</v>
      </c>
      <c r="K1641">
        <v>1.1124099999999999</v>
      </c>
      <c r="L1641">
        <v>123.0458</v>
      </c>
      <c r="M1641">
        <v>-0.59499969999999902</v>
      </c>
      <c r="N1641">
        <v>0</v>
      </c>
      <c r="O1641">
        <v>-0.80358819999999997</v>
      </c>
      <c r="P1641">
        <v>-0.4407392</v>
      </c>
      <c r="Q1641">
        <v>0.13206039999999999</v>
      </c>
      <c r="R1641">
        <v>-0.88786779999999998</v>
      </c>
      <c r="S1641">
        <v>-0.75042719999999996</v>
      </c>
      <c r="T1641">
        <v>-0.24647839999999999</v>
      </c>
      <c r="U1641">
        <v>-3.0534210000000002</v>
      </c>
      <c r="V1641">
        <v>-0.17687990000000001</v>
      </c>
      <c r="W1641">
        <v>0.1432408</v>
      </c>
      <c r="X1641">
        <v>0.97375330000000004</v>
      </c>
      <c r="Y1641">
        <v>-0.38640150000000001</v>
      </c>
      <c r="Z1641">
        <v>5.3483240000000001E-2</v>
      </c>
      <c r="AA1641">
        <v>0.92077869999999995</v>
      </c>
      <c r="AB1641">
        <v>27</v>
      </c>
      <c r="AC1641">
        <v>-3.2322999999999502</v>
      </c>
      <c r="AD1641">
        <v>-1.1124150715059999</v>
      </c>
      <c r="AE1641">
        <v>-13.555499999999901</v>
      </c>
      <c r="AF1641">
        <v>-5.4340589697836599</v>
      </c>
      <c r="AG1641">
        <v>-1.1124150715059999</v>
      </c>
      <c r="AH1641">
        <v>12.7365171319961</v>
      </c>
      <c r="AI1641">
        <v>94.592959048481603</v>
      </c>
      <c r="AJ1641">
        <v>113.105610083481</v>
      </c>
      <c r="AK1641">
        <v>13.891916096494</v>
      </c>
      <c r="AL1641">
        <v>81.764578590982794</v>
      </c>
      <c r="AM1641">
        <v>100.295382477896</v>
      </c>
      <c r="AN1641">
        <v>0.999999957534769</v>
      </c>
    </row>
    <row r="1642" spans="1:40" x14ac:dyDescent="0.3">
      <c r="A1642" t="str">
        <f>"20200111150347444"</f>
        <v>20200111150347444</v>
      </c>
      <c r="B1642" t="str">
        <f>"1578726227440032"</f>
        <v>1578726227440032</v>
      </c>
      <c r="C1642" t="s">
        <v>40</v>
      </c>
      <c r="D1642">
        <v>5.133051</v>
      </c>
      <c r="E1642">
        <v>0.40747749999999999</v>
      </c>
      <c r="F1642" t="s">
        <v>41</v>
      </c>
      <c r="G1642">
        <v>-417.64319999999998</v>
      </c>
      <c r="H1642" s="1">
        <v>-4.9646529999999998E-6</v>
      </c>
      <c r="I1642">
        <v>109.2495</v>
      </c>
      <c r="J1642">
        <v>-414.60500000000002</v>
      </c>
      <c r="K1642">
        <v>1.112703</v>
      </c>
      <c r="L1642">
        <v>122.81659999999999</v>
      </c>
      <c r="M1642">
        <v>-0.58571139999999999</v>
      </c>
      <c r="N1642">
        <v>0</v>
      </c>
      <c r="O1642">
        <v>-0.81038189999999999</v>
      </c>
      <c r="P1642">
        <v>-0.42868319999999999</v>
      </c>
      <c r="Q1642">
        <v>0.1323242</v>
      </c>
      <c r="R1642">
        <v>-0.8937119</v>
      </c>
      <c r="S1642">
        <v>-0.7090149</v>
      </c>
      <c r="T1642">
        <v>-0.2470281</v>
      </c>
      <c r="U1642">
        <v>-3.0636749999999999</v>
      </c>
      <c r="V1642">
        <v>-0.17894280000000001</v>
      </c>
      <c r="W1642">
        <v>0.1433866</v>
      </c>
      <c r="X1642">
        <v>0.97335490000000002</v>
      </c>
      <c r="Y1642">
        <v>-0.38828449999999998</v>
      </c>
      <c r="Z1642">
        <v>5.4224660000000001E-2</v>
      </c>
      <c r="AA1642">
        <v>0.91994290000000001</v>
      </c>
      <c r="AB1642">
        <v>27</v>
      </c>
      <c r="AC1642">
        <v>-3.0381999999999598</v>
      </c>
      <c r="AD1642">
        <v>-1.112707964653</v>
      </c>
      <c r="AE1642">
        <v>-13.5670999999999</v>
      </c>
      <c r="AF1642">
        <v>-5.4500065836209597</v>
      </c>
      <c r="AG1642">
        <v>-1.112707964653</v>
      </c>
      <c r="AH1642">
        <v>12.6941577804067</v>
      </c>
      <c r="AI1642">
        <v>94.604980397811701</v>
      </c>
      <c r="AJ1642">
        <v>113.235389912418</v>
      </c>
      <c r="AK1642">
        <v>13.8593770613969</v>
      </c>
      <c r="AL1642">
        <v>81.756138103099502</v>
      </c>
      <c r="AM1642">
        <v>100.417011485063</v>
      </c>
      <c r="AN1642">
        <v>1.0000000020427</v>
      </c>
    </row>
    <row r="1643" spans="1:40" x14ac:dyDescent="0.3">
      <c r="A1643" t="str">
        <f>"20200111150347467"</f>
        <v>20200111150347467</v>
      </c>
      <c r="B1643" t="str">
        <f>"1578726227460527"</f>
        <v>1578726227460527</v>
      </c>
      <c r="C1643" t="s">
        <v>40</v>
      </c>
      <c r="D1643">
        <v>5.1147919999999996</v>
      </c>
      <c r="E1643">
        <v>0.4074353</v>
      </c>
      <c r="F1643" t="s">
        <v>41</v>
      </c>
      <c r="G1643">
        <v>-417.61919999999998</v>
      </c>
      <c r="H1643" s="1">
        <v>-4.8054209999999997E-6</v>
      </c>
      <c r="I1643">
        <v>108.9036</v>
      </c>
      <c r="J1643">
        <v>-414.75330000000002</v>
      </c>
      <c r="K1643">
        <v>1.1129990000000001</v>
      </c>
      <c r="L1643">
        <v>122.59050000000001</v>
      </c>
      <c r="M1643">
        <v>-0.57620199999999999</v>
      </c>
      <c r="N1643">
        <v>0</v>
      </c>
      <c r="O1643">
        <v>-0.81716949999999999</v>
      </c>
      <c r="P1643">
        <v>-0.41683330000000002</v>
      </c>
      <c r="Q1643">
        <v>0.13345699999999999</v>
      </c>
      <c r="R1643">
        <v>-0.8991325</v>
      </c>
      <c r="S1643">
        <v>-0.66592410000000002</v>
      </c>
      <c r="T1643">
        <v>-0.24582670000000001</v>
      </c>
      <c r="U1643">
        <v>-3.0737459999999999</v>
      </c>
      <c r="V1643">
        <v>-0.1804683</v>
      </c>
      <c r="W1643">
        <v>0.14441489999999901</v>
      </c>
      <c r="X1643">
        <v>0.97292109999999998</v>
      </c>
      <c r="Y1643">
        <v>-0.39046130000000001</v>
      </c>
      <c r="Z1643">
        <v>5.4578199999999903E-2</v>
      </c>
      <c r="AA1643">
        <v>0.91900009999999999</v>
      </c>
      <c r="AB1643">
        <v>27</v>
      </c>
      <c r="AC1643">
        <v>-2.8658999999999502</v>
      </c>
      <c r="AD1643">
        <v>-1.1130038054210001</v>
      </c>
      <c r="AE1643">
        <v>-13.6869</v>
      </c>
      <c r="AF1643">
        <v>-5.5102104261922698</v>
      </c>
      <c r="AG1643">
        <v>-1.1130038054210001</v>
      </c>
      <c r="AH1643">
        <v>12.756488006113001</v>
      </c>
      <c r="AI1643">
        <v>94.579444112963898</v>
      </c>
      <c r="AJ1643">
        <v>113.362102168219</v>
      </c>
      <c r="AK1643">
        <v>13.9402002375111</v>
      </c>
      <c r="AL1643">
        <v>81.6966009191583</v>
      </c>
      <c r="AM1643">
        <v>100.50842796223</v>
      </c>
      <c r="AN1643">
        <v>0.99999996873605401</v>
      </c>
    </row>
    <row r="1644" spans="1:40" x14ac:dyDescent="0.3">
      <c r="A1644" t="str">
        <f>"20200111150347489"</f>
        <v>20200111150347489</v>
      </c>
      <c r="B1644" t="str">
        <f>"1578726227480048"</f>
        <v>1578726227480048</v>
      </c>
      <c r="C1644" t="s">
        <v>40</v>
      </c>
      <c r="D1644">
        <v>5.0924950000000004</v>
      </c>
      <c r="E1644">
        <v>0.40740949999999998</v>
      </c>
      <c r="F1644" t="s">
        <v>41</v>
      </c>
      <c r="G1644">
        <v>-417.62650000000002</v>
      </c>
      <c r="H1644" s="1">
        <v>-4.5806190000000001E-6</v>
      </c>
      <c r="I1644">
        <v>108.4308</v>
      </c>
      <c r="J1644">
        <v>-414.89710000000002</v>
      </c>
      <c r="K1644">
        <v>1.1132930000000001</v>
      </c>
      <c r="L1644">
        <v>122.3646</v>
      </c>
      <c r="M1644">
        <v>-0.56635559999999996</v>
      </c>
      <c r="N1644">
        <v>0</v>
      </c>
      <c r="O1644">
        <v>-0.82402339999999996</v>
      </c>
      <c r="P1644">
        <v>-0.40651120000000002</v>
      </c>
      <c r="Q1644">
        <v>0.13355330000000001</v>
      </c>
      <c r="R1644">
        <v>-0.90383219999999997</v>
      </c>
      <c r="S1644">
        <v>-0.6254883</v>
      </c>
      <c r="T1644">
        <v>-0.24229690000000001</v>
      </c>
      <c r="U1644">
        <v>-3.0825200000000001</v>
      </c>
      <c r="V1644">
        <v>-0.18003060000000001</v>
      </c>
      <c r="W1644">
        <v>0.14445829999999901</v>
      </c>
      <c r="X1644">
        <v>0.97299579999999997</v>
      </c>
      <c r="Y1644">
        <v>-0.39150190000000001</v>
      </c>
      <c r="Z1644">
        <v>5.4447669999999997E-2</v>
      </c>
      <c r="AA1644">
        <v>0.91856499999999996</v>
      </c>
      <c r="AB1644">
        <v>27</v>
      </c>
      <c r="AC1644">
        <v>-2.7293999999999898</v>
      </c>
      <c r="AD1644">
        <v>-1.113297580619</v>
      </c>
      <c r="AE1644">
        <v>-13.9337999999999</v>
      </c>
      <c r="AF1644">
        <v>-5.6085548864379602</v>
      </c>
      <c r="AG1644">
        <v>-1.113297580619</v>
      </c>
      <c r="AH1644">
        <v>12.949452878436199</v>
      </c>
      <c r="AI1644">
        <v>94.510778296945801</v>
      </c>
      <c r="AJ1644">
        <v>113.417983465411</v>
      </c>
      <c r="AK1644">
        <v>14.155693175116401</v>
      </c>
      <c r="AL1644">
        <v>81.694088377536502</v>
      </c>
      <c r="AM1644">
        <v>100.482719971202</v>
      </c>
      <c r="AN1644">
        <v>1.00000002209644</v>
      </c>
    </row>
    <row r="1645" spans="1:40" x14ac:dyDescent="0.3">
      <c r="A1645" t="str">
        <f>"20200111150347511"</f>
        <v>20200111150347511</v>
      </c>
      <c r="B1645" t="str">
        <f>"1578726227499567"</f>
        <v>1578726227499567</v>
      </c>
      <c r="C1645" t="s">
        <v>40</v>
      </c>
      <c r="D1645">
        <v>5.1224879999999997</v>
      </c>
      <c r="E1645">
        <v>0.40733989999999998</v>
      </c>
      <c r="F1645" t="s">
        <v>41</v>
      </c>
      <c r="G1645">
        <v>-417.61500000000001</v>
      </c>
      <c r="H1645" s="1">
        <v>-4.4280349999999997E-6</v>
      </c>
      <c r="I1645">
        <v>108.1037</v>
      </c>
      <c r="J1645">
        <v>-415.0326</v>
      </c>
      <c r="K1645">
        <v>1.1135600000000001</v>
      </c>
      <c r="L1645">
        <v>122.1452</v>
      </c>
      <c r="M1645">
        <v>-0.55644740000000004</v>
      </c>
      <c r="N1645">
        <v>0</v>
      </c>
      <c r="O1645">
        <v>-0.83074499999999996</v>
      </c>
      <c r="P1645">
        <v>-0.39525260000000001</v>
      </c>
      <c r="Q1645">
        <v>0.1339224</v>
      </c>
      <c r="R1645">
        <v>-0.90875729999999999</v>
      </c>
      <c r="S1645">
        <v>-0.58889769999999997</v>
      </c>
      <c r="T1645">
        <v>-0.24122279999999999</v>
      </c>
      <c r="U1645">
        <v>-3.0899809999999999</v>
      </c>
      <c r="V1645">
        <v>-0.1805426</v>
      </c>
      <c r="W1645">
        <v>0.14475929999999901</v>
      </c>
      <c r="X1645">
        <v>0.97285619999999995</v>
      </c>
      <c r="Y1645">
        <v>-0.39139200000000002</v>
      </c>
      <c r="Z1645">
        <v>5.487363E-2</v>
      </c>
      <c r="AA1645">
        <v>0.91858660000000003</v>
      </c>
      <c r="AB1645">
        <v>27</v>
      </c>
      <c r="AC1645">
        <v>-2.5823999999999998</v>
      </c>
      <c r="AD1645">
        <v>-1.1135644280349899</v>
      </c>
      <c r="AE1645">
        <v>-14.041499999999999</v>
      </c>
      <c r="AF1645">
        <v>-5.6344122420542702</v>
      </c>
      <c r="AG1645">
        <v>-1.1135644280349899</v>
      </c>
      <c r="AH1645">
        <v>13.024143285614601</v>
      </c>
      <c r="AI1645">
        <v>94.486898443255299</v>
      </c>
      <c r="AJ1645">
        <v>113.39393098856</v>
      </c>
      <c r="AK1645">
        <v>14.234287315247499</v>
      </c>
      <c r="AL1645">
        <v>81.676659261266295</v>
      </c>
      <c r="AM1645">
        <v>100.51334359594</v>
      </c>
      <c r="AN1645">
        <v>1.00000003561484</v>
      </c>
    </row>
    <row r="1646" spans="1:40" x14ac:dyDescent="0.3">
      <c r="A1646" t="str">
        <f>"20200111150347533"</f>
        <v>20200111150347533</v>
      </c>
      <c r="B1646" t="str">
        <f>"1578726227529824"</f>
        <v>1578726227529824</v>
      </c>
      <c r="C1646" t="s">
        <v>40</v>
      </c>
      <c r="D1646">
        <v>5.1118110000000003</v>
      </c>
      <c r="E1646">
        <v>0.4073464</v>
      </c>
      <c r="F1646" t="s">
        <v>41</v>
      </c>
      <c r="G1646">
        <v>-417.57330000000002</v>
      </c>
      <c r="H1646" s="1">
        <v>-4.3155289999999998E-6</v>
      </c>
      <c r="I1646">
        <v>107.85</v>
      </c>
      <c r="J1646">
        <v>-415.17099999999999</v>
      </c>
      <c r="K1646">
        <v>1.1138140000000001</v>
      </c>
      <c r="L1646">
        <v>121.91370000000001</v>
      </c>
      <c r="M1646">
        <v>-0.54569380000000001</v>
      </c>
      <c r="N1646">
        <v>0</v>
      </c>
      <c r="O1646">
        <v>-0.83784689999999995</v>
      </c>
      <c r="P1646">
        <v>-0.38274710000000001</v>
      </c>
      <c r="Q1646">
        <v>0.134576</v>
      </c>
      <c r="R1646">
        <v>-0.91399900000000001</v>
      </c>
      <c r="S1646">
        <v>-0.55050659999999996</v>
      </c>
      <c r="T1646">
        <v>-0.2412754</v>
      </c>
      <c r="U1646">
        <v>-3.097321</v>
      </c>
      <c r="V1646">
        <v>-0.18140870000000001</v>
      </c>
      <c r="W1646">
        <v>0.14534530000000001</v>
      </c>
      <c r="X1646">
        <v>0.97260769999999996</v>
      </c>
      <c r="Y1646">
        <v>-0.39095089999999999</v>
      </c>
      <c r="Z1646">
        <v>5.5601449999999997E-2</v>
      </c>
      <c r="AA1646">
        <v>0.91873059999999995</v>
      </c>
      <c r="AB1646">
        <v>27</v>
      </c>
      <c r="AC1646">
        <v>-2.4023000000000199</v>
      </c>
      <c r="AD1646">
        <v>-1.11381831552899</v>
      </c>
      <c r="AE1646">
        <v>-14.063700000000001</v>
      </c>
      <c r="AF1646">
        <v>-5.6280675672147904</v>
      </c>
      <c r="AG1646">
        <v>-1.11381831552899</v>
      </c>
      <c r="AH1646">
        <v>13.0163311049995</v>
      </c>
      <c r="AI1646">
        <v>94.490971004073998</v>
      </c>
      <c r="AJ1646">
        <v>113.382936085675</v>
      </c>
      <c r="AK1646">
        <v>14.224648017301501</v>
      </c>
      <c r="AL1646">
        <v>81.642725212941102</v>
      </c>
      <c r="AM1646">
        <v>100.565283895411</v>
      </c>
      <c r="AN1646">
        <v>1.00000005538353</v>
      </c>
    </row>
    <row r="1647" spans="1:40" x14ac:dyDescent="0.3">
      <c r="A1647" t="str">
        <f>"20200111150347556"</f>
        <v>20200111150347556</v>
      </c>
      <c r="B1647" t="str">
        <f>"1578726227550324"</f>
        <v>1578726227550324</v>
      </c>
      <c r="C1647" t="s">
        <v>40</v>
      </c>
      <c r="D1647">
        <v>5.1165789999999998</v>
      </c>
      <c r="E1647">
        <v>0.40743089999999998</v>
      </c>
      <c r="F1647" t="s">
        <v>41</v>
      </c>
      <c r="G1647">
        <v>-417.52510000000001</v>
      </c>
      <c r="H1647" s="1">
        <v>-4.1746809999999997E-6</v>
      </c>
      <c r="I1647">
        <v>107.53400000000001</v>
      </c>
      <c r="J1647">
        <v>-415.30509999999998</v>
      </c>
      <c r="K1647">
        <v>1.1140479999999999</v>
      </c>
      <c r="L1647">
        <v>121.68210000000001</v>
      </c>
      <c r="M1647">
        <v>-0.53462509999999996</v>
      </c>
      <c r="N1647">
        <v>0</v>
      </c>
      <c r="O1647">
        <v>-0.84495149999999997</v>
      </c>
      <c r="P1647">
        <v>-0.37074810000000002</v>
      </c>
      <c r="Q1647">
        <v>0.13674149999999999</v>
      </c>
      <c r="R1647">
        <v>-0.91861159999999997</v>
      </c>
      <c r="S1647">
        <v>-0.5083008</v>
      </c>
      <c r="T1647">
        <v>-0.2404946</v>
      </c>
      <c r="U1647">
        <v>-3.1048580000000001</v>
      </c>
      <c r="V1647">
        <v>-0.18131159999999999</v>
      </c>
      <c r="W1647">
        <v>0.1474712</v>
      </c>
      <c r="X1647">
        <v>0.97230570000000005</v>
      </c>
      <c r="Y1647">
        <v>-0.39136720000000003</v>
      </c>
      <c r="Z1647">
        <v>5.6119710000000003E-2</v>
      </c>
      <c r="AA1647">
        <v>0.91852180000000005</v>
      </c>
      <c r="AB1647">
        <v>27</v>
      </c>
      <c r="AC1647">
        <v>-2.2200000000000202</v>
      </c>
      <c r="AD1647">
        <v>-1.1140521746809999</v>
      </c>
      <c r="AE1647">
        <v>-14.148099999999999</v>
      </c>
      <c r="AF1647">
        <v>-5.6545819405535198</v>
      </c>
      <c r="AG1647">
        <v>-1.1140521746809999</v>
      </c>
      <c r="AH1647">
        <v>13.0638035402197</v>
      </c>
      <c r="AI1647">
        <v>94.474908919028593</v>
      </c>
      <c r="AJ1647">
        <v>113.40505823434</v>
      </c>
      <c r="AK1647">
        <v>14.2785983943734</v>
      </c>
      <c r="AL1647">
        <v>81.519592893758698</v>
      </c>
      <c r="AM1647">
        <v>100.562962072128</v>
      </c>
      <c r="AN1647">
        <v>1.00000001268824</v>
      </c>
    </row>
    <row r="1648" spans="1:40" x14ac:dyDescent="0.3">
      <c r="A1648" t="str">
        <f>"20200111150347578"</f>
        <v>20200111150347578</v>
      </c>
      <c r="B1648" t="str">
        <f>"1578726227569839"</f>
        <v>1578726227569839</v>
      </c>
      <c r="C1648" t="s">
        <v>40</v>
      </c>
      <c r="D1648">
        <v>5.1900729999999999</v>
      </c>
      <c r="E1648">
        <v>0.40738940000000001</v>
      </c>
      <c r="F1648" t="s">
        <v>41</v>
      </c>
      <c r="G1648">
        <v>-417.52870000000001</v>
      </c>
      <c r="H1648" s="1">
        <v>-3.9047899999999996E-6</v>
      </c>
      <c r="I1648">
        <v>106.9644</v>
      </c>
      <c r="J1648">
        <v>-415.43380000000002</v>
      </c>
      <c r="K1648">
        <v>1.114268</v>
      </c>
      <c r="L1648">
        <v>121.4521</v>
      </c>
      <c r="M1648">
        <v>-0.52333229999999997</v>
      </c>
      <c r="N1648">
        <v>0</v>
      </c>
      <c r="O1648">
        <v>-0.8519909</v>
      </c>
      <c r="P1648">
        <v>-0.35937599999999997</v>
      </c>
      <c r="Q1648">
        <v>0.13803489999999999</v>
      </c>
      <c r="R1648">
        <v>-0.92292759999999996</v>
      </c>
      <c r="S1648">
        <v>-0.4700317</v>
      </c>
      <c r="T1648">
        <v>-0.23549490000000001</v>
      </c>
      <c r="U1648">
        <v>-3.1111149999999999</v>
      </c>
      <c r="V1648">
        <v>-0.1803872</v>
      </c>
      <c r="W1648">
        <v>0.14875350000000001</v>
      </c>
      <c r="X1648">
        <v>0.97228230000000004</v>
      </c>
      <c r="Y1648">
        <v>-0.39043689999999998</v>
      </c>
      <c r="Z1648">
        <v>5.5672029999999997E-2</v>
      </c>
      <c r="AA1648">
        <v>0.91894489999999995</v>
      </c>
      <c r="AB1648">
        <v>27</v>
      </c>
      <c r="AC1648">
        <v>-2.0948999999999902</v>
      </c>
      <c r="AD1648">
        <v>-1.11427190479</v>
      </c>
      <c r="AE1648">
        <v>-14.4877</v>
      </c>
      <c r="AF1648">
        <v>-5.7643264520429298</v>
      </c>
      <c r="AG1648">
        <v>-1.11427190479</v>
      </c>
      <c r="AH1648">
        <v>13.3638621281833</v>
      </c>
      <c r="AI1648">
        <v>94.378079569767905</v>
      </c>
      <c r="AJ1648">
        <v>113.33231768275699</v>
      </c>
      <c r="AK1648">
        <v>14.596639075643999</v>
      </c>
      <c r="AL1648">
        <v>81.445303097424699</v>
      </c>
      <c r="AM1648">
        <v>100.510558120726</v>
      </c>
      <c r="AN1648">
        <v>1.00000000828969</v>
      </c>
    </row>
    <row r="1649" spans="1:40" x14ac:dyDescent="0.3">
      <c r="A1649" t="str">
        <f>"20200111150347601"</f>
        <v>20200111150347601</v>
      </c>
      <c r="B1649" t="str">
        <f>"1578726227590335"</f>
        <v>1578726227590335</v>
      </c>
      <c r="C1649" t="s">
        <v>40</v>
      </c>
      <c r="D1649">
        <v>5.0796460000000003</v>
      </c>
      <c r="E1649">
        <v>0.40745300000000001</v>
      </c>
      <c r="F1649" t="s">
        <v>41</v>
      </c>
      <c r="G1649">
        <v>-417.51310000000001</v>
      </c>
      <c r="H1649" s="1">
        <v>-3.6749970000000001E-6</v>
      </c>
      <c r="I1649">
        <v>106.47239999999999</v>
      </c>
      <c r="J1649">
        <v>-415.55970000000002</v>
      </c>
      <c r="K1649">
        <v>1.1144810000000001</v>
      </c>
      <c r="L1649">
        <v>121.2197</v>
      </c>
      <c r="M1649">
        <v>-0.51160280000000002</v>
      </c>
      <c r="N1649">
        <v>0</v>
      </c>
      <c r="O1649">
        <v>-0.85908410000000002</v>
      </c>
      <c r="P1649">
        <v>-0.34755920000000001</v>
      </c>
      <c r="Q1649">
        <v>0.13785420000000001</v>
      </c>
      <c r="R1649">
        <v>-0.92746879999999998</v>
      </c>
      <c r="S1649">
        <v>-0.43261719999999998</v>
      </c>
      <c r="T1649">
        <v>-0.23183899999999999</v>
      </c>
      <c r="U1649">
        <v>-3.11673</v>
      </c>
      <c r="V1649">
        <v>-0.17956420000000001</v>
      </c>
      <c r="W1649">
        <v>0.14856620000000001</v>
      </c>
      <c r="X1649">
        <v>0.97246330000000003</v>
      </c>
      <c r="Y1649">
        <v>-0.38886409999999899</v>
      </c>
      <c r="Z1649">
        <v>5.5537980000000001E-2</v>
      </c>
      <c r="AA1649">
        <v>0.91961959999999998</v>
      </c>
      <c r="AB1649">
        <v>27</v>
      </c>
      <c r="AC1649">
        <v>-1.95339999999998</v>
      </c>
      <c r="AD1649">
        <v>-1.1144846749969901</v>
      </c>
      <c r="AE1649">
        <v>-14.747299999999999</v>
      </c>
      <c r="AF1649">
        <v>-5.8345731258009899</v>
      </c>
      <c r="AG1649">
        <v>-1.1144846749969901</v>
      </c>
      <c r="AH1649">
        <v>13.5938586050901</v>
      </c>
      <c r="AI1649">
        <v>94.308424219507899</v>
      </c>
      <c r="AJ1649">
        <v>113.229326433377</v>
      </c>
      <c r="AK1649">
        <v>14.835002912918601</v>
      </c>
      <c r="AL1649">
        <v>81.456155486420101</v>
      </c>
      <c r="AM1649">
        <v>100.46176159983</v>
      </c>
      <c r="AN1649">
        <v>1.0000000437754799</v>
      </c>
    </row>
    <row r="1650" spans="1:40" x14ac:dyDescent="0.3">
      <c r="A1650" t="str">
        <f>"20200111150347623"</f>
        <v>20200111150347623</v>
      </c>
      <c r="B1650" t="str">
        <f>"1578726227619615"</f>
        <v>1578726227619615</v>
      </c>
      <c r="C1650" t="s">
        <v>40</v>
      </c>
      <c r="D1650">
        <v>5.1088420000000001</v>
      </c>
      <c r="E1650">
        <v>0.40783999999999998</v>
      </c>
      <c r="F1650" t="s">
        <v>41</v>
      </c>
      <c r="G1650">
        <v>-417.44979999999998</v>
      </c>
      <c r="H1650" s="1">
        <v>-3.575651E-6</v>
      </c>
      <c r="I1650">
        <v>106.2385</v>
      </c>
      <c r="J1650">
        <v>-415.68060000000003</v>
      </c>
      <c r="K1650">
        <v>1.114687</v>
      </c>
      <c r="L1650">
        <v>120.988</v>
      </c>
      <c r="M1650">
        <v>-0.49961339999999999</v>
      </c>
      <c r="N1650">
        <v>0</v>
      </c>
      <c r="O1650">
        <v>-0.86611039999999995</v>
      </c>
      <c r="P1650">
        <v>-0.3355167</v>
      </c>
      <c r="Q1650">
        <v>0.13678290000000001</v>
      </c>
      <c r="R1650">
        <v>-0.93205099999999996</v>
      </c>
      <c r="S1650">
        <v>-0.39382929999999999</v>
      </c>
      <c r="T1650">
        <v>-0.2322195</v>
      </c>
      <c r="U1650">
        <v>-3.1215519999999999</v>
      </c>
      <c r="V1650">
        <v>-0.17877470000000001</v>
      </c>
      <c r="W1650">
        <v>0.14749479999999901</v>
      </c>
      <c r="X1650">
        <v>0.97277179999999996</v>
      </c>
      <c r="Y1650">
        <v>-0.38748830000000001</v>
      </c>
      <c r="Z1650">
        <v>5.6357980000000002E-2</v>
      </c>
      <c r="AA1650">
        <v>0.92015029999999998</v>
      </c>
      <c r="AB1650">
        <v>27</v>
      </c>
      <c r="AC1650">
        <v>-1.7691999999999499</v>
      </c>
      <c r="AD1650">
        <v>-1.1146905756509999</v>
      </c>
      <c r="AE1650">
        <v>-14.7494999999999</v>
      </c>
      <c r="AF1650">
        <v>-5.8047397817378599</v>
      </c>
      <c r="AG1650">
        <v>-1.1146905756509999</v>
      </c>
      <c r="AH1650">
        <v>13.5837615098933</v>
      </c>
      <c r="AI1650">
        <v>94.315327808334899</v>
      </c>
      <c r="AJ1650">
        <v>113.138439908609</v>
      </c>
      <c r="AK1650">
        <v>14.8140512949967</v>
      </c>
      <c r="AL1650">
        <v>81.518226014816705</v>
      </c>
      <c r="AM1650">
        <v>100.413541611597</v>
      </c>
      <c r="AN1650">
        <v>1.0000000421311801</v>
      </c>
    </row>
    <row r="1651" spans="1:40" x14ac:dyDescent="0.3">
      <c r="A1651" t="str">
        <f>"20200111150347645"</f>
        <v>20200111150347645</v>
      </c>
      <c r="B1651" t="str">
        <f>"1578726227640114"</f>
        <v>1578726227640114</v>
      </c>
      <c r="C1651" t="s">
        <v>40</v>
      </c>
      <c r="D1651">
        <v>5.0752930000000003</v>
      </c>
      <c r="E1651">
        <v>0.40811059999999999</v>
      </c>
      <c r="F1651" t="s">
        <v>41</v>
      </c>
      <c r="G1651">
        <v>-417.35079999999999</v>
      </c>
      <c r="H1651" s="1">
        <v>-3.6351300000000001E-6</v>
      </c>
      <c r="I1651">
        <v>106.3271</v>
      </c>
      <c r="J1651">
        <v>-415.80070000000001</v>
      </c>
      <c r="K1651">
        <v>1.1148880000000001</v>
      </c>
      <c r="L1651">
        <v>120.74930000000001</v>
      </c>
      <c r="M1651">
        <v>-0.4869578</v>
      </c>
      <c r="N1651">
        <v>0</v>
      </c>
      <c r="O1651">
        <v>-0.87328709999999898</v>
      </c>
      <c r="P1651">
        <v>-0.32414969999999999</v>
      </c>
      <c r="Q1651">
        <v>0.13532139999999901</v>
      </c>
      <c r="R1651">
        <v>-0.93627700000000003</v>
      </c>
      <c r="S1651">
        <v>-0.35604859999999999</v>
      </c>
      <c r="T1651">
        <v>-0.23763300000000001</v>
      </c>
      <c r="U1651">
        <v>-3.1254430000000002</v>
      </c>
      <c r="V1651">
        <v>-0.176598799999999</v>
      </c>
      <c r="W1651">
        <v>0.14607600000000001</v>
      </c>
      <c r="X1651">
        <v>0.97338309999999995</v>
      </c>
      <c r="Y1651">
        <v>-0.3851928</v>
      </c>
      <c r="Z1651">
        <v>5.8456470000000003E-2</v>
      </c>
      <c r="AA1651">
        <v>0.92098279999999999</v>
      </c>
      <c r="AB1651">
        <v>27</v>
      </c>
      <c r="AC1651">
        <v>-1.55009999999998</v>
      </c>
      <c r="AD1651">
        <v>-1.11489163512999</v>
      </c>
      <c r="AE1651">
        <v>-14.4222</v>
      </c>
      <c r="AF1651">
        <v>-5.63670619456565</v>
      </c>
      <c r="AG1651">
        <v>-1.11489163512999</v>
      </c>
      <c r="AH1651">
        <v>13.272757680994999</v>
      </c>
      <c r="AI1651">
        <v>94.421042203874194</v>
      </c>
      <c r="AJ1651">
        <v>113.010075671854</v>
      </c>
      <c r="AK1651">
        <v>14.4631095045411</v>
      </c>
      <c r="AL1651">
        <v>81.600407045373004</v>
      </c>
      <c r="AM1651">
        <v>100.28319610203501</v>
      </c>
      <c r="AN1651">
        <v>0.99999999665152395</v>
      </c>
    </row>
    <row r="1652" spans="1:40" x14ac:dyDescent="0.3">
      <c r="A1652" t="str">
        <f>"20200111150347668"</f>
        <v>20200111150347668</v>
      </c>
      <c r="B1652" t="str">
        <f>"1578726227659631"</f>
        <v>1578726227659631</v>
      </c>
      <c r="C1652" t="s">
        <v>40</v>
      </c>
      <c r="D1652">
        <v>5.0793759999999999</v>
      </c>
      <c r="E1652">
        <v>0.40839249999999999</v>
      </c>
      <c r="F1652" t="s">
        <v>41</v>
      </c>
      <c r="G1652">
        <v>-417.26459999999997</v>
      </c>
      <c r="H1652" s="1">
        <v>-3.6955809999999999E-6</v>
      </c>
      <c r="I1652">
        <v>106.42270000000001</v>
      </c>
      <c r="J1652">
        <v>-415.91609999999997</v>
      </c>
      <c r="K1652">
        <v>1.115076</v>
      </c>
      <c r="L1652">
        <v>120.5104</v>
      </c>
      <c r="M1652">
        <v>-0.47400399999999998</v>
      </c>
      <c r="N1652">
        <v>0</v>
      </c>
      <c r="O1652">
        <v>-0.88038459999999996</v>
      </c>
      <c r="P1652">
        <v>-0.31285410000000002</v>
      </c>
      <c r="Q1652">
        <v>0.13434849999999901</v>
      </c>
      <c r="R1652">
        <v>-0.94025190000000003</v>
      </c>
      <c r="S1652">
        <v>-0.31970209999999999</v>
      </c>
      <c r="T1652">
        <v>-0.24347360000000001</v>
      </c>
      <c r="U1652">
        <v>-3.1286770000000002</v>
      </c>
      <c r="V1652">
        <v>-0.17404910000000001</v>
      </c>
      <c r="W1652">
        <v>0.14516129999999999</v>
      </c>
      <c r="X1652">
        <v>0.97397900000000004</v>
      </c>
      <c r="Y1652">
        <v>-0.38225369999999997</v>
      </c>
      <c r="Z1652">
        <v>6.0706469999999998E-2</v>
      </c>
      <c r="AA1652">
        <v>0.92206120000000003</v>
      </c>
      <c r="AB1652">
        <v>27</v>
      </c>
      <c r="AC1652">
        <v>-1.3485</v>
      </c>
      <c r="AD1652">
        <v>-1.1150796955810001</v>
      </c>
      <c r="AE1652">
        <v>-14.0876999999999</v>
      </c>
      <c r="AF1652">
        <v>-5.4572153218799304</v>
      </c>
      <c r="AG1652">
        <v>-1.1150796955810001</v>
      </c>
      <c r="AH1652">
        <v>12.962897319977699</v>
      </c>
      <c r="AI1652">
        <v>94.533026691816005</v>
      </c>
      <c r="AJ1652">
        <v>112.83047523727799</v>
      </c>
      <c r="AK1652">
        <v>14.1089088424705</v>
      </c>
      <c r="AL1652">
        <v>81.653380111932805</v>
      </c>
      <c r="AM1652">
        <v>100.131756449622</v>
      </c>
      <c r="AN1652">
        <v>0.99999999233475001</v>
      </c>
    </row>
    <row r="1653" spans="1:40" x14ac:dyDescent="0.3">
      <c r="A1653" t="str">
        <f>"20200111150347690"</f>
        <v>20200111150347690</v>
      </c>
      <c r="B1653" t="str">
        <f>"1578726227680128"</f>
        <v>1578726227680128</v>
      </c>
      <c r="C1653" t="s">
        <v>40</v>
      </c>
      <c r="D1653">
        <v>5.1295539999999997</v>
      </c>
      <c r="E1653">
        <v>0.4087151</v>
      </c>
      <c r="F1653" t="s">
        <v>41</v>
      </c>
      <c r="G1653">
        <v>-417.19510000000002</v>
      </c>
      <c r="H1653" s="1">
        <v>-3.688794E-6</v>
      </c>
      <c r="I1653">
        <v>106.3823</v>
      </c>
      <c r="J1653">
        <v>-416.024</v>
      </c>
      <c r="K1653">
        <v>1.1152519999999999</v>
      </c>
      <c r="L1653">
        <v>120.27760000000001</v>
      </c>
      <c r="M1653">
        <v>-0.46110139999999999</v>
      </c>
      <c r="N1653">
        <v>0</v>
      </c>
      <c r="O1653">
        <v>-0.88720889999999997</v>
      </c>
      <c r="P1653">
        <v>-0.30098000000000003</v>
      </c>
      <c r="Q1653">
        <v>0.134247799999999</v>
      </c>
      <c r="R1653">
        <v>-0.94413400000000003</v>
      </c>
      <c r="S1653">
        <v>-0.28350829999999999</v>
      </c>
      <c r="T1653">
        <v>-0.2471662</v>
      </c>
      <c r="U1653">
        <v>-3.1316069999999998</v>
      </c>
      <c r="V1653">
        <v>-0.17217209999999999</v>
      </c>
      <c r="W1653">
        <v>0.1451056</v>
      </c>
      <c r="X1653">
        <v>0.97432090000000005</v>
      </c>
      <c r="Y1653">
        <v>-0.37941770000000002</v>
      </c>
      <c r="Z1653">
        <v>6.2425330000000001E-2</v>
      </c>
      <c r="AA1653">
        <v>0.92311719999999997</v>
      </c>
      <c r="AB1653">
        <v>27</v>
      </c>
      <c r="AC1653">
        <v>-1.17110000000002</v>
      </c>
      <c r="AD1653">
        <v>-1.1152556887939999</v>
      </c>
      <c r="AE1653">
        <v>-13.895300000000001</v>
      </c>
      <c r="AF1653">
        <v>-5.3346690356785196</v>
      </c>
      <c r="AG1653">
        <v>-1.1152556887939999</v>
      </c>
      <c r="AH1653">
        <v>12.7878152458033</v>
      </c>
      <c r="AI1653">
        <v>94.601781829928598</v>
      </c>
      <c r="AJ1653">
        <v>112.64434230473699</v>
      </c>
      <c r="AK1653">
        <v>13.9007448625034</v>
      </c>
      <c r="AL1653">
        <v>81.656606053050695</v>
      </c>
      <c r="AM1653">
        <v>100.021273920158</v>
      </c>
      <c r="AN1653">
        <v>1.0000000416732799</v>
      </c>
    </row>
    <row r="1654" spans="1:40" x14ac:dyDescent="0.3">
      <c r="A1654" t="str">
        <f>"20200111150347712"</f>
        <v>20200111150347712</v>
      </c>
      <c r="B1654" t="str">
        <f>"1578726227700623"</f>
        <v>1578726227700623</v>
      </c>
      <c r="C1654" t="s">
        <v>40</v>
      </c>
      <c r="D1654">
        <v>5.1067929999999997</v>
      </c>
      <c r="E1654">
        <v>0.40904230000000003</v>
      </c>
      <c r="F1654" t="s">
        <v>41</v>
      </c>
      <c r="G1654">
        <v>-417.12729999999999</v>
      </c>
      <c r="H1654" s="1">
        <v>-3.631764E-6</v>
      </c>
      <c r="I1654">
        <v>106.2362</v>
      </c>
      <c r="J1654">
        <v>-416.13069999999999</v>
      </c>
      <c r="K1654">
        <v>1.115424</v>
      </c>
      <c r="L1654">
        <v>120.0367</v>
      </c>
      <c r="M1654">
        <v>-0.44748929999999998</v>
      </c>
      <c r="N1654">
        <v>0</v>
      </c>
      <c r="O1654">
        <v>-0.89415069999999996</v>
      </c>
      <c r="P1654">
        <v>-0.28808349999999999</v>
      </c>
      <c r="Q1654">
        <v>0.1344921</v>
      </c>
      <c r="R1654">
        <v>-0.94811400000000001</v>
      </c>
      <c r="S1654">
        <v>-0.24630740000000001</v>
      </c>
      <c r="T1654">
        <v>-0.24895419999999999</v>
      </c>
      <c r="U1654">
        <v>-3.1343990000000002</v>
      </c>
      <c r="V1654">
        <v>-0.1706124</v>
      </c>
      <c r="W1654">
        <v>0.14539150000000001</v>
      </c>
      <c r="X1654">
        <v>0.97455259999999999</v>
      </c>
      <c r="Y1654">
        <v>-0.37623519999999999</v>
      </c>
      <c r="Z1654">
        <v>6.3703280000000001E-2</v>
      </c>
      <c r="AA1654">
        <v>0.92433169999999998</v>
      </c>
      <c r="AB1654">
        <v>27</v>
      </c>
      <c r="AC1654">
        <v>-0.99660000000000004</v>
      </c>
      <c r="AD1654">
        <v>-1.1154276317639999</v>
      </c>
      <c r="AE1654">
        <v>-13.8005</v>
      </c>
      <c r="AF1654">
        <v>-5.2509952524894796</v>
      </c>
      <c r="AG1654">
        <v>-1.1154276317639999</v>
      </c>
      <c r="AH1654">
        <v>12.704713756512801</v>
      </c>
      <c r="AI1654">
        <v>94.638767903391795</v>
      </c>
      <c r="AJ1654">
        <v>112.455835719628</v>
      </c>
      <c r="AK1654">
        <v>13.7922761565413</v>
      </c>
      <c r="AL1654">
        <v>81.640049469953794</v>
      </c>
      <c r="AM1654">
        <v>99.929993027177801</v>
      </c>
      <c r="AN1654">
        <v>1.0000000247363801</v>
      </c>
    </row>
    <row r="1655" spans="1:40" x14ac:dyDescent="0.3">
      <c r="A1655" t="str">
        <f>"20200111150347735"</f>
        <v>20200111150347735</v>
      </c>
      <c r="B1655" t="str">
        <f>"1578726227729903"</f>
        <v>1578726227729903</v>
      </c>
      <c r="C1655" t="s">
        <v>40</v>
      </c>
      <c r="D1655">
        <v>5.1149969999999998</v>
      </c>
      <c r="E1655">
        <v>0.4096245</v>
      </c>
      <c r="F1655" t="s">
        <v>41</v>
      </c>
      <c r="G1655">
        <v>-417.05149999999998</v>
      </c>
      <c r="H1655" s="1">
        <v>-3.5250199999999901E-6</v>
      </c>
      <c r="I1655">
        <v>105.9819</v>
      </c>
      <c r="J1655">
        <v>-416.2355</v>
      </c>
      <c r="K1655">
        <v>1.1155679999999999</v>
      </c>
      <c r="L1655">
        <v>119.7894</v>
      </c>
      <c r="M1655">
        <v>-0.43328680000000003</v>
      </c>
      <c r="N1655">
        <v>0</v>
      </c>
      <c r="O1655">
        <v>-0.90111750000000002</v>
      </c>
      <c r="P1655">
        <v>-0.27380169999999998</v>
      </c>
      <c r="Q1655">
        <v>0.13329639999999901</v>
      </c>
      <c r="R1655">
        <v>-0.95250449999999998</v>
      </c>
      <c r="S1655">
        <v>-0.2055054</v>
      </c>
      <c r="T1655">
        <v>-0.2489643</v>
      </c>
      <c r="U1655">
        <v>-3.1370390000000001</v>
      </c>
      <c r="V1655">
        <v>-0.169933</v>
      </c>
      <c r="W1655">
        <v>0.1442233</v>
      </c>
      <c r="X1655">
        <v>0.97484479999999996</v>
      </c>
      <c r="Y1655">
        <v>-0.37360019999999999</v>
      </c>
      <c r="Z1655">
        <v>6.4530489999999996E-2</v>
      </c>
      <c r="AA1655">
        <v>0.92534249999999996</v>
      </c>
      <c r="AB1655">
        <v>27</v>
      </c>
      <c r="AC1655">
        <v>-0.81599999999997397</v>
      </c>
      <c r="AD1655">
        <v>-1.11557152502</v>
      </c>
      <c r="AE1655">
        <v>-13.807499999999999</v>
      </c>
      <c r="AF1655">
        <v>-5.2140335786035799</v>
      </c>
      <c r="AG1655">
        <v>-1.11557152502</v>
      </c>
      <c r="AH1655">
        <v>12.714631102978901</v>
      </c>
      <c r="AI1655">
        <v>94.641010902668896</v>
      </c>
      <c r="AJ1655">
        <v>112.297621190916</v>
      </c>
      <c r="AK1655">
        <v>13.787403311395501</v>
      </c>
      <c r="AL1655">
        <v>81.7076950628405</v>
      </c>
      <c r="AM1655">
        <v>99.888326770572903</v>
      </c>
      <c r="AN1655">
        <v>0.99999998441946403</v>
      </c>
    </row>
    <row r="1656" spans="1:40" x14ac:dyDescent="0.3">
      <c r="A1656" t="str">
        <f>"20200111150347757"</f>
        <v>20200111150347757</v>
      </c>
      <c r="B1656" t="str">
        <f>"1578726227750404"</f>
        <v>1578726227750404</v>
      </c>
      <c r="C1656" t="s">
        <v>40</v>
      </c>
      <c r="D1656">
        <v>5.1588320000000003</v>
      </c>
      <c r="E1656">
        <v>0.40983429999999998</v>
      </c>
      <c r="F1656" t="s">
        <v>41</v>
      </c>
      <c r="G1656">
        <v>-416.94400000000002</v>
      </c>
      <c r="H1656" s="1">
        <v>-3.5501800000000002E-6</v>
      </c>
      <c r="I1656">
        <v>105.9948</v>
      </c>
      <c r="J1656">
        <v>-416.33030000000002</v>
      </c>
      <c r="K1656">
        <v>1.115669</v>
      </c>
      <c r="L1656">
        <v>119.55549999999999</v>
      </c>
      <c r="M1656">
        <v>-0.41966249999999999</v>
      </c>
      <c r="N1656">
        <v>0</v>
      </c>
      <c r="O1656">
        <v>-0.9075415</v>
      </c>
      <c r="P1656">
        <v>-0.26009450000000001</v>
      </c>
      <c r="Q1656">
        <v>0.132918799999999</v>
      </c>
      <c r="R1656">
        <v>-0.95639090000000004</v>
      </c>
      <c r="S1656">
        <v>-0.1611938</v>
      </c>
      <c r="T1656">
        <v>-0.25383240000000001</v>
      </c>
      <c r="U1656">
        <v>-3.138779</v>
      </c>
      <c r="V1656">
        <v>-0.16929829999999901</v>
      </c>
      <c r="W1656">
        <v>0.14387549999999999</v>
      </c>
      <c r="X1656">
        <v>0.97500659999999895</v>
      </c>
      <c r="Y1656">
        <v>-0.37268440000000003</v>
      </c>
      <c r="Z1656">
        <v>6.6548499999999997E-2</v>
      </c>
      <c r="AA1656">
        <v>0.92556879999999997</v>
      </c>
      <c r="AB1656">
        <v>27</v>
      </c>
      <c r="AC1656">
        <v>-0.61369999999999403</v>
      </c>
      <c r="AD1656">
        <v>-1.11567255018</v>
      </c>
      <c r="AE1656">
        <v>-13.560699999999899</v>
      </c>
      <c r="AF1656">
        <v>-5.1001543881398703</v>
      </c>
      <c r="AG1656">
        <v>-1.11567255018</v>
      </c>
      <c r="AH1656">
        <v>12.481714054033599</v>
      </c>
      <c r="AI1656">
        <v>94.730080713223998</v>
      </c>
      <c r="AJ1656">
        <v>112.22542060076501</v>
      </c>
      <c r="AK1656">
        <v>13.5295781807397</v>
      </c>
      <c r="AL1656">
        <v>81.727832455682901</v>
      </c>
      <c r="AM1656">
        <v>99.850515979322793</v>
      </c>
      <c r="AN1656">
        <v>0.999999971963349</v>
      </c>
    </row>
    <row r="1657" spans="1:40" x14ac:dyDescent="0.3">
      <c r="A1657" t="str">
        <f>"20200111150347778"</f>
        <v>20200111150347778</v>
      </c>
      <c r="B1657" t="str">
        <f>"1578726227769922"</f>
        <v>1578726227769922</v>
      </c>
      <c r="C1657" t="s">
        <v>40</v>
      </c>
      <c r="D1657">
        <v>5.2196230000000003</v>
      </c>
      <c r="E1657">
        <v>0.43556539999999999</v>
      </c>
      <c r="F1657" t="s">
        <v>41</v>
      </c>
      <c r="G1657">
        <v>-416.8424</v>
      </c>
      <c r="H1657" s="1">
        <v>-3.4751349999999999E-6</v>
      </c>
      <c r="I1657">
        <v>105.7979</v>
      </c>
      <c r="J1657">
        <v>-416.42250000000001</v>
      </c>
      <c r="K1657">
        <v>1.1157509999999999</v>
      </c>
      <c r="L1657">
        <v>119.3173</v>
      </c>
      <c r="M1657">
        <v>-0.40562700000000002</v>
      </c>
      <c r="N1657">
        <v>0</v>
      </c>
      <c r="O1657">
        <v>-0.91390000000000005</v>
      </c>
      <c r="P1657">
        <v>-0.24447389999999999</v>
      </c>
      <c r="Q1657">
        <v>0.13438020000000001</v>
      </c>
      <c r="R1657">
        <v>-0.96029909999999996</v>
      </c>
      <c r="S1657">
        <v>-0.11688229999999999</v>
      </c>
      <c r="T1657">
        <v>-0.2546718</v>
      </c>
      <c r="U1657">
        <v>-3.1404109999999998</v>
      </c>
      <c r="V1657">
        <v>-0.17015359999999999</v>
      </c>
      <c r="W1657">
        <v>0.14532210000000001</v>
      </c>
      <c r="X1657">
        <v>0.97464309999999998</v>
      </c>
      <c r="Y1657">
        <v>-0.37144549999999998</v>
      </c>
      <c r="Z1657">
        <v>6.7528710000000006E-2</v>
      </c>
      <c r="AA1657">
        <v>0.92599569999999998</v>
      </c>
      <c r="AB1657">
        <v>27</v>
      </c>
      <c r="AC1657">
        <v>-0.41989999999998401</v>
      </c>
      <c r="AD1657">
        <v>-1.1157544751349999</v>
      </c>
      <c r="AE1657">
        <v>-13.519399999999999</v>
      </c>
      <c r="AF1657">
        <v>-5.0662597237640199</v>
      </c>
      <c r="AG1657">
        <v>-1.1157544751349999</v>
      </c>
      <c r="AH1657">
        <v>12.442623253394</v>
      </c>
      <c r="AI1657">
        <v>94.747600075778905</v>
      </c>
      <c r="AJ1657">
        <v>112.15466617385</v>
      </c>
      <c r="AK1657">
        <v>13.480755507883</v>
      </c>
      <c r="AL1657">
        <v>81.644067990385906</v>
      </c>
      <c r="AM1657">
        <v>99.902917936028402</v>
      </c>
      <c r="AN1657">
        <v>0.99999996635948896</v>
      </c>
    </row>
    <row r="1658" spans="1:40" x14ac:dyDescent="0.3">
      <c r="A1658" t="str">
        <f>"20200111150347802"</f>
        <v>20200111150347802</v>
      </c>
      <c r="B1658" t="str">
        <f>"1578726227790415"</f>
        <v>1578726227790415</v>
      </c>
      <c r="C1658" t="s">
        <v>40</v>
      </c>
      <c r="D1658">
        <v>5.24491</v>
      </c>
      <c r="E1658">
        <v>0.43916260000000001</v>
      </c>
      <c r="F1658" t="s">
        <v>41</v>
      </c>
      <c r="G1658">
        <v>-417.38010000000003</v>
      </c>
      <c r="H1658" s="1">
        <v>-4.5088940000000004E-6</v>
      </c>
      <c r="I1658">
        <v>108.1866</v>
      </c>
      <c r="J1658">
        <v>-416.5136</v>
      </c>
      <c r="K1658">
        <v>1.115812</v>
      </c>
      <c r="L1658">
        <v>119.0699</v>
      </c>
      <c r="M1658">
        <v>-0.3909164</v>
      </c>
      <c r="N1658">
        <v>0</v>
      </c>
      <c r="O1658">
        <v>-0.92028779999999999</v>
      </c>
      <c r="P1658">
        <v>-0.2276685</v>
      </c>
      <c r="Q1658">
        <v>0.13637759999999999</v>
      </c>
      <c r="R1658">
        <v>-0.96414129999999998</v>
      </c>
      <c r="S1658">
        <v>-0.26666260000000003</v>
      </c>
      <c r="T1658">
        <v>-0.31070910000000002</v>
      </c>
      <c r="U1658">
        <v>-3.0996090000000001</v>
      </c>
      <c r="V1658">
        <v>-0.17151250000000001</v>
      </c>
      <c r="W1658">
        <v>0.14729249999999999</v>
      </c>
      <c r="X1658">
        <v>0.97410909999999995</v>
      </c>
      <c r="Y1658">
        <v>-0.31092409999999998</v>
      </c>
      <c r="Z1658">
        <v>8.5296150000000001E-2</v>
      </c>
      <c r="AA1658">
        <v>0.94659959999999999</v>
      </c>
      <c r="AB1658">
        <v>27</v>
      </c>
      <c r="AC1658">
        <v>-0.86650000000003002</v>
      </c>
      <c r="AD1658">
        <v>-1.115816508894</v>
      </c>
      <c r="AE1658">
        <v>-10.8833</v>
      </c>
      <c r="AF1658">
        <v>-3.4217305382775001</v>
      </c>
      <c r="AG1658">
        <v>-1.115816508894</v>
      </c>
      <c r="AH1658">
        <v>10.2487651220545</v>
      </c>
      <c r="AI1658">
        <v>95.896016668975506</v>
      </c>
      <c r="AJ1658">
        <v>108.462494126197</v>
      </c>
      <c r="AK1658">
        <v>10.8623419613425</v>
      </c>
      <c r="AL1658">
        <v>81.529945255702003</v>
      </c>
      <c r="AM1658">
        <v>99.985782812001005</v>
      </c>
      <c r="AN1658">
        <v>1.0000000784576499</v>
      </c>
    </row>
    <row r="1659" spans="1:40" x14ac:dyDescent="0.3">
      <c r="A1659" t="str">
        <f>"20200111150347823"</f>
        <v>20200111150347823</v>
      </c>
      <c r="B1659" t="str">
        <f>"1578726227819695"</f>
        <v>1578726227819695</v>
      </c>
      <c r="C1659" t="s">
        <v>40</v>
      </c>
      <c r="D1659">
        <v>5.2000979999999997</v>
      </c>
      <c r="E1659">
        <v>0.44253949999999997</v>
      </c>
      <c r="F1659" t="s">
        <v>41</v>
      </c>
      <c r="G1659">
        <v>-417.4151</v>
      </c>
      <c r="H1659" s="1">
        <v>-4.1582969999999998E-6</v>
      </c>
      <c r="I1659">
        <v>107.458</v>
      </c>
      <c r="J1659">
        <v>-416.59840000000003</v>
      </c>
      <c r="K1659">
        <v>1.1158490000000001</v>
      </c>
      <c r="L1659">
        <v>118.82810000000001</v>
      </c>
      <c r="M1659">
        <v>-0.37642170000000003</v>
      </c>
      <c r="N1659">
        <v>0</v>
      </c>
      <c r="O1659">
        <v>-0.92631030000000003</v>
      </c>
      <c r="P1659">
        <v>-0.21071239999999999</v>
      </c>
      <c r="Q1659">
        <v>0.13572699999999999</v>
      </c>
      <c r="R1659">
        <v>-0.96807980000000005</v>
      </c>
      <c r="S1659">
        <v>-0.24041750000000001</v>
      </c>
      <c r="T1659">
        <v>-0.29758790000000002</v>
      </c>
      <c r="U1659">
        <v>-3.0968930000000001</v>
      </c>
      <c r="V1659">
        <v>-0.17335309999999901</v>
      </c>
      <c r="W1659">
        <v>0.1466076</v>
      </c>
      <c r="X1659">
        <v>0.97388649999999999</v>
      </c>
      <c r="Y1659">
        <v>-0.30388009999999999</v>
      </c>
      <c r="Z1659">
        <v>8.2781729999999998E-2</v>
      </c>
      <c r="AA1659">
        <v>0.94910700000000003</v>
      </c>
      <c r="AB1659">
        <v>27</v>
      </c>
      <c r="AC1659">
        <v>-0.81669999999996801</v>
      </c>
      <c r="AD1659">
        <v>-1.1158531582969999</v>
      </c>
      <c r="AE1659">
        <v>-11.370100000000001</v>
      </c>
      <c r="AF1659">
        <v>-3.49044074082913</v>
      </c>
      <c r="AG1659">
        <v>-1.1158531582969999</v>
      </c>
      <c r="AH1659">
        <v>10.7381599882603</v>
      </c>
      <c r="AI1659">
        <v>95.643929731766306</v>
      </c>
      <c r="AJ1659">
        <v>108.00676153482</v>
      </c>
      <c r="AK1659">
        <v>11.3462057433133</v>
      </c>
      <c r="AL1659">
        <v>81.569617157610594</v>
      </c>
      <c r="AM1659">
        <v>100.09301413593199</v>
      </c>
      <c r="AN1659">
        <v>1.00000000026981</v>
      </c>
    </row>
    <row r="1660" spans="1:40" x14ac:dyDescent="0.3">
      <c r="A1660" t="str">
        <f>"20200111150347848"</f>
        <v>20200111150347848</v>
      </c>
      <c r="B1660" t="str">
        <f>"1578726227840191"</f>
        <v>1578726227840191</v>
      </c>
      <c r="C1660" t="s">
        <v>40</v>
      </c>
      <c r="D1660">
        <v>5.1291169999999999</v>
      </c>
      <c r="E1660">
        <v>0.44470110000000002</v>
      </c>
      <c r="F1660" t="s">
        <v>41</v>
      </c>
      <c r="G1660">
        <v>-417.38679999999999</v>
      </c>
      <c r="H1660" s="1">
        <v>-4.111923E-6</v>
      </c>
      <c r="I1660">
        <v>107.3493</v>
      </c>
      <c r="J1660">
        <v>-416.685</v>
      </c>
      <c r="K1660">
        <v>1.115858</v>
      </c>
      <c r="L1660">
        <v>118.5671</v>
      </c>
      <c r="M1660">
        <v>-0.36069259999999997</v>
      </c>
      <c r="N1660">
        <v>0</v>
      </c>
      <c r="O1660">
        <v>-0.93254689999999996</v>
      </c>
      <c r="P1660">
        <v>-0.19322059999999999</v>
      </c>
      <c r="Q1660">
        <v>0.13330649999999999</v>
      </c>
      <c r="R1660">
        <v>-0.97205750000000002</v>
      </c>
      <c r="S1660">
        <v>-0.21258540000000001</v>
      </c>
      <c r="T1660">
        <v>-0.30084870000000002</v>
      </c>
      <c r="U1660">
        <v>-3.0948180000000001</v>
      </c>
      <c r="V1660">
        <v>-0.1745012</v>
      </c>
      <c r="W1660">
        <v>0.1441799</v>
      </c>
      <c r="X1660">
        <v>0.97404389999999996</v>
      </c>
      <c r="Y1660">
        <v>-0.29620089999999999</v>
      </c>
      <c r="Z1660">
        <v>8.4770750000000006E-2</v>
      </c>
      <c r="AA1660">
        <v>0.95135639999999999</v>
      </c>
      <c r="AB1660">
        <v>27</v>
      </c>
      <c r="AC1660">
        <v>-0.70179999999999099</v>
      </c>
      <c r="AD1660">
        <v>-1.1158621119230001</v>
      </c>
      <c r="AE1660">
        <v>-11.217799999999899</v>
      </c>
      <c r="AF1660">
        <v>-3.3590447758829201</v>
      </c>
      <c r="AG1660">
        <v>-1.1158621119230001</v>
      </c>
      <c r="AH1660">
        <v>10.6110518369641</v>
      </c>
      <c r="AI1660">
        <v>95.725164528683905</v>
      </c>
      <c r="AJ1660">
        <v>107.565754147118</v>
      </c>
      <c r="AK1660">
        <v>11.185828138584499</v>
      </c>
      <c r="AL1660">
        <v>81.710208225241004</v>
      </c>
      <c r="AM1660">
        <v>100.15686413802401</v>
      </c>
      <c r="AN1660">
        <v>1.00000001574632</v>
      </c>
    </row>
    <row r="1661" spans="1:40" x14ac:dyDescent="0.3">
      <c r="A1661" t="str">
        <f>"20200111150347869"</f>
        <v>20200111150347869</v>
      </c>
      <c r="B1661" t="str">
        <f>"1578726227859711"</f>
        <v>1578726227859711</v>
      </c>
      <c r="C1661" t="s">
        <v>40</v>
      </c>
      <c r="D1661">
        <v>5.1688660000000004</v>
      </c>
      <c r="E1661">
        <v>0.44673259999999998</v>
      </c>
      <c r="F1661" t="s">
        <v>41</v>
      </c>
      <c r="G1661">
        <v>-417.31229999999999</v>
      </c>
      <c r="H1661" s="1">
        <v>-4.1334400000000004E-6</v>
      </c>
      <c r="I1661">
        <v>107.3669</v>
      </c>
      <c r="J1661">
        <v>-416.75839999999999</v>
      </c>
      <c r="K1661">
        <v>1.115848</v>
      </c>
      <c r="L1661">
        <v>118.3334</v>
      </c>
      <c r="M1661">
        <v>-0.3465491</v>
      </c>
      <c r="N1661">
        <v>0</v>
      </c>
      <c r="O1661">
        <v>-0.93789449999999996</v>
      </c>
      <c r="P1661">
        <v>-0.1796961</v>
      </c>
      <c r="Q1661">
        <v>0.1313348</v>
      </c>
      <c r="R1661">
        <v>-0.97491589999999995</v>
      </c>
      <c r="S1661">
        <v>-0.17327879999999901</v>
      </c>
      <c r="T1661">
        <v>-0.30825550000000002</v>
      </c>
      <c r="U1661">
        <v>-3.094055</v>
      </c>
      <c r="V1661">
        <v>-0.17334330000000001</v>
      </c>
      <c r="W1661">
        <v>0.14226910000000001</v>
      </c>
      <c r="X1661">
        <v>0.97453149999999999</v>
      </c>
      <c r="Y1661">
        <v>-0.29379189999999999</v>
      </c>
      <c r="Z1661">
        <v>8.7711609999999995E-2</v>
      </c>
      <c r="AA1661">
        <v>0.95183660000000003</v>
      </c>
      <c r="AB1661">
        <v>26</v>
      </c>
      <c r="AC1661">
        <v>-0.55389999999999795</v>
      </c>
      <c r="AD1661">
        <v>-1.11585213344</v>
      </c>
      <c r="AE1661">
        <v>-10.9664999999999</v>
      </c>
      <c r="AF1661">
        <v>-3.2478137497275301</v>
      </c>
      <c r="AG1661">
        <v>-1.11585213344</v>
      </c>
      <c r="AH1661">
        <v>10.371616648525</v>
      </c>
      <c r="AI1661">
        <v>95.862067549088806</v>
      </c>
      <c r="AJ1661">
        <v>107.387655429689</v>
      </c>
      <c r="AK1661">
        <v>10.925376517108299</v>
      </c>
      <c r="AL1661">
        <v>81.820829536400495</v>
      </c>
      <c r="AM1661">
        <v>100.08591271365999</v>
      </c>
      <c r="AN1661">
        <v>1.00000002048097</v>
      </c>
    </row>
    <row r="1662" spans="1:40" x14ac:dyDescent="0.3">
      <c r="A1662" t="str">
        <f>"20200111150347890"</f>
        <v>20200111150347890</v>
      </c>
      <c r="B1662" t="str">
        <f>"1578726227880207"</f>
        <v>1578726227880207</v>
      </c>
      <c r="C1662" t="s">
        <v>40</v>
      </c>
      <c r="D1662">
        <v>5.1432539999999998</v>
      </c>
      <c r="E1662">
        <v>0.4476927</v>
      </c>
      <c r="F1662" t="s">
        <v>41</v>
      </c>
      <c r="G1662">
        <v>-417.27289999999999</v>
      </c>
      <c r="H1662" s="1">
        <v>-4.1554470000000003E-6</v>
      </c>
      <c r="I1662">
        <v>107.39870000000001</v>
      </c>
      <c r="J1662">
        <v>-416.83019999999999</v>
      </c>
      <c r="K1662">
        <v>1.115831</v>
      </c>
      <c r="L1662">
        <v>118.09059999999999</v>
      </c>
      <c r="M1662">
        <v>-0.33182240000000002</v>
      </c>
      <c r="N1662">
        <v>0</v>
      </c>
      <c r="O1662">
        <v>-0.94320490000000001</v>
      </c>
      <c r="P1662">
        <v>-0.1671899</v>
      </c>
      <c r="Q1662">
        <v>0.13154360000000001</v>
      </c>
      <c r="R1662">
        <v>-0.97710989999999998</v>
      </c>
      <c r="S1662">
        <v>-0.14553829999999901</v>
      </c>
      <c r="T1662">
        <v>-0.31561860000000003</v>
      </c>
      <c r="U1662">
        <v>-3.0928960000000001</v>
      </c>
      <c r="V1662">
        <v>-0.17055919999999999</v>
      </c>
      <c r="W1662">
        <v>0.1425843</v>
      </c>
      <c r="X1662">
        <v>0.97497650000000002</v>
      </c>
      <c r="Y1662">
        <v>-0.28732679999999999</v>
      </c>
      <c r="Z1662">
        <v>9.0738040000000006E-2</v>
      </c>
      <c r="AA1662">
        <v>0.95352499999999996</v>
      </c>
      <c r="AB1662">
        <v>26</v>
      </c>
      <c r="AC1662">
        <v>-0.44270000000000198</v>
      </c>
      <c r="AD1662">
        <v>-1.1158351554470001</v>
      </c>
      <c r="AE1662">
        <v>-10.691899999999899</v>
      </c>
      <c r="AF1662">
        <v>-3.0969863345441602</v>
      </c>
      <c r="AG1662">
        <v>-1.1158351554470001</v>
      </c>
      <c r="AH1662">
        <v>10.1228079465679</v>
      </c>
      <c r="AI1662">
        <v>96.017161292942404</v>
      </c>
      <c r="AJ1662">
        <v>107.011042143376</v>
      </c>
      <c r="AK1662">
        <v>10.6446067646289</v>
      </c>
      <c r="AL1662">
        <v>81.802583312720301</v>
      </c>
      <c r="AM1662">
        <v>99.922728042769407</v>
      </c>
      <c r="AN1662">
        <v>0.99999994943168802</v>
      </c>
    </row>
    <row r="1663" spans="1:40" x14ac:dyDescent="0.3">
      <c r="A1663" t="str">
        <f>"20200111150347914"</f>
        <v>20200111150347914</v>
      </c>
      <c r="B1663" t="str">
        <f>"1578726227910463"</f>
        <v>1578726227910463</v>
      </c>
      <c r="C1663" t="s">
        <v>40</v>
      </c>
      <c r="D1663">
        <v>5.1851190000000003</v>
      </c>
      <c r="E1663">
        <v>0.46262730000000002</v>
      </c>
      <c r="F1663" t="s">
        <v>41</v>
      </c>
      <c r="G1663">
        <v>-417.22980000000001</v>
      </c>
      <c r="H1663" s="1">
        <v>-4.0385719999999998E-6</v>
      </c>
      <c r="I1663">
        <v>107.1352</v>
      </c>
      <c r="J1663">
        <v>-416.90089999999998</v>
      </c>
      <c r="K1663">
        <v>1.11582</v>
      </c>
      <c r="L1663">
        <v>117.83669999999999</v>
      </c>
      <c r="M1663">
        <v>-0.3163958</v>
      </c>
      <c r="N1663">
        <v>0</v>
      </c>
      <c r="O1663">
        <v>-0.94849079999999997</v>
      </c>
      <c r="P1663">
        <v>-0.15329200000000001</v>
      </c>
      <c r="Q1663">
        <v>0.13346910000000001</v>
      </c>
      <c r="R1663">
        <v>-0.97912619999999895</v>
      </c>
      <c r="S1663">
        <v>-0.11282349999999999</v>
      </c>
      <c r="T1663">
        <v>-0.31507099999999999</v>
      </c>
      <c r="U1663">
        <v>-3.0933989999999998</v>
      </c>
      <c r="V1663">
        <v>-0.1684696</v>
      </c>
      <c r="W1663">
        <v>0.14459229999999901</v>
      </c>
      <c r="X1663">
        <v>0.97504409999999997</v>
      </c>
      <c r="Y1663">
        <v>-0.28177839999999998</v>
      </c>
      <c r="Z1663">
        <v>9.1464760000000006E-2</v>
      </c>
      <c r="AA1663">
        <v>0.95511000000000001</v>
      </c>
      <c r="AB1663">
        <v>26</v>
      </c>
      <c r="AC1663">
        <v>-0.328900000000032</v>
      </c>
      <c r="AD1663">
        <v>-1.115824038572</v>
      </c>
      <c r="AE1663">
        <v>-10.7014999999999</v>
      </c>
      <c r="AF1663">
        <v>-3.04131560728836</v>
      </c>
      <c r="AG1663">
        <v>-1.115824038572</v>
      </c>
      <c r="AH1663">
        <v>10.145468968008901</v>
      </c>
      <c r="AI1663">
        <v>96.013970814256496</v>
      </c>
      <c r="AJ1663">
        <v>106.68719692976499</v>
      </c>
      <c r="AK1663">
        <v>10.6501269705587</v>
      </c>
      <c r="AL1663">
        <v>81.686328829599205</v>
      </c>
      <c r="AM1663">
        <v>99.802866642163295</v>
      </c>
      <c r="AN1663">
        <v>0.99999996814412895</v>
      </c>
    </row>
    <row r="1664" spans="1:40" x14ac:dyDescent="0.3">
      <c r="A1664" t="str">
        <f>"20200111150347936"</f>
        <v>20200111150347936</v>
      </c>
      <c r="B1664" t="str">
        <f>"1578726227929986"</f>
        <v>1578726227929986</v>
      </c>
      <c r="C1664" t="s">
        <v>40</v>
      </c>
      <c r="D1664">
        <v>5.1772419999999997</v>
      </c>
      <c r="E1664">
        <v>0.46428160000000002</v>
      </c>
      <c r="F1664" t="s">
        <v>41</v>
      </c>
      <c r="G1664">
        <v>-417.5136</v>
      </c>
      <c r="H1664" s="1">
        <v>-4.3117809999999996E-6</v>
      </c>
      <c r="I1664">
        <v>107.8197</v>
      </c>
      <c r="J1664">
        <v>-416.96620000000001</v>
      </c>
      <c r="K1664">
        <v>1.1157969999999999</v>
      </c>
      <c r="L1664">
        <v>117.5865</v>
      </c>
      <c r="M1664">
        <v>-0.3011722</v>
      </c>
      <c r="N1664">
        <v>0</v>
      </c>
      <c r="O1664">
        <v>-0.9534338</v>
      </c>
      <c r="P1664">
        <v>-0.1391338</v>
      </c>
      <c r="Q1664">
        <v>0.13475770000000001</v>
      </c>
      <c r="R1664">
        <v>-0.98106159999999998</v>
      </c>
      <c r="S1664">
        <v>-0.18847659999999999</v>
      </c>
      <c r="T1664">
        <v>-0.34322720000000001</v>
      </c>
      <c r="U1664">
        <v>-3.0812379999999999</v>
      </c>
      <c r="V1664">
        <v>-0.16691510000000001</v>
      </c>
      <c r="W1664">
        <v>0.1459453</v>
      </c>
      <c r="X1664">
        <v>0.97510989999999997</v>
      </c>
      <c r="Y1664">
        <v>-0.2427308</v>
      </c>
      <c r="Z1664">
        <v>0.1012888</v>
      </c>
      <c r="AA1664">
        <v>0.96479139999999997</v>
      </c>
      <c r="AB1664">
        <v>26</v>
      </c>
      <c r="AC1664">
        <v>-0.54739999999998101</v>
      </c>
      <c r="AD1664">
        <v>-1.1158013117809999</v>
      </c>
      <c r="AE1664">
        <v>-9.7667999999999999</v>
      </c>
      <c r="AF1664">
        <v>-2.3888121588072799</v>
      </c>
      <c r="AG1664">
        <v>-1.1158013117809999</v>
      </c>
      <c r="AH1664">
        <v>9.3563532941785397</v>
      </c>
      <c r="AI1664">
        <v>96.591261060093601</v>
      </c>
      <c r="AJ1664">
        <v>104.322467015276</v>
      </c>
      <c r="AK1664">
        <v>9.7207398413352895</v>
      </c>
      <c r="AL1664">
        <v>81.607976748963097</v>
      </c>
      <c r="AM1664">
        <v>99.713501996085796</v>
      </c>
      <c r="AN1664">
        <v>0.99999999913905502</v>
      </c>
    </row>
    <row r="1665" spans="1:40" x14ac:dyDescent="0.3">
      <c r="A1665" t="str">
        <f>"20200111150347959"</f>
        <v>20200111150347959</v>
      </c>
      <c r="B1665" t="str">
        <f>"1578726227950479"</f>
        <v>1578726227950479</v>
      </c>
      <c r="C1665" t="s">
        <v>40</v>
      </c>
      <c r="D1665">
        <v>5.1441759999999999</v>
      </c>
      <c r="E1665">
        <v>0.4661653</v>
      </c>
      <c r="F1665" t="s">
        <v>41</v>
      </c>
      <c r="G1665">
        <v>-417.48759999999999</v>
      </c>
      <c r="H1665" s="1">
        <v>-4.1143980000000003E-6</v>
      </c>
      <c r="I1665">
        <v>107.39239999999999</v>
      </c>
      <c r="J1665">
        <v>-417.02780000000001</v>
      </c>
      <c r="K1665">
        <v>1.1157699999999999</v>
      </c>
      <c r="L1665">
        <v>117.3344</v>
      </c>
      <c r="M1665">
        <v>-0.28581319999999999</v>
      </c>
      <c r="N1665">
        <v>0</v>
      </c>
      <c r="O1665">
        <v>-0.95814999999999995</v>
      </c>
      <c r="P1665">
        <v>-0.12543579999999999</v>
      </c>
      <c r="Q1665">
        <v>0.13443069999999999</v>
      </c>
      <c r="R1665">
        <v>-0.9829521</v>
      </c>
      <c r="S1665">
        <v>-0.15762329999999999</v>
      </c>
      <c r="T1665">
        <v>-0.33732590000000001</v>
      </c>
      <c r="U1665">
        <v>-3.0818789999999998</v>
      </c>
      <c r="V1665">
        <v>-0.16483719999999999</v>
      </c>
      <c r="W1665">
        <v>0.14570050000000001</v>
      </c>
      <c r="X1665">
        <v>0.97549989999999998</v>
      </c>
      <c r="Y1665">
        <v>-0.2367747</v>
      </c>
      <c r="Z1665">
        <v>0.1004152</v>
      </c>
      <c r="AA1665">
        <v>0.96636149999999998</v>
      </c>
      <c r="AB1665">
        <v>26</v>
      </c>
      <c r="AC1665">
        <v>-0.45979999999997201</v>
      </c>
      <c r="AD1665">
        <v>-1.115774114398</v>
      </c>
      <c r="AE1665">
        <v>-9.9420000000000002</v>
      </c>
      <c r="AF1665">
        <v>-2.37150312204108</v>
      </c>
      <c r="AG1665">
        <v>-1.115774114398</v>
      </c>
      <c r="AH1665">
        <v>9.5387114241895006</v>
      </c>
      <c r="AI1665">
        <v>96.476351208883997</v>
      </c>
      <c r="AJ1665">
        <v>103.961738238484</v>
      </c>
      <c r="AK1665">
        <v>9.8922188899242691</v>
      </c>
      <c r="AL1665">
        <v>81.622154281997894</v>
      </c>
      <c r="AM1665">
        <v>99.591077234511303</v>
      </c>
      <c r="AN1665">
        <v>0.99999999655204996</v>
      </c>
    </row>
    <row r="1666" spans="1:40" x14ac:dyDescent="0.3">
      <c r="A1666" t="str">
        <f>"20200111150347980"</f>
        <v>20200111150347980</v>
      </c>
      <c r="B1666" t="str">
        <f>"1578726227969999"</f>
        <v>1578726227969999</v>
      </c>
      <c r="C1666" t="s">
        <v>40</v>
      </c>
      <c r="D1666">
        <v>5.2357680000000002</v>
      </c>
      <c r="E1666">
        <v>0.4669143</v>
      </c>
      <c r="F1666" t="s">
        <v>41</v>
      </c>
      <c r="G1666">
        <v>-417.4572</v>
      </c>
      <c r="H1666" s="1">
        <v>-3.983758E-6</v>
      </c>
      <c r="I1666">
        <v>107.1046</v>
      </c>
      <c r="J1666">
        <v>-417.0822</v>
      </c>
      <c r="K1666">
        <v>1.115739</v>
      </c>
      <c r="L1666">
        <v>117.0955</v>
      </c>
      <c r="M1666">
        <v>-0.271256099999999</v>
      </c>
      <c r="N1666">
        <v>0</v>
      </c>
      <c r="O1666">
        <v>-0.96237220000000001</v>
      </c>
      <c r="P1666">
        <v>-0.1134109</v>
      </c>
      <c r="Q1666">
        <v>0.13390350000000001</v>
      </c>
      <c r="R1666">
        <v>-0.98448380000000002</v>
      </c>
      <c r="S1666">
        <v>-0.12936400000000001</v>
      </c>
      <c r="T1666">
        <v>-0.33610010000000001</v>
      </c>
      <c r="U1666">
        <v>-3.081467</v>
      </c>
      <c r="V1666">
        <v>-0.161961299999999</v>
      </c>
      <c r="W1666">
        <v>0.14527689999999999</v>
      </c>
      <c r="X1666">
        <v>0.97604469999999999</v>
      </c>
      <c r="Y1666">
        <v>-0.23088130000000001</v>
      </c>
      <c r="Z1666">
        <v>0.1008454</v>
      </c>
      <c r="AA1666">
        <v>0.96774170000000004</v>
      </c>
      <c r="AB1666">
        <v>26</v>
      </c>
      <c r="AC1666">
        <v>-0.375</v>
      </c>
      <c r="AD1666">
        <v>-1.115742983758</v>
      </c>
      <c r="AE1666">
        <v>-9.9908999999999892</v>
      </c>
      <c r="AF1666">
        <v>-2.3206075370739301</v>
      </c>
      <c r="AG1666">
        <v>-1.115742983758</v>
      </c>
      <c r="AH1666">
        <v>9.5984099903872995</v>
      </c>
      <c r="AI1666">
        <v>96.446349210886098</v>
      </c>
      <c r="AJ1666">
        <v>103.591584681302</v>
      </c>
      <c r="AK1666">
        <v>9.9377852708989494</v>
      </c>
      <c r="AL1666">
        <v>81.646686227941302</v>
      </c>
      <c r="AM1666">
        <v>99.421604538793005</v>
      </c>
      <c r="AN1666">
        <v>1.00000004838469</v>
      </c>
    </row>
    <row r="1667" spans="1:40" x14ac:dyDescent="0.3">
      <c r="A1667" t="str">
        <f>"20200111150348003"</f>
        <v>20200111150348003</v>
      </c>
      <c r="B1667" t="str">
        <f>"1578726228000255"</f>
        <v>1578726228000255</v>
      </c>
      <c r="C1667" t="s">
        <v>40</v>
      </c>
      <c r="D1667">
        <v>5.2452860000000001</v>
      </c>
      <c r="E1667">
        <v>0.46900629999999999</v>
      </c>
      <c r="F1667" t="s">
        <v>41</v>
      </c>
      <c r="G1667">
        <v>-417.40370000000001</v>
      </c>
      <c r="H1667" s="1">
        <v>-3.8931229999999996E-6</v>
      </c>
      <c r="I1667">
        <v>106.89279999999999</v>
      </c>
      <c r="J1667">
        <v>-417.13600000000002</v>
      </c>
      <c r="K1667">
        <v>1.115704</v>
      </c>
      <c r="L1667">
        <v>116.8412</v>
      </c>
      <c r="M1667">
        <v>-0.25576339999999997</v>
      </c>
      <c r="N1667">
        <v>0</v>
      </c>
      <c r="O1667">
        <v>-0.96660489999999999</v>
      </c>
      <c r="P1667">
        <v>-0.1007612</v>
      </c>
      <c r="Q1667">
        <v>0.1333232</v>
      </c>
      <c r="R1667">
        <v>-0.98593710000000001</v>
      </c>
      <c r="S1667">
        <v>-9.713745E-2</v>
      </c>
      <c r="T1667">
        <v>-0.33703509999999998</v>
      </c>
      <c r="U1667">
        <v>-3.0819399999999999</v>
      </c>
      <c r="V1667">
        <v>-0.1588002</v>
      </c>
      <c r="W1667">
        <v>0.14480789999999999</v>
      </c>
      <c r="X1667">
        <v>0.97663359999999999</v>
      </c>
      <c r="Y1667">
        <v>-0.2253648</v>
      </c>
      <c r="Z1667">
        <v>0.10188079999999999</v>
      </c>
      <c r="AA1667">
        <v>0.96893289999999999</v>
      </c>
      <c r="AB1667">
        <v>26</v>
      </c>
      <c r="AC1667">
        <v>-0.26770000000004701</v>
      </c>
      <c r="AD1667">
        <v>-1.115707893123</v>
      </c>
      <c r="AE1667">
        <v>-9.9483999999999995</v>
      </c>
      <c r="AF1667">
        <v>-2.2575993071638698</v>
      </c>
      <c r="AG1667">
        <v>-1.115707893123</v>
      </c>
      <c r="AH1667">
        <v>9.5656742706846796</v>
      </c>
      <c r="AI1667">
        <v>96.476374355230007</v>
      </c>
      <c r="AJ1667">
        <v>103.27940469059099</v>
      </c>
      <c r="AK1667">
        <v>9.8915965843397906</v>
      </c>
      <c r="AL1667">
        <v>81.673844819449897</v>
      </c>
      <c r="AM1667">
        <v>99.235444131663897</v>
      </c>
      <c r="AN1667">
        <v>1.0000000100357</v>
      </c>
    </row>
    <row r="1668" spans="1:40" x14ac:dyDescent="0.3">
      <c r="A1668" t="str">
        <f>"20200111150348026"</f>
        <v>20200111150348026</v>
      </c>
      <c r="B1668" t="str">
        <f>"1578726228019781"</f>
        <v>1578726228019781</v>
      </c>
      <c r="C1668" t="s">
        <v>40</v>
      </c>
      <c r="D1668">
        <v>5.4024900000000002</v>
      </c>
      <c r="E1668">
        <v>0.46864899999999998</v>
      </c>
      <c r="F1668" t="s">
        <v>41</v>
      </c>
      <c r="G1668">
        <v>-417.37580000000003</v>
      </c>
      <c r="H1668" s="1">
        <v>-3.8944280000000003E-6</v>
      </c>
      <c r="I1668">
        <v>106.88509999999999</v>
      </c>
      <c r="J1668">
        <v>-417.18650000000002</v>
      </c>
      <c r="K1668">
        <v>1.1156680000000001</v>
      </c>
      <c r="L1668">
        <v>116.5826</v>
      </c>
      <c r="M1668">
        <v>-0.24000389999999999</v>
      </c>
      <c r="N1668">
        <v>0</v>
      </c>
      <c r="O1668">
        <v>-0.97063820000000001</v>
      </c>
      <c r="P1668">
        <v>-8.7063779999999993E-2</v>
      </c>
      <c r="Q1668">
        <v>0.13292300000000001</v>
      </c>
      <c r="R1668">
        <v>-0.98729509999999998</v>
      </c>
      <c r="S1668">
        <v>-7.421875E-2</v>
      </c>
      <c r="T1668">
        <v>-0.34536480000000003</v>
      </c>
      <c r="U1668">
        <v>-3.081909</v>
      </c>
      <c r="V1668">
        <v>-0.15645149999999999</v>
      </c>
      <c r="W1668">
        <v>0.14449319999999999</v>
      </c>
      <c r="X1668">
        <v>0.97705920000000002</v>
      </c>
      <c r="Y1668">
        <v>-0.21671370000000001</v>
      </c>
      <c r="Z1668">
        <v>0.1051585</v>
      </c>
      <c r="AA1668">
        <v>0.9705549</v>
      </c>
      <c r="AB1668">
        <v>26</v>
      </c>
      <c r="AC1668">
        <v>-0.18930000000000199</v>
      </c>
      <c r="AD1668">
        <v>-1.115671894428</v>
      </c>
      <c r="AE1668">
        <v>-9.6974999999999998</v>
      </c>
      <c r="AF1668">
        <v>-2.1159781260113801</v>
      </c>
      <c r="AG1668">
        <v>-1.115671894428</v>
      </c>
      <c r="AH1668">
        <v>9.3359026691867797</v>
      </c>
      <c r="AI1668">
        <v>96.647680110824396</v>
      </c>
      <c r="AJ1668">
        <v>102.77030969854501</v>
      </c>
      <c r="AK1668">
        <v>9.6374875281010901</v>
      </c>
      <c r="AL1668">
        <v>81.692067522998997</v>
      </c>
      <c r="AM1668">
        <v>99.097254017989997</v>
      </c>
      <c r="AN1668">
        <v>1.0000000185015601</v>
      </c>
    </row>
    <row r="1669" spans="1:40" x14ac:dyDescent="0.3">
      <c r="A1669" t="str">
        <f>"20200111150348050"</f>
        <v>20200111150348050</v>
      </c>
      <c r="B1669" t="str">
        <f>"1578726228040271"</f>
        <v>1578726228040271</v>
      </c>
      <c r="C1669" t="s">
        <v>40</v>
      </c>
      <c r="D1669">
        <v>5.2760319999999998</v>
      </c>
      <c r="E1669">
        <v>0.44127959999999999</v>
      </c>
      <c r="F1669" t="s">
        <v>41</v>
      </c>
      <c r="G1669">
        <v>-417.27929999999998</v>
      </c>
      <c r="H1669" s="1">
        <v>-3.8303389999999996E-6</v>
      </c>
      <c r="I1669">
        <v>106.7133</v>
      </c>
      <c r="J1669">
        <v>-417.2321</v>
      </c>
      <c r="K1669">
        <v>1.1156250000000001</v>
      </c>
      <c r="L1669">
        <v>116.32640000000001</v>
      </c>
      <c r="M1669">
        <v>-0.22440889999999999</v>
      </c>
      <c r="N1669">
        <v>0</v>
      </c>
      <c r="O1669">
        <v>-0.9743619</v>
      </c>
      <c r="P1669">
        <v>-7.4973769999999995E-2</v>
      </c>
      <c r="Q1669">
        <v>0.13338839999999999</v>
      </c>
      <c r="R1669">
        <v>-0.98822410000000005</v>
      </c>
      <c r="S1669">
        <v>-2.8991699999999999E-2</v>
      </c>
      <c r="T1669">
        <v>-0.34851300000000002</v>
      </c>
      <c r="U1669">
        <v>-3.0829770000000001</v>
      </c>
      <c r="V1669">
        <v>-0.15271599999999999</v>
      </c>
      <c r="W1669">
        <v>0.1450825</v>
      </c>
      <c r="X1669">
        <v>0.97756270000000001</v>
      </c>
      <c r="Y1669">
        <v>-0.21530289999999999</v>
      </c>
      <c r="Z1669">
        <v>0.1067216</v>
      </c>
      <c r="AA1669">
        <v>0.97069830000000001</v>
      </c>
      <c r="AB1669">
        <v>26</v>
      </c>
      <c r="AC1669">
        <v>-4.7199999999975199E-2</v>
      </c>
      <c r="AD1669">
        <v>-1.1156288303389901</v>
      </c>
      <c r="AE1669">
        <v>-9.6130999999999993</v>
      </c>
      <c r="AF1669">
        <v>-2.0834889791270101</v>
      </c>
      <c r="AG1669">
        <v>-1.1156288303389901</v>
      </c>
      <c r="AH1669">
        <v>9.2538174551941399</v>
      </c>
      <c r="AI1669">
        <v>96.707999753631</v>
      </c>
      <c r="AJ1669">
        <v>102.68851620505799</v>
      </c>
      <c r="AK1669">
        <v>9.5508476852729203</v>
      </c>
      <c r="AL1669">
        <v>81.657943142683095</v>
      </c>
      <c r="AM1669">
        <v>98.879047317159703</v>
      </c>
      <c r="AN1669">
        <v>0.99999997044676903</v>
      </c>
    </row>
    <row r="1670" spans="1:40" x14ac:dyDescent="0.3">
      <c r="A1670" t="str">
        <f>"20200111150348072"</f>
        <v>20200111150348072</v>
      </c>
      <c r="B1670" t="str">
        <f>"1578726228060301"</f>
        <v>1578726228060301</v>
      </c>
      <c r="C1670" t="s">
        <v>40</v>
      </c>
      <c r="D1670">
        <v>5.2754219999999998</v>
      </c>
      <c r="E1670">
        <v>0.4418629</v>
      </c>
      <c r="F1670" t="s">
        <v>41</v>
      </c>
      <c r="G1670">
        <v>-416.24099999999999</v>
      </c>
      <c r="H1670" s="1">
        <v>-2.2631669999999999E-6</v>
      </c>
      <c r="I1670">
        <v>102.9333</v>
      </c>
      <c r="J1670">
        <v>-417.27190000000002</v>
      </c>
      <c r="K1670">
        <v>1.11557</v>
      </c>
      <c r="L1670">
        <v>116.0793</v>
      </c>
      <c r="M1670">
        <v>-0.20939169999999999</v>
      </c>
      <c r="N1670">
        <v>0</v>
      </c>
      <c r="O1670">
        <v>-0.97769930000000005</v>
      </c>
      <c r="P1670">
        <v>-6.3520900000000005E-2</v>
      </c>
      <c r="Q1670">
        <v>0.1336309</v>
      </c>
      <c r="R1670">
        <v>-0.98899349999999997</v>
      </c>
      <c r="S1670">
        <v>0.22851560000000001</v>
      </c>
      <c r="T1670">
        <v>-0.25721060000000001</v>
      </c>
      <c r="U1670">
        <v>-3.0878139999999998</v>
      </c>
      <c r="V1670">
        <v>-0.1489702</v>
      </c>
      <c r="W1670">
        <v>0.14544770000000001</v>
      </c>
      <c r="X1670">
        <v>0.97808629999999996</v>
      </c>
      <c r="Y1670">
        <v>-0.28076770000000001</v>
      </c>
      <c r="Z1670">
        <v>7.8468869999999996E-2</v>
      </c>
      <c r="AA1670">
        <v>0.95656260000000004</v>
      </c>
      <c r="AB1670">
        <v>26</v>
      </c>
      <c r="AC1670">
        <v>1.0309000000000299</v>
      </c>
      <c r="AD1670">
        <v>-1.115572263167</v>
      </c>
      <c r="AE1670">
        <v>-13.1459999999999</v>
      </c>
      <c r="AF1670">
        <v>-3.7343334295513499</v>
      </c>
      <c r="AG1670">
        <v>-1.115572263167</v>
      </c>
      <c r="AH1670">
        <v>12.548796378349</v>
      </c>
      <c r="AI1670">
        <v>94.8701799204335</v>
      </c>
      <c r="AJ1670">
        <v>106.572215099814</v>
      </c>
      <c r="AK1670">
        <v>13.1400927767911</v>
      </c>
      <c r="AL1670">
        <v>81.636794491607304</v>
      </c>
      <c r="AM1670">
        <v>98.660040750383203</v>
      </c>
      <c r="AN1670">
        <v>0.999999982085509</v>
      </c>
    </row>
    <row r="1671" spans="1:40" x14ac:dyDescent="0.3">
      <c r="A1671" t="str">
        <f>"20200111150348093"</f>
        <v>20200111150348093</v>
      </c>
      <c r="B1671" t="str">
        <f>"1578726228090556"</f>
        <v>1578726228090556</v>
      </c>
      <c r="C1671" t="s">
        <v>40</v>
      </c>
      <c r="D1671">
        <v>5.2082079999999999</v>
      </c>
      <c r="E1671">
        <v>0.44412610000000002</v>
      </c>
      <c r="F1671" t="s">
        <v>41</v>
      </c>
      <c r="G1671">
        <v>-416.09280000000001</v>
      </c>
      <c r="H1671" s="1">
        <v>-1.9712150000000001E-6</v>
      </c>
      <c r="I1671">
        <v>102.07040000000001</v>
      </c>
      <c r="J1671">
        <v>-417.30790000000002</v>
      </c>
      <c r="K1671">
        <v>1.1155029999999999</v>
      </c>
      <c r="L1671">
        <v>115.8317</v>
      </c>
      <c r="M1671">
        <v>-0.19437760000000001</v>
      </c>
      <c r="N1671">
        <v>0</v>
      </c>
      <c r="O1671">
        <v>-0.98079479999999997</v>
      </c>
      <c r="P1671">
        <v>-5.2409539999999998E-2</v>
      </c>
      <c r="Q1671">
        <v>0.13463249999999999</v>
      </c>
      <c r="R1671">
        <v>-0.98950890000000002</v>
      </c>
      <c r="S1671">
        <v>0.25952150000000002</v>
      </c>
      <c r="T1671">
        <v>-0.2455283</v>
      </c>
      <c r="U1671">
        <v>-3.083237</v>
      </c>
      <c r="V1671">
        <v>-0.144928</v>
      </c>
      <c r="W1671">
        <v>0.1465774</v>
      </c>
      <c r="X1671">
        <v>0.97852490000000003</v>
      </c>
      <c r="Y1671">
        <v>-0.27573730000000002</v>
      </c>
      <c r="Z1671">
        <v>7.5434199999999896E-2</v>
      </c>
      <c r="AA1671">
        <v>0.95826860000000003</v>
      </c>
      <c r="AB1671">
        <v>26</v>
      </c>
      <c r="AC1671">
        <v>1.2151000000000001</v>
      </c>
      <c r="AD1671">
        <v>-1.115504971215</v>
      </c>
      <c r="AE1671">
        <v>-13.761299999999901</v>
      </c>
      <c r="AF1671">
        <v>-3.8421021665152999</v>
      </c>
      <c r="AG1671">
        <v>-1.115504971215</v>
      </c>
      <c r="AH1671">
        <v>13.1766279370395</v>
      </c>
      <c r="AI1671">
        <v>94.646406169193995</v>
      </c>
      <c r="AJ1671">
        <v>106.255872705112</v>
      </c>
      <c r="AK1671">
        <v>13.7706072556702</v>
      </c>
      <c r="AL1671">
        <v>81.571366551651195</v>
      </c>
      <c r="AM1671">
        <v>98.424754424010303</v>
      </c>
      <c r="AN1671">
        <v>1.0000000196473799</v>
      </c>
    </row>
    <row r="1672" spans="1:40" x14ac:dyDescent="0.3">
      <c r="A1672" t="str">
        <f>"20200111150348119"</f>
        <v>20200111150348119</v>
      </c>
      <c r="B1672" t="str">
        <f>"1578726228110076"</f>
        <v>1578726228110076</v>
      </c>
      <c r="C1672" t="s">
        <v>40</v>
      </c>
      <c r="D1672">
        <v>5.3135149999999998</v>
      </c>
      <c r="E1672">
        <v>0.4443647</v>
      </c>
      <c r="F1672" t="s">
        <v>41</v>
      </c>
      <c r="G1672">
        <v>-416.02969999999999</v>
      </c>
      <c r="H1672" s="1">
        <v>-1.8111999999999999E-6</v>
      </c>
      <c r="I1672">
        <v>101.61</v>
      </c>
      <c r="J1672">
        <v>-417.3451</v>
      </c>
      <c r="K1672">
        <v>1.11541</v>
      </c>
      <c r="L1672">
        <v>115.5423</v>
      </c>
      <c r="M1672">
        <v>-0.17690249999999999</v>
      </c>
      <c r="N1672">
        <v>0</v>
      </c>
      <c r="O1672">
        <v>-0.984097</v>
      </c>
      <c r="P1672">
        <v>-3.9073009999999998E-2</v>
      </c>
      <c r="Q1672">
        <v>0.1365315</v>
      </c>
      <c r="R1672">
        <v>-0.98986490000000005</v>
      </c>
      <c r="S1672">
        <v>0.27676390000000001</v>
      </c>
      <c r="T1672">
        <v>-0.24153359999999999</v>
      </c>
      <c r="U1672">
        <v>-3.0793300000000001</v>
      </c>
      <c r="V1672">
        <v>-0.14066779999999901</v>
      </c>
      <c r="W1672">
        <v>0.14861099999999999</v>
      </c>
      <c r="X1672">
        <v>0.97883980000000004</v>
      </c>
      <c r="Y1672">
        <v>-0.264055599999999</v>
      </c>
      <c r="Z1672">
        <v>7.4804919999999997E-2</v>
      </c>
      <c r="AA1672">
        <v>0.96160219999999996</v>
      </c>
      <c r="AB1672">
        <v>26</v>
      </c>
      <c r="AC1672">
        <v>1.3154000000000099</v>
      </c>
      <c r="AD1672">
        <v>-1.1154118112</v>
      </c>
      <c r="AE1672">
        <v>-13.9322999999999</v>
      </c>
      <c r="AF1672">
        <v>-3.73589236631324</v>
      </c>
      <c r="AG1672">
        <v>-1.1154118112</v>
      </c>
      <c r="AH1672">
        <v>13.3946852923044</v>
      </c>
      <c r="AI1672">
        <v>94.585951695480205</v>
      </c>
      <c r="AJ1672">
        <v>105.58424135959</v>
      </c>
      <c r="AK1672">
        <v>13.950578101323201</v>
      </c>
      <c r="AL1672">
        <v>81.453559501907193</v>
      </c>
      <c r="AM1672">
        <v>98.177911738261301</v>
      </c>
      <c r="AN1672">
        <v>1.00000000667094</v>
      </c>
    </row>
    <row r="1673" spans="1:40" x14ac:dyDescent="0.3">
      <c r="A1673" t="str">
        <f>"20200111150348139"</f>
        <v>20200111150348139</v>
      </c>
      <c r="B1673" t="str">
        <f>"1578726228130572"</f>
        <v>1578726228130572</v>
      </c>
      <c r="C1673" t="s">
        <v>40</v>
      </c>
      <c r="D1673">
        <v>5.2423820000000001</v>
      </c>
      <c r="E1673">
        <v>0.44517790000000002</v>
      </c>
      <c r="F1673" t="s">
        <v>41</v>
      </c>
      <c r="G1673">
        <v>-415.85329999999999</v>
      </c>
      <c r="H1673" s="1">
        <v>-1.6518330000000001E-6</v>
      </c>
      <c r="I1673">
        <v>101.0728</v>
      </c>
      <c r="J1673">
        <v>-417.37020000000001</v>
      </c>
      <c r="K1673">
        <v>1.1153189999999999</v>
      </c>
      <c r="L1673">
        <v>115.3219</v>
      </c>
      <c r="M1673">
        <v>-0.1636783</v>
      </c>
      <c r="N1673">
        <v>0</v>
      </c>
      <c r="O1673">
        <v>-0.98638309999999996</v>
      </c>
      <c r="P1673">
        <v>-2.9668839999999998E-2</v>
      </c>
      <c r="Q1673">
        <v>0.13836809999999999</v>
      </c>
      <c r="R1673">
        <v>-0.98993640000000005</v>
      </c>
      <c r="S1673">
        <v>0.3171387</v>
      </c>
      <c r="T1673">
        <v>-0.23711470000000001</v>
      </c>
      <c r="U1673">
        <v>-3.0759430000000001</v>
      </c>
      <c r="V1673">
        <v>-0.13679189999999999</v>
      </c>
      <c r="W1673">
        <v>0.1505686</v>
      </c>
      <c r="X1673">
        <v>0.97908989999999996</v>
      </c>
      <c r="Y1673">
        <v>-0.26372040000000002</v>
      </c>
      <c r="Z1673">
        <v>7.3745060000000001E-2</v>
      </c>
      <c r="AA1673">
        <v>0.96177610000000002</v>
      </c>
      <c r="AB1673">
        <v>26</v>
      </c>
      <c r="AC1673">
        <v>1.5169000000000199</v>
      </c>
      <c r="AD1673">
        <v>-1.1153206518330001</v>
      </c>
      <c r="AE1673">
        <v>-14.2491</v>
      </c>
      <c r="AF1673">
        <v>-3.8059500573428999</v>
      </c>
      <c r="AG1673">
        <v>-1.1153206518330001</v>
      </c>
      <c r="AH1673">
        <v>13.725418990527499</v>
      </c>
      <c r="AI1673">
        <v>94.477397122457305</v>
      </c>
      <c r="AJ1673">
        <v>105.49827306706899</v>
      </c>
      <c r="AK1673">
        <v>14.286928377398899</v>
      </c>
      <c r="AL1673">
        <v>81.340120634986604</v>
      </c>
      <c r="AM1673">
        <v>97.953499929499301</v>
      </c>
      <c r="AN1673">
        <v>0.999999979746789</v>
      </c>
    </row>
    <row r="1674" spans="1:40" x14ac:dyDescent="0.3">
      <c r="A1674" t="str">
        <f>"20200111150348162"</f>
        <v>20200111150348162</v>
      </c>
      <c r="B1674" t="str">
        <f>"1578726228150600"</f>
        <v>1578726228150600</v>
      </c>
      <c r="C1674" t="s">
        <v>40</v>
      </c>
      <c r="D1674">
        <v>5.2484349999999997</v>
      </c>
      <c r="E1674">
        <v>0.4463374</v>
      </c>
      <c r="F1674" t="s">
        <v>41</v>
      </c>
      <c r="G1674">
        <v>-415.74059999999997</v>
      </c>
      <c r="H1674" s="1">
        <v>-1.506605E-6</v>
      </c>
      <c r="I1674">
        <v>100.6165</v>
      </c>
      <c r="J1674">
        <v>-417.39569999999998</v>
      </c>
      <c r="K1674">
        <v>1.115162</v>
      </c>
      <c r="L1674">
        <v>115.0659</v>
      </c>
      <c r="M1674">
        <v>-0.14848699999999901</v>
      </c>
      <c r="N1674">
        <v>0</v>
      </c>
      <c r="O1674">
        <v>-0.98878449999999996</v>
      </c>
      <c r="P1674">
        <v>-1.7675299999999901E-2</v>
      </c>
      <c r="Q1674">
        <v>0.13687769999999999</v>
      </c>
      <c r="R1674">
        <v>-0.99043040000000004</v>
      </c>
      <c r="S1674">
        <v>0.3405762</v>
      </c>
      <c r="T1674">
        <v>-0.2330921</v>
      </c>
      <c r="U1674">
        <v>-3.0732879999999998</v>
      </c>
      <c r="V1674">
        <v>-0.13352229999999901</v>
      </c>
      <c r="W1674">
        <v>0.14919189999999999</v>
      </c>
      <c r="X1674">
        <v>0.97975179999999995</v>
      </c>
      <c r="Y1674">
        <v>-0.2562219</v>
      </c>
      <c r="Z1674">
        <v>7.2882180000000005E-2</v>
      </c>
      <c r="AA1674">
        <v>0.96386649999999996</v>
      </c>
      <c r="AB1674">
        <v>26</v>
      </c>
      <c r="AC1674">
        <v>1.6551</v>
      </c>
      <c r="AD1674">
        <v>-1.1151635066050001</v>
      </c>
      <c r="AE1674">
        <v>-14.449399999999899</v>
      </c>
      <c r="AF1674">
        <v>-3.7604626234930199</v>
      </c>
      <c r="AG1674">
        <v>-1.1151635066050001</v>
      </c>
      <c r="AH1674">
        <v>13.9613044195494</v>
      </c>
      <c r="AI1674">
        <v>94.410295810753894</v>
      </c>
      <c r="AJ1674">
        <v>105.074801348419</v>
      </c>
      <c r="AK1674">
        <v>14.5018167787516</v>
      </c>
      <c r="AL1674">
        <v>81.419901178280696</v>
      </c>
      <c r="AM1674">
        <v>97.760560457005397</v>
      </c>
      <c r="AN1674">
        <v>1.00000000861306</v>
      </c>
    </row>
    <row r="1675" spans="1:40" x14ac:dyDescent="0.3">
      <c r="A1675" t="str">
        <f>"20200111150348195"</f>
        <v>20200111150348195</v>
      </c>
      <c r="B1675" t="str">
        <f>"1578726228190616"</f>
        <v>1578726228190616</v>
      </c>
      <c r="C1675" t="s">
        <v>40</v>
      </c>
      <c r="D1675">
        <v>5.2497199999999999</v>
      </c>
      <c r="E1675">
        <v>0.45845590000000003</v>
      </c>
      <c r="F1675" t="s">
        <v>41</v>
      </c>
      <c r="G1675">
        <v>-415.68</v>
      </c>
      <c r="H1675" s="1">
        <v>-1.571988E-6</v>
      </c>
      <c r="I1675">
        <v>100.7448</v>
      </c>
      <c r="J1675">
        <v>-417.42590000000001</v>
      </c>
      <c r="K1675">
        <v>1.114832</v>
      </c>
      <c r="L1675">
        <v>114.6973</v>
      </c>
      <c r="M1675">
        <v>-0.1270743</v>
      </c>
      <c r="N1675">
        <v>0</v>
      </c>
      <c r="O1675">
        <v>-0.99176470000000005</v>
      </c>
      <c r="P1675">
        <v>-2.2080160000000001E-3</v>
      </c>
      <c r="Q1675">
        <v>0.13290060000000001</v>
      </c>
      <c r="R1675">
        <v>-0.99112699999999998</v>
      </c>
      <c r="S1675">
        <v>0.36761470000000002</v>
      </c>
      <c r="T1675">
        <v>-0.23894509999999999</v>
      </c>
      <c r="U1675">
        <v>-3.0685730000000002</v>
      </c>
      <c r="V1675">
        <v>-0.12747809999999901</v>
      </c>
      <c r="W1675">
        <v>0.1454212</v>
      </c>
      <c r="X1675">
        <v>0.98112290000000002</v>
      </c>
      <c r="Y1675">
        <v>-0.2438273</v>
      </c>
      <c r="Z1675">
        <v>7.5247910000000001E-2</v>
      </c>
      <c r="AA1675">
        <v>0.96689499999999995</v>
      </c>
      <c r="AB1675">
        <v>26</v>
      </c>
      <c r="AC1675">
        <v>1.7459</v>
      </c>
      <c r="AD1675">
        <v>-1.114833571988</v>
      </c>
      <c r="AE1675">
        <v>-13.952500000000001</v>
      </c>
      <c r="AF1675">
        <v>-3.48307856354596</v>
      </c>
      <c r="AG1675">
        <v>-1.114833571988</v>
      </c>
      <c r="AH1675">
        <v>13.532410040914201</v>
      </c>
      <c r="AI1675">
        <v>94.561517819567996</v>
      </c>
      <c r="AJ1675">
        <v>104.433941340194</v>
      </c>
      <c r="AK1675">
        <v>14.0178747208163</v>
      </c>
      <c r="AL1675">
        <v>81.638329871179906</v>
      </c>
      <c r="AM1675">
        <v>97.4030140780756</v>
      </c>
      <c r="AN1675">
        <v>1.00000006814672</v>
      </c>
    </row>
    <row r="1676" spans="1:40" x14ac:dyDescent="0.3">
      <c r="A1676" t="str">
        <f>"20200111150348217"</f>
        <v>20200111150348217</v>
      </c>
      <c r="B1676" t="str">
        <f>"1578726228210137"</f>
        <v>1578726228210137</v>
      </c>
      <c r="C1676" t="s">
        <v>40</v>
      </c>
      <c r="D1676">
        <v>5.2100419999999996</v>
      </c>
      <c r="E1676">
        <v>0.46041670000000001</v>
      </c>
      <c r="F1676" t="s">
        <v>41</v>
      </c>
      <c r="G1676">
        <v>-416.36200000000002</v>
      </c>
      <c r="H1676" s="1">
        <v>-2.9471659999999998E-6</v>
      </c>
      <c r="I1676">
        <v>104.5008</v>
      </c>
      <c r="J1676">
        <v>-417.44279999999998</v>
      </c>
      <c r="K1676">
        <v>1.1145430000000001</v>
      </c>
      <c r="L1676">
        <v>114.43470000000001</v>
      </c>
      <c r="M1676">
        <v>-0.1122605</v>
      </c>
      <c r="N1676">
        <v>0</v>
      </c>
      <c r="O1676">
        <v>-0.99355170000000004</v>
      </c>
      <c r="P1676">
        <v>8.3102339999999997E-3</v>
      </c>
      <c r="Q1676">
        <v>0.13217950000000001</v>
      </c>
      <c r="R1676">
        <v>-0.99119120000000005</v>
      </c>
      <c r="S1676">
        <v>0.32058720000000002</v>
      </c>
      <c r="T1676">
        <v>-0.33594499999999999</v>
      </c>
      <c r="U1676">
        <v>-3.0726170000000002</v>
      </c>
      <c r="V1676">
        <v>-0.1231295</v>
      </c>
      <c r="W1676">
        <v>0.14484089999999999</v>
      </c>
      <c r="X1676">
        <v>0.98176379999999996</v>
      </c>
      <c r="Y1676">
        <v>-0.21418870000000001</v>
      </c>
      <c r="Z1676">
        <v>0.10610899999999999</v>
      </c>
      <c r="AA1676">
        <v>0.97101190000000004</v>
      </c>
      <c r="AB1676">
        <v>26</v>
      </c>
      <c r="AC1676">
        <v>1.08080000000001</v>
      </c>
      <c r="AD1676">
        <v>-1.114545947166</v>
      </c>
      <c r="AE1676">
        <v>-9.9338999999999995</v>
      </c>
      <c r="AF1676">
        <v>-2.1623900807069898</v>
      </c>
      <c r="AG1676">
        <v>-1.114545947166</v>
      </c>
      <c r="AH1676">
        <v>9.6299401078025006</v>
      </c>
      <c r="AI1676">
        <v>96.442866782068293</v>
      </c>
      <c r="AJ1676">
        <v>102.655766934658</v>
      </c>
      <c r="AK1676">
        <v>9.9324664615264293</v>
      </c>
      <c r="AL1676">
        <v>81.671933489223406</v>
      </c>
      <c r="AM1676">
        <v>97.148518618052194</v>
      </c>
      <c r="AN1676">
        <v>0.99999995953674903</v>
      </c>
    </row>
    <row r="1677" spans="1:40" x14ac:dyDescent="0.3">
      <c r="A1677" t="str">
        <f>"20200111150348240"</f>
        <v>20200111150348240</v>
      </c>
      <c r="B1677" t="str">
        <f>"1578726228230633"</f>
        <v>1578726228230633</v>
      </c>
      <c r="C1677" t="s">
        <v>40</v>
      </c>
      <c r="D1677">
        <v>5.1496789999999999</v>
      </c>
      <c r="E1677">
        <v>0.46167799999999998</v>
      </c>
      <c r="F1677" t="s">
        <v>41</v>
      </c>
      <c r="G1677">
        <v>-416.2559</v>
      </c>
      <c r="H1677" s="1">
        <v>-2.578263E-6</v>
      </c>
      <c r="I1677">
        <v>103.68049999999999</v>
      </c>
      <c r="J1677">
        <v>-417.45569999999998</v>
      </c>
      <c r="K1677">
        <v>1.11425</v>
      </c>
      <c r="L1677">
        <v>114.1861</v>
      </c>
      <c r="M1677">
        <v>-9.8600370000000007E-2</v>
      </c>
      <c r="N1677">
        <v>0</v>
      </c>
      <c r="O1677">
        <v>-0.99500109999999997</v>
      </c>
      <c r="P1677">
        <v>1.8440120000000001E-2</v>
      </c>
      <c r="Q1677">
        <v>0.13212079999999901</v>
      </c>
      <c r="R1677">
        <v>-0.99106229999999995</v>
      </c>
      <c r="S1677">
        <v>0.33840940000000003</v>
      </c>
      <c r="T1677">
        <v>-0.31777680000000003</v>
      </c>
      <c r="U1677">
        <v>-3.0661930000000002</v>
      </c>
      <c r="V1677">
        <v>-0.1195601</v>
      </c>
      <c r="W1677">
        <v>0.1448961</v>
      </c>
      <c r="X1677">
        <v>0.98219670000000003</v>
      </c>
      <c r="Y1677">
        <v>-0.2066163</v>
      </c>
      <c r="Z1677">
        <v>0.1009162</v>
      </c>
      <c r="AA1677">
        <v>0.97320379999999995</v>
      </c>
      <c r="AB1677">
        <v>26</v>
      </c>
      <c r="AC1677">
        <v>1.19979999999998</v>
      </c>
      <c r="AD1677">
        <v>-1.1142525782629999</v>
      </c>
      <c r="AE1677">
        <v>-10.505599999999999</v>
      </c>
      <c r="AF1677">
        <v>-2.2054476735016202</v>
      </c>
      <c r="AG1677">
        <v>-1.1142525782629999</v>
      </c>
      <c r="AH1677">
        <v>10.2225628339985</v>
      </c>
      <c r="AI1677">
        <v>96.081799667397206</v>
      </c>
      <c r="AJ1677">
        <v>102.17457078890899</v>
      </c>
      <c r="AK1677">
        <v>10.516955317189799</v>
      </c>
      <c r="AL1677">
        <v>81.668736772831295</v>
      </c>
      <c r="AM1677">
        <v>96.940312483102602</v>
      </c>
      <c r="AN1677">
        <v>0.99999992739905197</v>
      </c>
    </row>
    <row r="1678" spans="1:40" x14ac:dyDescent="0.3">
      <c r="A1678" t="str">
        <f>"20200111150348262"</f>
        <v>20200111150348262</v>
      </c>
      <c r="B1678" t="str">
        <f>"1578726228250660"</f>
        <v>1578726228250660</v>
      </c>
      <c r="C1678" t="s">
        <v>40</v>
      </c>
      <c r="D1678">
        <v>5.1884319999999997</v>
      </c>
      <c r="E1678">
        <v>0.4634124</v>
      </c>
      <c r="F1678" t="s">
        <v>41</v>
      </c>
      <c r="G1678">
        <v>-416.16120000000001</v>
      </c>
      <c r="H1678" s="1">
        <v>-2.3597219999999998E-6</v>
      </c>
      <c r="I1678">
        <v>103.12949999999999</v>
      </c>
      <c r="J1678">
        <v>-417.46570000000003</v>
      </c>
      <c r="K1678">
        <v>1.1138939999999999</v>
      </c>
      <c r="L1678">
        <v>113.93689999999999</v>
      </c>
      <c r="M1678">
        <v>-8.5400069999999995E-2</v>
      </c>
      <c r="N1678">
        <v>0</v>
      </c>
      <c r="O1678">
        <v>-0.99622200000000005</v>
      </c>
      <c r="P1678">
        <v>2.914079E-2</v>
      </c>
      <c r="Q1678">
        <v>0.1315897</v>
      </c>
      <c r="R1678">
        <v>-0.99087610000000004</v>
      </c>
      <c r="S1678">
        <v>0.35845949999999999</v>
      </c>
      <c r="T1678">
        <v>-0.30853039999999998</v>
      </c>
      <c r="U1678">
        <v>-3.0615079999999999</v>
      </c>
      <c r="V1678">
        <v>-0.1170059</v>
      </c>
      <c r="W1678">
        <v>0.144455</v>
      </c>
      <c r="X1678">
        <v>0.98256929999999998</v>
      </c>
      <c r="Y1678">
        <v>-0.20012730000000001</v>
      </c>
      <c r="Z1678">
        <v>9.8371669999999994E-2</v>
      </c>
      <c r="AA1678">
        <v>0.97481899999999999</v>
      </c>
      <c r="AB1678">
        <v>26</v>
      </c>
      <c r="AC1678">
        <v>1.30450000000001</v>
      </c>
      <c r="AD1678">
        <v>-1.113896359722</v>
      </c>
      <c r="AE1678">
        <v>-10.807399999999999</v>
      </c>
      <c r="AF1678">
        <v>-2.1997680179737702</v>
      </c>
      <c r="AG1678">
        <v>-1.113896359722</v>
      </c>
      <c r="AH1678">
        <v>10.546067632551001</v>
      </c>
      <c r="AI1678">
        <v>95.903211762353294</v>
      </c>
      <c r="AJ1678">
        <v>101.782193774691</v>
      </c>
      <c r="AK1678">
        <v>10.8304795343254</v>
      </c>
      <c r="AL1678">
        <v>81.694279511225105</v>
      </c>
      <c r="AM1678">
        <v>96.790892924155898</v>
      </c>
      <c r="AN1678">
        <v>1.0000000284811399</v>
      </c>
    </row>
    <row r="1679" spans="1:40" x14ac:dyDescent="0.3">
      <c r="A1679" t="str">
        <f>"20200111150348285"</f>
        <v>20200111150348285</v>
      </c>
      <c r="B1679" t="str">
        <f>"1578726228279939"</f>
        <v>1578726228279939</v>
      </c>
      <c r="C1679" t="s">
        <v>40</v>
      </c>
      <c r="D1679">
        <v>5.2689979999999998</v>
      </c>
      <c r="E1679">
        <v>0.46492020000000001</v>
      </c>
      <c r="F1679" t="s">
        <v>41</v>
      </c>
      <c r="G1679">
        <v>-416.09230000000002</v>
      </c>
      <c r="H1679" s="1">
        <v>-2.2477199999999998E-6</v>
      </c>
      <c r="I1679">
        <v>102.7901</v>
      </c>
      <c r="J1679">
        <v>-417.47320000000002</v>
      </c>
      <c r="K1679">
        <v>1.113453</v>
      </c>
      <c r="L1679">
        <v>113.68170000000001</v>
      </c>
      <c r="M1679">
        <v>-7.2495299999999999E-2</v>
      </c>
      <c r="N1679">
        <v>0</v>
      </c>
      <c r="O1679">
        <v>-0.99724559999999995</v>
      </c>
      <c r="P1679">
        <v>4.1473299999999998E-2</v>
      </c>
      <c r="Q1679">
        <v>0.13150709999999999</v>
      </c>
      <c r="R1679">
        <v>-0.99044739999999998</v>
      </c>
      <c r="S1679">
        <v>0.37667850000000003</v>
      </c>
      <c r="T1679">
        <v>-0.3054926</v>
      </c>
      <c r="U1679">
        <v>-3.0570979999999999</v>
      </c>
      <c r="V1679">
        <v>-0.1163609</v>
      </c>
      <c r="W1679">
        <v>0.14441770000000001</v>
      </c>
      <c r="X1679">
        <v>0.98265139999999995</v>
      </c>
      <c r="Y1679">
        <v>-0.19333739999999999</v>
      </c>
      <c r="Z1679">
        <v>9.7736190000000001E-2</v>
      </c>
      <c r="AA1679">
        <v>0.97625220000000001</v>
      </c>
      <c r="AB1679">
        <v>26</v>
      </c>
      <c r="AC1679">
        <v>1.38089999999999</v>
      </c>
      <c r="AD1679">
        <v>-1.1134552477199999</v>
      </c>
      <c r="AE1679">
        <v>-10.8916</v>
      </c>
      <c r="AF1679">
        <v>-2.1448905866669801</v>
      </c>
      <c r="AG1679">
        <v>-1.1134552477199999</v>
      </c>
      <c r="AH1679">
        <v>10.653236733497</v>
      </c>
      <c r="AI1679">
        <v>95.850220137625698</v>
      </c>
      <c r="AJ1679">
        <v>101.3835709207</v>
      </c>
      <c r="AK1679">
        <v>10.923909149996501</v>
      </c>
      <c r="AL1679">
        <v>81.696439492022293</v>
      </c>
      <c r="AM1679">
        <v>96.753245523228998</v>
      </c>
      <c r="AN1679">
        <v>1.0000000525220201</v>
      </c>
    </row>
    <row r="1680" spans="1:40" x14ac:dyDescent="0.3">
      <c r="A1680" t="str">
        <f>"20200111150348307"</f>
        <v>20200111150348307</v>
      </c>
      <c r="B1680" t="str">
        <f>"1578726228300435"</f>
        <v>1578726228300435</v>
      </c>
      <c r="C1680" t="s">
        <v>40</v>
      </c>
      <c r="D1680">
        <v>5.2290080000000003</v>
      </c>
      <c r="E1680">
        <v>0.46622950000000002</v>
      </c>
      <c r="F1680" t="s">
        <v>41</v>
      </c>
      <c r="G1680">
        <v>-415.98250000000002</v>
      </c>
      <c r="H1680" s="1">
        <v>-2.0985849999999999E-6</v>
      </c>
      <c r="I1680">
        <v>102.3257</v>
      </c>
      <c r="J1680">
        <v>-417.47800000000001</v>
      </c>
      <c r="K1680">
        <v>1.112962</v>
      </c>
      <c r="L1680">
        <v>113.43170000000001</v>
      </c>
      <c r="M1680">
        <v>-6.0547490000000002E-2</v>
      </c>
      <c r="N1680">
        <v>0</v>
      </c>
      <c r="O1680">
        <v>-0.99804400000000004</v>
      </c>
      <c r="P1680">
        <v>5.5479790000000001E-2</v>
      </c>
      <c r="Q1680">
        <v>0.1327372</v>
      </c>
      <c r="R1680">
        <v>-0.98959739999999996</v>
      </c>
      <c r="S1680">
        <v>0.40060420000000002</v>
      </c>
      <c r="T1680">
        <v>-0.29923529999999998</v>
      </c>
      <c r="U1680">
        <v>-3.0518800000000001</v>
      </c>
      <c r="V1680">
        <v>-0.1183382</v>
      </c>
      <c r="W1680">
        <v>0.14563400000000001</v>
      </c>
      <c r="X1680">
        <v>0.98223559999999999</v>
      </c>
      <c r="Y1680">
        <v>-0.18934409999999999</v>
      </c>
      <c r="Z1680">
        <v>9.6021579999999995E-2</v>
      </c>
      <c r="AA1680">
        <v>0.97720450000000003</v>
      </c>
      <c r="AB1680">
        <v>26</v>
      </c>
      <c r="AC1680">
        <v>1.4954999999999901</v>
      </c>
      <c r="AD1680">
        <v>-1.112964098585</v>
      </c>
      <c r="AE1680">
        <v>-11.106</v>
      </c>
      <c r="AF1680">
        <v>-2.1441282552121699</v>
      </c>
      <c r="AG1680">
        <v>-1.112964098585</v>
      </c>
      <c r="AH1680">
        <v>10.887665972246699</v>
      </c>
      <c r="AI1680">
        <v>95.727391008811594</v>
      </c>
      <c r="AJ1680">
        <v>101.140802629033</v>
      </c>
      <c r="AK1680">
        <v>11.152454679699799</v>
      </c>
      <c r="AL1680">
        <v>81.6260054134965</v>
      </c>
      <c r="AM1680">
        <v>96.869794600250501</v>
      </c>
      <c r="AN1680">
        <v>0.99999998272129997</v>
      </c>
    </row>
    <row r="1681" spans="1:40" x14ac:dyDescent="0.3">
      <c r="A1681" t="str">
        <f>"20200111150348330"</f>
        <v>20200111150348330</v>
      </c>
      <c r="B1681" t="str">
        <f>"1578726228319956"</f>
        <v>1578726228319956</v>
      </c>
      <c r="C1681" t="s">
        <v>40</v>
      </c>
      <c r="D1681">
        <v>5.2243409999999999</v>
      </c>
      <c r="E1681">
        <v>0.46745799999999998</v>
      </c>
      <c r="F1681" t="s">
        <v>41</v>
      </c>
      <c r="G1681">
        <v>-415.86329999999998</v>
      </c>
      <c r="H1681" s="1">
        <v>-2.0102120000000002E-6</v>
      </c>
      <c r="I1681">
        <v>102.0129</v>
      </c>
      <c r="J1681">
        <v>-417.48059999999998</v>
      </c>
      <c r="K1681">
        <v>1.112414</v>
      </c>
      <c r="L1681">
        <v>113.1801</v>
      </c>
      <c r="M1681">
        <v>-4.928714E-2</v>
      </c>
      <c r="N1681">
        <v>0</v>
      </c>
      <c r="O1681">
        <v>-0.99866500000000002</v>
      </c>
      <c r="P1681">
        <v>6.8425650000000005E-2</v>
      </c>
      <c r="Q1681">
        <v>0.13324730000000001</v>
      </c>
      <c r="R1681">
        <v>-0.98871799999999999</v>
      </c>
      <c r="S1681">
        <v>0.43090820000000002</v>
      </c>
      <c r="T1681">
        <v>-0.29700460000000001</v>
      </c>
      <c r="U1681">
        <v>-3.0472109999999999</v>
      </c>
      <c r="V1681">
        <v>-0.1199254</v>
      </c>
      <c r="W1681">
        <v>0.14615429999999999</v>
      </c>
      <c r="X1681">
        <v>0.9819658</v>
      </c>
      <c r="Y1681">
        <v>-0.18801219999999999</v>
      </c>
      <c r="Z1681">
        <v>9.5494809999999999E-2</v>
      </c>
      <c r="AA1681">
        <v>0.97751330000000003</v>
      </c>
      <c r="AB1681">
        <v>26</v>
      </c>
      <c r="AC1681">
        <v>1.6173</v>
      </c>
      <c r="AD1681">
        <v>-1.112416010212</v>
      </c>
      <c r="AE1681">
        <v>-11.1671999999999</v>
      </c>
      <c r="AF1681">
        <v>-2.1449518410075799</v>
      </c>
      <c r="AG1681">
        <v>-1.112416010212</v>
      </c>
      <c r="AH1681">
        <v>10.9673095004428</v>
      </c>
      <c r="AI1681">
        <v>95.684736906017903</v>
      </c>
      <c r="AJ1681">
        <v>101.066045870943</v>
      </c>
      <c r="AK1681">
        <v>11.230323479692</v>
      </c>
      <c r="AL1681">
        <v>81.595872199905102</v>
      </c>
      <c r="AM1681">
        <v>96.962930749037795</v>
      </c>
      <c r="AN1681">
        <v>1.0000000066716399</v>
      </c>
    </row>
    <row r="1682" spans="1:40" x14ac:dyDescent="0.3">
      <c r="A1682" t="str">
        <f>"20200111150348374"</f>
        <v>20200111150348374</v>
      </c>
      <c r="B1682" t="str">
        <f>"1578726228369731"</f>
        <v>1578726228369731</v>
      </c>
      <c r="C1682" t="s">
        <v>40</v>
      </c>
      <c r="D1682">
        <v>5.0566440000000004</v>
      </c>
      <c r="E1682">
        <v>0.46880149999999998</v>
      </c>
      <c r="F1682" t="s">
        <v>41</v>
      </c>
      <c r="G1682">
        <v>-415.75060000000002</v>
      </c>
      <c r="H1682" s="1">
        <v>-1.9281530000000002E-6</v>
      </c>
      <c r="I1682">
        <v>101.7212</v>
      </c>
      <c r="J1682">
        <v>-417.47989999999999</v>
      </c>
      <c r="K1682">
        <v>1.1112660000000001</v>
      </c>
      <c r="L1682">
        <v>112.6754</v>
      </c>
      <c r="M1682">
        <v>-2.9157909999999999E-2</v>
      </c>
      <c r="N1682">
        <v>0</v>
      </c>
      <c r="O1682">
        <v>-0.99945890000000004</v>
      </c>
      <c r="P1682">
        <v>8.4911379999999995E-2</v>
      </c>
      <c r="Q1682">
        <v>0.1314796</v>
      </c>
      <c r="R1682">
        <v>-0.98767579999999999</v>
      </c>
      <c r="S1682">
        <v>0.45928960000000002</v>
      </c>
      <c r="T1682">
        <v>-0.29533700000000002</v>
      </c>
      <c r="U1682">
        <v>-3.0422359999999999</v>
      </c>
      <c r="V1682">
        <v>-0.1160872</v>
      </c>
      <c r="W1682">
        <v>0.14455689999999999</v>
      </c>
      <c r="X1682">
        <v>0.98266330000000002</v>
      </c>
      <c r="Y1682">
        <v>-0.17737020000000001</v>
      </c>
      <c r="Z1682">
        <v>9.5261799999999994E-2</v>
      </c>
      <c r="AA1682">
        <v>0.97952280000000003</v>
      </c>
      <c r="AB1682">
        <v>26</v>
      </c>
      <c r="AC1682">
        <v>1.7292999999999601</v>
      </c>
      <c r="AD1682">
        <v>-1.111267928153</v>
      </c>
      <c r="AE1682">
        <v>-10.9542</v>
      </c>
      <c r="AF1682">
        <v>-2.02764318720223</v>
      </c>
      <c r="AG1682">
        <v>-1.111267928153</v>
      </c>
      <c r="AH1682">
        <v>10.7907606158579</v>
      </c>
      <c r="AI1682">
        <v>95.779337558621904</v>
      </c>
      <c r="AJ1682">
        <v>100.642097586011</v>
      </c>
      <c r="AK1682">
        <v>11.0357042354124</v>
      </c>
      <c r="AL1682">
        <v>81.688379306275607</v>
      </c>
      <c r="AM1682">
        <v>96.737426136058502</v>
      </c>
      <c r="AN1682">
        <v>1.00000004825416</v>
      </c>
    </row>
    <row r="1683" spans="1:40" x14ac:dyDescent="0.3">
      <c r="A1683" t="str">
        <f>"20200111150348396"</f>
        <v>20200111150348396</v>
      </c>
      <c r="B1683" t="str">
        <f>"1578726228390228"</f>
        <v>1578726228390228</v>
      </c>
      <c r="C1683" t="s">
        <v>40</v>
      </c>
      <c r="D1683">
        <v>5.4117769999999998</v>
      </c>
      <c r="E1683">
        <v>0.49165530000000002</v>
      </c>
      <c r="F1683" t="s">
        <v>41</v>
      </c>
      <c r="G1683">
        <v>-415.62419999999997</v>
      </c>
      <c r="H1683" s="1">
        <v>-1.8517429999999999E-6</v>
      </c>
      <c r="I1683">
        <v>101.4346</v>
      </c>
      <c r="J1683">
        <v>-417.47699999999998</v>
      </c>
      <c r="K1683">
        <v>1.1107819999999999</v>
      </c>
      <c r="L1683">
        <v>112.4268</v>
      </c>
      <c r="M1683">
        <v>-2.029156E-2</v>
      </c>
      <c r="N1683">
        <v>0</v>
      </c>
      <c r="O1683">
        <v>-0.99968000000000001</v>
      </c>
      <c r="P1683">
        <v>9.0931049999999999E-2</v>
      </c>
      <c r="Q1683">
        <v>0.13017980000000001</v>
      </c>
      <c r="R1683">
        <v>-0.98731219999999997</v>
      </c>
      <c r="S1683">
        <v>0.50091549999999996</v>
      </c>
      <c r="T1683">
        <v>-0.29997289999999999</v>
      </c>
      <c r="U1683">
        <v>-3.0343019999999998</v>
      </c>
      <c r="V1683">
        <v>-0.11316619999999999</v>
      </c>
      <c r="W1683">
        <v>0.14333989999999999</v>
      </c>
      <c r="X1683">
        <v>0.98318209999999995</v>
      </c>
      <c r="Y1683">
        <v>-0.18210200000000001</v>
      </c>
      <c r="Z1683">
        <v>9.6878450000000005E-2</v>
      </c>
      <c r="AA1683">
        <v>0.97849549999999996</v>
      </c>
      <c r="AB1683">
        <v>26</v>
      </c>
      <c r="AC1683">
        <v>1.8528</v>
      </c>
      <c r="AD1683">
        <v>-1.110783851743</v>
      </c>
      <c r="AE1683">
        <v>-10.992199999999899</v>
      </c>
      <c r="AF1683">
        <v>-2.0550869792933901</v>
      </c>
      <c r="AG1683">
        <v>-1.110783851743</v>
      </c>
      <c r="AH1683">
        <v>10.844654809541501</v>
      </c>
      <c r="AI1683">
        <v>95.746659809789705</v>
      </c>
      <c r="AJ1683">
        <v>100.730441778681</v>
      </c>
      <c r="AK1683">
        <v>11.093410710681599</v>
      </c>
      <c r="AL1683">
        <v>81.758841551010093</v>
      </c>
      <c r="AM1683">
        <v>96.565962723325697</v>
      </c>
      <c r="AN1683">
        <v>0.99999997875742896</v>
      </c>
    </row>
    <row r="1684" spans="1:40" x14ac:dyDescent="0.3">
      <c r="A1684" t="str">
        <f>"20200111150348418"</f>
        <v>20200111150348418</v>
      </c>
      <c r="B1684" t="str">
        <f>"1578726228409747"</f>
        <v>1578726228409747</v>
      </c>
      <c r="C1684" t="s">
        <v>40</v>
      </c>
      <c r="D1684">
        <v>5.1968730000000001</v>
      </c>
      <c r="E1684">
        <v>0.47754580000000002</v>
      </c>
      <c r="F1684" t="s">
        <v>41</v>
      </c>
      <c r="G1684">
        <v>-416.42790000000002</v>
      </c>
      <c r="H1684" s="1">
        <v>-2.2164819999999998E-6</v>
      </c>
      <c r="I1684">
        <v>102.9413</v>
      </c>
      <c r="J1684">
        <v>-417.4726</v>
      </c>
      <c r="K1684">
        <v>1.1103099999999999</v>
      </c>
      <c r="L1684">
        <v>112.1737</v>
      </c>
      <c r="M1684">
        <v>-1.205937E-2</v>
      </c>
      <c r="N1684">
        <v>0</v>
      </c>
      <c r="O1684">
        <v>-0.99981469999999995</v>
      </c>
      <c r="P1684">
        <v>9.6708130000000003E-2</v>
      </c>
      <c r="Q1684">
        <v>0.1305086</v>
      </c>
      <c r="R1684">
        <v>-0.98671940000000002</v>
      </c>
      <c r="S1684">
        <v>0.33782960000000001</v>
      </c>
      <c r="T1684">
        <v>-0.35770459999999998</v>
      </c>
      <c r="U1684">
        <v>-3.054611</v>
      </c>
      <c r="V1684">
        <v>-0.11065029999999999</v>
      </c>
      <c r="W1684">
        <v>0.14373540000000001</v>
      </c>
      <c r="X1684">
        <v>0.98341069999999997</v>
      </c>
      <c r="Y1684">
        <v>-0.12116970000000001</v>
      </c>
      <c r="Z1684">
        <v>0.1155196</v>
      </c>
      <c r="AA1684">
        <v>0.98588699999999996</v>
      </c>
      <c r="AB1684">
        <v>26</v>
      </c>
      <c r="AC1684">
        <v>1.04469999999997</v>
      </c>
      <c r="AD1684">
        <v>-1.1103122164820001</v>
      </c>
      <c r="AE1684">
        <v>-9.2323999999999895</v>
      </c>
      <c r="AF1684">
        <v>-1.1396983131890499</v>
      </c>
      <c r="AG1684">
        <v>-1.1103122164820001</v>
      </c>
      <c r="AH1684">
        <v>9.0893308320163904</v>
      </c>
      <c r="AI1684">
        <v>96.910906615389095</v>
      </c>
      <c r="AJ1684">
        <v>97.146936938141394</v>
      </c>
      <c r="AK1684">
        <v>9.22754791030634</v>
      </c>
      <c r="AL1684">
        <v>81.735943967837102</v>
      </c>
      <c r="AM1684">
        <v>96.419741579485006</v>
      </c>
      <c r="AN1684">
        <v>0.99999997948886898</v>
      </c>
    </row>
    <row r="1685" spans="1:40" x14ac:dyDescent="0.3">
      <c r="A1685" t="str">
        <f>"20200111150348441"</f>
        <v>20200111150348441</v>
      </c>
      <c r="B1685" t="str">
        <f>"1578726228430244"</f>
        <v>1578726228430244</v>
      </c>
      <c r="C1685" t="s">
        <v>40</v>
      </c>
      <c r="D1685">
        <v>5.3914489999999997</v>
      </c>
      <c r="E1685">
        <v>0.49730180000000002</v>
      </c>
      <c r="F1685" t="s">
        <v>44</v>
      </c>
      <c r="G1685">
        <v>0</v>
      </c>
      <c r="H1685">
        <v>0</v>
      </c>
      <c r="I1685">
        <v>0</v>
      </c>
      <c r="J1685">
        <v>-417.46690000000001</v>
      </c>
      <c r="K1685">
        <v>1.1097919999999999</v>
      </c>
      <c r="L1685">
        <v>111.92</v>
      </c>
      <c r="M1685">
        <v>-4.6368119999999997E-3</v>
      </c>
      <c r="N1685">
        <v>0</v>
      </c>
      <c r="O1685">
        <v>-0.9998783</v>
      </c>
      <c r="P1685">
        <v>9.9740480000000006E-2</v>
      </c>
      <c r="Q1685">
        <v>0.132258399999999</v>
      </c>
      <c r="R1685">
        <v>-0.98618450000000002</v>
      </c>
      <c r="S1685">
        <v>0.46957399999999999</v>
      </c>
      <c r="T1685">
        <v>0.83563050000000005</v>
      </c>
      <c r="U1685">
        <v>-2.8838349999999999</v>
      </c>
      <c r="V1685">
        <v>-0.106195899999999</v>
      </c>
      <c r="W1685">
        <v>0.14557829999999999</v>
      </c>
      <c r="X1685">
        <v>0.98363069999999997</v>
      </c>
      <c r="Y1685">
        <v>-0.15909690000000001</v>
      </c>
      <c r="Z1685">
        <v>-0.27486549999999998</v>
      </c>
      <c r="AA1685">
        <v>0.94822839999999997</v>
      </c>
      <c r="AB1685">
        <v>26</v>
      </c>
      <c r="AC1685">
        <v>0.46957399999999999</v>
      </c>
      <c r="AD1685">
        <v>0.83563050000000005</v>
      </c>
      <c r="AE1685">
        <v>-2.8838349999999999</v>
      </c>
      <c r="AF1685">
        <v>-0.44642704454332699</v>
      </c>
      <c r="AG1685">
        <v>0.83563050000000005</v>
      </c>
      <c r="AH1685">
        <v>2.6637470767815099</v>
      </c>
      <c r="AI1685">
        <v>72.8084570129882</v>
      </c>
      <c r="AJ1685">
        <v>99.513990132590607</v>
      </c>
      <c r="AK1685">
        <v>2.8272113341050402</v>
      </c>
      <c r="AL1685">
        <v>81.629231162906606</v>
      </c>
      <c r="AM1685">
        <v>96.161967223926794</v>
      </c>
      <c r="AN1685">
        <v>0.99999998229509401</v>
      </c>
    </row>
    <row r="1686" spans="1:40" x14ac:dyDescent="0.3">
      <c r="A1686" t="str">
        <f>"20200111150348485"</f>
        <v>20200111150348485</v>
      </c>
      <c r="B1686" t="str">
        <f>"1578726228480019"</f>
        <v>1578726228480019</v>
      </c>
      <c r="C1686" t="s">
        <v>40</v>
      </c>
      <c r="D1686">
        <v>5.4708579999999998</v>
      </c>
      <c r="E1686">
        <v>0.49886399999999997</v>
      </c>
      <c r="F1686" t="s">
        <v>41</v>
      </c>
      <c r="G1686">
        <v>-415.62130000000002</v>
      </c>
      <c r="H1686" s="1">
        <v>-2.8450150000000001E-6</v>
      </c>
      <c r="I1686">
        <v>94.454059999999998</v>
      </c>
      <c r="J1686">
        <v>-417.4529</v>
      </c>
      <c r="K1686">
        <v>1.108592</v>
      </c>
      <c r="L1686">
        <v>111.42010000000001</v>
      </c>
      <c r="M1686">
        <v>7.4897239999999997E-3</v>
      </c>
      <c r="N1686">
        <v>0</v>
      </c>
      <c r="O1686">
        <v>-0.99986419999999998</v>
      </c>
      <c r="P1686">
        <v>0.1028913</v>
      </c>
      <c r="Q1686">
        <v>0.13508220000000001</v>
      </c>
      <c r="R1686">
        <v>-0.98547770000000001</v>
      </c>
      <c r="S1686">
        <v>0.32073970000000002</v>
      </c>
      <c r="T1686">
        <v>-0.19287370000000001</v>
      </c>
      <c r="U1686">
        <v>-3.0354459999999999</v>
      </c>
      <c r="V1686">
        <v>-9.6978629999999996E-2</v>
      </c>
      <c r="W1686">
        <v>0.1486073</v>
      </c>
      <c r="X1686">
        <v>0.98412960000000005</v>
      </c>
      <c r="Y1686">
        <v>-9.7418519999999995E-2</v>
      </c>
      <c r="Z1686">
        <v>6.3084260000000003E-2</v>
      </c>
      <c r="AA1686">
        <v>0.99324210000000002</v>
      </c>
      <c r="AB1686">
        <v>25</v>
      </c>
      <c r="AC1686">
        <v>1.8315999999999799</v>
      </c>
      <c r="AD1686">
        <v>-1.1085948450150001</v>
      </c>
      <c r="AE1686">
        <v>-16.96604</v>
      </c>
      <c r="AF1686">
        <v>-1.6973006968294799</v>
      </c>
      <c r="AG1686">
        <v>-1.1085948450150001</v>
      </c>
      <c r="AH1686">
        <v>16.9079256674375</v>
      </c>
      <c r="AI1686">
        <v>93.732612358865595</v>
      </c>
      <c r="AJ1686">
        <v>95.732428006062506</v>
      </c>
      <c r="AK1686">
        <v>17.029027058568001</v>
      </c>
      <c r="AL1686">
        <v>81.453774051251898</v>
      </c>
      <c r="AM1686">
        <v>95.627901723316199</v>
      </c>
      <c r="AN1686">
        <v>1.00000002694306</v>
      </c>
    </row>
    <row r="1687" spans="1:40" x14ac:dyDescent="0.3">
      <c r="A1687" t="str">
        <f>"20200111150348508"</f>
        <v>20200111150348508</v>
      </c>
      <c r="B1687" t="str">
        <f>"1578726228500514"</f>
        <v>1578726228500514</v>
      </c>
      <c r="C1687" t="s">
        <v>40</v>
      </c>
      <c r="D1687">
        <v>5.4070980000000004</v>
      </c>
      <c r="E1687">
        <v>0.50069649999999999</v>
      </c>
      <c r="F1687" t="s">
        <v>41</v>
      </c>
      <c r="G1687">
        <v>-415.59339999999997</v>
      </c>
      <c r="H1687" s="1">
        <v>-2.58565E-6</v>
      </c>
      <c r="I1687">
        <v>93.800669999999997</v>
      </c>
      <c r="J1687">
        <v>-417.44499999999999</v>
      </c>
      <c r="K1687">
        <v>1.1079139999999901</v>
      </c>
      <c r="L1687">
        <v>111.1626</v>
      </c>
      <c r="M1687">
        <v>1.239822E-2</v>
      </c>
      <c r="N1687">
        <v>0</v>
      </c>
      <c r="O1687">
        <v>-0.9998167</v>
      </c>
      <c r="P1687">
        <v>0.10615380000000001</v>
      </c>
      <c r="Q1687">
        <v>0.13770270000000001</v>
      </c>
      <c r="R1687">
        <v>-0.98476870000000005</v>
      </c>
      <c r="S1687">
        <v>0.32052609999999998</v>
      </c>
      <c r="T1687">
        <v>-0.19108120000000001</v>
      </c>
      <c r="U1687">
        <v>-3.0369419999999998</v>
      </c>
      <c r="V1687">
        <v>-9.5175560000000006E-2</v>
      </c>
      <c r="W1687">
        <v>0.15130629999999901</v>
      </c>
      <c r="X1687">
        <v>0.9838943</v>
      </c>
      <c r="Y1687">
        <v>-9.2415289999999997E-2</v>
      </c>
      <c r="Z1687">
        <v>6.2480380000000002E-2</v>
      </c>
      <c r="AA1687">
        <v>0.99375829999999998</v>
      </c>
      <c r="AB1687">
        <v>25</v>
      </c>
      <c r="AC1687">
        <v>1.8516000000000099</v>
      </c>
      <c r="AD1687">
        <v>-1.10791658565</v>
      </c>
      <c r="AE1687">
        <v>-17.361929999999901</v>
      </c>
      <c r="AF1687">
        <v>-1.62961638373079</v>
      </c>
      <c r="AG1687">
        <v>-1.10791658565</v>
      </c>
      <c r="AH1687">
        <v>17.313843461796601</v>
      </c>
      <c r="AI1687">
        <v>93.645309756552905</v>
      </c>
      <c r="AJ1687">
        <v>95.376961858665993</v>
      </c>
      <c r="AK1687">
        <v>17.425622058867202</v>
      </c>
      <c r="AL1687">
        <v>81.2973637613064</v>
      </c>
      <c r="AM1687">
        <v>95.525231403226996</v>
      </c>
      <c r="AN1687">
        <v>0.99999998860674599</v>
      </c>
    </row>
    <row r="1688" spans="1:40" x14ac:dyDescent="0.3">
      <c r="A1688" t="str">
        <f>"20200111150348531"</f>
        <v>20200111150348531</v>
      </c>
      <c r="B1688" t="str">
        <f>"1578726228520035"</f>
        <v>1578726228520035</v>
      </c>
      <c r="C1688" t="s">
        <v>40</v>
      </c>
      <c r="D1688">
        <v>5.4246089999999896</v>
      </c>
      <c r="E1688">
        <v>0.50109709999999996</v>
      </c>
      <c r="F1688" t="s">
        <v>41</v>
      </c>
      <c r="G1688">
        <v>-415.68529999999998</v>
      </c>
      <c r="H1688" s="1">
        <v>-2.7477150000000002E-6</v>
      </c>
      <c r="I1688">
        <v>94.253720000000001</v>
      </c>
      <c r="J1688">
        <v>-417.43709999999999</v>
      </c>
      <c r="K1688">
        <v>1.1072489999999999</v>
      </c>
      <c r="L1688">
        <v>110.9115</v>
      </c>
      <c r="M1688">
        <v>1.6183019999999999E-2</v>
      </c>
      <c r="N1688">
        <v>0</v>
      </c>
      <c r="O1688">
        <v>-0.99976399999999999</v>
      </c>
      <c r="P1688">
        <v>0.10924010000000001</v>
      </c>
      <c r="Q1688">
        <v>0.13878950000000001</v>
      </c>
      <c r="R1688">
        <v>-0.98427849999999995</v>
      </c>
      <c r="S1688">
        <v>0.31637569999999998</v>
      </c>
      <c r="T1688">
        <v>-0.19919870000000001</v>
      </c>
      <c r="U1688">
        <v>-3.040146</v>
      </c>
      <c r="V1688">
        <v>-9.4291929999999996E-2</v>
      </c>
      <c r="W1688">
        <v>0.15246899999999999</v>
      </c>
      <c r="X1688">
        <v>0.98379989999999995</v>
      </c>
      <c r="Y1688">
        <v>-8.7176329999999996E-2</v>
      </c>
      <c r="Z1688">
        <v>6.5070379999999997E-2</v>
      </c>
      <c r="AA1688">
        <v>0.99406550000000005</v>
      </c>
      <c r="AB1688">
        <v>25</v>
      </c>
      <c r="AC1688">
        <v>1.7518</v>
      </c>
      <c r="AD1688">
        <v>-1.1072517477149999</v>
      </c>
      <c r="AE1688">
        <v>-16.657779999999999</v>
      </c>
      <c r="AF1688">
        <v>-1.4755210111835599</v>
      </c>
      <c r="AG1688">
        <v>-1.1072517477149999</v>
      </c>
      <c r="AH1688">
        <v>16.611358838550299</v>
      </c>
      <c r="AI1688">
        <v>93.798571599987397</v>
      </c>
      <c r="AJ1688">
        <v>95.076034362733395</v>
      </c>
      <c r="AK1688">
        <v>16.713479923413399</v>
      </c>
      <c r="AL1688">
        <v>81.229964098113001</v>
      </c>
      <c r="AM1688">
        <v>95.474769133368099</v>
      </c>
      <c r="AN1688">
        <v>1.00000000363206</v>
      </c>
    </row>
    <row r="1689" spans="1:40" x14ac:dyDescent="0.3">
      <c r="A1689" t="str">
        <f>"20200111150348552"</f>
        <v>20200111150348552</v>
      </c>
      <c r="B1689" t="str">
        <f>"1578726228540531"</f>
        <v>1578726228540531</v>
      </c>
      <c r="C1689" t="s">
        <v>40</v>
      </c>
      <c r="D1689">
        <v>5.4280710000000001</v>
      </c>
      <c r="E1689">
        <v>0.5016024</v>
      </c>
      <c r="F1689" t="s">
        <v>41</v>
      </c>
      <c r="G1689">
        <v>-415.6114</v>
      </c>
      <c r="H1689" s="1">
        <v>-2.5474559999999998E-6</v>
      </c>
      <c r="I1689">
        <v>93.702550000000002</v>
      </c>
      <c r="J1689">
        <v>-417.42970000000003</v>
      </c>
      <c r="K1689">
        <v>1.1066400000000001</v>
      </c>
      <c r="L1689">
        <v>110.6747</v>
      </c>
      <c r="M1689">
        <v>1.889619E-2</v>
      </c>
      <c r="N1689">
        <v>0</v>
      </c>
      <c r="O1689">
        <v>-0.99971719999999997</v>
      </c>
      <c r="P1689">
        <v>0.1101964</v>
      </c>
      <c r="Q1689">
        <v>0.1399205</v>
      </c>
      <c r="R1689">
        <v>-0.98401179999999999</v>
      </c>
      <c r="S1689">
        <v>0.32247920000000002</v>
      </c>
      <c r="T1689">
        <v>-0.19558039999999999</v>
      </c>
      <c r="U1689">
        <v>-3.0397189999999998</v>
      </c>
      <c r="V1689">
        <v>-9.23509E-2</v>
      </c>
      <c r="W1689">
        <v>0.1536777</v>
      </c>
      <c r="X1689">
        <v>0.98379589999999995</v>
      </c>
      <c r="Y1689">
        <v>-8.6469459999999998E-2</v>
      </c>
      <c r="Z1689">
        <v>6.3892950000000004E-2</v>
      </c>
      <c r="AA1689">
        <v>0.99420359999999997</v>
      </c>
      <c r="AB1689">
        <v>25</v>
      </c>
      <c r="AC1689">
        <v>1.81830000000002</v>
      </c>
      <c r="AD1689">
        <v>-1.106642547456</v>
      </c>
      <c r="AE1689">
        <v>-16.972149999999999</v>
      </c>
      <c r="AF1689">
        <v>-1.4909659791916301</v>
      </c>
      <c r="AG1689">
        <v>-1.106642547456</v>
      </c>
      <c r="AH1689">
        <v>16.932310888378002</v>
      </c>
      <c r="AI1689">
        <v>93.724981334152702</v>
      </c>
      <c r="AJ1689">
        <v>95.032171553533303</v>
      </c>
      <c r="AK1689">
        <v>17.033813116845899</v>
      </c>
      <c r="AL1689">
        <v>81.159884297453104</v>
      </c>
      <c r="AM1689">
        <v>95.362754799255001</v>
      </c>
      <c r="AN1689">
        <v>0.999999948532453</v>
      </c>
    </row>
    <row r="1690" spans="1:40" x14ac:dyDescent="0.3">
      <c r="A1690" t="str">
        <f>"20200111150348574"</f>
        <v>20200111150348574</v>
      </c>
      <c r="B1690" t="str">
        <f>"1578726228569811"</f>
        <v>1578726228569811</v>
      </c>
      <c r="C1690" t="s">
        <v>40</v>
      </c>
      <c r="D1690">
        <v>5.1858599999999999</v>
      </c>
      <c r="E1690">
        <v>0.50289839999999997</v>
      </c>
      <c r="F1690" t="s">
        <v>41</v>
      </c>
      <c r="G1690">
        <v>-415.62020000000001</v>
      </c>
      <c r="H1690" s="1">
        <v>-2.5223719999999998E-6</v>
      </c>
      <c r="I1690">
        <v>93.635739999999998</v>
      </c>
      <c r="J1690">
        <v>-417.42200000000003</v>
      </c>
      <c r="K1690">
        <v>1.1060779999999999</v>
      </c>
      <c r="L1690">
        <v>110.4218</v>
      </c>
      <c r="M1690">
        <v>2.1022300000000001E-2</v>
      </c>
      <c r="N1690">
        <v>0</v>
      </c>
      <c r="O1690">
        <v>-0.99967600000000001</v>
      </c>
      <c r="P1690">
        <v>0.1116777</v>
      </c>
      <c r="Q1690">
        <v>0.1405168</v>
      </c>
      <c r="R1690">
        <v>-0.98376010000000003</v>
      </c>
      <c r="S1690">
        <v>0.32290649999999999</v>
      </c>
      <c r="T1690">
        <v>-0.19748499999999999</v>
      </c>
      <c r="U1690">
        <v>-3.04068</v>
      </c>
      <c r="V1690">
        <v>-9.152652E-2</v>
      </c>
      <c r="W1690">
        <v>0.15433629999999901</v>
      </c>
      <c r="X1690">
        <v>0.98376989999999997</v>
      </c>
      <c r="Y1690">
        <v>-8.445163E-2</v>
      </c>
      <c r="Z1690">
        <v>6.4493369999999994E-2</v>
      </c>
      <c r="AA1690">
        <v>0.99433819999999995</v>
      </c>
      <c r="AB1690">
        <v>25</v>
      </c>
      <c r="AC1690">
        <v>1.8017999999999501</v>
      </c>
      <c r="AD1690">
        <v>-1.1060805223720001</v>
      </c>
      <c r="AE1690">
        <v>-16.786059999999999</v>
      </c>
      <c r="AF1690">
        <v>-1.4422928926010401</v>
      </c>
      <c r="AG1690">
        <v>-1.1060805223720001</v>
      </c>
      <c r="AH1690">
        <v>16.7483408437209</v>
      </c>
      <c r="AI1690">
        <v>93.764502806218601</v>
      </c>
      <c r="AJ1690">
        <v>94.921915793867498</v>
      </c>
      <c r="AK1690">
        <v>16.846677533788899</v>
      </c>
      <c r="AL1690">
        <v>81.121694191938602</v>
      </c>
      <c r="AM1690">
        <v>95.315298670363006</v>
      </c>
      <c r="AN1690">
        <v>1.0000000067535</v>
      </c>
    </row>
    <row r="1691" spans="1:40" x14ac:dyDescent="0.3">
      <c r="A1691" t="str">
        <f>"20200111150348598"</f>
        <v>20200111150348598</v>
      </c>
      <c r="B1691" t="str">
        <f>"1578726228590307"</f>
        <v>1578726228590307</v>
      </c>
      <c r="C1691" t="s">
        <v>40</v>
      </c>
      <c r="D1691">
        <v>5.117381</v>
      </c>
      <c r="E1691">
        <v>0.50352540000000001</v>
      </c>
      <c r="F1691" t="s">
        <v>41</v>
      </c>
      <c r="G1691">
        <v>-415.6465</v>
      </c>
      <c r="H1691" s="1">
        <v>-2.431019E-6</v>
      </c>
      <c r="I1691">
        <v>93.387829999999994</v>
      </c>
      <c r="J1691">
        <v>-417.41419999999999</v>
      </c>
      <c r="K1691">
        <v>1.1055619999999999</v>
      </c>
      <c r="L1691">
        <v>110.1541</v>
      </c>
      <c r="M1691">
        <v>2.2475760000000001E-2</v>
      </c>
      <c r="N1691">
        <v>0</v>
      </c>
      <c r="O1691">
        <v>-0.99964540000000002</v>
      </c>
      <c r="P1691">
        <v>0.11304640000000001</v>
      </c>
      <c r="Q1691">
        <v>0.14102139999999999</v>
      </c>
      <c r="R1691">
        <v>-0.9835315</v>
      </c>
      <c r="S1691">
        <v>0.31704710000000003</v>
      </c>
      <c r="T1691">
        <v>-0.19751260000000001</v>
      </c>
      <c r="U1691">
        <v>-3.0417480000000001</v>
      </c>
      <c r="V1691">
        <v>-9.1269870000000003E-2</v>
      </c>
      <c r="W1691">
        <v>0.1548908</v>
      </c>
      <c r="X1691">
        <v>0.98370659999999999</v>
      </c>
      <c r="Y1691">
        <v>-8.1071320000000002E-2</v>
      </c>
      <c r="Z1691">
        <v>6.4492380000000002E-2</v>
      </c>
      <c r="AA1691">
        <v>0.99461960000000005</v>
      </c>
      <c r="AB1691">
        <v>25</v>
      </c>
      <c r="AC1691">
        <v>1.7676999999999901</v>
      </c>
      <c r="AD1691">
        <v>-1.105564431019</v>
      </c>
      <c r="AE1691">
        <v>-16.766269999999899</v>
      </c>
      <c r="AF1691">
        <v>-1.3844268900480501</v>
      </c>
      <c r="AG1691">
        <v>-1.105564431019</v>
      </c>
      <c r="AH1691">
        <v>16.729825704273502</v>
      </c>
      <c r="AI1691">
        <v>93.767962968425607</v>
      </c>
      <c r="AJ1691">
        <v>94.730563068377904</v>
      </c>
      <c r="AK1691">
        <v>16.823375957886501</v>
      </c>
      <c r="AL1691">
        <v>81.089537039483602</v>
      </c>
      <c r="AM1691">
        <v>95.300818159295503</v>
      </c>
      <c r="AN1691">
        <v>1.000000011989</v>
      </c>
    </row>
    <row r="1692" spans="1:40" x14ac:dyDescent="0.3">
      <c r="A1692" t="str">
        <f>"20200111150348619"</f>
        <v>20200111150348619</v>
      </c>
      <c r="B1692" t="str">
        <f>"1578726228609827"</f>
        <v>1578726228609827</v>
      </c>
      <c r="C1692" t="s">
        <v>40</v>
      </c>
      <c r="D1692">
        <v>5.1602920000000001</v>
      </c>
      <c r="E1692">
        <v>0.50512440000000003</v>
      </c>
      <c r="F1692" t="s">
        <v>41</v>
      </c>
      <c r="G1692">
        <v>-415.7167</v>
      </c>
      <c r="H1692" s="1">
        <v>-2.56922E-6</v>
      </c>
      <c r="I1692">
        <v>93.848839999999996</v>
      </c>
      <c r="J1692">
        <v>-417.40750000000003</v>
      </c>
      <c r="K1692">
        <v>1.105129</v>
      </c>
      <c r="L1692">
        <v>109.91289999999999</v>
      </c>
      <c r="M1692">
        <v>2.3115219999999999E-2</v>
      </c>
      <c r="N1692">
        <v>0</v>
      </c>
      <c r="O1692">
        <v>-0.99963150000000001</v>
      </c>
      <c r="P1692">
        <v>0.1123256</v>
      </c>
      <c r="Q1692">
        <v>0.1398692</v>
      </c>
      <c r="R1692">
        <v>-0.98377840000000005</v>
      </c>
      <c r="S1692">
        <v>0.31683349999999999</v>
      </c>
      <c r="T1692">
        <v>-0.2063555</v>
      </c>
      <c r="U1692">
        <v>-3.043396</v>
      </c>
      <c r="V1692">
        <v>-8.9746399999999907E-2</v>
      </c>
      <c r="W1692">
        <v>0.15378739999999999</v>
      </c>
      <c r="X1692">
        <v>0.9840198</v>
      </c>
      <c r="Y1692">
        <v>-8.028971E-2</v>
      </c>
      <c r="Z1692">
        <v>6.7331710000000003E-2</v>
      </c>
      <c r="AA1692">
        <v>0.99449489999999996</v>
      </c>
      <c r="AB1692">
        <v>25</v>
      </c>
      <c r="AC1692">
        <v>1.6908000000000201</v>
      </c>
      <c r="AD1692">
        <v>-1.1051315692200001</v>
      </c>
      <c r="AE1692">
        <v>-16.064059999999898</v>
      </c>
      <c r="AF1692">
        <v>-1.3128409248352699</v>
      </c>
      <c r="AG1692">
        <v>-1.1051315692200001</v>
      </c>
      <c r="AH1692">
        <v>16.023847532248698</v>
      </c>
      <c r="AI1692">
        <v>93.932189733747805</v>
      </c>
      <c r="AJ1692">
        <v>94.683807113729301</v>
      </c>
      <c r="AK1692">
        <v>16.115475693133099</v>
      </c>
      <c r="AL1692">
        <v>81.153523559016406</v>
      </c>
      <c r="AM1692">
        <v>95.211178816892996</v>
      </c>
      <c r="AN1692">
        <v>0.99999997375187899</v>
      </c>
    </row>
    <row r="1693" spans="1:40" x14ac:dyDescent="0.3">
      <c r="A1693" t="str">
        <f>"20200111150348641"</f>
        <v>20200111150348641</v>
      </c>
      <c r="B1693" t="str">
        <f>"1578726228630323"</f>
        <v>1578726228630323</v>
      </c>
      <c r="C1693" t="s">
        <v>40</v>
      </c>
      <c r="D1693">
        <v>5.2047460000000001</v>
      </c>
      <c r="E1693">
        <v>0.50641849999999999</v>
      </c>
      <c r="F1693" t="s">
        <v>41</v>
      </c>
      <c r="G1693">
        <v>-415.93689999999998</v>
      </c>
      <c r="H1693" s="1">
        <v>-3.0711760000000001E-6</v>
      </c>
      <c r="I1693">
        <v>95.111720000000005</v>
      </c>
      <c r="J1693">
        <v>-417.40120000000002</v>
      </c>
      <c r="K1693">
        <v>1.104697</v>
      </c>
      <c r="L1693">
        <v>109.67019999999999</v>
      </c>
      <c r="M1693">
        <v>2.3150159999999999E-2</v>
      </c>
      <c r="N1693">
        <v>0</v>
      </c>
      <c r="O1693">
        <v>-0.99963139999999995</v>
      </c>
      <c r="P1693">
        <v>0.1098821</v>
      </c>
      <c r="Q1693">
        <v>0.13778489999999999</v>
      </c>
      <c r="R1693">
        <v>-0.98434820000000001</v>
      </c>
      <c r="S1693">
        <v>0.3027649</v>
      </c>
      <c r="T1693">
        <v>-0.2275229</v>
      </c>
      <c r="U1693">
        <v>-3.0472410000000001</v>
      </c>
      <c r="V1693">
        <v>-8.7094000000000005E-2</v>
      </c>
      <c r="W1693">
        <v>0.1517588</v>
      </c>
      <c r="X1693">
        <v>0.98457289999999997</v>
      </c>
      <c r="Y1693">
        <v>-7.5532589999999997E-2</v>
      </c>
      <c r="Z1693">
        <v>7.4140300000000006E-2</v>
      </c>
      <c r="AA1693">
        <v>0.99438329999999997</v>
      </c>
      <c r="AB1693">
        <v>25</v>
      </c>
      <c r="AC1693">
        <v>1.4643000000000299</v>
      </c>
      <c r="AD1693">
        <v>-1.104700071176</v>
      </c>
      <c r="AE1693">
        <v>-14.558479999999999</v>
      </c>
      <c r="AF1693">
        <v>-1.1204556962876899</v>
      </c>
      <c r="AG1693">
        <v>-1.104700071176</v>
      </c>
      <c r="AH1693">
        <v>14.5057947093258</v>
      </c>
      <c r="AI1693">
        <v>94.342114107888804</v>
      </c>
      <c r="AJ1693">
        <v>94.416866841266895</v>
      </c>
      <c r="AK1693">
        <v>14.5908828849972</v>
      </c>
      <c r="AL1693">
        <v>81.271134164776001</v>
      </c>
      <c r="AM1693">
        <v>95.055149909175597</v>
      </c>
      <c r="AN1693">
        <v>0.99999994681392301</v>
      </c>
    </row>
    <row r="1694" spans="1:40" x14ac:dyDescent="0.3">
      <c r="A1694" t="str">
        <f>"20200111150348663"</f>
        <v>20200111150348663</v>
      </c>
      <c r="B1694" t="str">
        <f>"1578726228660580"</f>
        <v>1578726228660580</v>
      </c>
      <c r="C1694" t="s">
        <v>40</v>
      </c>
      <c r="D1694">
        <v>5.2315420000000001</v>
      </c>
      <c r="E1694">
        <v>0.50872450000000002</v>
      </c>
      <c r="F1694" t="s">
        <v>41</v>
      </c>
      <c r="G1694">
        <v>-416.13290000000001</v>
      </c>
      <c r="H1694" s="1">
        <v>-3.455913E-6</v>
      </c>
      <c r="I1694">
        <v>96.089600000000004</v>
      </c>
      <c r="J1694">
        <v>-417.3954</v>
      </c>
      <c r="K1694">
        <v>1.104244</v>
      </c>
      <c r="L1694">
        <v>109.4156</v>
      </c>
      <c r="M1694">
        <v>2.258835E-2</v>
      </c>
      <c r="N1694">
        <v>0</v>
      </c>
      <c r="O1694">
        <v>-0.99964459999999999</v>
      </c>
      <c r="P1694">
        <v>0.10605589999999999</v>
      </c>
      <c r="Q1694">
        <v>0.13700409999999999</v>
      </c>
      <c r="R1694">
        <v>-0.98487690000000006</v>
      </c>
      <c r="S1694">
        <v>0.284912099999999</v>
      </c>
      <c r="T1694">
        <v>-0.24815200000000001</v>
      </c>
      <c r="U1694">
        <v>-3.0506440000000001</v>
      </c>
      <c r="V1694">
        <v>-8.3643700000000001E-2</v>
      </c>
      <c r="W1694">
        <v>0.1510367</v>
      </c>
      <c r="X1694">
        <v>0.9849831</v>
      </c>
      <c r="Y1694">
        <v>-7.016915E-2</v>
      </c>
      <c r="Z1694">
        <v>8.0770949999999994E-2</v>
      </c>
      <c r="AA1694">
        <v>0.99425969999999997</v>
      </c>
      <c r="AB1694">
        <v>25</v>
      </c>
      <c r="AC1694">
        <v>1.26249999999998</v>
      </c>
      <c r="AD1694">
        <v>-1.104247455913</v>
      </c>
      <c r="AE1694">
        <v>-13.325999999999899</v>
      </c>
      <c r="AF1694">
        <v>-0.95463860447754001</v>
      </c>
      <c r="AG1694">
        <v>-1.104247455913</v>
      </c>
      <c r="AH1694">
        <v>13.26087452606</v>
      </c>
      <c r="AI1694">
        <v>94.747869429560197</v>
      </c>
      <c r="AJ1694">
        <v>94.117569183223196</v>
      </c>
      <c r="AK1694">
        <v>13.3409703734382</v>
      </c>
      <c r="AL1694">
        <v>81.312990655706699</v>
      </c>
      <c r="AM1694">
        <v>94.853850607151301</v>
      </c>
      <c r="AN1694">
        <v>1.0000000302910901</v>
      </c>
    </row>
    <row r="1695" spans="1:40" x14ac:dyDescent="0.3">
      <c r="A1695" t="str">
        <f>"20200111150348685"</f>
        <v>20200111150348685</v>
      </c>
      <c r="B1695" t="str">
        <f>"1578726228680100"</f>
        <v>1578726228680100</v>
      </c>
      <c r="C1695" t="s">
        <v>40</v>
      </c>
      <c r="D1695">
        <v>5.3455199999999996</v>
      </c>
      <c r="E1695">
        <v>0.50948720000000003</v>
      </c>
      <c r="F1695" t="s">
        <v>41</v>
      </c>
      <c r="G1695">
        <v>-416.33109999999999</v>
      </c>
      <c r="H1695" s="1">
        <v>-3.6545619999999999E-6</v>
      </c>
      <c r="I1695">
        <v>96.634609999999995</v>
      </c>
      <c r="J1695">
        <v>-417.39060000000001</v>
      </c>
      <c r="K1695">
        <v>1.103823</v>
      </c>
      <c r="L1695">
        <v>109.16679999999999</v>
      </c>
      <c r="M1695">
        <v>2.1494490000000002E-2</v>
      </c>
      <c r="N1695">
        <v>0</v>
      </c>
      <c r="O1695">
        <v>-0.99966920000000004</v>
      </c>
      <c r="P1695">
        <v>0.10019840000000001</v>
      </c>
      <c r="Q1695">
        <v>0.13789589999999999</v>
      </c>
      <c r="R1695">
        <v>-0.9853653</v>
      </c>
      <c r="S1695">
        <v>0.25442500000000001</v>
      </c>
      <c r="T1695">
        <v>-0.26398080000000002</v>
      </c>
      <c r="U1695">
        <v>-3.0554049999999999</v>
      </c>
      <c r="V1695">
        <v>-7.8694860000000005E-2</v>
      </c>
      <c r="W1695">
        <v>0.1519807</v>
      </c>
      <c r="X1695">
        <v>0.98524560000000005</v>
      </c>
      <c r="Y1695">
        <v>-6.1235480000000002E-2</v>
      </c>
      <c r="Z1695">
        <v>8.5819489999999998E-2</v>
      </c>
      <c r="AA1695">
        <v>0.99442710000000001</v>
      </c>
      <c r="AB1695">
        <v>25</v>
      </c>
      <c r="AC1695">
        <v>1.0595000000000101</v>
      </c>
      <c r="AD1695">
        <v>-1.1038266545619999</v>
      </c>
      <c r="AE1695">
        <v>-12.53219</v>
      </c>
      <c r="AF1695">
        <v>-0.78381759213343305</v>
      </c>
      <c r="AG1695">
        <v>-1.1038266545619999</v>
      </c>
      <c r="AH1695">
        <v>12.4561213819306</v>
      </c>
      <c r="AI1695">
        <v>95.054218321710096</v>
      </c>
      <c r="AJ1695">
        <v>93.600663701293698</v>
      </c>
      <c r="AK1695">
        <v>12.5294757744468</v>
      </c>
      <c r="AL1695">
        <v>81.258271081413298</v>
      </c>
      <c r="AM1695">
        <v>94.5667104392341</v>
      </c>
      <c r="AN1695">
        <v>0.999999953241133</v>
      </c>
    </row>
    <row r="1696" spans="1:40" x14ac:dyDescent="0.3">
      <c r="A1696" t="str">
        <f>"20200111150348709"</f>
        <v>20200111150348709</v>
      </c>
      <c r="B1696" t="str">
        <f>"1578726228700596"</f>
        <v>1578726228700596</v>
      </c>
      <c r="C1696" t="s">
        <v>40</v>
      </c>
      <c r="D1696">
        <v>5.2664019999999896</v>
      </c>
      <c r="E1696">
        <v>0.50977910000000004</v>
      </c>
      <c r="F1696" t="s">
        <v>41</v>
      </c>
      <c r="G1696">
        <v>-416.45100000000002</v>
      </c>
      <c r="H1696" s="1">
        <v>-3.649219E-6</v>
      </c>
      <c r="I1696">
        <v>96.671750000000003</v>
      </c>
      <c r="J1696">
        <v>-417.38650000000001</v>
      </c>
      <c r="K1696">
        <v>1.1034109999999999</v>
      </c>
      <c r="L1696">
        <v>108.9085</v>
      </c>
      <c r="M1696">
        <v>1.98306E-2</v>
      </c>
      <c r="N1696">
        <v>0</v>
      </c>
      <c r="O1696">
        <v>-0.99970400000000004</v>
      </c>
      <c r="P1696">
        <v>9.3524019999999999E-2</v>
      </c>
      <c r="Q1696">
        <v>0.1388991</v>
      </c>
      <c r="R1696">
        <v>-0.98588070000000005</v>
      </c>
      <c r="S1696">
        <v>0.23001099999999999</v>
      </c>
      <c r="T1696">
        <v>-0.27023550000000002</v>
      </c>
      <c r="U1696">
        <v>-3.0589900000000001</v>
      </c>
      <c r="V1696">
        <v>-7.3497049999999994E-2</v>
      </c>
      <c r="W1696">
        <v>0.15302689999999999</v>
      </c>
      <c r="X1696">
        <v>0.9854851</v>
      </c>
      <c r="Y1696">
        <v>-5.489919E-2</v>
      </c>
      <c r="Z1696">
        <v>8.7783589999999995E-2</v>
      </c>
      <c r="AA1696">
        <v>0.9946256</v>
      </c>
      <c r="AB1696">
        <v>25</v>
      </c>
      <c r="AC1696">
        <v>0.93550000000004696</v>
      </c>
      <c r="AD1696">
        <v>-1.103414649219</v>
      </c>
      <c r="AE1696">
        <v>-12.236750000000001</v>
      </c>
      <c r="AF1696">
        <v>-0.68707563221300105</v>
      </c>
      <c r="AG1696">
        <v>-1.103414649219</v>
      </c>
      <c r="AH1696">
        <v>12.154641155949401</v>
      </c>
      <c r="AI1696">
        <v>95.178946681280607</v>
      </c>
      <c r="AJ1696">
        <v>93.235363600504201</v>
      </c>
      <c r="AK1696">
        <v>12.2239477437689</v>
      </c>
      <c r="AL1696">
        <v>81.197618881852804</v>
      </c>
      <c r="AM1696">
        <v>94.265198167391802</v>
      </c>
      <c r="AN1696">
        <v>0.99999996540215996</v>
      </c>
    </row>
    <row r="1697" spans="1:40" x14ac:dyDescent="0.3">
      <c r="A1697" t="str">
        <f>"20200111150348731"</f>
        <v>20200111150348731</v>
      </c>
      <c r="B1697" t="str">
        <f>"1578726228720116"</f>
        <v>1578726228720116</v>
      </c>
      <c r="C1697" t="s">
        <v>40</v>
      </c>
      <c r="D1697">
        <v>5.2295160000000003</v>
      </c>
      <c r="E1697">
        <v>0.51043890000000003</v>
      </c>
      <c r="F1697" t="s">
        <v>41</v>
      </c>
      <c r="G1697">
        <v>-416.53890000000001</v>
      </c>
      <c r="H1697" s="1">
        <v>-3.5461659999999999E-6</v>
      </c>
      <c r="I1697">
        <v>96.467849999999999</v>
      </c>
      <c r="J1697">
        <v>-417.38380000000001</v>
      </c>
      <c r="K1697">
        <v>1.1030789999999999</v>
      </c>
      <c r="L1697">
        <v>108.66379999999999</v>
      </c>
      <c r="M1697">
        <v>1.7754929999999999E-2</v>
      </c>
      <c r="N1697">
        <v>0</v>
      </c>
      <c r="O1697">
        <v>-0.9997433</v>
      </c>
      <c r="P1697">
        <v>8.7218309999999993E-2</v>
      </c>
      <c r="Q1697">
        <v>0.13872200000000001</v>
      </c>
      <c r="R1697">
        <v>-0.98648329999999995</v>
      </c>
      <c r="S1697">
        <v>0.20858760000000001</v>
      </c>
      <c r="T1697">
        <v>-0.27153060000000001</v>
      </c>
      <c r="U1697">
        <v>-3.0614170000000001</v>
      </c>
      <c r="V1697">
        <v>-6.9106559999999997E-2</v>
      </c>
      <c r="W1697">
        <v>0.1528794</v>
      </c>
      <c r="X1697">
        <v>0.98582559999999997</v>
      </c>
      <c r="Y1697">
        <v>-4.9985679999999998E-2</v>
      </c>
      <c r="Z1697">
        <v>8.8170239999999997E-2</v>
      </c>
      <c r="AA1697">
        <v>0.99485049999999997</v>
      </c>
      <c r="AB1697">
        <v>25</v>
      </c>
      <c r="AC1697">
        <v>0.84489999999999499</v>
      </c>
      <c r="AD1697">
        <v>-1.1030825461660001</v>
      </c>
      <c r="AE1697">
        <v>-12.1959499999999</v>
      </c>
      <c r="AF1697">
        <v>-0.62313384569724395</v>
      </c>
      <c r="AG1697">
        <v>-1.1030825461660001</v>
      </c>
      <c r="AH1697">
        <v>12.110432470925399</v>
      </c>
      <c r="AI1697">
        <v>95.197604671859807</v>
      </c>
      <c r="AJ1697">
        <v>92.945516693298003</v>
      </c>
      <c r="AK1697">
        <v>12.176520912237301</v>
      </c>
      <c r="AL1697">
        <v>81.206170680387004</v>
      </c>
      <c r="AM1697">
        <v>94.009885265883497</v>
      </c>
      <c r="AN1697">
        <v>0.999999970597376</v>
      </c>
    </row>
    <row r="1698" spans="1:40" x14ac:dyDescent="0.3">
      <c r="A1698" t="str">
        <f>"20200111150348754"</f>
        <v>20200111150348754</v>
      </c>
      <c r="B1698" t="str">
        <f>"1578726228750372"</f>
        <v>1578726228750372</v>
      </c>
      <c r="C1698" t="s">
        <v>40</v>
      </c>
      <c r="D1698">
        <v>5.2408429999999999</v>
      </c>
      <c r="E1698">
        <v>0.51147069999999994</v>
      </c>
      <c r="F1698" t="s">
        <v>42</v>
      </c>
      <c r="G1698">
        <v>-417.32749999999999</v>
      </c>
      <c r="H1698">
        <v>1.018068</v>
      </c>
      <c r="I1698">
        <v>107.7299</v>
      </c>
      <c r="J1698">
        <v>-417.38189999999997</v>
      </c>
      <c r="K1698">
        <v>1.102784</v>
      </c>
      <c r="L1698">
        <v>108.4024</v>
      </c>
      <c r="M1698">
        <v>1.511677E-2</v>
      </c>
      <c r="N1698">
        <v>0</v>
      </c>
      <c r="O1698">
        <v>-0.99978699999999998</v>
      </c>
      <c r="P1698">
        <v>8.2223920000000006E-2</v>
      </c>
      <c r="Q1698">
        <v>0.13685240000000001</v>
      </c>
      <c r="R1698">
        <v>-0.98717299999999997</v>
      </c>
      <c r="S1698">
        <v>0.18545529999999999</v>
      </c>
      <c r="T1698">
        <v>-0.27872940000000002</v>
      </c>
      <c r="U1698">
        <v>-3.0639189999999998</v>
      </c>
      <c r="V1698">
        <v>-6.661193E-2</v>
      </c>
      <c r="W1698">
        <v>0.15103569999999999</v>
      </c>
      <c r="X1698">
        <v>0.98628150000000003</v>
      </c>
      <c r="Y1698">
        <v>-4.5073000000000002E-2</v>
      </c>
      <c r="Z1698">
        <v>9.045388E-2</v>
      </c>
      <c r="AA1698">
        <v>0.99488010000000004</v>
      </c>
      <c r="AB1698">
        <v>25</v>
      </c>
      <c r="AC1698">
        <v>5.4399999999986903E-2</v>
      </c>
      <c r="AD1698">
        <v>-8.4716E-2</v>
      </c>
      <c r="AE1698">
        <v>-0.67249999999999899</v>
      </c>
      <c r="AF1698">
        <v>-4.3540307033363902E-2</v>
      </c>
      <c r="AG1698">
        <v>-8.4716E-2</v>
      </c>
      <c r="AH1698">
        <v>0.66279611887044598</v>
      </c>
      <c r="AI1698">
        <v>97.268329949669393</v>
      </c>
      <c r="AJ1698">
        <v>93.758465837766295</v>
      </c>
      <c r="AK1698">
        <v>0.66960529730751595</v>
      </c>
      <c r="AL1698">
        <v>81.313048916456495</v>
      </c>
      <c r="AM1698">
        <v>93.863800794795907</v>
      </c>
      <c r="AN1698">
        <v>1.00000006456753</v>
      </c>
    </row>
    <row r="1699" spans="1:40" x14ac:dyDescent="0.3">
      <c r="A1699" t="str">
        <f>"20200111150348819"</f>
        <v>20200111150348819</v>
      </c>
      <c r="B1699" t="str">
        <f>"1578726228809907"</f>
        <v>1578726228809907</v>
      </c>
      <c r="C1699" t="s">
        <v>40</v>
      </c>
      <c r="D1699">
        <v>6.0139940000000003</v>
      </c>
      <c r="E1699">
        <v>0.51772870000000004</v>
      </c>
      <c r="F1699" t="s">
        <v>42</v>
      </c>
      <c r="G1699">
        <v>-417.33479999999997</v>
      </c>
      <c r="H1699">
        <v>1.017984</v>
      </c>
      <c r="I1699">
        <v>107.5154</v>
      </c>
      <c r="J1699">
        <v>-417.38229999999999</v>
      </c>
      <c r="K1699">
        <v>1.102392</v>
      </c>
      <c r="L1699">
        <v>107.6619</v>
      </c>
      <c r="M1699">
        <v>6.3542869999999897E-3</v>
      </c>
      <c r="N1699">
        <v>0</v>
      </c>
      <c r="O1699">
        <v>-0.99988160000000004</v>
      </c>
      <c r="P1699">
        <v>7.3534059999999998E-2</v>
      </c>
      <c r="Q1699">
        <v>0.13392770000000001</v>
      </c>
      <c r="R1699">
        <v>-0.98825960000000002</v>
      </c>
      <c r="S1699">
        <v>0.16308590000000001</v>
      </c>
      <c r="T1699">
        <v>-0.2930719</v>
      </c>
      <c r="U1699">
        <v>-3.0660400000000001</v>
      </c>
      <c r="V1699">
        <v>-6.6457080000000002E-2</v>
      </c>
      <c r="W1699">
        <v>0.14813380000000001</v>
      </c>
      <c r="X1699">
        <v>0.9867319</v>
      </c>
      <c r="Y1699">
        <v>-4.6528590000000002E-2</v>
      </c>
      <c r="Z1699">
        <v>9.5031809999999994E-2</v>
      </c>
      <c r="AA1699">
        <v>0.99438629999999995</v>
      </c>
      <c r="AB1699">
        <v>25</v>
      </c>
      <c r="AC1699">
        <v>4.7500000000013601E-2</v>
      </c>
      <c r="AD1699">
        <v>-8.4407999999999997E-2</v>
      </c>
      <c r="AE1699">
        <v>-0.14650000000000299</v>
      </c>
      <c r="AF1699">
        <v>-3.5810935088779298E-2</v>
      </c>
      <c r="AG1699">
        <v>-8.4407999999999997E-2</v>
      </c>
      <c r="AH1699">
        <v>0.11288869279685999</v>
      </c>
      <c r="AI1699">
        <v>125.47782118320301</v>
      </c>
      <c r="AJ1699">
        <v>107.60024548335799</v>
      </c>
      <c r="AK1699">
        <v>0.145433801082543</v>
      </c>
      <c r="AL1699">
        <v>81.481207043273898</v>
      </c>
      <c r="AM1699">
        <v>93.8530916215323</v>
      </c>
      <c r="AN1699">
        <v>1.0000000043310799</v>
      </c>
    </row>
    <row r="1700" spans="1:40" x14ac:dyDescent="0.3">
      <c r="A1700" t="str">
        <f>"20200111150348842"</f>
        <v>20200111150348842</v>
      </c>
      <c r="B1700" t="str">
        <f>"1578726228830404"</f>
        <v>1578726228830404</v>
      </c>
      <c r="C1700" t="s">
        <v>40</v>
      </c>
      <c r="D1700">
        <v>4.692761</v>
      </c>
      <c r="E1700">
        <v>0.50982709999999998</v>
      </c>
      <c r="F1700" t="s">
        <v>71</v>
      </c>
      <c r="G1700">
        <v>-414.4821</v>
      </c>
      <c r="H1700">
        <v>11.999169999999999</v>
      </c>
      <c r="I1700">
        <v>0.53354259999999998</v>
      </c>
      <c r="J1700">
        <v>-417.38409999999999</v>
      </c>
      <c r="K1700">
        <v>1.102374</v>
      </c>
      <c r="L1700">
        <v>107.41679999999999</v>
      </c>
      <c r="M1700">
        <v>3.2864510000000001E-3</v>
      </c>
      <c r="N1700">
        <v>0</v>
      </c>
      <c r="O1700">
        <v>-0.99989669999999997</v>
      </c>
      <c r="P1700">
        <v>7.2826790000000002E-2</v>
      </c>
      <c r="Q1700">
        <v>0.13272679999999901</v>
      </c>
      <c r="R1700">
        <v>-0.98847370000000001</v>
      </c>
      <c r="S1700">
        <v>8.0902100000000005E-2</v>
      </c>
      <c r="T1700">
        <v>0.303975299999999</v>
      </c>
      <c r="U1700">
        <v>-2.9884490000000001</v>
      </c>
      <c r="V1700">
        <v>-6.878563E-2</v>
      </c>
      <c r="W1700">
        <v>0.14693539999999999</v>
      </c>
      <c r="X1700">
        <v>0.9867515</v>
      </c>
      <c r="Y1700">
        <v>-2.3637149999999999E-2</v>
      </c>
      <c r="Z1700">
        <v>-0.1011613</v>
      </c>
      <c r="AA1700">
        <v>0.99458919999999995</v>
      </c>
      <c r="AB1700">
        <v>25</v>
      </c>
      <c r="AC1700">
        <v>2.9019999999999802</v>
      </c>
      <c r="AD1700">
        <v>10.896796</v>
      </c>
      <c r="AE1700">
        <v>-106.88325740000001</v>
      </c>
      <c r="AF1700">
        <v>-2.52446366600299</v>
      </c>
      <c r="AG1700">
        <v>10.896796</v>
      </c>
      <c r="AH1700">
        <v>105.793422693331</v>
      </c>
      <c r="AI1700">
        <v>84.120894874743797</v>
      </c>
      <c r="AJ1700">
        <v>91.366943862750105</v>
      </c>
      <c r="AK1700">
        <v>106.383087777317</v>
      </c>
      <c r="AL1700">
        <v>81.550629964608802</v>
      </c>
      <c r="AM1700">
        <v>93.987590637894002</v>
      </c>
      <c r="AN1700">
        <v>0.99999999870995304</v>
      </c>
    </row>
    <row r="1701" spans="1:40" x14ac:dyDescent="0.3">
      <c r="A1701" t="str">
        <f>"20200111150348865"</f>
        <v>20200111150348865</v>
      </c>
      <c r="B1701" t="str">
        <f>"1578726228849923"</f>
        <v>1578726228849923</v>
      </c>
      <c r="C1701" t="s">
        <v>40</v>
      </c>
      <c r="D1701">
        <v>5.2021050000000004</v>
      </c>
      <c r="E1701">
        <v>0.51357739999999996</v>
      </c>
      <c r="F1701" t="s">
        <v>41</v>
      </c>
      <c r="G1701">
        <v>-416.53789999999998</v>
      </c>
      <c r="H1701" s="1">
        <v>-1.0242220000000001E-6</v>
      </c>
      <c r="I1701">
        <v>89.950879999999998</v>
      </c>
      <c r="J1701">
        <v>-417.38679999999999</v>
      </c>
      <c r="K1701">
        <v>1.102393</v>
      </c>
      <c r="L1701">
        <v>107.161</v>
      </c>
      <c r="M1701">
        <v>1.146255E-4</v>
      </c>
      <c r="N1701">
        <v>0</v>
      </c>
      <c r="O1701">
        <v>-0.99990239999999997</v>
      </c>
      <c r="P1701">
        <v>7.3269819999999999E-2</v>
      </c>
      <c r="Q1701">
        <v>0.1310183</v>
      </c>
      <c r="R1701">
        <v>-0.98866920000000003</v>
      </c>
      <c r="S1701">
        <v>0.14776610000000001</v>
      </c>
      <c r="T1701">
        <v>-0.1924999</v>
      </c>
      <c r="U1701">
        <v>-3.0499420000000002</v>
      </c>
      <c r="V1701">
        <v>-7.2383799999999998E-2</v>
      </c>
      <c r="W1701">
        <v>0.1452292</v>
      </c>
      <c r="X1701">
        <v>0.98674669999999998</v>
      </c>
      <c r="Y1701">
        <v>-4.8181679999999998E-2</v>
      </c>
      <c r="Z1701">
        <v>6.2917239999999999E-2</v>
      </c>
      <c r="AA1701">
        <v>0.99685500000000005</v>
      </c>
      <c r="AB1701">
        <v>25</v>
      </c>
      <c r="AC1701">
        <v>0.84890000000001398</v>
      </c>
      <c r="AD1701">
        <v>-1.1023940242219901</v>
      </c>
      <c r="AE1701">
        <v>-17.21012</v>
      </c>
      <c r="AF1701">
        <v>-0.84347467151353495</v>
      </c>
      <c r="AG1701">
        <v>-1.1023940242219901</v>
      </c>
      <c r="AH1701">
        <v>17.140061509316102</v>
      </c>
      <c r="AI1701">
        <v>93.675577198905202</v>
      </c>
      <c r="AJ1701">
        <v>92.817293500024505</v>
      </c>
      <c r="AK1701">
        <v>17.196174884236999</v>
      </c>
      <c r="AL1701">
        <v>81.649448061982994</v>
      </c>
      <c r="AM1701">
        <v>94.195475067916504</v>
      </c>
      <c r="AN1701">
        <v>0.99999999249798499</v>
      </c>
    </row>
    <row r="1702" spans="1:40" x14ac:dyDescent="0.3">
      <c r="A1702" t="str">
        <f>"20200111150348887"</f>
        <v>20200111150348887</v>
      </c>
      <c r="B1702" t="str">
        <f>"1578726228880181"</f>
        <v>1578726228880181</v>
      </c>
      <c r="C1702" t="s">
        <v>40</v>
      </c>
      <c r="D1702">
        <v>5.195786</v>
      </c>
      <c r="E1702">
        <v>0.51349140000000004</v>
      </c>
      <c r="F1702" t="s">
        <v>41</v>
      </c>
      <c r="G1702">
        <v>-416.88690000000003</v>
      </c>
      <c r="H1702" s="1">
        <v>-2.6294639999999998E-6</v>
      </c>
      <c r="I1702">
        <v>94.474900000000005</v>
      </c>
      <c r="J1702">
        <v>-417.39010000000002</v>
      </c>
      <c r="K1702">
        <v>1.1024449999999999</v>
      </c>
      <c r="L1702">
        <v>106.91500000000001</v>
      </c>
      <c r="M1702">
        <v>-2.8590899999999999E-3</v>
      </c>
      <c r="N1702">
        <v>0</v>
      </c>
      <c r="O1702">
        <v>-0.99989819999999996</v>
      </c>
      <c r="P1702">
        <v>7.3438680000000006E-2</v>
      </c>
      <c r="Q1702">
        <v>0.12938369999999999</v>
      </c>
      <c r="R1702">
        <v>-0.98887159999999996</v>
      </c>
      <c r="S1702">
        <v>0.1206055</v>
      </c>
      <c r="T1702">
        <v>-0.26596710000000001</v>
      </c>
      <c r="U1702">
        <v>-3.0606840000000002</v>
      </c>
      <c r="V1702">
        <v>-7.5522629999999993E-2</v>
      </c>
      <c r="W1702">
        <v>0.1435891</v>
      </c>
      <c r="X1702">
        <v>0.9867515</v>
      </c>
      <c r="Y1702">
        <v>-4.2083589999999997E-2</v>
      </c>
      <c r="Z1702">
        <v>8.6499489999999998E-2</v>
      </c>
      <c r="AA1702">
        <v>0.99536259999999999</v>
      </c>
      <c r="AB1702">
        <v>25</v>
      </c>
      <c r="AC1702">
        <v>0.50319999999999199</v>
      </c>
      <c r="AD1702">
        <v>-1.102447629464</v>
      </c>
      <c r="AE1702">
        <v>-12.440099999999999</v>
      </c>
      <c r="AF1702">
        <v>-0.53457729164899703</v>
      </c>
      <c r="AG1702">
        <v>-1.102447629464</v>
      </c>
      <c r="AH1702">
        <v>12.341840892132799</v>
      </c>
      <c r="AI1702">
        <v>95.099700461911794</v>
      </c>
      <c r="AJ1702">
        <v>92.480172110377097</v>
      </c>
      <c r="AK1702">
        <v>12.4025078215327</v>
      </c>
      <c r="AL1702">
        <v>81.744414457996498</v>
      </c>
      <c r="AM1702">
        <v>94.376692916316898</v>
      </c>
      <c r="AN1702">
        <v>1.00000001001658</v>
      </c>
    </row>
    <row r="1703" spans="1:40" x14ac:dyDescent="0.3">
      <c r="A1703" t="str">
        <f>"20200111150348910"</f>
        <v>20200111150348910</v>
      </c>
      <c r="B1703" t="str">
        <f>"1578726228899699"</f>
        <v>1578726228899699</v>
      </c>
      <c r="C1703" t="s">
        <v>40</v>
      </c>
      <c r="D1703">
        <v>5.2657059999999998</v>
      </c>
      <c r="E1703">
        <v>0.51542500000000002</v>
      </c>
      <c r="F1703" t="s">
        <v>42</v>
      </c>
      <c r="G1703">
        <v>-417.3603</v>
      </c>
      <c r="H1703">
        <v>1.0236289999999999</v>
      </c>
      <c r="I1703">
        <v>106.1705</v>
      </c>
      <c r="J1703">
        <v>-417.39420000000001</v>
      </c>
      <c r="K1703">
        <v>1.102533</v>
      </c>
      <c r="L1703">
        <v>106.6651</v>
      </c>
      <c r="M1703">
        <v>-5.7631790000000002E-3</v>
      </c>
      <c r="N1703">
        <v>0</v>
      </c>
      <c r="O1703">
        <v>-0.99988580000000005</v>
      </c>
      <c r="P1703">
        <v>7.3524320000000004E-2</v>
      </c>
      <c r="Q1703">
        <v>0.1285599</v>
      </c>
      <c r="R1703">
        <v>-0.98897270000000004</v>
      </c>
      <c r="S1703">
        <v>0.1233826</v>
      </c>
      <c r="T1703">
        <v>-0.32469019999999998</v>
      </c>
      <c r="U1703">
        <v>-3.0670929999999998</v>
      </c>
      <c r="V1703">
        <v>-7.8514529999999999E-2</v>
      </c>
      <c r="W1703">
        <v>0.14275089999999999</v>
      </c>
      <c r="X1703">
        <v>0.98663959999999995</v>
      </c>
      <c r="Y1703">
        <v>-4.5730809999999997E-2</v>
      </c>
      <c r="Z1703">
        <v>0.1051745</v>
      </c>
      <c r="AA1703">
        <v>0.9934018</v>
      </c>
      <c r="AB1703">
        <v>25</v>
      </c>
      <c r="AC1703">
        <v>3.3900000000016903E-2</v>
      </c>
      <c r="AD1703">
        <v>-7.8903999999999794E-2</v>
      </c>
      <c r="AE1703">
        <v>-0.49459999999999099</v>
      </c>
      <c r="AF1703">
        <v>-3.5842258908174197E-2</v>
      </c>
      <c r="AG1703">
        <v>-7.8903999999999794E-2</v>
      </c>
      <c r="AH1703">
        <v>0.48218217929592799</v>
      </c>
      <c r="AI1703">
        <v>99.268352610017999</v>
      </c>
      <c r="AJ1703">
        <v>94.251173854607202</v>
      </c>
      <c r="AK1703">
        <v>0.48990832078074598</v>
      </c>
      <c r="AL1703">
        <v>81.792939811505903</v>
      </c>
      <c r="AM1703">
        <v>94.549879464736804</v>
      </c>
      <c r="AN1703">
        <v>1.0000000255800401</v>
      </c>
    </row>
    <row r="1704" spans="1:40" x14ac:dyDescent="0.3">
      <c r="A1704" t="str">
        <f>"20200111150348931"</f>
        <v>20200111150348931</v>
      </c>
      <c r="B1704" t="str">
        <f>"1578726228920195"</f>
        <v>1578726228920195</v>
      </c>
      <c r="C1704" t="s">
        <v>40</v>
      </c>
      <c r="D1704">
        <v>5.1894489999999998</v>
      </c>
      <c r="E1704">
        <v>0.51698650000000002</v>
      </c>
      <c r="F1704" t="s">
        <v>42</v>
      </c>
      <c r="G1704">
        <v>-417.36180000000002</v>
      </c>
      <c r="H1704">
        <v>0.99910469999999896</v>
      </c>
      <c r="I1704">
        <v>105.7409</v>
      </c>
      <c r="J1704">
        <v>-417.39870000000002</v>
      </c>
      <c r="K1704">
        <v>1.1026359999999999</v>
      </c>
      <c r="L1704">
        <v>106.42449999999999</v>
      </c>
      <c r="M1704">
        <v>-8.4170540000000002E-3</v>
      </c>
      <c r="N1704">
        <v>0</v>
      </c>
      <c r="O1704">
        <v>-0.99986730000000001</v>
      </c>
      <c r="P1704">
        <v>7.2784130000000002E-2</v>
      </c>
      <c r="Q1704">
        <v>0.1285628</v>
      </c>
      <c r="R1704">
        <v>-0.9890272</v>
      </c>
      <c r="S1704">
        <v>0.1077576</v>
      </c>
      <c r="T1704">
        <v>-0.3435954</v>
      </c>
      <c r="U1704">
        <v>-3.0701139999999998</v>
      </c>
      <c r="V1704">
        <v>-8.0434140000000001E-2</v>
      </c>
      <c r="W1704">
        <v>0.14272969999999999</v>
      </c>
      <c r="X1704">
        <v>0.98648800000000003</v>
      </c>
      <c r="Y1704">
        <v>-4.327143E-2</v>
      </c>
      <c r="Z1704">
        <v>0.11113000000000001</v>
      </c>
      <c r="AA1704">
        <v>0.99286339999999995</v>
      </c>
      <c r="AB1704">
        <v>25</v>
      </c>
      <c r="AC1704">
        <v>3.6900000000002799E-2</v>
      </c>
      <c r="AD1704">
        <v>-0.10353130000000001</v>
      </c>
      <c r="AE1704">
        <v>-0.68359999999999799</v>
      </c>
      <c r="AF1704">
        <v>-4.1699462914595802E-2</v>
      </c>
      <c r="AG1704">
        <v>-0.10353130000000001</v>
      </c>
      <c r="AH1704">
        <v>0.66798794196260303</v>
      </c>
      <c r="AI1704">
        <v>98.7933122480826</v>
      </c>
      <c r="AJ1704">
        <v>93.572080860414999</v>
      </c>
      <c r="AK1704">
        <v>0.67724845211671703</v>
      </c>
      <c r="AL1704">
        <v>81.7941668054617</v>
      </c>
      <c r="AM1704">
        <v>94.661348776099501</v>
      </c>
      <c r="AN1704">
        <v>0.99999999614181401</v>
      </c>
    </row>
    <row r="1705" spans="1:40" x14ac:dyDescent="0.3">
      <c r="A1705" t="str">
        <f>"20200111150348954"</f>
        <v>20200111150348954</v>
      </c>
      <c r="B1705" t="str">
        <f>"1578726228949870"</f>
        <v>1578726228949870</v>
      </c>
      <c r="C1705" t="s">
        <v>40</v>
      </c>
      <c r="D1705">
        <v>5.093432</v>
      </c>
      <c r="E1705">
        <v>0.51713480000000001</v>
      </c>
      <c r="F1705" t="s">
        <v>42</v>
      </c>
      <c r="G1705">
        <v>-417.3716</v>
      </c>
      <c r="H1705">
        <v>0.99933729999999998</v>
      </c>
      <c r="I1705">
        <v>105.51909999999999</v>
      </c>
      <c r="J1705">
        <v>-417.40410000000003</v>
      </c>
      <c r="K1705">
        <v>1.1027549999999999</v>
      </c>
      <c r="L1705">
        <v>106.1688</v>
      </c>
      <c r="M1705">
        <v>-1.110937E-2</v>
      </c>
      <c r="N1705">
        <v>0</v>
      </c>
      <c r="O1705">
        <v>-0.99984099999999998</v>
      </c>
      <c r="P1705">
        <v>7.1033150000000003E-2</v>
      </c>
      <c r="Q1705">
        <v>0.12921270000000001</v>
      </c>
      <c r="R1705">
        <v>-0.98906950000000005</v>
      </c>
      <c r="S1705">
        <v>9.3292239999999999E-2</v>
      </c>
      <c r="T1705">
        <v>-0.35027999999999998</v>
      </c>
      <c r="U1705">
        <v>-3.0719759999999998</v>
      </c>
      <c r="V1705">
        <v>-8.1381640000000005E-2</v>
      </c>
      <c r="W1705">
        <v>0.14334839999999999</v>
      </c>
      <c r="X1705">
        <v>0.98632059999999999</v>
      </c>
      <c r="Y1705">
        <v>-4.1263090000000002E-2</v>
      </c>
      <c r="Z1705">
        <v>0.11320570000000001</v>
      </c>
      <c r="AA1705">
        <v>0.99271430000000005</v>
      </c>
      <c r="AB1705">
        <v>25</v>
      </c>
      <c r="AC1705">
        <v>3.2500000000027202E-2</v>
      </c>
      <c r="AD1705">
        <v>-0.103417699999999</v>
      </c>
      <c r="AE1705">
        <v>-0.64970000000000905</v>
      </c>
      <c r="AF1705">
        <v>-3.8737394526823898E-2</v>
      </c>
      <c r="AG1705">
        <v>-0.103417699999999</v>
      </c>
      <c r="AH1705">
        <v>0.63329279532855698</v>
      </c>
      <c r="AI1705">
        <v>99.257622539195395</v>
      </c>
      <c r="AJ1705">
        <v>93.500319786859507</v>
      </c>
      <c r="AK1705">
        <v>0.64284957106859397</v>
      </c>
      <c r="AL1705">
        <v>81.758349884758104</v>
      </c>
      <c r="AM1705">
        <v>94.716809202420905</v>
      </c>
      <c r="AN1705">
        <v>1.0000000305479999</v>
      </c>
    </row>
    <row r="1706" spans="1:40" x14ac:dyDescent="0.3">
      <c r="A1706" t="str">
        <f>"20200111150348976"</f>
        <v>20200111150348976</v>
      </c>
      <c r="B1706" t="str">
        <f>"1578726228970344"</f>
        <v>1578726228970344</v>
      </c>
      <c r="C1706" t="s">
        <v>40</v>
      </c>
      <c r="D1706">
        <v>5.2408739999999998</v>
      </c>
      <c r="E1706">
        <v>0.53180939999999999</v>
      </c>
      <c r="F1706" t="s">
        <v>42</v>
      </c>
      <c r="G1706">
        <v>-417.37939999999998</v>
      </c>
      <c r="H1706">
        <v>0.99648919999999996</v>
      </c>
      <c r="I1706">
        <v>105.2991</v>
      </c>
      <c r="J1706">
        <v>-417.40969999999999</v>
      </c>
      <c r="K1706">
        <v>1.10286</v>
      </c>
      <c r="L1706">
        <v>105.9265</v>
      </c>
      <c r="M1706">
        <v>-1.3538039999999999E-2</v>
      </c>
      <c r="N1706">
        <v>0</v>
      </c>
      <c r="O1706">
        <v>-0.99981149999999996</v>
      </c>
      <c r="P1706">
        <v>7.0435750000000005E-2</v>
      </c>
      <c r="Q1706">
        <v>0.13019149999999999</v>
      </c>
      <c r="R1706">
        <v>-0.98898439999999999</v>
      </c>
      <c r="S1706">
        <v>8.7799070000000007E-2</v>
      </c>
      <c r="T1706">
        <v>-0.37576419999999999</v>
      </c>
      <c r="U1706">
        <v>-3.0759430000000001</v>
      </c>
      <c r="V1706">
        <v>-8.3213960000000003E-2</v>
      </c>
      <c r="W1706">
        <v>0.1443007</v>
      </c>
      <c r="X1706">
        <v>0.98602880000000004</v>
      </c>
      <c r="Y1706">
        <v>-4.1853109999999999E-2</v>
      </c>
      <c r="Z1706">
        <v>0.1211666</v>
      </c>
      <c r="AA1706">
        <v>0.99174949999999995</v>
      </c>
      <c r="AB1706">
        <v>25</v>
      </c>
      <c r="AC1706">
        <v>3.0300000000010999E-2</v>
      </c>
      <c r="AD1706">
        <v>-0.1063708</v>
      </c>
      <c r="AE1706">
        <v>-0.62740000000000795</v>
      </c>
      <c r="AF1706">
        <v>-3.7710365705335397E-2</v>
      </c>
      <c r="AG1706">
        <v>-0.1063708</v>
      </c>
      <c r="AH1706">
        <v>0.60945450590862205</v>
      </c>
      <c r="AI1706">
        <v>99.881836308716998</v>
      </c>
      <c r="AJ1706">
        <v>93.540696945953499</v>
      </c>
      <c r="AK1706">
        <v>0.61981579001070397</v>
      </c>
      <c r="AL1706">
        <v>81.703213827406501</v>
      </c>
      <c r="AM1706">
        <v>94.823933905095402</v>
      </c>
      <c r="AN1706">
        <v>1.0000000247944001</v>
      </c>
    </row>
    <row r="1707" spans="1:40" x14ac:dyDescent="0.3">
      <c r="A1707" t="str">
        <f>"20200111150348999"</f>
        <v>20200111150348999</v>
      </c>
      <c r="B1707" t="str">
        <f>"1578726228989863"</f>
        <v>1578726228989863</v>
      </c>
      <c r="C1707" t="s">
        <v>40</v>
      </c>
      <c r="D1707">
        <v>5.2265889999999997</v>
      </c>
      <c r="E1707">
        <v>0.54467949999999998</v>
      </c>
      <c r="F1707" t="s">
        <v>42</v>
      </c>
      <c r="G1707">
        <v>-417.41640000000001</v>
      </c>
      <c r="H1707">
        <v>0.91711690000000001</v>
      </c>
      <c r="I1707">
        <v>105.1161</v>
      </c>
      <c r="J1707">
        <v>-417.416</v>
      </c>
      <c r="K1707">
        <v>1.1029610000000001</v>
      </c>
      <c r="L1707">
        <v>105.6705</v>
      </c>
      <c r="M1707">
        <v>-1.5968639999999999E-2</v>
      </c>
      <c r="N1707">
        <v>0</v>
      </c>
      <c r="O1707">
        <v>-0.99977559999999999</v>
      </c>
      <c r="P1707">
        <v>7.0456630000000006E-2</v>
      </c>
      <c r="Q1707">
        <v>0.13063350000000001</v>
      </c>
      <c r="R1707">
        <v>-0.98892400000000003</v>
      </c>
      <c r="S1707">
        <v>-2.523804E-2</v>
      </c>
      <c r="T1707">
        <v>-0.71722549999999996</v>
      </c>
      <c r="U1707">
        <v>-3.129623</v>
      </c>
      <c r="V1707">
        <v>-8.5669789999999996E-2</v>
      </c>
      <c r="W1707">
        <v>0.14471819999999999</v>
      </c>
      <c r="X1707">
        <v>0.9857572</v>
      </c>
      <c r="Y1707">
        <v>-8.1104119999999991E-3</v>
      </c>
      <c r="Z1707">
        <v>0.2233328</v>
      </c>
      <c r="AA1707">
        <v>0.97470849999999998</v>
      </c>
      <c r="AB1707">
        <v>25</v>
      </c>
      <c r="AC1707">
        <v>-4.0000000001327803E-4</v>
      </c>
      <c r="AD1707">
        <v>-0.18584410000000001</v>
      </c>
      <c r="AE1707">
        <v>-0.554400000000001</v>
      </c>
      <c r="AF1707">
        <v>-7.5999189151076604E-3</v>
      </c>
      <c r="AG1707">
        <v>-0.18584410000000001</v>
      </c>
      <c r="AH1707">
        <v>0.498337441071247</v>
      </c>
      <c r="AI1707">
        <v>110.44972438485399</v>
      </c>
      <c r="AJ1707">
        <v>90.8737242858993</v>
      </c>
      <c r="AK1707">
        <v>0.53191728064217403</v>
      </c>
      <c r="AL1707">
        <v>81.679038577008399</v>
      </c>
      <c r="AM1707">
        <v>94.966958602450106</v>
      </c>
      <c r="AN1707">
        <v>0.99999996384086098</v>
      </c>
    </row>
    <row r="1708" spans="1:40" x14ac:dyDescent="0.3">
      <c r="A1708" t="str">
        <f>"20200111150349021"</f>
        <v>20200111150349021</v>
      </c>
      <c r="B1708" t="str">
        <f>"1578726229010359"</f>
        <v>1578726229010359</v>
      </c>
      <c r="C1708" t="s">
        <v>40</v>
      </c>
      <c r="D1708">
        <v>5.1914629999999997</v>
      </c>
      <c r="E1708">
        <v>0.54947979999999996</v>
      </c>
      <c r="F1708" t="s">
        <v>42</v>
      </c>
      <c r="G1708">
        <v>-417.44779999999997</v>
      </c>
      <c r="H1708">
        <v>0.91088340000000001</v>
      </c>
      <c r="I1708">
        <v>104.8999</v>
      </c>
      <c r="J1708">
        <v>-417.42250000000001</v>
      </c>
      <c r="K1708">
        <v>1.103046</v>
      </c>
      <c r="L1708">
        <v>105.4276</v>
      </c>
      <c r="M1708">
        <v>-1.815013E-2</v>
      </c>
      <c r="N1708">
        <v>0</v>
      </c>
      <c r="O1708">
        <v>-0.99973849999999997</v>
      </c>
      <c r="P1708">
        <v>7.0481009999999997E-2</v>
      </c>
      <c r="Q1708">
        <v>0.13028779999999901</v>
      </c>
      <c r="R1708">
        <v>-0.98896790000000001</v>
      </c>
      <c r="S1708">
        <v>-0.1278687</v>
      </c>
      <c r="T1708">
        <v>-0.7840104</v>
      </c>
      <c r="U1708">
        <v>-3.146271</v>
      </c>
      <c r="V1708">
        <v>-8.7883569999999994E-2</v>
      </c>
      <c r="W1708">
        <v>0.14435020000000001</v>
      </c>
      <c r="X1708">
        <v>0.9856163</v>
      </c>
      <c r="Y1708">
        <v>2.1260959999999999E-2</v>
      </c>
      <c r="Z1708">
        <v>0.2416142</v>
      </c>
      <c r="AA1708">
        <v>0.97013939999999999</v>
      </c>
      <c r="AB1708">
        <v>25</v>
      </c>
      <c r="AC1708">
        <v>-2.52999999999588E-2</v>
      </c>
      <c r="AD1708">
        <v>-0.19216259999999899</v>
      </c>
      <c r="AE1708">
        <v>-0.52769999999999495</v>
      </c>
      <c r="AF1708">
        <v>1.3880644185269299E-2</v>
      </c>
      <c r="AG1708">
        <v>-0.19216259999999899</v>
      </c>
      <c r="AH1708">
        <v>0.46637054332636202</v>
      </c>
      <c r="AI1708">
        <v>112.38461125728401</v>
      </c>
      <c r="AJ1708">
        <v>88.295201901050106</v>
      </c>
      <c r="AK1708">
        <v>0.50459946571937997</v>
      </c>
      <c r="AL1708">
        <v>81.700347441867393</v>
      </c>
      <c r="AM1708">
        <v>95.095366475677693</v>
      </c>
      <c r="AN1708">
        <v>0.99999999647083704</v>
      </c>
    </row>
    <row r="1709" spans="1:40" x14ac:dyDescent="0.3">
      <c r="A1709" t="str">
        <f>"20200111150349043"</f>
        <v>20200111150349043</v>
      </c>
      <c r="B1709" t="str">
        <f>"1578726229040616"</f>
        <v>1578726229040616</v>
      </c>
      <c r="C1709" t="s">
        <v>40</v>
      </c>
      <c r="D1709">
        <v>5.1942159999999999</v>
      </c>
      <c r="E1709">
        <v>0.55415819999999905</v>
      </c>
      <c r="F1709" t="s">
        <v>42</v>
      </c>
      <c r="G1709">
        <v>-417.46179999999998</v>
      </c>
      <c r="H1709">
        <v>0.90918929999999998</v>
      </c>
      <c r="I1709">
        <v>104.6808</v>
      </c>
      <c r="J1709">
        <v>-417.42939999999999</v>
      </c>
      <c r="K1709">
        <v>1.10314</v>
      </c>
      <c r="L1709">
        <v>105.1875</v>
      </c>
      <c r="M1709">
        <v>-2.0197119999999999E-2</v>
      </c>
      <c r="N1709">
        <v>0</v>
      </c>
      <c r="O1709">
        <v>-0.99969929999999996</v>
      </c>
      <c r="P1709">
        <v>7.115544E-2</v>
      </c>
      <c r="Q1709">
        <v>0.12890969999999999</v>
      </c>
      <c r="R1709">
        <v>-0.98910050000000005</v>
      </c>
      <c r="S1709">
        <v>-0.16439819999999999</v>
      </c>
      <c r="T1709">
        <v>-0.81827879999999997</v>
      </c>
      <c r="U1709">
        <v>-3.1529850000000001</v>
      </c>
      <c r="V1709">
        <v>-9.0618740000000003E-2</v>
      </c>
      <c r="W1709">
        <v>0.14295289999999999</v>
      </c>
      <c r="X1709">
        <v>0.98557229999999996</v>
      </c>
      <c r="Y1709">
        <v>3.022157E-2</v>
      </c>
      <c r="Z1709">
        <v>0.25091229999999998</v>
      </c>
      <c r="AA1709">
        <v>0.96753789999999995</v>
      </c>
      <c r="AB1709">
        <v>25</v>
      </c>
      <c r="AC1709">
        <v>-3.2399999999995502E-2</v>
      </c>
      <c r="AD1709">
        <v>-0.1939507</v>
      </c>
      <c r="AE1709">
        <v>-0.50669999999999504</v>
      </c>
      <c r="AF1709">
        <v>1.9336915661167499E-2</v>
      </c>
      <c r="AG1709">
        <v>-0.1939507</v>
      </c>
      <c r="AH1709">
        <v>0.44265914470275902</v>
      </c>
      <c r="AI1709">
        <v>113.640516309229</v>
      </c>
      <c r="AJ1709">
        <v>87.498708107499098</v>
      </c>
      <c r="AK1709">
        <v>0.483671281684943</v>
      </c>
      <c r="AL1709">
        <v>81.781246114271994</v>
      </c>
      <c r="AM1709">
        <v>95.253307105167096</v>
      </c>
      <c r="AN1709">
        <v>1.00000002309244</v>
      </c>
    </row>
    <row r="1710" spans="1:40" x14ac:dyDescent="0.3">
      <c r="A1710" t="str">
        <f>"20200111150349065"</f>
        <v>20200111150349065</v>
      </c>
      <c r="B1710" t="str">
        <f>"1578726229060136"</f>
        <v>1578726229060136</v>
      </c>
      <c r="C1710" t="s">
        <v>40</v>
      </c>
      <c r="D1710">
        <v>5.1809229999999999</v>
      </c>
      <c r="E1710">
        <v>0.55655699999999997</v>
      </c>
      <c r="F1710" t="s">
        <v>42</v>
      </c>
      <c r="G1710">
        <v>-417.47489999999999</v>
      </c>
      <c r="H1710">
        <v>0.90779160000000003</v>
      </c>
      <c r="I1710">
        <v>104.4618</v>
      </c>
      <c r="J1710">
        <v>-417.43669999999997</v>
      </c>
      <c r="K1710">
        <v>1.1032390000000001</v>
      </c>
      <c r="L1710">
        <v>104.9415</v>
      </c>
      <c r="M1710">
        <v>-2.2187430000000001E-2</v>
      </c>
      <c r="N1710">
        <v>0</v>
      </c>
      <c r="O1710">
        <v>-0.99965729999999997</v>
      </c>
      <c r="P1710">
        <v>7.1755559999999996E-2</v>
      </c>
      <c r="Q1710">
        <v>0.12845909999999999</v>
      </c>
      <c r="R1710">
        <v>-0.98911559999999998</v>
      </c>
      <c r="S1710">
        <v>-0.19784550000000001</v>
      </c>
      <c r="T1710">
        <v>-0.85007919999999904</v>
      </c>
      <c r="U1710">
        <v>-3.158112</v>
      </c>
      <c r="V1710">
        <v>-9.3218090000000003E-2</v>
      </c>
      <c r="W1710">
        <v>0.14247960000000001</v>
      </c>
      <c r="X1710">
        <v>0.98539840000000001</v>
      </c>
      <c r="Y1710">
        <v>3.8220560000000001E-2</v>
      </c>
      <c r="Z1710">
        <v>0.2594978</v>
      </c>
      <c r="AA1710">
        <v>0.96498709999999999</v>
      </c>
      <c r="AB1710">
        <v>25</v>
      </c>
      <c r="AC1710">
        <v>-3.8200000000017498E-2</v>
      </c>
      <c r="AD1710">
        <v>-0.19544739999999899</v>
      </c>
      <c r="AE1710">
        <v>-0.47970000000000801</v>
      </c>
      <c r="AF1710">
        <v>2.3645695781066199E-2</v>
      </c>
      <c r="AG1710">
        <v>-0.19544739999999899</v>
      </c>
      <c r="AH1710">
        <v>0.41240051254266702</v>
      </c>
      <c r="AI1710">
        <v>115.321128875857</v>
      </c>
      <c r="AJ1710">
        <v>86.718440402592705</v>
      </c>
      <c r="AK1710">
        <v>0.456982480890882</v>
      </c>
      <c r="AL1710">
        <v>81.808644705858001</v>
      </c>
      <c r="AM1710">
        <v>95.404063821229101</v>
      </c>
      <c r="AN1710">
        <v>1.00000002772098</v>
      </c>
    </row>
    <row r="1711" spans="1:40" x14ac:dyDescent="0.3">
      <c r="A1711" t="str">
        <f>"20200111150349088"</f>
        <v>20200111150349088</v>
      </c>
      <c r="B1711" t="str">
        <f>"1578726229079655"</f>
        <v>1578726229079655</v>
      </c>
      <c r="C1711" t="s">
        <v>40</v>
      </c>
      <c r="D1711">
        <v>5.2030390000000004</v>
      </c>
      <c r="E1711">
        <v>0.55835619999999997</v>
      </c>
      <c r="F1711" t="s">
        <v>42</v>
      </c>
      <c r="G1711">
        <v>-417.48469999999998</v>
      </c>
      <c r="H1711">
        <v>0.91222239999999999</v>
      </c>
      <c r="I1711">
        <v>104.2402</v>
      </c>
      <c r="J1711">
        <v>-417.44459999999998</v>
      </c>
      <c r="K1711">
        <v>1.1033329999999999</v>
      </c>
      <c r="L1711">
        <v>104.69240000000001</v>
      </c>
      <c r="M1711">
        <v>-2.4092510000000001E-2</v>
      </c>
      <c r="N1711">
        <v>0</v>
      </c>
      <c r="O1711">
        <v>-0.99961350000000004</v>
      </c>
      <c r="P1711">
        <v>7.2309139999999994E-2</v>
      </c>
      <c r="Q1711">
        <v>0.1281177</v>
      </c>
      <c r="R1711">
        <v>-0.98911959999999999</v>
      </c>
      <c r="S1711">
        <v>-0.2143555</v>
      </c>
      <c r="T1711">
        <v>-0.86051789999999995</v>
      </c>
      <c r="U1711">
        <v>-3.160339</v>
      </c>
      <c r="V1711">
        <v>-9.5685469999999995E-2</v>
      </c>
      <c r="W1711">
        <v>0.142114299999999</v>
      </c>
      <c r="X1711">
        <v>0.98521460000000005</v>
      </c>
      <c r="Y1711">
        <v>4.1243769999999999E-2</v>
      </c>
      <c r="Z1711">
        <v>0.26222010000000001</v>
      </c>
      <c r="AA1711">
        <v>0.96412629999999999</v>
      </c>
      <c r="AB1711">
        <v>25</v>
      </c>
      <c r="AC1711">
        <v>-4.0099999999995299E-2</v>
      </c>
      <c r="AD1711">
        <v>-0.19111059999999899</v>
      </c>
      <c r="AE1711">
        <v>-0.45220000000000399</v>
      </c>
      <c r="AF1711">
        <v>2.4798031465366799E-2</v>
      </c>
      <c r="AG1711">
        <v>-0.19111059999999899</v>
      </c>
      <c r="AH1711">
        <v>0.38483535576627298</v>
      </c>
      <c r="AI1711">
        <v>116.361898740358</v>
      </c>
      <c r="AJ1711">
        <v>86.313070341578893</v>
      </c>
      <c r="AK1711">
        <v>0.430391048750635</v>
      </c>
      <c r="AL1711">
        <v>81.829789765109894</v>
      </c>
      <c r="AM1711">
        <v>95.547251189031002</v>
      </c>
      <c r="AN1711">
        <v>0.99999999574338505</v>
      </c>
    </row>
    <row r="1712" spans="1:40" x14ac:dyDescent="0.3">
      <c r="A1712" t="str">
        <f>"20200111150349110"</f>
        <v>20200111150349110</v>
      </c>
      <c r="B1712" t="str">
        <f>"1578726229100151"</f>
        <v>1578726229100151</v>
      </c>
      <c r="C1712" t="s">
        <v>40</v>
      </c>
      <c r="D1712">
        <v>5.1739949999999997</v>
      </c>
      <c r="E1712">
        <v>0.55976380000000003</v>
      </c>
      <c r="F1712" t="s">
        <v>42</v>
      </c>
      <c r="G1712">
        <v>-417.49290000000002</v>
      </c>
      <c r="H1712">
        <v>0.91820900000000005</v>
      </c>
      <c r="I1712">
        <v>104.0181</v>
      </c>
      <c r="J1712">
        <v>-417.45249999999999</v>
      </c>
      <c r="K1712">
        <v>1.103423</v>
      </c>
      <c r="L1712">
        <v>104.452</v>
      </c>
      <c r="M1712">
        <v>-2.5804859999999999E-2</v>
      </c>
      <c r="N1712">
        <v>0</v>
      </c>
      <c r="O1712">
        <v>-0.99957059999999998</v>
      </c>
      <c r="P1712">
        <v>7.1808919999999998E-2</v>
      </c>
      <c r="Q1712">
        <v>0.12910430000000001</v>
      </c>
      <c r="R1712">
        <v>-0.98902789999999996</v>
      </c>
      <c r="S1712">
        <v>-0.22622680000000001</v>
      </c>
      <c r="T1712">
        <v>-0.86810739999999997</v>
      </c>
      <c r="U1712">
        <v>-3.1619869999999999</v>
      </c>
      <c r="V1712">
        <v>-9.6902269999999999E-2</v>
      </c>
      <c r="W1712">
        <v>0.14307139999999999</v>
      </c>
      <c r="X1712">
        <v>0.98495710000000003</v>
      </c>
      <c r="Y1712">
        <v>4.3062240000000002E-2</v>
      </c>
      <c r="Z1712">
        <v>0.26418530000000001</v>
      </c>
      <c r="AA1712">
        <v>0.96351019999999998</v>
      </c>
      <c r="AB1712">
        <v>25</v>
      </c>
      <c r="AC1712">
        <v>-4.0400000000033701E-2</v>
      </c>
      <c r="AD1712">
        <v>-0.18521399999999999</v>
      </c>
      <c r="AE1712">
        <v>-0.433900000000008</v>
      </c>
      <c r="AF1712">
        <v>2.4722759464453199E-2</v>
      </c>
      <c r="AG1712">
        <v>-0.18521399999999999</v>
      </c>
      <c r="AH1712">
        <v>0.36827249806267098</v>
      </c>
      <c r="AI1712">
        <v>116.647363089989</v>
      </c>
      <c r="AJ1712">
        <v>86.159399340875794</v>
      </c>
      <c r="AK1712">
        <v>0.41296497849195102</v>
      </c>
      <c r="AL1712">
        <v>81.7743857102531</v>
      </c>
      <c r="AM1712">
        <v>95.618804514209998</v>
      </c>
      <c r="AN1712">
        <v>0.99999998213476105</v>
      </c>
    </row>
    <row r="1713" spans="1:40" x14ac:dyDescent="0.3">
      <c r="A1713" t="str">
        <f>"20200111150349132"</f>
        <v>20200111150349132</v>
      </c>
      <c r="B1713" t="str">
        <f>"1578726229119672"</f>
        <v>1578726229119672</v>
      </c>
      <c r="C1713" t="s">
        <v>40</v>
      </c>
      <c r="D1713">
        <v>5.202496</v>
      </c>
      <c r="E1713">
        <v>0.56083139999999998</v>
      </c>
      <c r="F1713" t="s">
        <v>42</v>
      </c>
      <c r="G1713">
        <v>-417.51659999999998</v>
      </c>
      <c r="H1713">
        <v>0.870040699999999</v>
      </c>
      <c r="I1713">
        <v>103.60209999999999</v>
      </c>
      <c r="J1713">
        <v>-417.4606</v>
      </c>
      <c r="K1713">
        <v>1.103529</v>
      </c>
      <c r="L1713">
        <v>104.2119</v>
      </c>
      <c r="M1713">
        <v>-2.73698E-2</v>
      </c>
      <c r="N1713">
        <v>0</v>
      </c>
      <c r="O1713">
        <v>-0.99952920000000001</v>
      </c>
      <c r="P1713">
        <v>6.9651299999999999E-2</v>
      </c>
      <c r="Q1713">
        <v>0.13067889999999999</v>
      </c>
      <c r="R1713">
        <v>-0.98897539999999995</v>
      </c>
      <c r="S1713">
        <v>-0.23776249999999999</v>
      </c>
      <c r="T1713">
        <v>-0.86869609999999997</v>
      </c>
      <c r="U1713">
        <v>-3.1639400000000002</v>
      </c>
      <c r="V1713">
        <v>-9.6319680000000005E-2</v>
      </c>
      <c r="W1713">
        <v>0.1446112</v>
      </c>
      <c r="X1713">
        <v>0.98478940000000004</v>
      </c>
      <c r="Y1713">
        <v>4.4950829999999997E-2</v>
      </c>
      <c r="Z1713">
        <v>0.26414100000000001</v>
      </c>
      <c r="AA1713">
        <v>0.96343599999999996</v>
      </c>
      <c r="AB1713">
        <v>24</v>
      </c>
      <c r="AC1713">
        <v>-5.5999999999983098E-2</v>
      </c>
      <c r="AD1713">
        <v>-0.23348830000000001</v>
      </c>
      <c r="AE1713">
        <v>-0.609800000000007</v>
      </c>
      <c r="AF1713">
        <v>3.4300640582516799E-2</v>
      </c>
      <c r="AG1713">
        <v>-0.23348830000000001</v>
      </c>
      <c r="AH1713">
        <v>0.53353798396862895</v>
      </c>
      <c r="AI1713">
        <v>113.5919074464</v>
      </c>
      <c r="AJ1713">
        <v>86.321571963170996</v>
      </c>
      <c r="AK1713">
        <v>0.58340046324850403</v>
      </c>
      <c r="AL1713">
        <v>81.685234880936207</v>
      </c>
      <c r="AM1713">
        <v>95.5861828076156</v>
      </c>
      <c r="AN1713">
        <v>1.0000000211365501</v>
      </c>
    </row>
    <row r="1714" spans="1:40" x14ac:dyDescent="0.3">
      <c r="A1714" t="str">
        <f>"20200111150349154"</f>
        <v>20200111150349154</v>
      </c>
      <c r="B1714" t="str">
        <f>"1578726229149928"</f>
        <v>1578726229149928</v>
      </c>
      <c r="C1714" t="s">
        <v>40</v>
      </c>
      <c r="D1714">
        <v>5.1866459999999996</v>
      </c>
      <c r="E1714">
        <v>0.56275019999999998</v>
      </c>
      <c r="F1714" t="s">
        <v>42</v>
      </c>
      <c r="G1714">
        <v>-417.52670000000001</v>
      </c>
      <c r="H1714">
        <v>0.87564889999999995</v>
      </c>
      <c r="I1714">
        <v>103.3814</v>
      </c>
      <c r="J1714">
        <v>-417.4692</v>
      </c>
      <c r="K1714">
        <v>1.10364</v>
      </c>
      <c r="L1714">
        <v>103.965</v>
      </c>
      <c r="M1714">
        <v>-2.8846839999999999E-2</v>
      </c>
      <c r="N1714">
        <v>0</v>
      </c>
      <c r="O1714">
        <v>-0.99948760000000003</v>
      </c>
      <c r="P1714">
        <v>6.7405099999999996E-2</v>
      </c>
      <c r="Q1714">
        <v>0.13084760000000001</v>
      </c>
      <c r="R1714">
        <v>-0.9891086</v>
      </c>
      <c r="S1714">
        <v>-0.2494507</v>
      </c>
      <c r="T1714">
        <v>-0.8684096</v>
      </c>
      <c r="U1714">
        <v>-3.1657709999999999</v>
      </c>
      <c r="V1714">
        <v>-9.5572519999999994E-2</v>
      </c>
      <c r="W1714">
        <v>0.1447466</v>
      </c>
      <c r="X1714">
        <v>0.98484229999999995</v>
      </c>
      <c r="Y1714">
        <v>4.697523E-2</v>
      </c>
      <c r="Z1714">
        <v>0.26385550000000002</v>
      </c>
      <c r="AA1714">
        <v>0.96341759999999999</v>
      </c>
      <c r="AB1714">
        <v>24</v>
      </c>
      <c r="AC1714">
        <v>-5.7500000000004499E-2</v>
      </c>
      <c r="AD1714">
        <v>-0.2279911</v>
      </c>
      <c r="AE1714">
        <v>-0.583600000000004</v>
      </c>
      <c r="AF1714">
        <v>3.5303316051695198E-2</v>
      </c>
      <c r="AG1714">
        <v>-0.2279911</v>
      </c>
      <c r="AH1714">
        <v>0.50820107725734798</v>
      </c>
      <c r="AI1714">
        <v>114.110675660845</v>
      </c>
      <c r="AJ1714">
        <v>86.026205379481695</v>
      </c>
      <c r="AK1714">
        <v>0.558117013473864</v>
      </c>
      <c r="AL1714">
        <v>81.677394534905005</v>
      </c>
      <c r="AM1714">
        <v>95.542825345321404</v>
      </c>
      <c r="AN1714">
        <v>1.0000000203299999</v>
      </c>
    </row>
    <row r="1715" spans="1:40" x14ac:dyDescent="0.3">
      <c r="A1715" t="str">
        <f>"20200111150349177"</f>
        <v>20200111150349177</v>
      </c>
      <c r="B1715" t="str">
        <f>"1578726229170423"</f>
        <v>1578726229170423</v>
      </c>
      <c r="C1715" t="s">
        <v>40</v>
      </c>
      <c r="D1715">
        <v>5.2023699999999904</v>
      </c>
      <c r="E1715">
        <v>0.56386599999999998</v>
      </c>
      <c r="F1715" t="s">
        <v>42</v>
      </c>
      <c r="G1715">
        <v>-417.5378</v>
      </c>
      <c r="H1715">
        <v>0.88227919999999904</v>
      </c>
      <c r="I1715">
        <v>103.16070000000001</v>
      </c>
      <c r="J1715">
        <v>-417.47800000000001</v>
      </c>
      <c r="K1715">
        <v>1.1037629999999901</v>
      </c>
      <c r="L1715">
        <v>103.71769999999999</v>
      </c>
      <c r="M1715">
        <v>-3.015868E-2</v>
      </c>
      <c r="N1715">
        <v>0</v>
      </c>
      <c r="O1715">
        <v>-0.99944909999999998</v>
      </c>
      <c r="P1715">
        <v>6.4431680000000005E-2</v>
      </c>
      <c r="Q1715">
        <v>0.13186829999999999</v>
      </c>
      <c r="R1715">
        <v>-0.98917120000000003</v>
      </c>
      <c r="S1715">
        <v>-0.270080599999999</v>
      </c>
      <c r="T1715">
        <v>-0.87158359999999901</v>
      </c>
      <c r="U1715">
        <v>-3.1667480000000001</v>
      </c>
      <c r="V1715">
        <v>-9.3935249999999998E-2</v>
      </c>
      <c r="W1715">
        <v>0.14572969999999999</v>
      </c>
      <c r="X1715">
        <v>0.98485480000000003</v>
      </c>
      <c r="Y1715">
        <v>5.1858229999999998E-2</v>
      </c>
      <c r="Z1715">
        <v>0.26456469999999999</v>
      </c>
      <c r="AA1715">
        <v>0.96297259999999996</v>
      </c>
      <c r="AB1715">
        <v>24</v>
      </c>
      <c r="AC1715">
        <v>-5.97999999999956E-2</v>
      </c>
      <c r="AD1715">
        <v>-0.22148379999999901</v>
      </c>
      <c r="AE1715">
        <v>-0.55699999999998795</v>
      </c>
      <c r="AF1715">
        <v>3.7163622083728497E-2</v>
      </c>
      <c r="AG1715">
        <v>-0.22148379999999901</v>
      </c>
      <c r="AH1715">
        <v>0.48304397820489597</v>
      </c>
      <c r="AI1715">
        <v>114.568259205083</v>
      </c>
      <c r="AJ1715">
        <v>85.600540808091296</v>
      </c>
      <c r="AK1715">
        <v>0.53269850135778896</v>
      </c>
      <c r="AL1715">
        <v>81.620463029456005</v>
      </c>
      <c r="AM1715">
        <v>95.448377805461902</v>
      </c>
      <c r="AN1715">
        <v>0.99999997686884601</v>
      </c>
    </row>
    <row r="1716" spans="1:40" x14ac:dyDescent="0.3">
      <c r="A1716" t="str">
        <f>"20200111150349200"</f>
        <v>20200111150349200</v>
      </c>
      <c r="B1716" t="str">
        <f>"1578726229189943"</f>
        <v>1578726229189943</v>
      </c>
      <c r="C1716" t="s">
        <v>40</v>
      </c>
      <c r="D1716">
        <v>5.1875589999999896</v>
      </c>
      <c r="E1716">
        <v>0.56468929999999995</v>
      </c>
      <c r="F1716" t="s">
        <v>42</v>
      </c>
      <c r="G1716">
        <v>-417.54899999999998</v>
      </c>
      <c r="H1716">
        <v>0.89018889999999995</v>
      </c>
      <c r="I1716">
        <v>102.9397</v>
      </c>
      <c r="J1716">
        <v>-417.48680000000002</v>
      </c>
      <c r="K1716">
        <v>1.1039159999999999</v>
      </c>
      <c r="L1716">
        <v>103.4736</v>
      </c>
      <c r="M1716">
        <v>-3.1230170000000002E-2</v>
      </c>
      <c r="N1716">
        <v>0</v>
      </c>
      <c r="O1716">
        <v>-0.99941630000000004</v>
      </c>
      <c r="P1716">
        <v>6.0196609999999998E-2</v>
      </c>
      <c r="Q1716">
        <v>0.13478660000000001</v>
      </c>
      <c r="R1716">
        <v>-0.98904479999999995</v>
      </c>
      <c r="S1716">
        <v>-0.28836060000000002</v>
      </c>
      <c r="T1716">
        <v>-0.8694615</v>
      </c>
      <c r="U1716">
        <v>-3.1675420000000001</v>
      </c>
      <c r="V1716">
        <v>-9.0800779999999998E-2</v>
      </c>
      <c r="W1716">
        <v>0.1486016</v>
      </c>
      <c r="X1716">
        <v>0.98471960000000003</v>
      </c>
      <c r="Y1716">
        <v>5.6300370000000002E-2</v>
      </c>
      <c r="Z1716">
        <v>0.26379809999999998</v>
      </c>
      <c r="AA1716">
        <v>0.96293340000000005</v>
      </c>
      <c r="AB1716">
        <v>24</v>
      </c>
      <c r="AC1716">
        <v>-6.22000000000184E-2</v>
      </c>
      <c r="AD1716">
        <v>-0.213727099999999</v>
      </c>
      <c r="AE1716">
        <v>-0.53390000000000204</v>
      </c>
      <c r="AF1716">
        <v>3.9283383963051699E-2</v>
      </c>
      <c r="AG1716">
        <v>-0.213727099999999</v>
      </c>
      <c r="AH1716">
        <v>0.462464466394302</v>
      </c>
      <c r="AI1716">
        <v>114.72558964605599</v>
      </c>
      <c r="AJ1716">
        <v>85.144746958476503</v>
      </c>
      <c r="AK1716">
        <v>0.51097538121455999</v>
      </c>
      <c r="AL1716">
        <v>81.454103675167502</v>
      </c>
      <c r="AM1716">
        <v>95.268333476513206</v>
      </c>
      <c r="AN1716">
        <v>0.99999995389766305</v>
      </c>
    </row>
    <row r="1717" spans="1:40" x14ac:dyDescent="0.3">
      <c r="A1717" t="str">
        <f>"20200111150349222"</f>
        <v>20200111150349222</v>
      </c>
      <c r="B1717" t="str">
        <f>"1578726229210440"</f>
        <v>1578726229210440</v>
      </c>
      <c r="C1717" t="s">
        <v>40</v>
      </c>
      <c r="D1717">
        <v>5.2350110000000001</v>
      </c>
      <c r="E1717">
        <v>0.56489829999999996</v>
      </c>
      <c r="F1717" t="s">
        <v>42</v>
      </c>
      <c r="G1717">
        <v>-417.55970000000002</v>
      </c>
      <c r="H1717">
        <v>0.89852129999999997</v>
      </c>
      <c r="I1717">
        <v>102.7188</v>
      </c>
      <c r="J1717">
        <v>-417.49540000000002</v>
      </c>
      <c r="K1717">
        <v>1.1041099999999999</v>
      </c>
      <c r="L1717">
        <v>103.2333</v>
      </c>
      <c r="M1717">
        <v>-3.2005909999999999E-2</v>
      </c>
      <c r="N1717">
        <v>0</v>
      </c>
      <c r="O1717">
        <v>-0.9993919</v>
      </c>
      <c r="P1717">
        <v>5.5617060000000003E-2</v>
      </c>
      <c r="Q1717">
        <v>0.13765089999999999</v>
      </c>
      <c r="R1717">
        <v>-0.98891819999999997</v>
      </c>
      <c r="S1717">
        <v>-0.3058167</v>
      </c>
      <c r="T1717">
        <v>-0.86239290000000002</v>
      </c>
      <c r="U1717">
        <v>-3.1693730000000002</v>
      </c>
      <c r="V1717">
        <v>-8.7047959999999994E-2</v>
      </c>
      <c r="W1717">
        <v>0.15141279999999999</v>
      </c>
      <c r="X1717">
        <v>0.98463029999999996</v>
      </c>
      <c r="Y1717">
        <v>6.0790860000000002E-2</v>
      </c>
      <c r="Z1717">
        <v>0.26155509999999998</v>
      </c>
      <c r="AA1717">
        <v>0.96327220000000002</v>
      </c>
      <c r="AB1717">
        <v>24</v>
      </c>
      <c r="AC1717">
        <v>-6.4300000000002897E-2</v>
      </c>
      <c r="AD1717">
        <v>-0.20558870000000001</v>
      </c>
      <c r="AE1717">
        <v>-0.51449999999999796</v>
      </c>
      <c r="AF1717">
        <v>4.1304675478110599E-2</v>
      </c>
      <c r="AG1717">
        <v>-0.20558870000000001</v>
      </c>
      <c r="AH1717">
        <v>0.446152236332369</v>
      </c>
      <c r="AI1717">
        <v>114.647633109795</v>
      </c>
      <c r="AJ1717">
        <v>84.710646714633995</v>
      </c>
      <c r="AK1717">
        <v>0.49297526080769599</v>
      </c>
      <c r="AL1717">
        <v>81.291190787134695</v>
      </c>
      <c r="AM1717">
        <v>95.0521984542723</v>
      </c>
      <c r="AN1717">
        <v>1.0000000055110401</v>
      </c>
    </row>
    <row r="1718" spans="1:40" x14ac:dyDescent="0.3">
      <c r="A1718" t="str">
        <f>"20200111150349243"</f>
        <v>20200111150349243</v>
      </c>
      <c r="B1718" t="str">
        <f>"1578726229239720"</f>
        <v>1578726229239720</v>
      </c>
      <c r="C1718" t="s">
        <v>40</v>
      </c>
      <c r="D1718">
        <v>5.2184269999999904</v>
      </c>
      <c r="E1718">
        <v>0.56527769999999899</v>
      </c>
      <c r="F1718" t="s">
        <v>42</v>
      </c>
      <c r="G1718">
        <v>-417.57049999999998</v>
      </c>
      <c r="H1718">
        <v>0.90631949999999994</v>
      </c>
      <c r="I1718">
        <v>102.49850000000001</v>
      </c>
      <c r="J1718">
        <v>-417.50380000000001</v>
      </c>
      <c r="K1718">
        <v>1.104349</v>
      </c>
      <c r="L1718">
        <v>102.9948</v>
      </c>
      <c r="M1718">
        <v>-3.244905E-2</v>
      </c>
      <c r="N1718">
        <v>0</v>
      </c>
      <c r="O1718">
        <v>-0.99937759999999998</v>
      </c>
      <c r="P1718">
        <v>5.2327390000000001E-2</v>
      </c>
      <c r="Q1718">
        <v>0.13998289999999999</v>
      </c>
      <c r="R1718">
        <v>-0.9887705</v>
      </c>
      <c r="S1718">
        <v>-0.322235099999999</v>
      </c>
      <c r="T1718">
        <v>-0.85339769999999904</v>
      </c>
      <c r="U1718">
        <v>-3.1705320000000001</v>
      </c>
      <c r="V1718">
        <v>-8.4276240000000002E-2</v>
      </c>
      <c r="W1718">
        <v>0.15368660000000001</v>
      </c>
      <c r="X1718">
        <v>0.98451909999999998</v>
      </c>
      <c r="Y1718">
        <v>6.5328490000000003E-2</v>
      </c>
      <c r="Z1718">
        <v>0.25881969999999999</v>
      </c>
      <c r="AA1718">
        <v>0.96371390000000001</v>
      </c>
      <c r="AB1718">
        <v>24</v>
      </c>
      <c r="AC1718">
        <v>-6.6699999999968895E-2</v>
      </c>
      <c r="AD1718">
        <v>-0.1980295</v>
      </c>
      <c r="AE1718">
        <v>-0.49629999999999003</v>
      </c>
      <c r="AF1718">
        <v>4.3721452724639003E-2</v>
      </c>
      <c r="AG1718">
        <v>-0.1980295</v>
      </c>
      <c r="AH1718">
        <v>0.43082783758780202</v>
      </c>
      <c r="AI1718">
        <v>114.57462012473199</v>
      </c>
      <c r="AJ1718">
        <v>84.205323656109101</v>
      </c>
      <c r="AK1718">
        <v>0.47617210537702098</v>
      </c>
      <c r="AL1718">
        <v>81.159368309401899</v>
      </c>
      <c r="AM1718">
        <v>94.892673232968306</v>
      </c>
      <c r="AN1718">
        <v>0.99999995695645205</v>
      </c>
    </row>
    <row r="1719" spans="1:40" x14ac:dyDescent="0.3">
      <c r="A1719" t="str">
        <f>"20200111150349267"</f>
        <v>20200111150349267</v>
      </c>
      <c r="B1719" t="str">
        <f>"1578726229260215"</f>
        <v>1578726229260215</v>
      </c>
      <c r="C1719" t="s">
        <v>40</v>
      </c>
      <c r="D1719">
        <v>5.2320159999999998</v>
      </c>
      <c r="E1719">
        <v>0.56547029999999998</v>
      </c>
      <c r="F1719" t="s">
        <v>42</v>
      </c>
      <c r="G1719">
        <v>-417.58030000000002</v>
      </c>
      <c r="H1719">
        <v>0.91353010000000001</v>
      </c>
      <c r="I1719">
        <v>102.2787</v>
      </c>
      <c r="J1719">
        <v>-417.51209999999998</v>
      </c>
      <c r="K1719">
        <v>1.1046320000000001</v>
      </c>
      <c r="L1719">
        <v>102.75</v>
      </c>
      <c r="M1719">
        <v>-3.2508280000000001E-2</v>
      </c>
      <c r="N1719">
        <v>0</v>
      </c>
      <c r="O1719">
        <v>-0.99937580000000004</v>
      </c>
      <c r="P1719">
        <v>5.202536E-2</v>
      </c>
      <c r="Q1719">
        <v>0.13997409999999999</v>
      </c>
      <c r="R1719">
        <v>-0.98878750000000004</v>
      </c>
      <c r="S1719">
        <v>-0.3381653</v>
      </c>
      <c r="T1719">
        <v>-0.84527249999999998</v>
      </c>
      <c r="U1719">
        <v>-3.1716310000000001</v>
      </c>
      <c r="V1719">
        <v>-8.4139640000000002E-2</v>
      </c>
      <c r="W1719">
        <v>0.153615</v>
      </c>
      <c r="X1719">
        <v>0.98454200000000003</v>
      </c>
      <c r="Y1719">
        <v>7.0094039999999996E-2</v>
      </c>
      <c r="Z1719">
        <v>0.25633220000000001</v>
      </c>
      <c r="AA1719">
        <v>0.96404389999999995</v>
      </c>
      <c r="AB1719">
        <v>24</v>
      </c>
      <c r="AC1719">
        <v>-6.8200000000047098E-2</v>
      </c>
      <c r="AD1719">
        <v>-0.19110189999999999</v>
      </c>
      <c r="AE1719">
        <v>-0.471299999999999</v>
      </c>
      <c r="AF1719">
        <v>4.5512048931310597E-2</v>
      </c>
      <c r="AG1719">
        <v>-0.19110189999999999</v>
      </c>
      <c r="AH1719">
        <v>0.407624154807331</v>
      </c>
      <c r="AI1719">
        <v>114.98192895039899</v>
      </c>
      <c r="AJ1719">
        <v>83.629197802914902</v>
      </c>
      <c r="AK1719">
        <v>0.452491695353546</v>
      </c>
      <c r="AL1719">
        <v>81.163520357777003</v>
      </c>
      <c r="AM1719">
        <v>94.884668228660104</v>
      </c>
      <c r="AN1719">
        <v>0.99999999850416399</v>
      </c>
    </row>
    <row r="1720" spans="1:40" x14ac:dyDescent="0.3">
      <c r="A1720" t="str">
        <f>"20200111150349289"</f>
        <v>20200111150349289</v>
      </c>
      <c r="B1720" t="str">
        <f>"1578726229279736"</f>
        <v>1578726229279736</v>
      </c>
      <c r="C1720" t="s">
        <v>40</v>
      </c>
      <c r="D1720">
        <v>5.2141209999999996</v>
      </c>
      <c r="E1720">
        <v>0.56558160000000002</v>
      </c>
      <c r="F1720" t="s">
        <v>42</v>
      </c>
      <c r="G1720">
        <v>-417.5872</v>
      </c>
      <c r="H1720">
        <v>0.92073510000000003</v>
      </c>
      <c r="I1720">
        <v>102.0592</v>
      </c>
      <c r="J1720">
        <v>-417.51979999999998</v>
      </c>
      <c r="K1720">
        <v>1.1049659999999999</v>
      </c>
      <c r="L1720">
        <v>102.506</v>
      </c>
      <c r="M1720">
        <v>-3.2095230000000002E-2</v>
      </c>
      <c r="N1720">
        <v>0</v>
      </c>
      <c r="O1720">
        <v>-0.99938939999999998</v>
      </c>
      <c r="P1720">
        <v>5.1793430000000001E-2</v>
      </c>
      <c r="Q1720">
        <v>0.14004710000000001</v>
      </c>
      <c r="R1720">
        <v>-0.98878969999999999</v>
      </c>
      <c r="S1720">
        <v>-0.34332279999999998</v>
      </c>
      <c r="T1720">
        <v>-0.84443040000000003</v>
      </c>
      <c r="U1720">
        <v>-3.1716310000000001</v>
      </c>
      <c r="V1720">
        <v>-8.3623160000000002E-2</v>
      </c>
      <c r="W1720">
        <v>0.1536197</v>
      </c>
      <c r="X1720">
        <v>0.9845853</v>
      </c>
      <c r="Y1720">
        <v>7.2063730000000006E-2</v>
      </c>
      <c r="Z1720">
        <v>0.25606000000000001</v>
      </c>
      <c r="AA1720">
        <v>0.96397100000000002</v>
      </c>
      <c r="AB1720">
        <v>24</v>
      </c>
      <c r="AC1720">
        <v>-6.7400000000020499E-2</v>
      </c>
      <c r="AD1720">
        <v>-0.184230899999999</v>
      </c>
      <c r="AE1720">
        <v>-0.44679999999999598</v>
      </c>
      <c r="AF1720">
        <v>4.5465691656203802E-2</v>
      </c>
      <c r="AG1720">
        <v>-0.184230899999999</v>
      </c>
      <c r="AH1720">
        <v>0.38477029271582602</v>
      </c>
      <c r="AI1720">
        <v>115.431060193614</v>
      </c>
      <c r="AJ1720">
        <v>83.260995571249694</v>
      </c>
      <c r="AK1720">
        <v>0.42901786884605297</v>
      </c>
      <c r="AL1720">
        <v>81.163248104907794</v>
      </c>
      <c r="AM1720">
        <v>94.854615605836997</v>
      </c>
      <c r="AN1720">
        <v>1.00000002904628</v>
      </c>
    </row>
    <row r="1721" spans="1:40" x14ac:dyDescent="0.3">
      <c r="A1721" t="str">
        <f>"20200111150349311"</f>
        <v>20200111150349311</v>
      </c>
      <c r="B1721" t="str">
        <f>"1578726229300231"</f>
        <v>1578726229300231</v>
      </c>
      <c r="C1721" t="s">
        <v>40</v>
      </c>
      <c r="D1721">
        <v>5.2427210000000004</v>
      </c>
      <c r="E1721">
        <v>0.56566139999999998</v>
      </c>
      <c r="F1721" t="s">
        <v>42</v>
      </c>
      <c r="G1721">
        <v>-417.6146</v>
      </c>
      <c r="H1721">
        <v>0.87674699999999905</v>
      </c>
      <c r="I1721">
        <v>101.6477</v>
      </c>
      <c r="J1721">
        <v>-417.52659999999997</v>
      </c>
      <c r="K1721">
        <v>1.1053249999999999</v>
      </c>
      <c r="L1721">
        <v>102.26779999999999</v>
      </c>
      <c r="M1721">
        <v>-3.1135639999999999E-2</v>
      </c>
      <c r="N1721">
        <v>0</v>
      </c>
      <c r="O1721">
        <v>-0.99941950000000002</v>
      </c>
      <c r="P1721">
        <v>5.2560549999999998E-2</v>
      </c>
      <c r="Q1721">
        <v>0.1406868</v>
      </c>
      <c r="R1721">
        <v>-0.98865829999999999</v>
      </c>
      <c r="S1721">
        <v>-0.3485413</v>
      </c>
      <c r="T1721">
        <v>-0.84370049999999996</v>
      </c>
      <c r="U1721">
        <v>-3.171783</v>
      </c>
      <c r="V1721">
        <v>-8.3569649999999995E-2</v>
      </c>
      <c r="W1721">
        <v>0.15418889999999999</v>
      </c>
      <c r="X1721">
        <v>0.98450079999999995</v>
      </c>
      <c r="Y1721">
        <v>7.4590749999999997E-2</v>
      </c>
      <c r="Z1721">
        <v>0.25580809999999998</v>
      </c>
      <c r="AA1721">
        <v>0.96384570000000003</v>
      </c>
      <c r="AB1721">
        <v>24</v>
      </c>
      <c r="AC1721">
        <v>-8.8000000000022199E-2</v>
      </c>
      <c r="AD1721">
        <v>-0.228577999999999</v>
      </c>
      <c r="AE1721">
        <v>-0.62009999999999299</v>
      </c>
      <c r="AF1721">
        <v>6.0579429219324202E-2</v>
      </c>
      <c r="AG1721">
        <v>-0.228577999999999</v>
      </c>
      <c r="AH1721">
        <v>0.54936690207286598</v>
      </c>
      <c r="AI1721">
        <v>112.46844365543799</v>
      </c>
      <c r="AJ1721">
        <v>83.707340700141401</v>
      </c>
      <c r="AK1721">
        <v>0.59809845545836104</v>
      </c>
      <c r="AL1721">
        <v>81.130241526831398</v>
      </c>
      <c r="AM1721">
        <v>94.851938415940197</v>
      </c>
      <c r="AN1721">
        <v>0.99999996424248505</v>
      </c>
    </row>
    <row r="1722" spans="1:40" x14ac:dyDescent="0.3">
      <c r="A1722" t="str">
        <f>"20200111150349333"</f>
        <v>20200111150349333</v>
      </c>
      <c r="B1722" t="str">
        <f>"1578726229330488"</f>
        <v>1578726229330488</v>
      </c>
      <c r="C1722" t="s">
        <v>40</v>
      </c>
      <c r="D1722">
        <v>5.2495219999999998</v>
      </c>
      <c r="E1722">
        <v>0.5655249</v>
      </c>
      <c r="F1722" t="s">
        <v>42</v>
      </c>
      <c r="G1722">
        <v>-417.61880000000002</v>
      </c>
      <c r="H1722">
        <v>0.88321360000000004</v>
      </c>
      <c r="I1722">
        <v>101.43</v>
      </c>
      <c r="J1722">
        <v>-417.5326</v>
      </c>
      <c r="K1722">
        <v>1.105658</v>
      </c>
      <c r="L1722">
        <v>102.03489999999999</v>
      </c>
      <c r="M1722">
        <v>-2.9773500000000001E-2</v>
      </c>
      <c r="N1722">
        <v>0</v>
      </c>
      <c r="O1722">
        <v>-0.99946120000000005</v>
      </c>
      <c r="P1722">
        <v>5.3224349999999997E-2</v>
      </c>
      <c r="Q1722">
        <v>0.1428384</v>
      </c>
      <c r="R1722">
        <v>-0.98831429999999998</v>
      </c>
      <c r="S1722">
        <v>-0.348999</v>
      </c>
      <c r="T1722">
        <v>-0.84126229999999902</v>
      </c>
      <c r="U1722">
        <v>-3.1726990000000002</v>
      </c>
      <c r="V1722">
        <v>-8.3001259999999993E-2</v>
      </c>
      <c r="W1722">
        <v>0.15627750000000001</v>
      </c>
      <c r="X1722">
        <v>0.98421959999999997</v>
      </c>
      <c r="Y1722">
        <v>7.6078690000000004E-2</v>
      </c>
      <c r="Z1722">
        <v>0.25504789999999999</v>
      </c>
      <c r="AA1722">
        <v>0.96393079999999998</v>
      </c>
      <c r="AB1722">
        <v>24</v>
      </c>
      <c r="AC1722">
        <v>-8.6200000000019303E-2</v>
      </c>
      <c r="AD1722">
        <v>-0.22244439999999999</v>
      </c>
      <c r="AE1722">
        <v>-0.604899999999986</v>
      </c>
      <c r="AF1722">
        <v>6.0174569508899003E-2</v>
      </c>
      <c r="AG1722">
        <v>-0.22244439999999999</v>
      </c>
      <c r="AH1722">
        <v>0.53613897963701496</v>
      </c>
      <c r="AI1722">
        <v>112.406931140249</v>
      </c>
      <c r="AJ1722">
        <v>83.596100616911102</v>
      </c>
      <c r="AK1722">
        <v>0.58356447406705703</v>
      </c>
      <c r="AL1722">
        <v>81.009105819287598</v>
      </c>
      <c r="AM1722">
        <v>94.820464790529002</v>
      </c>
      <c r="AN1722">
        <v>1.0000000435959899</v>
      </c>
    </row>
    <row r="1723" spans="1:40" x14ac:dyDescent="0.3">
      <c r="A1723" t="str">
        <f>"20200111150349354"</f>
        <v>20200111150349354</v>
      </c>
      <c r="B1723" t="str">
        <f>"1578726229350007"</f>
        <v>1578726229350007</v>
      </c>
      <c r="C1723" t="s">
        <v>40</v>
      </c>
      <c r="D1723">
        <v>5.227716</v>
      </c>
      <c r="E1723">
        <v>0.56544300000000003</v>
      </c>
      <c r="F1723" t="s">
        <v>42</v>
      </c>
      <c r="G1723">
        <v>-417.62270000000001</v>
      </c>
      <c r="H1723">
        <v>0.88918410000000003</v>
      </c>
      <c r="I1723">
        <v>101.2129</v>
      </c>
      <c r="J1723">
        <v>-417.5378</v>
      </c>
      <c r="K1723">
        <v>1.1059600000000001</v>
      </c>
      <c r="L1723">
        <v>101.79430000000001</v>
      </c>
      <c r="M1723">
        <v>-2.7933590000000001E-2</v>
      </c>
      <c r="N1723">
        <v>0</v>
      </c>
      <c r="O1723">
        <v>-0.99951400000000001</v>
      </c>
      <c r="P1723">
        <v>5.5225280000000002E-2</v>
      </c>
      <c r="Q1723">
        <v>0.1445594</v>
      </c>
      <c r="R1723">
        <v>-0.98795370000000005</v>
      </c>
      <c r="S1723">
        <v>-0.3463135</v>
      </c>
      <c r="T1723">
        <v>-0.83657029999999999</v>
      </c>
      <c r="U1723">
        <v>-3.1750180000000001</v>
      </c>
      <c r="V1723">
        <v>-8.3291019999999993E-2</v>
      </c>
      <c r="W1723">
        <v>0.15793989999999999</v>
      </c>
      <c r="X1723">
        <v>0.98392970000000002</v>
      </c>
      <c r="Y1723">
        <v>7.7073829999999996E-2</v>
      </c>
      <c r="Z1723">
        <v>0.25356590000000001</v>
      </c>
      <c r="AA1723">
        <v>0.96424270000000001</v>
      </c>
      <c r="AB1723">
        <v>24</v>
      </c>
      <c r="AC1723">
        <v>-8.4900000000004597E-2</v>
      </c>
      <c r="AD1723">
        <v>-0.21677589999999999</v>
      </c>
      <c r="AE1723">
        <v>-0.58140000000000203</v>
      </c>
      <c r="AF1723">
        <v>6.0402928135681801E-2</v>
      </c>
      <c r="AG1723">
        <v>-0.21677589999999999</v>
      </c>
      <c r="AH1723">
        <v>0.51363151790761497</v>
      </c>
      <c r="AI1723">
        <v>112.741340564667</v>
      </c>
      <c r="AJ1723">
        <v>83.292837894265006</v>
      </c>
      <c r="AK1723">
        <v>0.56076522782377902</v>
      </c>
      <c r="AL1723">
        <v>80.912659450148993</v>
      </c>
      <c r="AM1723">
        <v>94.838631917742603</v>
      </c>
      <c r="AN1723">
        <v>1.00000003028336</v>
      </c>
    </row>
    <row r="1724" spans="1:40" x14ac:dyDescent="0.3">
      <c r="A1724" t="str">
        <f>"20200111150349379"</f>
        <v>20200111150349379</v>
      </c>
      <c r="B1724" t="str">
        <f>"1578726229370503"</f>
        <v>1578726229370503</v>
      </c>
      <c r="C1724" t="s">
        <v>40</v>
      </c>
      <c r="D1724">
        <v>5.2749079999999999</v>
      </c>
      <c r="E1724">
        <v>0.56536560000000002</v>
      </c>
      <c r="F1724" t="s">
        <v>42</v>
      </c>
      <c r="G1724">
        <v>-417.62349999999998</v>
      </c>
      <c r="H1724">
        <v>0.89677969999999896</v>
      </c>
      <c r="I1724">
        <v>100.9954</v>
      </c>
      <c r="J1724">
        <v>-417.54250000000002</v>
      </c>
      <c r="K1724">
        <v>1.106239</v>
      </c>
      <c r="L1724">
        <v>101.53830000000001</v>
      </c>
      <c r="M1724">
        <v>-2.5520399999999999E-2</v>
      </c>
      <c r="N1724">
        <v>0</v>
      </c>
      <c r="O1724">
        <v>-0.99957850000000004</v>
      </c>
      <c r="P1724">
        <v>5.8014499999999997E-2</v>
      </c>
      <c r="Q1724">
        <v>0.14552880000000001</v>
      </c>
      <c r="R1724">
        <v>-0.98765190000000003</v>
      </c>
      <c r="S1724">
        <v>-0.34030149999999998</v>
      </c>
      <c r="T1724">
        <v>-0.83203289999999996</v>
      </c>
      <c r="U1724">
        <v>-3.1773380000000002</v>
      </c>
      <c r="V1724">
        <v>-8.3798880000000006E-2</v>
      </c>
      <c r="W1724">
        <v>0.1588542</v>
      </c>
      <c r="X1724">
        <v>0.98373929999999998</v>
      </c>
      <c r="Y1724">
        <v>7.7640500000000001E-2</v>
      </c>
      <c r="Z1724">
        <v>0.25214910000000001</v>
      </c>
      <c r="AA1724">
        <v>0.96456869999999995</v>
      </c>
      <c r="AB1724">
        <v>24</v>
      </c>
      <c r="AC1724">
        <v>-8.0999999999960395E-2</v>
      </c>
      <c r="AD1724">
        <v>-0.20945929999999999</v>
      </c>
      <c r="AE1724">
        <v>-0.54290000000000205</v>
      </c>
      <c r="AF1724">
        <v>5.8586364524799199E-2</v>
      </c>
      <c r="AG1724">
        <v>-0.20945929999999999</v>
      </c>
      <c r="AH1724">
        <v>0.475545246583507</v>
      </c>
      <c r="AI1724">
        <v>113.612846855497</v>
      </c>
      <c r="AJ1724">
        <v>82.976647912698994</v>
      </c>
      <c r="AK1724">
        <v>0.52292336150997398</v>
      </c>
      <c r="AL1724">
        <v>80.859603471285794</v>
      </c>
      <c r="AM1724">
        <v>94.868931376817301</v>
      </c>
      <c r="AN1724">
        <v>0.999999959755691</v>
      </c>
    </row>
    <row r="1725" spans="1:40" x14ac:dyDescent="0.3">
      <c r="A1725" t="str">
        <f>"20200111150349400"</f>
        <v>20200111150349400</v>
      </c>
      <c r="B1725" t="str">
        <f>"1578726229390024"</f>
        <v>1578726229390024</v>
      </c>
      <c r="C1725" t="s">
        <v>40</v>
      </c>
      <c r="D1725">
        <v>5.2786619999999997</v>
      </c>
      <c r="E1725">
        <v>0.56524289999999999</v>
      </c>
      <c r="F1725" t="s">
        <v>42</v>
      </c>
      <c r="G1725">
        <v>-417.62240000000003</v>
      </c>
      <c r="H1725">
        <v>0.9075915</v>
      </c>
      <c r="I1725">
        <v>100.7766</v>
      </c>
      <c r="J1725">
        <v>-417.54579999999999</v>
      </c>
      <c r="K1725">
        <v>1.1064529999999999</v>
      </c>
      <c r="L1725">
        <v>101.3091</v>
      </c>
      <c r="M1725">
        <v>-2.3017340000000001E-2</v>
      </c>
      <c r="N1725">
        <v>0</v>
      </c>
      <c r="O1725">
        <v>-0.99963930000000001</v>
      </c>
      <c r="P1725">
        <v>6.0293769999999997E-2</v>
      </c>
      <c r="Q1725">
        <v>0.14723710000000001</v>
      </c>
      <c r="R1725">
        <v>-0.98726199999999997</v>
      </c>
      <c r="S1725">
        <v>-0.3322754</v>
      </c>
      <c r="T1725">
        <v>-0.8294724</v>
      </c>
      <c r="U1725">
        <v>-3.1792600000000002</v>
      </c>
      <c r="V1725">
        <v>-8.3691139999999997E-2</v>
      </c>
      <c r="W1725">
        <v>0.1605191</v>
      </c>
      <c r="X1725">
        <v>0.98347819999999997</v>
      </c>
      <c r="Y1725">
        <v>7.768854E-2</v>
      </c>
      <c r="Z1725">
        <v>0.25133359999999999</v>
      </c>
      <c r="AA1725">
        <v>0.96477760000000001</v>
      </c>
      <c r="AB1725">
        <v>24</v>
      </c>
      <c r="AC1725">
        <v>-7.6600000000041704E-2</v>
      </c>
      <c r="AD1725">
        <v>-0.1988615</v>
      </c>
      <c r="AE1725">
        <v>-0.53249999999999797</v>
      </c>
      <c r="AF1725">
        <v>5.6589584497133201E-2</v>
      </c>
      <c r="AG1725">
        <v>-0.1988615</v>
      </c>
      <c r="AH1725">
        <v>0.46991463681245399</v>
      </c>
      <c r="AI1725">
        <v>112.789751767377</v>
      </c>
      <c r="AJ1725">
        <v>83.133209017536004</v>
      </c>
      <c r="AK1725">
        <v>0.51338878361957696</v>
      </c>
      <c r="AL1725">
        <v>80.762971889767101</v>
      </c>
      <c r="AM1725">
        <v>94.863986228478893</v>
      </c>
      <c r="AN1725">
        <v>0.99999997912727401</v>
      </c>
    </row>
    <row r="1726" spans="1:40" x14ac:dyDescent="0.3">
      <c r="A1726" t="str">
        <f>"20200111150349422"</f>
        <v>20200111150349422</v>
      </c>
      <c r="B1726" t="str">
        <f>"1578726229410520"</f>
        <v>1578726229410520</v>
      </c>
      <c r="C1726" t="s">
        <v>40</v>
      </c>
      <c r="D1726">
        <v>5.2804699999999896</v>
      </c>
      <c r="E1726">
        <v>0.56506460000000003</v>
      </c>
      <c r="F1726" t="s">
        <v>42</v>
      </c>
      <c r="G1726">
        <v>-417.6223</v>
      </c>
      <c r="H1726">
        <v>0.91238019999999997</v>
      </c>
      <c r="I1726">
        <v>100.5609</v>
      </c>
      <c r="J1726">
        <v>-417.54820000000001</v>
      </c>
      <c r="K1726">
        <v>1.1066389999999999</v>
      </c>
      <c r="L1726">
        <v>101.07980000000001</v>
      </c>
      <c r="M1726">
        <v>-2.025306E-2</v>
      </c>
      <c r="N1726">
        <v>0</v>
      </c>
      <c r="O1726">
        <v>-0.99969909999999995</v>
      </c>
      <c r="P1726">
        <v>6.2171490000000003E-2</v>
      </c>
      <c r="Q1726">
        <v>0.14844769999999999</v>
      </c>
      <c r="R1726">
        <v>-0.98696410000000001</v>
      </c>
      <c r="S1726">
        <v>-0.32513429999999999</v>
      </c>
      <c r="T1726">
        <v>-0.82511939999999995</v>
      </c>
      <c r="U1726">
        <v>-3.18161</v>
      </c>
      <c r="V1726">
        <v>-8.2915219999999998E-2</v>
      </c>
      <c r="W1726">
        <v>0.16169939999999999</v>
      </c>
      <c r="X1726">
        <v>0.98335059999999996</v>
      </c>
      <c r="Y1726">
        <v>7.8264410000000006E-2</v>
      </c>
      <c r="Z1726">
        <v>0.2499683</v>
      </c>
      <c r="AA1726">
        <v>0.96508570000000005</v>
      </c>
      <c r="AB1726">
        <v>24</v>
      </c>
      <c r="AC1726">
        <v>-7.4099999999987107E-2</v>
      </c>
      <c r="AD1726">
        <v>-0.19425879999999901</v>
      </c>
      <c r="AE1726">
        <v>-0.51890000000000203</v>
      </c>
      <c r="AF1726">
        <v>5.5897051161371503E-2</v>
      </c>
      <c r="AG1726">
        <v>-0.19425879999999901</v>
      </c>
      <c r="AH1726">
        <v>0.45746226432005199</v>
      </c>
      <c r="AI1726">
        <v>112.85588337067</v>
      </c>
      <c r="AJ1726">
        <v>83.033594734955003</v>
      </c>
      <c r="AK1726">
        <v>0.50013266738217199</v>
      </c>
      <c r="AL1726">
        <v>80.694450899332907</v>
      </c>
      <c r="AM1726">
        <v>94.819726830869001</v>
      </c>
      <c r="AN1726">
        <v>1.00000001609418</v>
      </c>
    </row>
    <row r="1727" spans="1:40" x14ac:dyDescent="0.3">
      <c r="A1727" t="str">
        <f>"20200111150349445"</f>
        <v>20200111150349445</v>
      </c>
      <c r="B1727" t="str">
        <f>"1578726229439800"</f>
        <v>1578726229439800</v>
      </c>
      <c r="C1727" t="s">
        <v>40</v>
      </c>
      <c r="D1727">
        <v>5.2765139999999997</v>
      </c>
      <c r="E1727">
        <v>0.56499180000000004</v>
      </c>
      <c r="F1727" t="s">
        <v>42</v>
      </c>
      <c r="G1727">
        <v>-417.62189999999998</v>
      </c>
      <c r="H1727">
        <v>0.91695680000000002</v>
      </c>
      <c r="I1727">
        <v>100.3456</v>
      </c>
      <c r="J1727">
        <v>-417.54969999999997</v>
      </c>
      <c r="K1727">
        <v>1.1067979999999999</v>
      </c>
      <c r="L1727">
        <v>100.8329</v>
      </c>
      <c r="M1727">
        <v>-1.7070680000000001E-2</v>
      </c>
      <c r="N1727">
        <v>0</v>
      </c>
      <c r="O1727">
        <v>-0.99975829999999999</v>
      </c>
      <c r="P1727">
        <v>6.4285400000000006E-2</v>
      </c>
      <c r="Q1727">
        <v>0.14806359999999999</v>
      </c>
      <c r="R1727">
        <v>-0.98688640000000005</v>
      </c>
      <c r="S1727">
        <v>-0.31875609999999999</v>
      </c>
      <c r="T1727">
        <v>-0.82268359999999996</v>
      </c>
      <c r="U1727">
        <v>-3.1834410000000002</v>
      </c>
      <c r="V1727">
        <v>-8.1948629999999995E-2</v>
      </c>
      <c r="W1727">
        <v>0.1612961</v>
      </c>
      <c r="X1727">
        <v>0.98349790000000004</v>
      </c>
      <c r="Y1727">
        <v>7.9487269999999999E-2</v>
      </c>
      <c r="Z1727">
        <v>0.24917539999999999</v>
      </c>
      <c r="AA1727">
        <v>0.96519089999999996</v>
      </c>
      <c r="AB1727">
        <v>24</v>
      </c>
      <c r="AC1727">
        <v>-7.2200000000009298E-2</v>
      </c>
      <c r="AD1727">
        <v>-0.18984119999999899</v>
      </c>
      <c r="AE1727">
        <v>-0.48729999999999002</v>
      </c>
      <c r="AF1727">
        <v>5.5611272955268E-2</v>
      </c>
      <c r="AG1727">
        <v>-0.18984119999999899</v>
      </c>
      <c r="AH1727">
        <v>0.42530003641784198</v>
      </c>
      <c r="AI1727">
        <v>113.87429499098</v>
      </c>
      <c r="AJ1727">
        <v>82.550398053969701</v>
      </c>
      <c r="AK1727">
        <v>0.46905481116193998</v>
      </c>
      <c r="AL1727">
        <v>80.717866104490199</v>
      </c>
      <c r="AM1727">
        <v>94.763090425021005</v>
      </c>
      <c r="AN1727">
        <v>1.00000006456924</v>
      </c>
    </row>
    <row r="1728" spans="1:40" x14ac:dyDescent="0.3">
      <c r="A1728" t="str">
        <f>"20200111150349468"</f>
        <v>20200111150349468</v>
      </c>
      <c r="B1728" t="str">
        <f>"1578726229460296"</f>
        <v>1578726229460296</v>
      </c>
      <c r="C1728" t="s">
        <v>40</v>
      </c>
      <c r="D1728">
        <v>5.2662519999999997</v>
      </c>
      <c r="E1728">
        <v>0.56485269999999899</v>
      </c>
      <c r="F1728" t="s">
        <v>42</v>
      </c>
      <c r="G1728">
        <v>-417.61869999999999</v>
      </c>
      <c r="H1728">
        <v>0.92406440000000001</v>
      </c>
      <c r="I1728">
        <v>100.129</v>
      </c>
      <c r="J1728">
        <v>-417.55029999999999</v>
      </c>
      <c r="K1728">
        <v>1.1068709999999999</v>
      </c>
      <c r="L1728">
        <v>100.5958</v>
      </c>
      <c r="M1728">
        <v>-1.387944E-2</v>
      </c>
      <c r="N1728">
        <v>0</v>
      </c>
      <c r="O1728">
        <v>-0.99980780000000002</v>
      </c>
      <c r="P1728">
        <v>6.6511580000000001E-2</v>
      </c>
      <c r="Q1728">
        <v>0.1471721</v>
      </c>
      <c r="R1728">
        <v>-0.98687259999999999</v>
      </c>
      <c r="S1728">
        <v>-0.31164550000000002</v>
      </c>
      <c r="T1728">
        <v>-0.82660219999999995</v>
      </c>
      <c r="U1728">
        <v>-3.1841740000000001</v>
      </c>
      <c r="V1728">
        <v>-8.1059279999999997E-2</v>
      </c>
      <c r="W1728">
        <v>0.16039679999999901</v>
      </c>
      <c r="X1728">
        <v>0.9837186</v>
      </c>
      <c r="Y1728">
        <v>8.0484360000000005E-2</v>
      </c>
      <c r="Z1728">
        <v>0.25026749999999998</v>
      </c>
      <c r="AA1728">
        <v>0.96482559999999995</v>
      </c>
      <c r="AB1728">
        <v>24</v>
      </c>
      <c r="AC1728">
        <v>-6.8399999999996894E-2</v>
      </c>
      <c r="AD1728">
        <v>-0.18280660000000001</v>
      </c>
      <c r="AE1728">
        <v>-0.46680000000000599</v>
      </c>
      <c r="AF1728">
        <v>5.3831597242375497E-2</v>
      </c>
      <c r="AG1728">
        <v>-0.18280660000000001</v>
      </c>
      <c r="AH1728">
        <v>0.40665008063191799</v>
      </c>
      <c r="AI1728">
        <v>114.020376893151</v>
      </c>
      <c r="AJ1728">
        <v>82.459133727866899</v>
      </c>
      <c r="AK1728">
        <v>0.44908838990021799</v>
      </c>
      <c r="AL1728">
        <v>80.770071458689102</v>
      </c>
      <c r="AM1728">
        <v>94.710580520965607</v>
      </c>
      <c r="AN1728">
        <v>1.00000001215515</v>
      </c>
    </row>
    <row r="1729" spans="1:40" x14ac:dyDescent="0.3">
      <c r="A1729" t="str">
        <f>"20200111150349490"</f>
        <v>20200111150349490</v>
      </c>
      <c r="B1729" t="str">
        <f>"1578726229479815"</f>
        <v>1578726229479815</v>
      </c>
      <c r="C1729" t="s">
        <v>40</v>
      </c>
      <c r="D1729">
        <v>5.2713210000000004</v>
      </c>
      <c r="E1729">
        <v>0.56476490000000001</v>
      </c>
      <c r="F1729" t="s">
        <v>42</v>
      </c>
      <c r="G1729">
        <v>-417.6157</v>
      </c>
      <c r="H1729">
        <v>0.92897819999999998</v>
      </c>
      <c r="I1729">
        <v>99.913899999999998</v>
      </c>
      <c r="J1729">
        <v>-417.54989999999998</v>
      </c>
      <c r="K1729">
        <v>1.106886</v>
      </c>
      <c r="L1729">
        <v>100.35769999999999</v>
      </c>
      <c r="M1729">
        <v>-1.060094E-2</v>
      </c>
      <c r="N1729">
        <v>0</v>
      </c>
      <c r="O1729">
        <v>-0.99984790000000001</v>
      </c>
      <c r="P1729">
        <v>6.9741590000000006E-2</v>
      </c>
      <c r="Q1729">
        <v>0.14482539999999999</v>
      </c>
      <c r="R1729">
        <v>-0.9869966</v>
      </c>
      <c r="S1729">
        <v>-0.30407709999999999</v>
      </c>
      <c r="T1729">
        <v>-0.83112569999999997</v>
      </c>
      <c r="U1729">
        <v>-3.1843569999999999</v>
      </c>
      <c r="V1729">
        <v>-8.1057989999999996E-2</v>
      </c>
      <c r="W1729">
        <v>0.15804860000000001</v>
      </c>
      <c r="X1729">
        <v>0.98409869999999999</v>
      </c>
      <c r="Y1729">
        <v>8.1442529999999999E-2</v>
      </c>
      <c r="Z1729">
        <v>0.25156830000000002</v>
      </c>
      <c r="AA1729">
        <v>0.96440680000000001</v>
      </c>
      <c r="AB1729">
        <v>24</v>
      </c>
      <c r="AC1729">
        <v>-6.58000000000242E-2</v>
      </c>
      <c r="AD1729">
        <v>-0.1779078</v>
      </c>
      <c r="AE1729">
        <v>-0.44379999999999598</v>
      </c>
      <c r="AF1729">
        <v>5.2790245442268999E-2</v>
      </c>
      <c r="AG1729">
        <v>-0.1779078</v>
      </c>
      <c r="AH1729">
        <v>0.38407886909519701</v>
      </c>
      <c r="AI1729">
        <v>114.650017491304</v>
      </c>
      <c r="AJ1729">
        <v>82.173939400806702</v>
      </c>
      <c r="AK1729">
        <v>0.42656133556634102</v>
      </c>
      <c r="AL1729">
        <v>80.9063519437548</v>
      </c>
      <c r="AM1729">
        <v>94.708694681335601</v>
      </c>
      <c r="AN1729">
        <v>1.00000000452324</v>
      </c>
    </row>
    <row r="1730" spans="1:40" x14ac:dyDescent="0.3">
      <c r="A1730" t="str">
        <f>"20200111150349512"</f>
        <v>20200111150349512</v>
      </c>
      <c r="B1730" t="str">
        <f>"1578726229500311"</f>
        <v>1578726229500311</v>
      </c>
      <c r="C1730" t="s">
        <v>40</v>
      </c>
      <c r="D1730">
        <v>5.2506510000000004</v>
      </c>
      <c r="E1730">
        <v>0.56451370000000001</v>
      </c>
      <c r="F1730" t="s">
        <v>42</v>
      </c>
      <c r="G1730">
        <v>-417.62810000000002</v>
      </c>
      <c r="H1730">
        <v>0.88314590000000004</v>
      </c>
      <c r="I1730">
        <v>99.509770000000003</v>
      </c>
      <c r="J1730">
        <v>-417.5487</v>
      </c>
      <c r="K1730">
        <v>1.10686</v>
      </c>
      <c r="L1730">
        <v>100.1268</v>
      </c>
      <c r="M1730">
        <v>-7.4030390000000001E-3</v>
      </c>
      <c r="N1730">
        <v>0</v>
      </c>
      <c r="O1730">
        <v>-0.99987669999999995</v>
      </c>
      <c r="P1730">
        <v>7.2931780000000002E-2</v>
      </c>
      <c r="Q1730">
        <v>0.14247219999999999</v>
      </c>
      <c r="R1730">
        <v>-0.98710819999999999</v>
      </c>
      <c r="S1730">
        <v>-0.29232789999999997</v>
      </c>
      <c r="T1730">
        <v>-0.84046669999999901</v>
      </c>
      <c r="U1730">
        <v>-3.1835019999999998</v>
      </c>
      <c r="V1730">
        <v>-8.1076860000000001E-2</v>
      </c>
      <c r="W1730">
        <v>0.15570200000000001</v>
      </c>
      <c r="X1730">
        <v>0.98447110000000004</v>
      </c>
      <c r="Y1730">
        <v>8.1059430000000002E-2</v>
      </c>
      <c r="Z1730">
        <v>0.2543318</v>
      </c>
      <c r="AA1730">
        <v>0.96371399999999996</v>
      </c>
      <c r="AB1730">
        <v>24</v>
      </c>
      <c r="AC1730">
        <v>-7.9400000000020995E-2</v>
      </c>
      <c r="AD1730">
        <v>-0.223714099999999</v>
      </c>
      <c r="AE1730">
        <v>-0.61703000000001396</v>
      </c>
      <c r="AF1730">
        <v>6.6261079987701504E-2</v>
      </c>
      <c r="AG1730">
        <v>-0.223714099999999</v>
      </c>
      <c r="AH1730">
        <v>0.54688207111607601</v>
      </c>
      <c r="AI1730">
        <v>112.102167915389</v>
      </c>
      <c r="AJ1730">
        <v>83.091628399939196</v>
      </c>
      <c r="AK1730">
        <v>0.59457424176309204</v>
      </c>
      <c r="AL1730">
        <v>81.042487414261601</v>
      </c>
      <c r="AM1730">
        <v>94.708012337116102</v>
      </c>
      <c r="AN1730">
        <v>0.999999958383334</v>
      </c>
    </row>
    <row r="1731" spans="1:40" x14ac:dyDescent="0.3">
      <c r="A1731" t="str">
        <f>"20200111150349536"</f>
        <v>20200111150349536</v>
      </c>
      <c r="B1731" t="str">
        <f>"1578726229530567"</f>
        <v>1578726229530567</v>
      </c>
      <c r="C1731" t="s">
        <v>40</v>
      </c>
      <c r="D1731">
        <v>5.2419960000000003</v>
      </c>
      <c r="E1731">
        <v>0.52890009999999998</v>
      </c>
      <c r="F1731" t="s">
        <v>42</v>
      </c>
      <c r="G1731">
        <v>-417.62189999999998</v>
      </c>
      <c r="H1731">
        <v>0.88530659999999906</v>
      </c>
      <c r="I1731">
        <v>99.297020000000003</v>
      </c>
      <c r="J1731">
        <v>-417.54649999999998</v>
      </c>
      <c r="K1731">
        <v>1.106819</v>
      </c>
      <c r="L1731">
        <v>99.871639999999999</v>
      </c>
      <c r="M1731">
        <v>-3.8895430000000001E-3</v>
      </c>
      <c r="N1731">
        <v>0</v>
      </c>
      <c r="O1731">
        <v>-0.99989649999999997</v>
      </c>
      <c r="P1731">
        <v>7.5728009999999998E-2</v>
      </c>
      <c r="Q1731">
        <v>0.1413151</v>
      </c>
      <c r="R1731">
        <v>-0.98706419999999995</v>
      </c>
      <c r="S1731">
        <v>-0.27972409999999998</v>
      </c>
      <c r="T1731">
        <v>-0.85012199999999905</v>
      </c>
      <c r="U1731">
        <v>-3.1825559999999999</v>
      </c>
      <c r="V1731">
        <v>-8.0384490000000003E-2</v>
      </c>
      <c r="W1731">
        <v>0.15455869999999999</v>
      </c>
      <c r="X1731">
        <v>0.98470809999999998</v>
      </c>
      <c r="Y1731">
        <v>8.0734769999999997E-2</v>
      </c>
      <c r="Z1731">
        <v>0.25718469999999999</v>
      </c>
      <c r="AA1731">
        <v>0.96298379999999995</v>
      </c>
      <c r="AB1731">
        <v>24</v>
      </c>
      <c r="AC1731">
        <v>-7.5400000000001896E-2</v>
      </c>
      <c r="AD1731">
        <v>-0.2215124</v>
      </c>
      <c r="AE1731">
        <v>-0.57462000000001001</v>
      </c>
      <c r="AF1731">
        <v>6.3838096106774794E-2</v>
      </c>
      <c r="AG1731">
        <v>-0.2215124</v>
      </c>
      <c r="AH1731">
        <v>0.50162634161041797</v>
      </c>
      <c r="AI1731">
        <v>113.656081851341</v>
      </c>
      <c r="AJ1731">
        <v>82.747396210961696</v>
      </c>
      <c r="AK1731">
        <v>0.55206162017092797</v>
      </c>
      <c r="AL1731">
        <v>81.108797243906693</v>
      </c>
      <c r="AM1731">
        <v>94.666867348190493</v>
      </c>
      <c r="AN1731">
        <v>1.0000000500919199</v>
      </c>
    </row>
    <row r="1732" spans="1:40" x14ac:dyDescent="0.3">
      <c r="A1732" t="str">
        <f>"20200111150349557"</f>
        <v>20200111150349557</v>
      </c>
      <c r="B1732" t="str">
        <f>"1578726229550088"</f>
        <v>1578726229550088</v>
      </c>
      <c r="C1732" t="s">
        <v>40</v>
      </c>
      <c r="D1732">
        <v>5.2245010000000001</v>
      </c>
      <c r="E1732">
        <v>0.52890009999999998</v>
      </c>
      <c r="F1732" t="s">
        <v>42</v>
      </c>
      <c r="G1732">
        <v>-417.54349999999999</v>
      </c>
      <c r="H1732">
        <v>0.93663540000000001</v>
      </c>
      <c r="I1732">
        <v>99.059989999999999</v>
      </c>
      <c r="J1732">
        <v>-417.54390000000001</v>
      </c>
      <c r="K1732">
        <v>1.106776</v>
      </c>
      <c r="L1732">
        <v>99.643799999999999</v>
      </c>
      <c r="M1732">
        <v>-7.9587979999999896E-4</v>
      </c>
      <c r="N1732">
        <v>0</v>
      </c>
      <c r="O1732">
        <v>-0.99990369999999995</v>
      </c>
      <c r="P1732">
        <v>7.6372750000000003E-2</v>
      </c>
      <c r="Q1732">
        <v>0.14080580000000001</v>
      </c>
      <c r="R1732">
        <v>-0.98708720000000005</v>
      </c>
      <c r="S1732">
        <v>1.3671880000000001E-2</v>
      </c>
      <c r="T1732">
        <v>-0.65732899999999905</v>
      </c>
      <c r="U1732">
        <v>-3.1323850000000002</v>
      </c>
      <c r="V1732">
        <v>-7.7956559999999994E-2</v>
      </c>
      <c r="W1732">
        <v>0.15407299999999999</v>
      </c>
      <c r="X1732">
        <v>0.9849793</v>
      </c>
      <c r="Y1732">
        <v>-5.0675520000000003E-3</v>
      </c>
      <c r="Z1732">
        <v>0.20537369999999999</v>
      </c>
      <c r="AA1732">
        <v>0.9786705</v>
      </c>
      <c r="AB1732">
        <v>24</v>
      </c>
      <c r="AC1732">
        <v>4.0000000001327803E-4</v>
      </c>
      <c r="AD1732">
        <v>-0.1701406</v>
      </c>
      <c r="AE1732">
        <v>-0.58380999999999905</v>
      </c>
      <c r="AF1732">
        <v>-7.9699636292612298E-4</v>
      </c>
      <c r="AG1732">
        <v>-0.1701406</v>
      </c>
      <c r="AH1732">
        <v>0.53810686686242504</v>
      </c>
      <c r="AI1732">
        <v>107.54608529896601</v>
      </c>
      <c r="AJ1732">
        <v>90.084861385913797</v>
      </c>
      <c r="AK1732">
        <v>0.56436465085621501</v>
      </c>
      <c r="AL1732">
        <v>81.136962453302303</v>
      </c>
      <c r="AM1732">
        <v>94.525263179934797</v>
      </c>
      <c r="AN1732">
        <v>0.99999996800226099</v>
      </c>
    </row>
    <row r="1733" spans="1:40" x14ac:dyDescent="0.3">
      <c r="A1733" t="str">
        <f>"20200111150349579"</f>
        <v>20200111150349579</v>
      </c>
      <c r="B1733" t="str">
        <f>"1578726229570583"</f>
        <v>1578726229570583</v>
      </c>
      <c r="C1733" t="s">
        <v>40</v>
      </c>
      <c r="D1733">
        <v>5.2232750000000001</v>
      </c>
      <c r="E1733">
        <v>0.50612869999999999</v>
      </c>
      <c r="F1733" t="s">
        <v>42</v>
      </c>
      <c r="G1733">
        <v>-417.53899999999999</v>
      </c>
      <c r="H1733">
        <v>0.93912180000000001</v>
      </c>
      <c r="I1733">
        <v>98.847639999999998</v>
      </c>
      <c r="J1733">
        <v>-417.54039999999998</v>
      </c>
      <c r="K1733">
        <v>1.1067279999999999</v>
      </c>
      <c r="L1733">
        <v>99.408630000000002</v>
      </c>
      <c r="M1733">
        <v>2.3438790000000001E-3</v>
      </c>
      <c r="N1733">
        <v>0</v>
      </c>
      <c r="O1733">
        <v>-0.99990140000000005</v>
      </c>
      <c r="P1733">
        <v>7.7099139999999997E-2</v>
      </c>
      <c r="Q1733">
        <v>0.14101179999999999</v>
      </c>
      <c r="R1733">
        <v>-0.98700140000000003</v>
      </c>
      <c r="S1733">
        <v>1.9897459999999999E-2</v>
      </c>
      <c r="T1733">
        <v>-0.65975740000000005</v>
      </c>
      <c r="U1733">
        <v>-3.1318359999999998</v>
      </c>
      <c r="V1733">
        <v>-7.5567220000000004E-2</v>
      </c>
      <c r="W1733">
        <v>0.15429999999999999</v>
      </c>
      <c r="X1733">
        <v>0.98512999999999995</v>
      </c>
      <c r="Y1733">
        <v>-3.872646E-3</v>
      </c>
      <c r="Z1733">
        <v>0.2061336</v>
      </c>
      <c r="AA1733">
        <v>0.97851619999999995</v>
      </c>
      <c r="AB1733">
        <v>24</v>
      </c>
      <c r="AC1733">
        <v>1.39999999998963E-3</v>
      </c>
      <c r="AD1733">
        <v>-0.16760620000000001</v>
      </c>
      <c r="AE1733">
        <v>-0.56099000000000299</v>
      </c>
      <c r="AF1733" s="1">
        <v>-7.8013751931710703E-5</v>
      </c>
      <c r="AG1733">
        <v>-0.16760620000000001</v>
      </c>
      <c r="AH1733">
        <v>0.51501996467218203</v>
      </c>
      <c r="AI1733">
        <v>108.026769314419</v>
      </c>
      <c r="AJ1733">
        <v>90.008679000819498</v>
      </c>
      <c r="AK1733">
        <v>0.54160632231863903</v>
      </c>
      <c r="AL1733">
        <v>81.123799236349299</v>
      </c>
      <c r="AM1733">
        <v>94.386447007359607</v>
      </c>
      <c r="AN1733">
        <v>1.00000000581926</v>
      </c>
    </row>
    <row r="1734" spans="1:40" x14ac:dyDescent="0.3">
      <c r="A1734" t="str">
        <f>"20200111150349601"</f>
        <v>20200111150349601</v>
      </c>
      <c r="B1734" t="str">
        <f>"1578726229590103"</f>
        <v>1578726229590103</v>
      </c>
      <c r="C1734" t="s">
        <v>40</v>
      </c>
      <c r="D1734">
        <v>5.0556049999999999</v>
      </c>
      <c r="E1734">
        <v>0.50422829999999996</v>
      </c>
      <c r="F1734" t="s">
        <v>41</v>
      </c>
      <c r="G1734">
        <v>-416.89010000000002</v>
      </c>
      <c r="H1734" s="1">
        <v>-4.6862390000000001E-6</v>
      </c>
      <c r="I1734">
        <v>89.270609999999905</v>
      </c>
      <c r="J1734">
        <v>-417.53640000000001</v>
      </c>
      <c r="K1734">
        <v>1.1066860000000001</v>
      </c>
      <c r="L1734">
        <v>99.181520000000006</v>
      </c>
      <c r="M1734">
        <v>5.3241429999999999E-3</v>
      </c>
      <c r="N1734">
        <v>0</v>
      </c>
      <c r="O1734">
        <v>-0.99988980000000005</v>
      </c>
      <c r="P1734">
        <v>7.8127619999999995E-2</v>
      </c>
      <c r="Q1734">
        <v>0.14001749999999999</v>
      </c>
      <c r="R1734">
        <v>-0.98706199999999999</v>
      </c>
      <c r="S1734">
        <v>0.197052</v>
      </c>
      <c r="T1734">
        <v>-0.3353623</v>
      </c>
      <c r="U1734">
        <v>-3.0720209999999999</v>
      </c>
      <c r="V1734">
        <v>-7.3632230000000007E-2</v>
      </c>
      <c r="W1734">
        <v>0.15332419999999999</v>
      </c>
      <c r="X1734">
        <v>0.98542879999999999</v>
      </c>
      <c r="Y1734">
        <v>-5.8321280000000003E-2</v>
      </c>
      <c r="Z1734">
        <v>0.10831730000000001</v>
      </c>
      <c r="AA1734">
        <v>0.99240419999999996</v>
      </c>
      <c r="AB1734">
        <v>24</v>
      </c>
      <c r="AC1734">
        <v>0.64629999999999599</v>
      </c>
      <c r="AD1734">
        <v>-1.106690686239</v>
      </c>
      <c r="AE1734">
        <v>-9.9109099999999994</v>
      </c>
      <c r="AF1734">
        <v>-0.58623989988654801</v>
      </c>
      <c r="AG1734">
        <v>-1.106690686239</v>
      </c>
      <c r="AH1734">
        <v>9.7926253567137103</v>
      </c>
      <c r="AI1734">
        <v>96.436365206390505</v>
      </c>
      <c r="AJ1734">
        <v>93.425948668343906</v>
      </c>
      <c r="AK1734">
        <v>9.8723833430524497</v>
      </c>
      <c r="AL1734">
        <v>81.180381447349106</v>
      </c>
      <c r="AM1734">
        <v>94.2732571595796</v>
      </c>
      <c r="AN1734">
        <v>0.99999996773492505</v>
      </c>
    </row>
    <row r="1735" spans="1:40" x14ac:dyDescent="0.3">
      <c r="A1735" t="str">
        <f>"20200111150349623"</f>
        <v>20200111150349623</v>
      </c>
      <c r="B1735" t="str">
        <f>"1578726229620359"</f>
        <v>1578726229620359</v>
      </c>
      <c r="C1735" t="s">
        <v>40</v>
      </c>
      <c r="D1735">
        <v>5.2056209999999998</v>
      </c>
      <c r="E1735">
        <v>0.50595409999999996</v>
      </c>
      <c r="F1735" t="s">
        <v>41</v>
      </c>
      <c r="G1735">
        <v>-416.84840000000003</v>
      </c>
      <c r="H1735" s="1">
        <v>-4.7376040000000003E-6</v>
      </c>
      <c r="I1735">
        <v>89.373109999999997</v>
      </c>
      <c r="J1735">
        <v>-417.5317</v>
      </c>
      <c r="K1735">
        <v>1.1066400000000001</v>
      </c>
      <c r="L1735">
        <v>98.949799999999996</v>
      </c>
      <c r="M1735">
        <v>8.317985E-3</v>
      </c>
      <c r="N1735">
        <v>0</v>
      </c>
      <c r="O1735">
        <v>-0.99986949999999997</v>
      </c>
      <c r="P1735">
        <v>7.9052810000000001E-2</v>
      </c>
      <c r="Q1735">
        <v>0.1391733</v>
      </c>
      <c r="R1735">
        <v>-0.98710770000000003</v>
      </c>
      <c r="S1735">
        <v>0.21545410000000001</v>
      </c>
      <c r="T1735">
        <v>-0.346553</v>
      </c>
      <c r="U1735">
        <v>-3.0714419999999998</v>
      </c>
      <c r="V1735">
        <v>-7.1580859999999996E-2</v>
      </c>
      <c r="W1735">
        <v>0.1524982</v>
      </c>
      <c r="X1735">
        <v>0.98570809999999998</v>
      </c>
      <c r="Y1735">
        <v>-6.123555E-2</v>
      </c>
      <c r="Z1735">
        <v>0.11187270000000001</v>
      </c>
      <c r="AA1735">
        <v>0.99183399999999999</v>
      </c>
      <c r="AB1735">
        <v>24</v>
      </c>
      <c r="AC1735">
        <v>0.68329999999997404</v>
      </c>
      <c r="AD1735">
        <v>-1.1066447376040001</v>
      </c>
      <c r="AE1735">
        <v>-9.5766899999999993</v>
      </c>
      <c r="AF1735">
        <v>-0.59569579337381495</v>
      </c>
      <c r="AG1735">
        <v>-1.1066447376040001</v>
      </c>
      <c r="AH1735">
        <v>9.4564090508214793</v>
      </c>
      <c r="AI1735">
        <v>96.661644769554798</v>
      </c>
      <c r="AJ1735">
        <v>93.604520014412401</v>
      </c>
      <c r="AK1735">
        <v>9.5395591192658493</v>
      </c>
      <c r="AL1735">
        <v>81.228271140110905</v>
      </c>
      <c r="AM1735">
        <v>94.153455326248803</v>
      </c>
      <c r="AN1735">
        <v>0.99999998946359403</v>
      </c>
    </row>
    <row r="1736" spans="1:40" x14ac:dyDescent="0.3">
      <c r="A1736" t="str">
        <f>"20200111150349646"</f>
        <v>20200111150349646</v>
      </c>
      <c r="B1736" t="str">
        <f>"1578726229639879"</f>
        <v>1578726229639879</v>
      </c>
      <c r="C1736" t="s">
        <v>40</v>
      </c>
      <c r="D1736">
        <v>5.1793909999999999</v>
      </c>
      <c r="E1736">
        <v>0.50585469999999999</v>
      </c>
      <c r="F1736" t="s">
        <v>41</v>
      </c>
      <c r="G1736">
        <v>-416.85910000000001</v>
      </c>
      <c r="H1736" s="1">
        <v>-4.5157300000000002E-6</v>
      </c>
      <c r="I1736">
        <v>88.860320000000002</v>
      </c>
      <c r="J1736">
        <v>-417.52609999999999</v>
      </c>
      <c r="K1736">
        <v>1.1065879999999999</v>
      </c>
      <c r="L1736">
        <v>98.70966</v>
      </c>
      <c r="M1736">
        <v>1.137269E-2</v>
      </c>
      <c r="N1736">
        <v>0</v>
      </c>
      <c r="O1736">
        <v>-0.99983949999999999</v>
      </c>
      <c r="P1736">
        <v>8.087192E-2</v>
      </c>
      <c r="Q1736">
        <v>0.13819020000000001</v>
      </c>
      <c r="R1736">
        <v>-0.9870987</v>
      </c>
      <c r="S1736">
        <v>0.20468140000000001</v>
      </c>
      <c r="T1736">
        <v>-0.33675769999999999</v>
      </c>
      <c r="U1736">
        <v>-3.0702820000000002</v>
      </c>
      <c r="V1736">
        <v>-7.0360430000000002E-2</v>
      </c>
      <c r="W1736">
        <v>0.15152869999999999</v>
      </c>
      <c r="X1736">
        <v>0.98594550000000003</v>
      </c>
      <c r="Y1736">
        <v>-5.476984E-2</v>
      </c>
      <c r="Z1736">
        <v>0.1088175</v>
      </c>
      <c r="AA1736">
        <v>0.99255170000000004</v>
      </c>
      <c r="AB1736">
        <v>24</v>
      </c>
      <c r="AC1736">
        <v>0.66699999999997295</v>
      </c>
      <c r="AD1736">
        <v>-1.1065925157299901</v>
      </c>
      <c r="AE1736">
        <v>-9.8493399999999909</v>
      </c>
      <c r="AF1736">
        <v>-0.54804624658478196</v>
      </c>
      <c r="AG1736">
        <v>-1.1065925157299901</v>
      </c>
      <c r="AH1736">
        <v>9.7339785230481404</v>
      </c>
      <c r="AI1736">
        <v>96.4755704062365</v>
      </c>
      <c r="AJ1736">
        <v>93.2224870965496</v>
      </c>
      <c r="AK1736">
        <v>9.8119946785262595</v>
      </c>
      <c r="AL1736">
        <v>81.284472932648498</v>
      </c>
      <c r="AM1736">
        <v>94.081902068780096</v>
      </c>
      <c r="AN1736">
        <v>1.0000000330018599</v>
      </c>
    </row>
    <row r="1737" spans="1:40" x14ac:dyDescent="0.3">
      <c r="A1737" t="str">
        <f>"20200111150349668"</f>
        <v>20200111150349668</v>
      </c>
      <c r="B1737" t="str">
        <f>"1578726229660378"</f>
        <v>1578726229660378</v>
      </c>
      <c r="C1737" t="s">
        <v>40</v>
      </c>
      <c r="D1737">
        <v>5.1818999999999997</v>
      </c>
      <c r="E1737">
        <v>0.5058821</v>
      </c>
      <c r="F1737" t="s">
        <v>41</v>
      </c>
      <c r="G1737">
        <v>-416.83350000000002</v>
      </c>
      <c r="H1737" s="1">
        <v>-4.42414E-6</v>
      </c>
      <c r="I1737">
        <v>88.636229999999998</v>
      </c>
      <c r="J1737">
        <v>-417.52</v>
      </c>
      <c r="K1737">
        <v>1.1065309999999999</v>
      </c>
      <c r="L1737">
        <v>98.475399999999993</v>
      </c>
      <c r="M1737">
        <v>1.43023E-2</v>
      </c>
      <c r="N1737">
        <v>0</v>
      </c>
      <c r="O1737">
        <v>-0.99980190000000002</v>
      </c>
      <c r="P1737">
        <v>8.3007269999999994E-2</v>
      </c>
      <c r="Q1737">
        <v>0.1371434</v>
      </c>
      <c r="R1737">
        <v>-0.98706729999999998</v>
      </c>
      <c r="S1737">
        <v>0.2110291</v>
      </c>
      <c r="T1737">
        <v>-0.33715129999999999</v>
      </c>
      <c r="U1737">
        <v>-3.0691220000000001</v>
      </c>
      <c r="V1737">
        <v>-6.9577490000000006E-2</v>
      </c>
      <c r="W1737">
        <v>0.15049270000000001</v>
      </c>
      <c r="X1737">
        <v>0.98615969999999997</v>
      </c>
      <c r="Y1737">
        <v>-5.3911319999999999E-2</v>
      </c>
      <c r="Z1737">
        <v>0.10897270000000001</v>
      </c>
      <c r="AA1737">
        <v>0.99258170000000001</v>
      </c>
      <c r="AB1737">
        <v>24</v>
      </c>
      <c r="AC1737">
        <v>0.68649999999996603</v>
      </c>
      <c r="AD1737">
        <v>-1.1065354241399901</v>
      </c>
      <c r="AE1737">
        <v>-9.8391699999999904</v>
      </c>
      <c r="AF1737">
        <v>-0.53891053256640897</v>
      </c>
      <c r="AG1737">
        <v>-1.1065354241399901</v>
      </c>
      <c r="AH1737">
        <v>9.7255720807211805</v>
      </c>
      <c r="AI1737">
        <v>96.481107222702207</v>
      </c>
      <c r="AJ1737">
        <v>93.171613393487107</v>
      </c>
      <c r="AK1737">
        <v>9.8031422260564494</v>
      </c>
      <c r="AL1737">
        <v>81.344519832324295</v>
      </c>
      <c r="AM1737">
        <v>94.035757562269694</v>
      </c>
      <c r="AN1737">
        <v>1.0000000168860399</v>
      </c>
    </row>
    <row r="1738" spans="1:40" x14ac:dyDescent="0.3">
      <c r="A1738" t="str">
        <f>"20200111150349690"</f>
        <v>20200111150349690</v>
      </c>
      <c r="B1738" t="str">
        <f>"1578726229679895"</f>
        <v>1578726229679895</v>
      </c>
      <c r="C1738" t="s">
        <v>40</v>
      </c>
      <c r="D1738">
        <v>6.0121769999999897</v>
      </c>
      <c r="E1738">
        <v>0.50613359999999996</v>
      </c>
      <c r="F1738" t="s">
        <v>41</v>
      </c>
      <c r="G1738">
        <v>-416.80790000000002</v>
      </c>
      <c r="H1738" s="1">
        <v>-4.3272800000000004E-6</v>
      </c>
      <c r="I1738">
        <v>88.399860000000004</v>
      </c>
      <c r="J1738">
        <v>-417.51339999999999</v>
      </c>
      <c r="K1738">
        <v>1.1064659999999999</v>
      </c>
      <c r="L1738">
        <v>98.248350000000002</v>
      </c>
      <c r="M1738">
        <v>1.7079629999999998E-2</v>
      </c>
      <c r="N1738">
        <v>0</v>
      </c>
      <c r="O1738">
        <v>-0.99975849999999999</v>
      </c>
      <c r="P1738">
        <v>8.5363410000000001E-2</v>
      </c>
      <c r="Q1738">
        <v>0.1358558</v>
      </c>
      <c r="R1738">
        <v>-0.98704460000000005</v>
      </c>
      <c r="S1738">
        <v>0.2168274</v>
      </c>
      <c r="T1738">
        <v>-0.33692909999999998</v>
      </c>
      <c r="U1738">
        <v>-3.0679020000000001</v>
      </c>
      <c r="V1738">
        <v>-6.9161699999999895E-2</v>
      </c>
      <c r="W1738">
        <v>0.14921599999999999</v>
      </c>
      <c r="X1738">
        <v>0.98638289999999995</v>
      </c>
      <c r="Y1738">
        <v>-5.3031689999999999E-2</v>
      </c>
      <c r="Z1738">
        <v>0.1089329</v>
      </c>
      <c r="AA1738">
        <v>0.99263349999999995</v>
      </c>
      <c r="AB1738">
        <v>24</v>
      </c>
      <c r="AC1738">
        <v>0.70549999999997204</v>
      </c>
      <c r="AD1738">
        <v>-1.1064703272799901</v>
      </c>
      <c r="AE1738">
        <v>-9.8484899999999893</v>
      </c>
      <c r="AF1738">
        <v>-0.53051032013379296</v>
      </c>
      <c r="AG1738">
        <v>-1.1064703272799901</v>
      </c>
      <c r="AH1738">
        <v>9.7368297655566707</v>
      </c>
      <c r="AI1738">
        <v>96.473625712702997</v>
      </c>
      <c r="AJ1738">
        <v>93.118671950508897</v>
      </c>
      <c r="AK1738">
        <v>9.81384591627309</v>
      </c>
      <c r="AL1738">
        <v>81.418504561247403</v>
      </c>
      <c r="AM1738">
        <v>94.010814337300602</v>
      </c>
      <c r="AN1738">
        <v>0.99999999040764898</v>
      </c>
    </row>
    <row r="1739" spans="1:40" x14ac:dyDescent="0.3">
      <c r="A1739" t="str">
        <f>"20200111150349713"</f>
        <v>20200111150349713</v>
      </c>
      <c r="B1739" t="str">
        <f>"1578726229700391"</f>
        <v>1578726229700391</v>
      </c>
      <c r="C1739" t="s">
        <v>40</v>
      </c>
      <c r="D1739">
        <v>5.1715269999999904</v>
      </c>
      <c r="E1739">
        <v>0.50613399999999997</v>
      </c>
      <c r="F1739" t="s">
        <v>42</v>
      </c>
      <c r="G1739">
        <v>-417.44810000000001</v>
      </c>
      <c r="H1739">
        <v>1.008751</v>
      </c>
      <c r="I1739">
        <v>97.341549999999998</v>
      </c>
      <c r="J1739">
        <v>-417.5061</v>
      </c>
      <c r="K1739">
        <v>1.106395</v>
      </c>
      <c r="L1739">
        <v>98.017150000000001</v>
      </c>
      <c r="M1739">
        <v>1.9831330000000001E-2</v>
      </c>
      <c r="N1739">
        <v>0</v>
      </c>
      <c r="O1739">
        <v>-0.99970789999999998</v>
      </c>
      <c r="P1739">
        <v>8.8219160000000005E-2</v>
      </c>
      <c r="Q1739">
        <v>0.13500219999999999</v>
      </c>
      <c r="R1739">
        <v>-0.98691059999999997</v>
      </c>
      <c r="S1739">
        <v>0.22189329999999999</v>
      </c>
      <c r="T1739">
        <v>-0.33070549999999999</v>
      </c>
      <c r="U1739">
        <v>-3.0657040000000002</v>
      </c>
      <c r="V1739">
        <v>-6.9270319999999996E-2</v>
      </c>
      <c r="W1739">
        <v>0.1483701</v>
      </c>
      <c r="X1739">
        <v>0.98650289999999996</v>
      </c>
      <c r="Y1739">
        <v>-5.1980199999999997E-2</v>
      </c>
      <c r="Z1739">
        <v>0.107008199999999</v>
      </c>
      <c r="AA1739">
        <v>0.99289850000000002</v>
      </c>
      <c r="AB1739">
        <v>24</v>
      </c>
      <c r="AC1739">
        <v>5.7999999999992703E-2</v>
      </c>
      <c r="AD1739">
        <v>-9.7643999999999995E-2</v>
      </c>
      <c r="AE1739">
        <v>-0.67560000000000198</v>
      </c>
      <c r="AF1739">
        <v>-4.3683451002952699E-2</v>
      </c>
      <c r="AG1739">
        <v>-9.7643999999999995E-2</v>
      </c>
      <c r="AH1739">
        <v>0.66287219053725999</v>
      </c>
      <c r="AI1739">
        <v>98.361779077579598</v>
      </c>
      <c r="AJ1739">
        <v>93.7703551636192</v>
      </c>
      <c r="AK1739">
        <v>0.67144779068457205</v>
      </c>
      <c r="AL1739">
        <v>81.467516883330305</v>
      </c>
      <c r="AM1739">
        <v>94.016605757928801</v>
      </c>
      <c r="AN1739">
        <v>1.00000001775766</v>
      </c>
    </row>
    <row r="1740" spans="1:40" x14ac:dyDescent="0.3">
      <c r="A1740" t="str">
        <f>"20200111150349734"</f>
        <v>20200111150349734</v>
      </c>
      <c r="B1740" t="str">
        <f>"1578726229729672"</f>
        <v>1578726229729672</v>
      </c>
      <c r="C1740" t="s">
        <v>40</v>
      </c>
      <c r="D1740">
        <v>5.1412570000000004</v>
      </c>
      <c r="E1740">
        <v>0.50636700000000001</v>
      </c>
      <c r="F1740" t="s">
        <v>42</v>
      </c>
      <c r="G1740">
        <v>-417.44009999999997</v>
      </c>
      <c r="H1740">
        <v>1.0099320000000001</v>
      </c>
      <c r="I1740">
        <v>97.131789999999995</v>
      </c>
      <c r="J1740">
        <v>-417.49829999999997</v>
      </c>
      <c r="K1740">
        <v>1.1063229999999999</v>
      </c>
      <c r="L1740">
        <v>97.784909999999996</v>
      </c>
      <c r="M1740">
        <v>2.2522480000000001E-2</v>
      </c>
      <c r="N1740">
        <v>0</v>
      </c>
      <c r="O1740">
        <v>-0.99965059999999994</v>
      </c>
      <c r="P1740">
        <v>9.2128769999999999E-2</v>
      </c>
      <c r="Q1740">
        <v>0.13398309999999999</v>
      </c>
      <c r="R1740">
        <v>-0.98669200000000001</v>
      </c>
      <c r="S1740">
        <v>0.2295227</v>
      </c>
      <c r="T1740">
        <v>-0.33416780000000001</v>
      </c>
      <c r="U1740">
        <v>-3.064972</v>
      </c>
      <c r="V1740">
        <v>-7.0493799999999995E-2</v>
      </c>
      <c r="W1740">
        <v>0.14735279999999901</v>
      </c>
      <c r="X1740">
        <v>0.98656869999999997</v>
      </c>
      <c r="Y1740">
        <v>-5.1758150000000003E-2</v>
      </c>
      <c r="Z1740">
        <v>0.1081226</v>
      </c>
      <c r="AA1740">
        <v>0.99278929999999999</v>
      </c>
      <c r="AB1740">
        <v>24</v>
      </c>
      <c r="AC1740">
        <v>5.8199999999999301E-2</v>
      </c>
      <c r="AD1740">
        <v>-9.6390999999999893E-2</v>
      </c>
      <c r="AE1740">
        <v>-0.65311999999998704</v>
      </c>
      <c r="AF1740">
        <v>-4.2554350105109197E-2</v>
      </c>
      <c r="AG1740">
        <v>-9.6390999999999893E-2</v>
      </c>
      <c r="AH1740">
        <v>0.64042571753153599</v>
      </c>
      <c r="AI1740">
        <v>98.5408319582627</v>
      </c>
      <c r="AJ1740">
        <v>93.801542806038896</v>
      </c>
      <c r="AK1740">
        <v>0.64903559014098</v>
      </c>
      <c r="AL1740">
        <v>81.526451635869194</v>
      </c>
      <c r="AM1740">
        <v>94.087038603073495</v>
      </c>
      <c r="AN1740">
        <v>1.0000000116629799</v>
      </c>
    </row>
    <row r="1741" spans="1:40" x14ac:dyDescent="0.3">
      <c r="A1741" t="str">
        <f>"20200111150349757"</f>
        <v>20200111150349757</v>
      </c>
      <c r="B1741" t="str">
        <f>"1578726229750167"</f>
        <v>1578726229750167</v>
      </c>
      <c r="C1741" t="s">
        <v>40</v>
      </c>
      <c r="D1741">
        <v>5.1994949999999998</v>
      </c>
      <c r="E1741">
        <v>0.50717679999999998</v>
      </c>
      <c r="F1741" t="s">
        <v>42</v>
      </c>
      <c r="G1741">
        <v>-417.43130000000002</v>
      </c>
      <c r="H1741">
        <v>1.0115479999999999</v>
      </c>
      <c r="I1741">
        <v>96.921940000000006</v>
      </c>
      <c r="J1741">
        <v>-417.48939999999999</v>
      </c>
      <c r="K1741">
        <v>1.1062399999999999</v>
      </c>
      <c r="L1741">
        <v>97.539789999999996</v>
      </c>
      <c r="M1741">
        <v>2.5262980000000001E-2</v>
      </c>
      <c r="N1741">
        <v>0</v>
      </c>
      <c r="O1741">
        <v>-0.99958519999999895</v>
      </c>
      <c r="P1741">
        <v>9.6390660000000003E-2</v>
      </c>
      <c r="Q1741">
        <v>0.13205239999999999</v>
      </c>
      <c r="R1741">
        <v>-0.98654509999999995</v>
      </c>
      <c r="S1741">
        <v>0.23934939999999999</v>
      </c>
      <c r="T1741">
        <v>-0.33684520000000001</v>
      </c>
      <c r="U1741">
        <v>-3.0638429999999999</v>
      </c>
      <c r="V1741">
        <v>-7.2013740000000007E-2</v>
      </c>
      <c r="W1741">
        <v>0.14542550000000001</v>
      </c>
      <c r="X1741">
        <v>0.98674490000000004</v>
      </c>
      <c r="Y1741">
        <v>-5.2205799999999997E-2</v>
      </c>
      <c r="Z1741">
        <v>0.1089931</v>
      </c>
      <c r="AA1741">
        <v>0.99267070000000002</v>
      </c>
      <c r="AB1741">
        <v>24</v>
      </c>
      <c r="AC1741">
        <v>5.8099999999967601E-2</v>
      </c>
      <c r="AD1741">
        <v>-9.4691999999999998E-2</v>
      </c>
      <c r="AE1741">
        <v>-0.61784999999999002</v>
      </c>
      <c r="AF1741">
        <v>-4.1504874867318103E-2</v>
      </c>
      <c r="AG1741">
        <v>-9.4691999999999998E-2</v>
      </c>
      <c r="AH1741">
        <v>0.60503375048680297</v>
      </c>
      <c r="AI1741">
        <v>98.874507624311093</v>
      </c>
      <c r="AJ1741">
        <v>93.924300736896498</v>
      </c>
      <c r="AK1741">
        <v>0.61380377054061697</v>
      </c>
      <c r="AL1741">
        <v>81.6380804992029</v>
      </c>
      <c r="AM1741">
        <v>94.174109421363596</v>
      </c>
      <c r="AN1741">
        <v>1.0000000262375199</v>
      </c>
    </row>
    <row r="1742" spans="1:40" x14ac:dyDescent="0.3">
      <c r="A1742" t="str">
        <f>"20200111150349779"</f>
        <v>20200111150349779</v>
      </c>
      <c r="B1742" t="str">
        <f>"1578726229769687"</f>
        <v>1578726229769687</v>
      </c>
      <c r="C1742" t="s">
        <v>40</v>
      </c>
      <c r="D1742">
        <v>5.2239779999999998</v>
      </c>
      <c r="E1742">
        <v>0.50721660000000002</v>
      </c>
      <c r="F1742" t="s">
        <v>42</v>
      </c>
      <c r="G1742">
        <v>-417.42340000000002</v>
      </c>
      <c r="H1742">
        <v>1.0132319999999999</v>
      </c>
      <c r="I1742">
        <v>96.712469999999996</v>
      </c>
      <c r="J1742">
        <v>-417.48090000000002</v>
      </c>
      <c r="K1742">
        <v>1.1061570000000001</v>
      </c>
      <c r="L1742">
        <v>97.314760000000007</v>
      </c>
      <c r="M1742">
        <v>2.7662010000000001E-2</v>
      </c>
      <c r="N1742">
        <v>0</v>
      </c>
      <c r="O1742">
        <v>-0.99952200000000002</v>
      </c>
      <c r="P1742">
        <v>0.1013554</v>
      </c>
      <c r="Q1742">
        <v>0.131382</v>
      </c>
      <c r="R1742">
        <v>-0.98613720000000005</v>
      </c>
      <c r="S1742">
        <v>0.24511720000000001</v>
      </c>
      <c r="T1742">
        <v>-0.34449159999999901</v>
      </c>
      <c r="U1742">
        <v>-3.0630799999999998</v>
      </c>
      <c r="V1742">
        <v>-7.4584800000000007E-2</v>
      </c>
      <c r="W1742">
        <v>0.14475180000000001</v>
      </c>
      <c r="X1742">
        <v>0.986653</v>
      </c>
      <c r="Y1742">
        <v>-5.1664080000000001E-2</v>
      </c>
      <c r="Z1742">
        <v>0.111447</v>
      </c>
      <c r="AA1742">
        <v>0.99242649999999999</v>
      </c>
      <c r="AB1742">
        <v>23</v>
      </c>
      <c r="AC1742">
        <v>5.7500000000004499E-2</v>
      </c>
      <c r="AD1742">
        <v>-9.2925000000000105E-2</v>
      </c>
      <c r="AE1742">
        <v>-0.602289999999996</v>
      </c>
      <c r="AF1742">
        <v>-3.9875227362639598E-2</v>
      </c>
      <c r="AG1742">
        <v>-9.2925000000000105E-2</v>
      </c>
      <c r="AH1742">
        <v>0.58973872416920803</v>
      </c>
      <c r="AI1742">
        <v>98.934390204997896</v>
      </c>
      <c r="AJ1742">
        <v>93.868170698262105</v>
      </c>
      <c r="AK1742">
        <v>0.59834509454573703</v>
      </c>
      <c r="AL1742">
        <v>81.677093751508906</v>
      </c>
      <c r="AM1742">
        <v>94.322980894807202</v>
      </c>
      <c r="AN1742">
        <v>1.00000005920163</v>
      </c>
    </row>
    <row r="1743" spans="1:40" x14ac:dyDescent="0.3">
      <c r="A1743" t="str">
        <f>"20200111150349813"</f>
        <v>20200111150349813</v>
      </c>
      <c r="B1743" t="str">
        <f>"1578726229809703"</f>
        <v>1578726229809703</v>
      </c>
      <c r="C1743" t="s">
        <v>40</v>
      </c>
      <c r="D1743">
        <v>5.1401190000000003</v>
      </c>
      <c r="E1743">
        <v>0.50771219999999995</v>
      </c>
      <c r="F1743" t="s">
        <v>42</v>
      </c>
      <c r="G1743">
        <v>-417.41230000000002</v>
      </c>
      <c r="H1743">
        <v>1.014202</v>
      </c>
      <c r="I1743">
        <v>96.503110000000007</v>
      </c>
      <c r="J1743">
        <v>-417.4667</v>
      </c>
      <c r="K1743">
        <v>1.106009</v>
      </c>
      <c r="L1743">
        <v>96.963380000000001</v>
      </c>
      <c r="M1743">
        <v>3.1123109999999999E-2</v>
      </c>
      <c r="N1743">
        <v>0</v>
      </c>
      <c r="O1743">
        <v>-0.99942030000000004</v>
      </c>
      <c r="P1743">
        <v>0.1073414</v>
      </c>
      <c r="Q1743">
        <v>0.132885999999999</v>
      </c>
      <c r="R1743">
        <v>-0.98530169999999995</v>
      </c>
      <c r="S1743">
        <v>0.25970460000000001</v>
      </c>
      <c r="T1743">
        <v>-0.34712910000000002</v>
      </c>
      <c r="U1743">
        <v>-3.0617369999999999</v>
      </c>
      <c r="V1743">
        <v>-7.7120040000000001E-2</v>
      </c>
      <c r="W1743">
        <v>0.14625949999999999</v>
      </c>
      <c r="X1743">
        <v>0.98623559999999999</v>
      </c>
      <c r="Y1743">
        <v>-5.2928749999999997E-2</v>
      </c>
      <c r="Z1743">
        <v>0.1122956</v>
      </c>
      <c r="AA1743">
        <v>0.99226420000000004</v>
      </c>
      <c r="AB1743">
        <v>23</v>
      </c>
      <c r="AC1743">
        <v>5.4399999999986903E-2</v>
      </c>
      <c r="AD1743">
        <v>-9.1806999999999903E-2</v>
      </c>
      <c r="AE1743">
        <v>-0.46027000000000801</v>
      </c>
      <c r="AF1743">
        <v>-3.8535217366538498E-2</v>
      </c>
      <c r="AG1743">
        <v>-9.1806999999999903E-2</v>
      </c>
      <c r="AH1743">
        <v>0.44430675000326902</v>
      </c>
      <c r="AI1743">
        <v>101.632238228391</v>
      </c>
      <c r="AJ1743">
        <v>94.956922230846601</v>
      </c>
      <c r="AK1743">
        <v>0.455326230657705</v>
      </c>
      <c r="AL1743">
        <v>81.589779154957199</v>
      </c>
      <c r="AM1743">
        <v>94.471223207241493</v>
      </c>
      <c r="AN1743">
        <v>1.0000000003086</v>
      </c>
    </row>
    <row r="1744" spans="1:40" x14ac:dyDescent="0.3">
      <c r="A1744" t="str">
        <f>"20200111150349835"</f>
        <v>20200111150349835</v>
      </c>
      <c r="B1744" t="str">
        <f>"1578726229830199"</f>
        <v>1578726229830199</v>
      </c>
      <c r="C1744" t="s">
        <v>40</v>
      </c>
      <c r="D1744">
        <v>5.1306510000000003</v>
      </c>
      <c r="E1744">
        <v>0.50806589999999996</v>
      </c>
      <c r="F1744" t="s">
        <v>42</v>
      </c>
      <c r="G1744">
        <v>-417.38869999999997</v>
      </c>
      <c r="H1744">
        <v>1.010141</v>
      </c>
      <c r="I1744">
        <v>96.089460000000003</v>
      </c>
      <c r="J1744">
        <v>-417.4572</v>
      </c>
      <c r="K1744">
        <v>1.1058920000000001</v>
      </c>
      <c r="L1744">
        <v>96.736149999999995</v>
      </c>
      <c r="M1744">
        <v>3.314682E-2</v>
      </c>
      <c r="N1744">
        <v>0</v>
      </c>
      <c r="O1744">
        <v>-0.9993552</v>
      </c>
      <c r="P1744">
        <v>0.109913</v>
      </c>
      <c r="Q1744">
        <v>0.13451450000000001</v>
      </c>
      <c r="R1744">
        <v>-0.98479689999999998</v>
      </c>
      <c r="S1744">
        <v>0.27447510000000003</v>
      </c>
      <c r="T1744">
        <v>-0.33592820000000001</v>
      </c>
      <c r="U1744">
        <v>-3.0601500000000001</v>
      </c>
      <c r="V1744">
        <v>-7.7667100000000003E-2</v>
      </c>
      <c r="W1744">
        <v>0.147898</v>
      </c>
      <c r="X1744">
        <v>0.9859483</v>
      </c>
      <c r="Y1744">
        <v>-5.5738419999999997E-2</v>
      </c>
      <c r="Z1744">
        <v>0.1087299</v>
      </c>
      <c r="AA1744">
        <v>0.99250749999999999</v>
      </c>
      <c r="AB1744">
        <v>23</v>
      </c>
      <c r="AC1744">
        <v>6.8500000000028594E-2</v>
      </c>
      <c r="AD1744">
        <v>-9.57510000000001E-2</v>
      </c>
      <c r="AE1744">
        <v>-0.64668999999999199</v>
      </c>
      <c r="AF1744">
        <v>-4.6026756956346997E-2</v>
      </c>
      <c r="AG1744">
        <v>-9.57510000000001E-2</v>
      </c>
      <c r="AH1744">
        <v>0.63484229809588499</v>
      </c>
      <c r="AI1744">
        <v>98.554948071446304</v>
      </c>
      <c r="AJ1744">
        <v>94.146750805137202</v>
      </c>
      <c r="AK1744">
        <v>0.64367030365598099</v>
      </c>
      <c r="AL1744">
        <v>81.494868026900605</v>
      </c>
      <c r="AM1744">
        <v>94.504117070124806</v>
      </c>
      <c r="AN1744">
        <v>1.00000002354964</v>
      </c>
    </row>
    <row r="1745" spans="1:40" x14ac:dyDescent="0.3">
      <c r="A1745" t="str">
        <f>"20200111150349858"</f>
        <v>20200111150349858</v>
      </c>
      <c r="B1745" t="str">
        <f>"1578726229850695"</f>
        <v>1578726229850695</v>
      </c>
      <c r="C1745" t="s">
        <v>40</v>
      </c>
      <c r="D1745">
        <v>5.184876</v>
      </c>
      <c r="E1745">
        <v>0.50851869999999999</v>
      </c>
      <c r="F1745" t="s">
        <v>42</v>
      </c>
      <c r="G1745">
        <v>-417.37920000000003</v>
      </c>
      <c r="H1745">
        <v>1.0129859999999999</v>
      </c>
      <c r="I1745">
        <v>95.879840000000002</v>
      </c>
      <c r="J1745">
        <v>-417.44690000000003</v>
      </c>
      <c r="K1745">
        <v>1.105782</v>
      </c>
      <c r="L1745">
        <v>96.496889999999993</v>
      </c>
      <c r="M1745">
        <v>3.5111530000000002E-2</v>
      </c>
      <c r="N1745">
        <v>0</v>
      </c>
      <c r="O1745">
        <v>-0.99928839999999997</v>
      </c>
      <c r="P1745">
        <v>0.1107172</v>
      </c>
      <c r="Q1745">
        <v>0.1352247</v>
      </c>
      <c r="R1745">
        <v>-0.98460959999999997</v>
      </c>
      <c r="S1745">
        <v>0.27935789999999999</v>
      </c>
      <c r="T1745">
        <v>-0.33216109999999999</v>
      </c>
      <c r="U1745">
        <v>-3.060486</v>
      </c>
      <c r="V1745">
        <v>-7.649077E-2</v>
      </c>
      <c r="W1745">
        <v>0.14862800000000001</v>
      </c>
      <c r="X1745">
        <v>0.98593039999999998</v>
      </c>
      <c r="Y1745">
        <v>-5.5348609999999999E-2</v>
      </c>
      <c r="Z1745">
        <v>0.10749589999999901</v>
      </c>
      <c r="AA1745">
        <v>0.99266370000000004</v>
      </c>
      <c r="AB1745">
        <v>23</v>
      </c>
      <c r="AC1745">
        <v>6.7700000000001995E-2</v>
      </c>
      <c r="AD1745">
        <v>-9.2795999999999795E-2</v>
      </c>
      <c r="AE1745">
        <v>-0.61705000000000598</v>
      </c>
      <c r="AF1745">
        <v>-4.4985329809499597E-2</v>
      </c>
      <c r="AG1745">
        <v>-9.2795999999999795E-2</v>
      </c>
      <c r="AH1745">
        <v>0.60551522130188895</v>
      </c>
      <c r="AI1745">
        <v>98.689285355798901</v>
      </c>
      <c r="AJ1745">
        <v>94.248849679302694</v>
      </c>
      <c r="AK1745">
        <v>0.61423404394607195</v>
      </c>
      <c r="AL1745">
        <v>81.452573934774506</v>
      </c>
      <c r="AM1745">
        <v>94.436253243019294</v>
      </c>
      <c r="AN1745">
        <v>0.999999936961674</v>
      </c>
    </row>
    <row r="1746" spans="1:40" x14ac:dyDescent="0.3">
      <c r="A1746" t="str">
        <f>"20200111150349881"</f>
        <v>20200111150349881</v>
      </c>
      <c r="B1746" t="str">
        <f>"1578726229870215"</f>
        <v>1578726229870215</v>
      </c>
      <c r="C1746" t="s">
        <v>40</v>
      </c>
      <c r="D1746">
        <v>5.1418210000000002</v>
      </c>
      <c r="E1746">
        <v>0.50872589999999995</v>
      </c>
      <c r="F1746" t="s">
        <v>42</v>
      </c>
      <c r="G1746">
        <v>-417.37209999999999</v>
      </c>
      <c r="H1746">
        <v>1.0168950000000001</v>
      </c>
      <c r="I1746">
        <v>95.669939999999997</v>
      </c>
      <c r="J1746">
        <v>-417.43630000000002</v>
      </c>
      <c r="K1746">
        <v>1.1056600000000001</v>
      </c>
      <c r="L1746">
        <v>96.25882</v>
      </c>
      <c r="M1746">
        <v>3.6873660000000003E-2</v>
      </c>
      <c r="N1746">
        <v>0</v>
      </c>
      <c r="O1746">
        <v>-0.99922489999999997</v>
      </c>
      <c r="P1746">
        <v>0.1103526</v>
      </c>
      <c r="Q1746">
        <v>0.13571359999999999</v>
      </c>
      <c r="R1746">
        <v>-0.98458319999999999</v>
      </c>
      <c r="S1746">
        <v>0.27832030000000002</v>
      </c>
      <c r="T1746">
        <v>-0.329227299999999</v>
      </c>
      <c r="U1746">
        <v>-3.060791</v>
      </c>
      <c r="V1746">
        <v>-7.4340539999999997E-2</v>
      </c>
      <c r="W1746">
        <v>0.1491401</v>
      </c>
      <c r="X1746">
        <v>0.98601760000000005</v>
      </c>
      <c r="Y1746">
        <v>-5.3254320000000001E-2</v>
      </c>
      <c r="Z1746">
        <v>0.1065444</v>
      </c>
      <c r="AA1746">
        <v>0.99288080000000001</v>
      </c>
      <c r="AB1746">
        <v>23</v>
      </c>
      <c r="AC1746">
        <v>6.4200000000027999E-2</v>
      </c>
      <c r="AD1746">
        <v>-8.87649999999999E-2</v>
      </c>
      <c r="AE1746">
        <v>-0.58888000000000296</v>
      </c>
      <c r="AF1746">
        <v>-4.1508075560648901E-2</v>
      </c>
      <c r="AG1746">
        <v>-8.87649999999999E-2</v>
      </c>
      <c r="AH1746">
        <v>0.57787129499044898</v>
      </c>
      <c r="AI1746">
        <v>98.710672046784794</v>
      </c>
      <c r="AJ1746">
        <v>94.108458151201205</v>
      </c>
      <c r="AK1746">
        <v>0.58612061824823003</v>
      </c>
      <c r="AL1746">
        <v>81.422902574495495</v>
      </c>
      <c r="AM1746">
        <v>94.311643058977396</v>
      </c>
      <c r="AN1746">
        <v>0.99999999641263004</v>
      </c>
    </row>
    <row r="1747" spans="1:40" x14ac:dyDescent="0.3">
      <c r="A1747" t="str">
        <f>"20200111150349903"</f>
        <v>20200111150349903</v>
      </c>
      <c r="B1747" t="str">
        <f>"1578726229900472"</f>
        <v>1578726229900472</v>
      </c>
      <c r="C1747" t="s">
        <v>40</v>
      </c>
      <c r="D1747">
        <v>5.2144909999999998</v>
      </c>
      <c r="E1747">
        <v>0.50908339999999996</v>
      </c>
      <c r="F1747" t="s">
        <v>42</v>
      </c>
      <c r="G1747">
        <v>-417.36439999999999</v>
      </c>
      <c r="H1747">
        <v>1.0193080000000001</v>
      </c>
      <c r="I1747">
        <v>95.458399999999997</v>
      </c>
      <c r="J1747">
        <v>-417.42619999999999</v>
      </c>
      <c r="K1747">
        <v>1.1055410000000001</v>
      </c>
      <c r="L1747">
        <v>96.034909999999996</v>
      </c>
      <c r="M1747">
        <v>3.8340880000000001E-2</v>
      </c>
      <c r="N1747">
        <v>0</v>
      </c>
      <c r="O1747">
        <v>-0.99916959999999999</v>
      </c>
      <c r="P1747">
        <v>0.1098174</v>
      </c>
      <c r="Q1747">
        <v>0.1359407</v>
      </c>
      <c r="R1747">
        <v>-0.98461160000000003</v>
      </c>
      <c r="S1747">
        <v>0.27545170000000002</v>
      </c>
      <c r="T1747">
        <v>-0.33034239999999998</v>
      </c>
      <c r="U1747">
        <v>-3.0616150000000002</v>
      </c>
      <c r="V1747">
        <v>-7.2311210000000001E-2</v>
      </c>
      <c r="W1747">
        <v>0.1493881</v>
      </c>
      <c r="X1747">
        <v>0.98613099999999998</v>
      </c>
      <c r="Y1747">
        <v>-5.0837840000000002E-2</v>
      </c>
      <c r="Z1747">
        <v>0.1068752</v>
      </c>
      <c r="AA1747">
        <v>0.99297190000000002</v>
      </c>
      <c r="AB1747">
        <v>23</v>
      </c>
      <c r="AC1747">
        <v>6.1800000000005101E-2</v>
      </c>
      <c r="AD1747">
        <v>-8.6232999999999699E-2</v>
      </c>
      <c r="AE1747">
        <v>-0.57650999999999897</v>
      </c>
      <c r="AF1747">
        <v>-3.8790530025097102E-2</v>
      </c>
      <c r="AG1747">
        <v>-8.6232999999999699E-2</v>
      </c>
      <c r="AH1747">
        <v>0.56593757533415101</v>
      </c>
      <c r="AI1747">
        <v>98.643657299738095</v>
      </c>
      <c r="AJ1747">
        <v>93.921038347194795</v>
      </c>
      <c r="AK1747">
        <v>0.57378234086082303</v>
      </c>
      <c r="AL1747">
        <v>81.408532546395094</v>
      </c>
      <c r="AM1747">
        <v>94.193890174175095</v>
      </c>
      <c r="AN1747">
        <v>1.0000000323371301</v>
      </c>
    </row>
    <row r="1748" spans="1:40" x14ac:dyDescent="0.3">
      <c r="A1748" t="str">
        <f>"20200111150349925"</f>
        <v>20200111150349925</v>
      </c>
      <c r="B1748" t="str">
        <f>"1578726229919992"</f>
        <v>1578726229919992</v>
      </c>
      <c r="C1748" t="s">
        <v>40</v>
      </c>
      <c r="D1748">
        <v>5.2167389999999996</v>
      </c>
      <c r="E1748">
        <v>0.54496309999999903</v>
      </c>
      <c r="F1748" t="s">
        <v>42</v>
      </c>
      <c r="G1748">
        <v>-417.35680000000002</v>
      </c>
      <c r="H1748">
        <v>1.021631</v>
      </c>
      <c r="I1748">
        <v>95.247159999999994</v>
      </c>
      <c r="J1748">
        <v>-417.41550000000001</v>
      </c>
      <c r="K1748">
        <v>1.105418</v>
      </c>
      <c r="L1748">
        <v>95.800449999999998</v>
      </c>
      <c r="M1748">
        <v>3.9688059999999997E-2</v>
      </c>
      <c r="N1748">
        <v>0</v>
      </c>
      <c r="O1748">
        <v>-0.99911709999999998</v>
      </c>
      <c r="P1748">
        <v>0.1090038</v>
      </c>
      <c r="Q1748">
        <v>0.135804799999999</v>
      </c>
      <c r="R1748">
        <v>-0.98472110000000002</v>
      </c>
      <c r="S1748">
        <v>0.2715149</v>
      </c>
      <c r="T1748">
        <v>-0.32635760000000003</v>
      </c>
      <c r="U1748">
        <v>-3.0616759999999998</v>
      </c>
      <c r="V1748">
        <v>-7.0115849999999993E-2</v>
      </c>
      <c r="W1748">
        <v>0.14927299999999999</v>
      </c>
      <c r="X1748">
        <v>0.98630689999999999</v>
      </c>
      <c r="Y1748">
        <v>-4.8234630000000001E-2</v>
      </c>
      <c r="Z1748">
        <v>0.1056029</v>
      </c>
      <c r="AA1748">
        <v>0.99323790000000001</v>
      </c>
      <c r="AB1748">
        <v>23</v>
      </c>
      <c r="AC1748">
        <v>5.8699999999987498E-2</v>
      </c>
      <c r="AD1748">
        <v>-8.3787E-2</v>
      </c>
      <c r="AE1748">
        <v>-0.55329000000000395</v>
      </c>
      <c r="AF1748">
        <v>-3.5879020226103203E-2</v>
      </c>
      <c r="AG1748">
        <v>-8.3787E-2</v>
      </c>
      <c r="AH1748">
        <v>0.54287313591484498</v>
      </c>
      <c r="AI1748">
        <v>98.754993905722799</v>
      </c>
      <c r="AJ1748">
        <v>93.7812353948175</v>
      </c>
      <c r="AK1748">
        <v>0.55047144082086896</v>
      </c>
      <c r="AL1748">
        <v>81.415201629285093</v>
      </c>
      <c r="AM1748">
        <v>94.0662751789243</v>
      </c>
      <c r="AN1748">
        <v>0.99999998096891596</v>
      </c>
    </row>
    <row r="1749" spans="1:40" x14ac:dyDescent="0.3">
      <c r="A1749" t="str">
        <f>"20200111150349949"</f>
        <v>20200111150349949</v>
      </c>
      <c r="B1749" t="str">
        <f>"1578726229940488"</f>
        <v>1578726229940488</v>
      </c>
      <c r="C1749" t="s">
        <v>40</v>
      </c>
      <c r="D1749">
        <v>5.2305859999999997</v>
      </c>
      <c r="E1749">
        <v>0.54924269999999997</v>
      </c>
      <c r="F1749" t="s">
        <v>42</v>
      </c>
      <c r="G1749">
        <v>-417.41950000000003</v>
      </c>
      <c r="H1749">
        <v>1.0408569999999999</v>
      </c>
      <c r="I1749">
        <v>95.039460000000005</v>
      </c>
      <c r="J1749">
        <v>-417.40440000000001</v>
      </c>
      <c r="K1749">
        <v>1.1052879999999901</v>
      </c>
      <c r="L1749">
        <v>95.558779999999999</v>
      </c>
      <c r="M1749">
        <v>4.0893640000000002E-2</v>
      </c>
      <c r="N1749">
        <v>0</v>
      </c>
      <c r="O1749">
        <v>-0.99906870000000003</v>
      </c>
      <c r="P1749">
        <v>0.1089586</v>
      </c>
      <c r="Q1749">
        <v>0.13578470000000001</v>
      </c>
      <c r="R1749">
        <v>-0.98472890000000002</v>
      </c>
      <c r="S1749">
        <v>-1.6296390000000001E-2</v>
      </c>
      <c r="T1749">
        <v>-0.26169019999999998</v>
      </c>
      <c r="U1749">
        <v>-3.0844420000000001</v>
      </c>
      <c r="V1749">
        <v>-6.8832829999999998E-2</v>
      </c>
      <c r="W1749">
        <v>0.14927019999999999</v>
      </c>
      <c r="X1749">
        <v>0.98639770000000004</v>
      </c>
      <c r="Y1749">
        <v>4.6156929999999999E-2</v>
      </c>
      <c r="Z1749">
        <v>8.4386649999999994E-2</v>
      </c>
      <c r="AA1749">
        <v>0.99536349999999996</v>
      </c>
      <c r="AB1749">
        <v>23</v>
      </c>
      <c r="AC1749">
        <v>-1.5100000000018101E-2</v>
      </c>
      <c r="AD1749">
        <v>-6.4430999999999905E-2</v>
      </c>
      <c r="AE1749">
        <v>-0.519320000000007</v>
      </c>
      <c r="AF1749">
        <v>3.5776032841953201E-2</v>
      </c>
      <c r="AG1749">
        <v>-6.4430999999999905E-2</v>
      </c>
      <c r="AH1749">
        <v>0.51041779795887299</v>
      </c>
      <c r="AI1749">
        <v>97.177077595005102</v>
      </c>
      <c r="AJ1749">
        <v>85.990600736124307</v>
      </c>
      <c r="AK1749">
        <v>0.515710778208187</v>
      </c>
      <c r="AL1749">
        <v>81.415363925928204</v>
      </c>
      <c r="AM1749">
        <v>93.9917446626269</v>
      </c>
      <c r="AN1749">
        <v>0.99999998682956903</v>
      </c>
    </row>
    <row r="1750" spans="1:40" x14ac:dyDescent="0.3">
      <c r="A1750" t="str">
        <f>"20200111150349971"</f>
        <v>20200111150349971</v>
      </c>
      <c r="B1750" t="str">
        <f>"1578726229960008"</f>
        <v>1578726229960008</v>
      </c>
      <c r="C1750" t="s">
        <v>40</v>
      </c>
      <c r="D1750">
        <v>5.2276119999999997</v>
      </c>
      <c r="E1750">
        <v>0.55127490000000001</v>
      </c>
      <c r="F1750" t="s">
        <v>42</v>
      </c>
      <c r="G1750">
        <v>-417.41649999999998</v>
      </c>
      <c r="H1750">
        <v>1.041131</v>
      </c>
      <c r="I1750">
        <v>94.832369999999997</v>
      </c>
      <c r="J1750">
        <v>-417.39409999999998</v>
      </c>
      <c r="K1750">
        <v>1.1051839999999999</v>
      </c>
      <c r="L1750">
        <v>95.337680000000006</v>
      </c>
      <c r="M1750">
        <v>4.183771E-2</v>
      </c>
      <c r="N1750">
        <v>0</v>
      </c>
      <c r="O1750">
        <v>-0.99902979999999997</v>
      </c>
      <c r="P1750">
        <v>0.10902340000000001</v>
      </c>
      <c r="Q1750">
        <v>0.13564329999999999</v>
      </c>
      <c r="R1750">
        <v>-0.98474150000000005</v>
      </c>
      <c r="S1750">
        <v>-5.0506589999999997E-2</v>
      </c>
      <c r="T1750">
        <v>-0.27304410000000001</v>
      </c>
      <c r="U1750">
        <v>-3.0897519999999998</v>
      </c>
      <c r="V1750">
        <v>-6.7925429999999995E-2</v>
      </c>
      <c r="W1750">
        <v>0.1491401</v>
      </c>
      <c r="X1750">
        <v>0.98648029999999998</v>
      </c>
      <c r="Y1750">
        <v>5.8102710000000002E-2</v>
      </c>
      <c r="Z1750">
        <v>8.7832080000000007E-2</v>
      </c>
      <c r="AA1750">
        <v>0.99443939999999997</v>
      </c>
      <c r="AB1750">
        <v>23</v>
      </c>
      <c r="AC1750">
        <v>-2.24000000000046E-2</v>
      </c>
      <c r="AD1750">
        <v>-6.4052999999999902E-2</v>
      </c>
      <c r="AE1750">
        <v>-0.50531000000000803</v>
      </c>
      <c r="AF1750">
        <v>4.2836447074643701E-2</v>
      </c>
      <c r="AG1750">
        <v>-6.4052999999999902E-2</v>
      </c>
      <c r="AH1750">
        <v>0.495976478572143</v>
      </c>
      <c r="AI1750">
        <v>97.331750634278094</v>
      </c>
      <c r="AJ1750">
        <v>85.063733390609499</v>
      </c>
      <c r="AK1750">
        <v>0.50192670311889398</v>
      </c>
      <c r="AL1750">
        <v>81.422902673579699</v>
      </c>
      <c r="AM1750">
        <v>93.938960806706007</v>
      </c>
      <c r="AN1750">
        <v>1.0000000078783899</v>
      </c>
    </row>
    <row r="1751" spans="1:40" x14ac:dyDescent="0.3">
      <c r="A1751" t="str">
        <f>"20200111150349992"</f>
        <v>20200111150349992</v>
      </c>
      <c r="B1751" t="str">
        <f>"1578726229980505"</f>
        <v>1578726229980505</v>
      </c>
      <c r="C1751" t="s">
        <v>40</v>
      </c>
      <c r="D1751">
        <v>5.2072969999999996</v>
      </c>
      <c r="E1751">
        <v>0.55232789999999998</v>
      </c>
      <c r="F1751" t="s">
        <v>42</v>
      </c>
      <c r="G1751">
        <v>-417.41359999999997</v>
      </c>
      <c r="H1751">
        <v>1.0233319999999999</v>
      </c>
      <c r="I1751">
        <v>94.427700000000002</v>
      </c>
      <c r="J1751">
        <v>-417.38350000000003</v>
      </c>
      <c r="K1751">
        <v>1.105092</v>
      </c>
      <c r="L1751">
        <v>95.111450000000005</v>
      </c>
      <c r="M1751">
        <v>4.2676449999999998E-2</v>
      </c>
      <c r="N1751">
        <v>0</v>
      </c>
      <c r="O1751">
        <v>-0.99899439999999995</v>
      </c>
      <c r="P1751">
        <v>0.1092563</v>
      </c>
      <c r="Q1751">
        <v>0.13550129999999999</v>
      </c>
      <c r="R1751">
        <v>-0.98473500000000003</v>
      </c>
      <c r="S1751">
        <v>-6.5582280000000007E-2</v>
      </c>
      <c r="T1751">
        <v>-0.27822659999999899</v>
      </c>
      <c r="U1751">
        <v>-3.0920719999999999</v>
      </c>
      <c r="V1751">
        <v>-6.729607E-2</v>
      </c>
      <c r="W1751">
        <v>0.14899860000000001</v>
      </c>
      <c r="X1751">
        <v>0.9865448</v>
      </c>
      <c r="Y1751">
        <v>6.3771460000000002E-2</v>
      </c>
      <c r="Z1751">
        <v>8.9394979999999999E-2</v>
      </c>
      <c r="AA1751">
        <v>0.99395259999999996</v>
      </c>
      <c r="AB1751">
        <v>23</v>
      </c>
      <c r="AC1751">
        <v>-3.0099999999947599E-2</v>
      </c>
      <c r="AD1751">
        <v>-8.1759999999999999E-2</v>
      </c>
      <c r="AE1751">
        <v>-0.68375000000000297</v>
      </c>
      <c r="AF1751">
        <v>5.8421631851445402E-2</v>
      </c>
      <c r="AG1751">
        <v>-8.1759999999999999E-2</v>
      </c>
      <c r="AH1751">
        <v>0.67224878346733397</v>
      </c>
      <c r="AI1751">
        <v>96.9085638532502</v>
      </c>
      <c r="AJ1751">
        <v>85.033201686093193</v>
      </c>
      <c r="AK1751">
        <v>0.67971774402430896</v>
      </c>
      <c r="AL1751">
        <v>81.431101508038907</v>
      </c>
      <c r="AM1751">
        <v>93.902323481969702</v>
      </c>
      <c r="AN1751">
        <v>0.99999999312322196</v>
      </c>
    </row>
    <row r="1752" spans="1:40" x14ac:dyDescent="0.3">
      <c r="A1752" t="str">
        <f>"20200111150350015"</f>
        <v>20200111150350015</v>
      </c>
      <c r="B1752" t="str">
        <f>"1578726230010759"</f>
        <v>1578726230010759</v>
      </c>
      <c r="C1752" t="s">
        <v>40</v>
      </c>
      <c r="D1752">
        <v>5.2252609999999997</v>
      </c>
      <c r="E1752">
        <v>0.55329410000000001</v>
      </c>
      <c r="F1752" t="s">
        <v>42</v>
      </c>
      <c r="G1752">
        <v>-417.40449999999998</v>
      </c>
      <c r="H1752">
        <v>1.024016</v>
      </c>
      <c r="I1752">
        <v>94.221180000000004</v>
      </c>
      <c r="J1752">
        <v>-417.3723</v>
      </c>
      <c r="K1752">
        <v>1.1050180000000001</v>
      </c>
      <c r="L1752">
        <v>94.873199999999997</v>
      </c>
      <c r="M1752">
        <v>4.3458160000000003E-2</v>
      </c>
      <c r="N1752">
        <v>0</v>
      </c>
      <c r="O1752">
        <v>-0.99896130000000005</v>
      </c>
      <c r="P1752">
        <v>0.10911899999999999</v>
      </c>
      <c r="Q1752">
        <v>0.1355681</v>
      </c>
      <c r="R1752">
        <v>-0.98474119999999998</v>
      </c>
      <c r="S1752">
        <v>-7.2418209999999997E-2</v>
      </c>
      <c r="T1752">
        <v>-0.2818002</v>
      </c>
      <c r="U1752">
        <v>-3.0933229999999998</v>
      </c>
      <c r="V1752">
        <v>-6.6360779999999994E-2</v>
      </c>
      <c r="W1752">
        <v>0.1490505</v>
      </c>
      <c r="X1752">
        <v>0.98660029999999999</v>
      </c>
      <c r="Y1752">
        <v>6.6736649999999995E-2</v>
      </c>
      <c r="Z1752">
        <v>9.0481880000000001E-2</v>
      </c>
      <c r="AA1752">
        <v>0.99365950000000003</v>
      </c>
      <c r="AB1752">
        <v>23</v>
      </c>
      <c r="AC1752">
        <v>-3.2199999999988897E-2</v>
      </c>
      <c r="AD1752">
        <v>-8.1002000000000005E-2</v>
      </c>
      <c r="AE1752">
        <v>-0.65201999999999305</v>
      </c>
      <c r="AF1752">
        <v>5.9590361229022497E-2</v>
      </c>
      <c r="AG1752">
        <v>-8.1002000000000005E-2</v>
      </c>
      <c r="AH1752">
        <v>0.64014858798628804</v>
      </c>
      <c r="AI1752">
        <v>97.180946483366299</v>
      </c>
      <c r="AJ1752">
        <v>84.681758020769493</v>
      </c>
      <c r="AK1752">
        <v>0.64799888106095005</v>
      </c>
      <c r="AL1752">
        <v>81.428094148923094</v>
      </c>
      <c r="AM1752">
        <v>93.848036729135501</v>
      </c>
      <c r="AN1752">
        <v>0.99999997831627396</v>
      </c>
    </row>
    <row r="1753" spans="1:40" x14ac:dyDescent="0.3">
      <c r="A1753" t="str">
        <f>"20200111150350038"</f>
        <v>20200111150350038</v>
      </c>
      <c r="B1753" t="str">
        <f>"1578726230030281"</f>
        <v>1578726230030281</v>
      </c>
      <c r="C1753" t="s">
        <v>40</v>
      </c>
      <c r="D1753">
        <v>5.2486319999999997</v>
      </c>
      <c r="E1753">
        <v>0.553832199999999</v>
      </c>
      <c r="F1753" t="s">
        <v>42</v>
      </c>
      <c r="G1753">
        <v>-417.39479999999998</v>
      </c>
      <c r="H1753">
        <v>1.0260750000000001</v>
      </c>
      <c r="I1753">
        <v>94.014160000000004</v>
      </c>
      <c r="J1753">
        <v>-417.3612</v>
      </c>
      <c r="K1753">
        <v>1.1049580000000001</v>
      </c>
      <c r="L1753">
        <v>94.6387</v>
      </c>
      <c r="M1753">
        <v>4.4155E-2</v>
      </c>
      <c r="N1753">
        <v>0</v>
      </c>
      <c r="O1753">
        <v>-0.99893169999999998</v>
      </c>
      <c r="P1753">
        <v>0.1085888</v>
      </c>
      <c r="Q1753">
        <v>0.1360439</v>
      </c>
      <c r="R1753">
        <v>-0.9847342</v>
      </c>
      <c r="S1753">
        <v>-8.0963129999999994E-2</v>
      </c>
      <c r="T1753">
        <v>-0.2844177</v>
      </c>
      <c r="U1753">
        <v>-3.0946349999999998</v>
      </c>
      <c r="V1753">
        <v>-6.5126879999999998E-2</v>
      </c>
      <c r="W1753">
        <v>0.14946309999999999</v>
      </c>
      <c r="X1753">
        <v>0.9866201</v>
      </c>
      <c r="Y1753">
        <v>7.0162479999999999E-2</v>
      </c>
      <c r="Z1753">
        <v>9.1258880000000001E-2</v>
      </c>
      <c r="AA1753">
        <v>0.99335240000000002</v>
      </c>
      <c r="AB1753">
        <v>23</v>
      </c>
      <c r="AC1753">
        <v>-3.3599999999978501E-2</v>
      </c>
      <c r="AD1753">
        <v>-7.8882999999999801E-2</v>
      </c>
      <c r="AE1753">
        <v>-0.62453999999999599</v>
      </c>
      <c r="AF1753">
        <v>6.0188918050636198E-2</v>
      </c>
      <c r="AG1753">
        <v>-7.8882999999999801E-2</v>
      </c>
      <c r="AH1753">
        <v>0.61270072820120802</v>
      </c>
      <c r="AI1753">
        <v>97.3015034271356</v>
      </c>
      <c r="AJ1753">
        <v>84.389525785903004</v>
      </c>
      <c r="AK1753">
        <v>0.62068302367907402</v>
      </c>
      <c r="AL1753">
        <v>81.404186076187401</v>
      </c>
      <c r="AM1753">
        <v>93.776620499255301</v>
      </c>
      <c r="AN1753">
        <v>0.99999997524207596</v>
      </c>
    </row>
    <row r="1754" spans="1:40" x14ac:dyDescent="0.3">
      <c r="A1754" t="str">
        <f>"20200111150350059"</f>
        <v>20200111150350059</v>
      </c>
      <c r="B1754" t="str">
        <f>"1578726230049800"</f>
        <v>1578726230049800</v>
      </c>
      <c r="C1754" t="s">
        <v>40</v>
      </c>
      <c r="D1754">
        <v>5.2037240000000002</v>
      </c>
      <c r="E1754">
        <v>0.55437740000000002</v>
      </c>
      <c r="F1754" t="s">
        <v>42</v>
      </c>
      <c r="G1754">
        <v>-417.38440000000003</v>
      </c>
      <c r="H1754">
        <v>1.0286169999999999</v>
      </c>
      <c r="I1754">
        <v>93.806929999999994</v>
      </c>
      <c r="J1754">
        <v>-417.35050000000001</v>
      </c>
      <c r="K1754">
        <v>1.1049070000000001</v>
      </c>
      <c r="L1754">
        <v>94.41498</v>
      </c>
      <c r="M1754">
        <v>4.4773769999999997E-2</v>
      </c>
      <c r="N1754">
        <v>0</v>
      </c>
      <c r="O1754">
        <v>-0.99890590000000001</v>
      </c>
      <c r="P1754">
        <v>0.10813680000000001</v>
      </c>
      <c r="Q1754">
        <v>0.13642179999999901</v>
      </c>
      <c r="R1754">
        <v>-0.98473109999999997</v>
      </c>
      <c r="S1754">
        <v>-8.6303710000000006E-2</v>
      </c>
      <c r="T1754">
        <v>-0.28410999999999997</v>
      </c>
      <c r="U1754">
        <v>-3.0952760000000001</v>
      </c>
      <c r="V1754">
        <v>-6.4055570000000006E-2</v>
      </c>
      <c r="W1754">
        <v>0.14970729999999999</v>
      </c>
      <c r="X1754">
        <v>0.98665329999999996</v>
      </c>
      <c r="Y1754">
        <v>7.248773E-2</v>
      </c>
      <c r="Z1754">
        <v>9.1128769999999998E-2</v>
      </c>
      <c r="AA1754">
        <v>0.99319740000000001</v>
      </c>
      <c r="AB1754">
        <v>23</v>
      </c>
      <c r="AC1754">
        <v>-3.3900000000016903E-2</v>
      </c>
      <c r="AD1754">
        <v>-7.6289999999999705E-2</v>
      </c>
      <c r="AE1754">
        <v>-0.60804999999999099</v>
      </c>
      <c r="AF1754">
        <v>6.0149241883799401E-2</v>
      </c>
      <c r="AG1754">
        <v>-7.6289999999999705E-2</v>
      </c>
      <c r="AH1754">
        <v>0.59656025620752495</v>
      </c>
      <c r="AI1754">
        <v>97.251237963221001</v>
      </c>
      <c r="AJ1754">
        <v>84.242509471322805</v>
      </c>
      <c r="AK1754">
        <v>0.60441892316967105</v>
      </c>
      <c r="AL1754">
        <v>81.390035994894802</v>
      </c>
      <c r="AM1754">
        <v>93.714547409665499</v>
      </c>
      <c r="AN1754">
        <v>1.0000000630610999</v>
      </c>
    </row>
    <row r="1755" spans="1:40" x14ac:dyDescent="0.3">
      <c r="A1755" t="str">
        <f>"20200111150350082"</f>
        <v>20200111150350082</v>
      </c>
      <c r="B1755" t="str">
        <f>"1578726230070295"</f>
        <v>1578726230070295</v>
      </c>
      <c r="C1755" t="s">
        <v>40</v>
      </c>
      <c r="D1755">
        <v>5.231922</v>
      </c>
      <c r="E1755">
        <v>0.55464760000000002</v>
      </c>
      <c r="F1755" t="s">
        <v>42</v>
      </c>
      <c r="G1755">
        <v>-417.375</v>
      </c>
      <c r="H1755">
        <v>1.0302899999999999</v>
      </c>
      <c r="I1755">
        <v>93.599950000000007</v>
      </c>
      <c r="J1755">
        <v>-417.33969999999999</v>
      </c>
      <c r="K1755">
        <v>1.104854</v>
      </c>
      <c r="L1755">
        <v>94.191159999999996</v>
      </c>
      <c r="M1755">
        <v>4.5372679999999999E-2</v>
      </c>
      <c r="N1755">
        <v>0</v>
      </c>
      <c r="O1755">
        <v>-0.99888180000000004</v>
      </c>
      <c r="P1755">
        <v>0.107754</v>
      </c>
      <c r="Q1755">
        <v>0.13646720000000001</v>
      </c>
      <c r="R1755">
        <v>-0.98476719999999895</v>
      </c>
      <c r="S1755">
        <v>-9.1766360000000005E-2</v>
      </c>
      <c r="T1755">
        <v>-0.28360170000000001</v>
      </c>
      <c r="U1755">
        <v>-3.0958860000000001</v>
      </c>
      <c r="V1755">
        <v>-6.3074279999999996E-2</v>
      </c>
      <c r="W1755">
        <v>0.14954600000000001</v>
      </c>
      <c r="X1755">
        <v>0.98674090000000003</v>
      </c>
      <c r="Y1755">
        <v>7.4831469999999997E-2</v>
      </c>
      <c r="Z1755">
        <v>9.0935420000000003E-2</v>
      </c>
      <c r="AA1755">
        <v>0.99304130000000002</v>
      </c>
      <c r="AB1755">
        <v>23</v>
      </c>
      <c r="AC1755">
        <v>-3.53000000000065E-2</v>
      </c>
      <c r="AD1755">
        <v>-7.4564000000000005E-2</v>
      </c>
      <c r="AE1755">
        <v>-0.59120999999998902</v>
      </c>
      <c r="AF1755">
        <v>6.1122004590347799E-2</v>
      </c>
      <c r="AG1755">
        <v>-7.4564000000000005E-2</v>
      </c>
      <c r="AH1755">
        <v>0.57980924808315704</v>
      </c>
      <c r="AI1755">
        <v>97.288122452780797</v>
      </c>
      <c r="AJ1755">
        <v>83.982251541571898</v>
      </c>
      <c r="AK1755">
        <v>0.58777074927551298</v>
      </c>
      <c r="AL1755">
        <v>81.399382370795493</v>
      </c>
      <c r="AM1755">
        <v>93.657474777584596</v>
      </c>
      <c r="AN1755">
        <v>0.99999998732316397</v>
      </c>
    </row>
    <row r="1756" spans="1:40" x14ac:dyDescent="0.3">
      <c r="A1756" t="str">
        <f>"20200111150350104"</f>
        <v>20200111150350104</v>
      </c>
      <c r="B1756" t="str">
        <f>"1578726230100551"</f>
        <v>1578726230100551</v>
      </c>
      <c r="C1756" t="s">
        <v>40</v>
      </c>
      <c r="D1756">
        <v>5.2373019999999997</v>
      </c>
      <c r="E1756">
        <v>0.55507249999999997</v>
      </c>
      <c r="F1756" t="s">
        <v>42</v>
      </c>
      <c r="G1756">
        <v>-417.36419999999998</v>
      </c>
      <c r="H1756">
        <v>1.031512</v>
      </c>
      <c r="I1756">
        <v>93.393010000000004</v>
      </c>
      <c r="J1756">
        <v>-417.32839999999999</v>
      </c>
      <c r="K1756">
        <v>1.1047929999999999</v>
      </c>
      <c r="L1756">
        <v>93.959720000000004</v>
      </c>
      <c r="M1756">
        <v>4.5995790000000002E-2</v>
      </c>
      <c r="N1756">
        <v>0</v>
      </c>
      <c r="O1756">
        <v>-0.99885699999999999</v>
      </c>
      <c r="P1756">
        <v>0.1077272</v>
      </c>
      <c r="Q1756">
        <v>0.13655610000000001</v>
      </c>
      <c r="R1756">
        <v>-0.98475769999999996</v>
      </c>
      <c r="S1756">
        <v>-9.4726560000000001E-2</v>
      </c>
      <c r="T1756">
        <v>-0.28453230000000002</v>
      </c>
      <c r="U1756">
        <v>-3.0961910000000001</v>
      </c>
      <c r="V1756">
        <v>-6.2429020000000002E-2</v>
      </c>
      <c r="W1756">
        <v>0.14936450000000001</v>
      </c>
      <c r="X1756">
        <v>0.98680939999999995</v>
      </c>
      <c r="Y1756">
        <v>7.6398160000000007E-2</v>
      </c>
      <c r="Z1756">
        <v>9.1211780000000006E-2</v>
      </c>
      <c r="AA1756">
        <v>0.99289660000000002</v>
      </c>
      <c r="AB1756">
        <v>23</v>
      </c>
      <c r="AC1756">
        <v>-3.5799999999994697E-2</v>
      </c>
      <c r="AD1756">
        <v>-7.3281000000000096E-2</v>
      </c>
      <c r="AE1756">
        <v>-0.56670999999998595</v>
      </c>
      <c r="AF1756">
        <v>6.0817694441626199E-2</v>
      </c>
      <c r="AG1756">
        <v>-7.3281000000000096E-2</v>
      </c>
      <c r="AH1756">
        <v>0.55521647565865795</v>
      </c>
      <c r="AI1756">
        <v>97.4746029020002</v>
      </c>
      <c r="AJ1756">
        <v>83.748817020097903</v>
      </c>
      <c r="AK1756">
        <v>0.56332426874848596</v>
      </c>
      <c r="AL1756">
        <v>81.409899479736595</v>
      </c>
      <c r="AM1756">
        <v>93.6199076115537</v>
      </c>
      <c r="AN1756">
        <v>0.99999996416338399</v>
      </c>
    </row>
    <row r="1757" spans="1:40" x14ac:dyDescent="0.3">
      <c r="A1757" t="str">
        <f>"20200111150350126"</f>
        <v>20200111150350126</v>
      </c>
      <c r="B1757" t="str">
        <f>"1578726230120071"</f>
        <v>1578726230120071</v>
      </c>
      <c r="C1757" t="s">
        <v>40</v>
      </c>
      <c r="D1757">
        <v>5.2414820000000004</v>
      </c>
      <c r="E1757">
        <v>0.55531359999999996</v>
      </c>
      <c r="F1757" t="s">
        <v>42</v>
      </c>
      <c r="G1757">
        <v>-417.35329999999999</v>
      </c>
      <c r="H1757">
        <v>1.0333060000000001</v>
      </c>
      <c r="I1757">
        <v>93.185519999999997</v>
      </c>
      <c r="J1757">
        <v>-417.3168</v>
      </c>
      <c r="K1757">
        <v>1.104741</v>
      </c>
      <c r="L1757">
        <v>93.723479999999995</v>
      </c>
      <c r="M1757">
        <v>4.6645249999999999E-2</v>
      </c>
      <c r="N1757">
        <v>0</v>
      </c>
      <c r="O1757">
        <v>-0.99883080000000002</v>
      </c>
      <c r="P1757">
        <v>0.1079133</v>
      </c>
      <c r="Q1757">
        <v>0.13656869999999999</v>
      </c>
      <c r="R1757">
        <v>-0.98473540000000004</v>
      </c>
      <c r="S1757">
        <v>-9.7808839999999994E-2</v>
      </c>
      <c r="T1757">
        <v>-0.28613070000000002</v>
      </c>
      <c r="U1757">
        <v>-3.0968019999999998</v>
      </c>
      <c r="V1757">
        <v>-6.1973420000000001E-2</v>
      </c>
      <c r="W1757">
        <v>0.1490783</v>
      </c>
      <c r="X1757">
        <v>0.98688140000000002</v>
      </c>
      <c r="Y1757">
        <v>7.8026059999999994E-2</v>
      </c>
      <c r="Z1757">
        <v>9.1690560000000004E-2</v>
      </c>
      <c r="AA1757">
        <v>0.99272590000000005</v>
      </c>
      <c r="AB1757">
        <v>23</v>
      </c>
      <c r="AC1757">
        <v>-3.6499999999989499E-2</v>
      </c>
      <c r="AD1757">
        <v>-7.1434999999999901E-2</v>
      </c>
      <c r="AE1757">
        <v>-0.53796000000001198</v>
      </c>
      <c r="AF1757">
        <v>6.0493777281407202E-2</v>
      </c>
      <c r="AG1757">
        <v>-7.1434999999999901E-2</v>
      </c>
      <c r="AH1757">
        <v>0.52643170950012597</v>
      </c>
      <c r="AI1757">
        <v>97.677725483219305</v>
      </c>
      <c r="AJ1757">
        <v>83.444730810943796</v>
      </c>
      <c r="AK1757">
        <v>0.53468944358571102</v>
      </c>
      <c r="AL1757">
        <v>81.426483266048294</v>
      </c>
      <c r="AM1757">
        <v>93.593297921166297</v>
      </c>
      <c r="AN1757">
        <v>0.99999997099167204</v>
      </c>
    </row>
    <row r="1758" spans="1:40" x14ac:dyDescent="0.3">
      <c r="A1758" t="str">
        <f>"20200111150350150"</f>
        <v>20200111150350150</v>
      </c>
      <c r="B1758" t="str">
        <f>"1578726230140567"</f>
        <v>1578726230140567</v>
      </c>
      <c r="C1758" t="s">
        <v>40</v>
      </c>
      <c r="D1758">
        <v>5.2473939999999999</v>
      </c>
      <c r="E1758">
        <v>0.55544789999999999</v>
      </c>
      <c r="F1758" t="s">
        <v>42</v>
      </c>
      <c r="G1758">
        <v>-417.34070000000003</v>
      </c>
      <c r="H1758">
        <v>1.0357080000000001</v>
      </c>
      <c r="I1758">
        <v>92.977540000000005</v>
      </c>
      <c r="J1758">
        <v>-417.30509999999998</v>
      </c>
      <c r="K1758">
        <v>1.1047009999999999</v>
      </c>
      <c r="L1758">
        <v>93.490020000000001</v>
      </c>
      <c r="M1758">
        <v>4.72992E-2</v>
      </c>
      <c r="N1758">
        <v>0</v>
      </c>
      <c r="O1758">
        <v>-0.99880369999999996</v>
      </c>
      <c r="P1758">
        <v>0.1085179</v>
      </c>
      <c r="Q1758">
        <v>0.13622119999999999</v>
      </c>
      <c r="R1758">
        <v>-0.98471719999999896</v>
      </c>
      <c r="S1758">
        <v>-9.8907469999999997E-2</v>
      </c>
      <c r="T1758">
        <v>-0.28663959999999999</v>
      </c>
      <c r="U1758">
        <v>-3.0971069999999998</v>
      </c>
      <c r="V1758">
        <v>-6.1934219999999998E-2</v>
      </c>
      <c r="W1758">
        <v>0.1484441</v>
      </c>
      <c r="X1758">
        <v>0.98697950000000001</v>
      </c>
      <c r="Y1758">
        <v>7.9026830000000006E-2</v>
      </c>
      <c r="Z1758">
        <v>9.1834869999999999E-2</v>
      </c>
      <c r="AA1758">
        <v>0.9926334</v>
      </c>
      <c r="AB1758">
        <v>23</v>
      </c>
      <c r="AC1758">
        <v>-3.5600000000044901E-2</v>
      </c>
      <c r="AD1758">
        <v>-6.8992999999999804E-2</v>
      </c>
      <c r="AE1758">
        <v>-0.51247999999999605</v>
      </c>
      <c r="AF1758">
        <v>5.8742370133397198E-2</v>
      </c>
      <c r="AG1758">
        <v>-6.8992999999999804E-2</v>
      </c>
      <c r="AH1758">
        <v>0.50118249118233804</v>
      </c>
      <c r="AI1758">
        <v>97.785463830080204</v>
      </c>
      <c r="AJ1758">
        <v>83.315002875183595</v>
      </c>
      <c r="AK1758">
        <v>0.50930795160258702</v>
      </c>
      <c r="AL1758">
        <v>81.463229503212006</v>
      </c>
      <c r="AM1758">
        <v>93.590675010883004</v>
      </c>
      <c r="AN1758">
        <v>1.0000000159260301</v>
      </c>
    </row>
    <row r="1759" spans="1:40" x14ac:dyDescent="0.3">
      <c r="A1759" t="str">
        <f>"20200111150350170"</f>
        <v>20200111150350170</v>
      </c>
      <c r="B1759" t="str">
        <f>"1578726230160087"</f>
        <v>1578726230160087</v>
      </c>
      <c r="C1759" t="s">
        <v>40</v>
      </c>
      <c r="D1759">
        <v>5.2492780000000003</v>
      </c>
      <c r="E1759">
        <v>0.55569669999999904</v>
      </c>
      <c r="F1759" t="s">
        <v>42</v>
      </c>
      <c r="G1759">
        <v>-417.33449999999999</v>
      </c>
      <c r="H1759">
        <v>1.018937</v>
      </c>
      <c r="I1759">
        <v>92.570530000000005</v>
      </c>
      <c r="J1759">
        <v>-417.29390000000001</v>
      </c>
      <c r="K1759">
        <v>1.1046849999999999</v>
      </c>
      <c r="L1759">
        <v>93.266480000000001</v>
      </c>
      <c r="M1759">
        <v>4.793232E-2</v>
      </c>
      <c r="N1759">
        <v>0</v>
      </c>
      <c r="O1759">
        <v>-0.99877660000000001</v>
      </c>
      <c r="P1759">
        <v>0.10985590000000001</v>
      </c>
      <c r="Q1759">
        <v>0.13557049999999901</v>
      </c>
      <c r="R1759">
        <v>-0.98465860000000005</v>
      </c>
      <c r="S1759">
        <v>-9.9029539999999999E-2</v>
      </c>
      <c r="T1759">
        <v>-0.28890090000000002</v>
      </c>
      <c r="U1759">
        <v>-3.0974430000000002</v>
      </c>
      <c r="V1759">
        <v>-6.2652459999999993E-2</v>
      </c>
      <c r="W1759">
        <v>0.14754239999999999</v>
      </c>
      <c r="X1759">
        <v>0.98706939999999999</v>
      </c>
      <c r="Y1759">
        <v>7.9692100000000002E-2</v>
      </c>
      <c r="Z1759">
        <v>9.2536499999999994E-2</v>
      </c>
      <c r="AA1759">
        <v>0.99251509999999998</v>
      </c>
      <c r="AB1759">
        <v>23</v>
      </c>
      <c r="AC1759">
        <v>-4.0599999999983503E-2</v>
      </c>
      <c r="AD1759">
        <v>-8.5748000000000102E-2</v>
      </c>
      <c r="AE1759">
        <v>-0.69594999999999596</v>
      </c>
      <c r="AF1759">
        <v>7.28126914816489E-2</v>
      </c>
      <c r="AG1759">
        <v>-8.5748000000000102E-2</v>
      </c>
      <c r="AH1759">
        <v>0.68287242672155302</v>
      </c>
      <c r="AI1759">
        <v>97.117218792432993</v>
      </c>
      <c r="AJ1759">
        <v>83.913714603411606</v>
      </c>
      <c r="AK1759">
        <v>0.69207597756415795</v>
      </c>
      <c r="AL1759">
        <v>81.515468595988196</v>
      </c>
      <c r="AM1759">
        <v>93.631874658440495</v>
      </c>
      <c r="AN1759">
        <v>1.0000000454790801</v>
      </c>
    </row>
    <row r="1760" spans="1:40" x14ac:dyDescent="0.3">
      <c r="A1760" t="str">
        <f>"20200111150350193"</f>
        <v>20200111150350193</v>
      </c>
      <c r="B1760" t="str">
        <f>"1578726230190343"</f>
        <v>1578726230190343</v>
      </c>
      <c r="C1760" t="s">
        <v>40</v>
      </c>
      <c r="D1760">
        <v>5.2816700000000001</v>
      </c>
      <c r="E1760">
        <v>0.55599580000000004</v>
      </c>
      <c r="F1760" t="s">
        <v>42</v>
      </c>
      <c r="G1760">
        <v>-417.32279999999997</v>
      </c>
      <c r="H1760">
        <v>1.0201119999999999</v>
      </c>
      <c r="I1760">
        <v>92.362340000000003</v>
      </c>
      <c r="J1760">
        <v>-417.28210000000001</v>
      </c>
      <c r="K1760">
        <v>1.104681</v>
      </c>
      <c r="L1760">
        <v>93.038020000000003</v>
      </c>
      <c r="M1760">
        <v>4.8585730000000001E-2</v>
      </c>
      <c r="N1760">
        <v>0</v>
      </c>
      <c r="O1760">
        <v>-0.99874779999999996</v>
      </c>
      <c r="P1760">
        <v>0.11020779999999999</v>
      </c>
      <c r="Q1760">
        <v>0.1361724</v>
      </c>
      <c r="R1760">
        <v>-0.98453610000000003</v>
      </c>
      <c r="S1760">
        <v>-9.817505E-2</v>
      </c>
      <c r="T1760">
        <v>-0.28984840000000001</v>
      </c>
      <c r="U1760">
        <v>-3.097626</v>
      </c>
      <c r="V1760">
        <v>-6.2369910000000001E-2</v>
      </c>
      <c r="W1760">
        <v>0.14790889999999901</v>
      </c>
      <c r="X1760">
        <v>0.98703240000000003</v>
      </c>
      <c r="Y1760">
        <v>8.0067860000000005E-2</v>
      </c>
      <c r="Z1760">
        <v>9.2826530000000004E-2</v>
      </c>
      <c r="AA1760">
        <v>0.9924577</v>
      </c>
      <c r="AB1760">
        <v>23</v>
      </c>
      <c r="AC1760">
        <v>-4.0699999999958401E-2</v>
      </c>
      <c r="AD1760">
        <v>-8.4568999999999894E-2</v>
      </c>
      <c r="AE1760">
        <v>-0.67567999999998496</v>
      </c>
      <c r="AF1760">
        <v>7.2353325514751501E-2</v>
      </c>
      <c r="AG1760">
        <v>-8.4568999999999894E-2</v>
      </c>
      <c r="AH1760">
        <v>0.66256258398730605</v>
      </c>
      <c r="AI1760">
        <v>97.231329453276999</v>
      </c>
      <c r="AJ1760">
        <v>83.767866624565599</v>
      </c>
      <c r="AK1760">
        <v>0.67184529258898595</v>
      </c>
      <c r="AL1760">
        <v>81.494236386193805</v>
      </c>
      <c r="AM1760">
        <v>93.615674350965094</v>
      </c>
      <c r="AN1760">
        <v>1.00000000351118</v>
      </c>
    </row>
    <row r="1761" spans="1:40" x14ac:dyDescent="0.3">
      <c r="A1761" t="str">
        <f>"20200111150350216"</f>
        <v>20200111150350216</v>
      </c>
      <c r="B1761" t="str">
        <f>"1578726230210840"</f>
        <v>1578726230210840</v>
      </c>
      <c r="C1761" t="s">
        <v>40</v>
      </c>
      <c r="D1761">
        <v>5.259455</v>
      </c>
      <c r="E1761">
        <v>0.55614569999999997</v>
      </c>
      <c r="F1761" t="s">
        <v>42</v>
      </c>
      <c r="G1761">
        <v>-417.31040000000002</v>
      </c>
      <c r="H1761">
        <v>1.021814</v>
      </c>
      <c r="I1761">
        <v>92.153630000000007</v>
      </c>
      <c r="J1761">
        <v>-417.2697</v>
      </c>
      <c r="K1761">
        <v>1.1046830000000001</v>
      </c>
      <c r="L1761">
        <v>92.798770000000005</v>
      </c>
      <c r="M1761">
        <v>4.9275890000000003E-2</v>
      </c>
      <c r="N1761">
        <v>0</v>
      </c>
      <c r="O1761">
        <v>-0.99871679999999996</v>
      </c>
      <c r="P1761">
        <v>0.1096438</v>
      </c>
      <c r="Q1761">
        <v>0.13717939999999901</v>
      </c>
      <c r="R1761">
        <v>-0.98445970000000005</v>
      </c>
      <c r="S1761">
        <v>-9.8632810000000001E-2</v>
      </c>
      <c r="T1761">
        <v>-0.29033579999999998</v>
      </c>
      <c r="U1761">
        <v>-3.098328</v>
      </c>
      <c r="V1761">
        <v>-6.1134189999999998E-2</v>
      </c>
      <c r="W1761">
        <v>0.1486912</v>
      </c>
      <c r="X1761">
        <v>0.98699219999999999</v>
      </c>
      <c r="Y1761">
        <v>8.0895460000000002E-2</v>
      </c>
      <c r="Z1761">
        <v>9.295233E-2</v>
      </c>
      <c r="AA1761">
        <v>0.99237880000000001</v>
      </c>
      <c r="AB1761">
        <v>23</v>
      </c>
      <c r="AC1761">
        <v>-4.0700000000015203E-2</v>
      </c>
      <c r="AD1761">
        <v>-8.2868999999999998E-2</v>
      </c>
      <c r="AE1761">
        <v>-0.64513999999998295</v>
      </c>
      <c r="AF1761">
        <v>7.1271277347305706E-2</v>
      </c>
      <c r="AG1761">
        <v>-8.2868999999999998E-2</v>
      </c>
      <c r="AH1761">
        <v>0.63196461856604702</v>
      </c>
      <c r="AI1761">
        <v>97.423992006936302</v>
      </c>
      <c r="AJ1761">
        <v>83.565522954023805</v>
      </c>
      <c r="AK1761">
        <v>0.64134713319312997</v>
      </c>
      <c r="AL1761">
        <v>81.448912976224605</v>
      </c>
      <c r="AM1761">
        <v>93.544366294233498</v>
      </c>
      <c r="AN1761">
        <v>1.0000000325026099</v>
      </c>
    </row>
    <row r="1762" spans="1:40" x14ac:dyDescent="0.3">
      <c r="A1762" t="str">
        <f>"20200111150350239"</f>
        <v>20200111150350239</v>
      </c>
      <c r="B1762" t="str">
        <f>"1578726230230359"</f>
        <v>1578726230230359</v>
      </c>
      <c r="C1762" t="s">
        <v>40</v>
      </c>
      <c r="D1762">
        <v>5.2659640000000003</v>
      </c>
      <c r="E1762">
        <v>0.55626239999999905</v>
      </c>
      <c r="F1762" t="s">
        <v>42</v>
      </c>
      <c r="G1762">
        <v>-417.29739999999998</v>
      </c>
      <c r="H1762">
        <v>1.025088</v>
      </c>
      <c r="I1762">
        <v>91.943889999999996</v>
      </c>
      <c r="J1762">
        <v>-417.25709999999998</v>
      </c>
      <c r="K1762">
        <v>1.104681</v>
      </c>
      <c r="L1762">
        <v>92.558719999999994</v>
      </c>
      <c r="M1762">
        <v>4.9975579999999999E-2</v>
      </c>
      <c r="N1762">
        <v>0</v>
      </c>
      <c r="O1762">
        <v>-0.99868440000000003</v>
      </c>
      <c r="P1762">
        <v>0.1099436</v>
      </c>
      <c r="Q1762">
        <v>0.13780439999999999</v>
      </c>
      <c r="R1762">
        <v>-0.98433879999999996</v>
      </c>
      <c r="S1762">
        <v>-9.9822999999999995E-2</v>
      </c>
      <c r="T1762">
        <v>-0.28857769999999999</v>
      </c>
      <c r="U1762">
        <v>-3.0986940000000001</v>
      </c>
      <c r="V1762">
        <v>-6.075237E-2</v>
      </c>
      <c r="W1762">
        <v>0.1491132</v>
      </c>
      <c r="X1762">
        <v>0.9869521</v>
      </c>
      <c r="Y1762">
        <v>8.1972359999999994E-2</v>
      </c>
      <c r="Z1762">
        <v>9.2373999999999998E-2</v>
      </c>
      <c r="AA1762">
        <v>0.99234449999999996</v>
      </c>
      <c r="AB1762">
        <v>23</v>
      </c>
      <c r="AC1762">
        <v>-4.0300000000002001E-2</v>
      </c>
      <c r="AD1762">
        <v>-7.9592999999999997E-2</v>
      </c>
      <c r="AE1762">
        <v>-0.61482999999999699</v>
      </c>
      <c r="AF1762">
        <v>6.9813177567771501E-2</v>
      </c>
      <c r="AG1762">
        <v>-7.9592999999999997E-2</v>
      </c>
      <c r="AH1762">
        <v>0.60200188901210605</v>
      </c>
      <c r="AI1762">
        <v>97.482044080914093</v>
      </c>
      <c r="AJ1762">
        <v>83.385050334343205</v>
      </c>
      <c r="AK1762">
        <v>0.61124070527514296</v>
      </c>
      <c r="AL1762">
        <v>81.424461483568095</v>
      </c>
      <c r="AM1762">
        <v>93.522428238669605</v>
      </c>
      <c r="AN1762">
        <v>1.0000000222846299</v>
      </c>
    </row>
    <row r="1763" spans="1:40" x14ac:dyDescent="0.3">
      <c r="A1763" t="str">
        <f>"20200111150350260"</f>
        <v>20200111150350260</v>
      </c>
      <c r="B1763" t="str">
        <f>"1578726230249880"</f>
        <v>1578726230249880</v>
      </c>
      <c r="C1763" t="s">
        <v>40</v>
      </c>
      <c r="D1763">
        <v>5.2347869999999999</v>
      </c>
      <c r="E1763">
        <v>0.55641109999999905</v>
      </c>
      <c r="F1763" t="s">
        <v>42</v>
      </c>
      <c r="G1763">
        <v>-417.28399999999999</v>
      </c>
      <c r="H1763">
        <v>1.0284120000000001</v>
      </c>
      <c r="I1763">
        <v>91.733890000000002</v>
      </c>
      <c r="J1763">
        <v>-417.245</v>
      </c>
      <c r="K1763">
        <v>1.104676</v>
      </c>
      <c r="L1763">
        <v>92.331509999999994</v>
      </c>
      <c r="M1763">
        <v>5.0642439999999997E-2</v>
      </c>
      <c r="N1763">
        <v>0</v>
      </c>
      <c r="O1763">
        <v>-0.99865269999999995</v>
      </c>
      <c r="P1763">
        <v>0.1093184</v>
      </c>
      <c r="Q1763">
        <v>0.1366115</v>
      </c>
      <c r="R1763">
        <v>-0.98457479999999997</v>
      </c>
      <c r="S1763">
        <v>-0.1003723</v>
      </c>
      <c r="T1763">
        <v>-0.28661029999999998</v>
      </c>
      <c r="U1763">
        <v>-3.0990600000000001</v>
      </c>
      <c r="V1763">
        <v>-5.9457669999999997E-2</v>
      </c>
      <c r="W1763">
        <v>0.14775460000000001</v>
      </c>
      <c r="X1763">
        <v>0.98723519999999998</v>
      </c>
      <c r="Y1763">
        <v>8.2811579999999996E-2</v>
      </c>
      <c r="Z1763">
        <v>9.1730770000000003E-2</v>
      </c>
      <c r="AA1763">
        <v>0.99233450000000001</v>
      </c>
      <c r="AB1763">
        <v>23</v>
      </c>
      <c r="AC1763">
        <v>-3.8999999999987198E-2</v>
      </c>
      <c r="AD1763">
        <v>-7.6263999999999804E-2</v>
      </c>
      <c r="AE1763">
        <v>-0.59761999999999205</v>
      </c>
      <c r="AF1763">
        <v>6.8112316519701593E-2</v>
      </c>
      <c r="AG1763">
        <v>-7.6263999999999804E-2</v>
      </c>
      <c r="AH1763">
        <v>0.58538528459519501</v>
      </c>
      <c r="AI1763">
        <v>97.373496243507105</v>
      </c>
      <c r="AJ1763">
        <v>83.363211158882194</v>
      </c>
      <c r="AK1763">
        <v>0.59424861529353001</v>
      </c>
      <c r="AL1763">
        <v>81.5031752107095</v>
      </c>
      <c r="AM1763">
        <v>93.446558193767004</v>
      </c>
      <c r="AN1763">
        <v>0.99999998823101399</v>
      </c>
    </row>
    <row r="1764" spans="1:40" x14ac:dyDescent="0.3">
      <c r="A1764" t="str">
        <f>"20200111150350283"</f>
        <v>20200111150350283</v>
      </c>
      <c r="B1764" t="str">
        <f>"1578726230280136"</f>
        <v>1578726230280136</v>
      </c>
      <c r="C1764" t="s">
        <v>40</v>
      </c>
      <c r="D1764">
        <v>5.264024</v>
      </c>
      <c r="E1764">
        <v>0.55667199999999994</v>
      </c>
      <c r="F1764" t="s">
        <v>42</v>
      </c>
      <c r="G1764">
        <v>-417.27199999999999</v>
      </c>
      <c r="H1764">
        <v>1.029004</v>
      </c>
      <c r="I1764">
        <v>91.524870000000007</v>
      </c>
      <c r="J1764">
        <v>-417.23250000000002</v>
      </c>
      <c r="K1764">
        <v>1.1046720000000001</v>
      </c>
      <c r="L1764">
        <v>92.099699999999999</v>
      </c>
      <c r="M1764">
        <v>5.1324990000000001E-2</v>
      </c>
      <c r="N1764">
        <v>0</v>
      </c>
      <c r="O1764">
        <v>-0.99861960000000005</v>
      </c>
      <c r="P1764">
        <v>0.10844520000000001</v>
      </c>
      <c r="Q1764">
        <v>0.13548650000000001</v>
      </c>
      <c r="R1764">
        <v>-0.98482650000000005</v>
      </c>
      <c r="S1764">
        <v>-0.1029968</v>
      </c>
      <c r="T1764">
        <v>-0.29076289999999999</v>
      </c>
      <c r="U1764">
        <v>-3.0987849999999999</v>
      </c>
      <c r="V1764">
        <v>-5.7898249999999998E-2</v>
      </c>
      <c r="W1764">
        <v>0.1464831</v>
      </c>
      <c r="X1764">
        <v>0.98751739999999999</v>
      </c>
      <c r="Y1764">
        <v>8.4330829999999996E-2</v>
      </c>
      <c r="Z1764">
        <v>9.3044379999999996E-2</v>
      </c>
      <c r="AA1764">
        <v>0.99208419999999997</v>
      </c>
      <c r="AB1764">
        <v>23</v>
      </c>
      <c r="AC1764">
        <v>-3.9499999999975402E-2</v>
      </c>
      <c r="AD1764">
        <v>-7.5667999999999805E-2</v>
      </c>
      <c r="AE1764">
        <v>-0.57483000000000495</v>
      </c>
      <c r="AF1764">
        <v>6.7783883888510005E-2</v>
      </c>
      <c r="AG1764">
        <v>-7.5667999999999805E-2</v>
      </c>
      <c r="AH1764">
        <v>0.56234633860018002</v>
      </c>
      <c r="AI1764">
        <v>97.609128862689303</v>
      </c>
      <c r="AJ1764">
        <v>83.126862976485697</v>
      </c>
      <c r="AK1764">
        <v>0.57144877782355896</v>
      </c>
      <c r="AL1764">
        <v>81.576828846407196</v>
      </c>
      <c r="AM1764">
        <v>93.355416417488399</v>
      </c>
      <c r="AN1764">
        <v>1.00000006062071</v>
      </c>
    </row>
    <row r="1765" spans="1:40" x14ac:dyDescent="0.3">
      <c r="A1765" t="str">
        <f>"20200111150350304"</f>
        <v>20200111150350304</v>
      </c>
      <c r="B1765" t="str">
        <f>"1578726230300631"</f>
        <v>1578726230300631</v>
      </c>
      <c r="C1765" t="s">
        <v>40</v>
      </c>
      <c r="D1765">
        <v>5.2852350000000001</v>
      </c>
      <c r="E1765">
        <v>0.55680819999999998</v>
      </c>
      <c r="F1765" t="s">
        <v>42</v>
      </c>
      <c r="G1765">
        <v>-417.25979999999998</v>
      </c>
      <c r="H1765">
        <v>1.0300419999999999</v>
      </c>
      <c r="I1765">
        <v>91.315380000000005</v>
      </c>
      <c r="J1765">
        <v>-417.2199</v>
      </c>
      <c r="K1765">
        <v>1.104668</v>
      </c>
      <c r="L1765">
        <v>91.869929999999997</v>
      </c>
      <c r="M1765">
        <v>5.200109E-2</v>
      </c>
      <c r="N1765">
        <v>0</v>
      </c>
      <c r="O1765">
        <v>-0.99858590000000003</v>
      </c>
      <c r="P1765">
        <v>0.10824739999999999</v>
      </c>
      <c r="Q1765">
        <v>0.13627719999999999</v>
      </c>
      <c r="R1765">
        <v>-0.98473920000000004</v>
      </c>
      <c r="S1765">
        <v>-0.1068726</v>
      </c>
      <c r="T1765">
        <v>-0.2949118</v>
      </c>
      <c r="U1765">
        <v>-3.098541</v>
      </c>
      <c r="V1765">
        <v>-5.7037930000000001E-2</v>
      </c>
      <c r="W1765">
        <v>0.14714249999999901</v>
      </c>
      <c r="X1765">
        <v>0.98746940000000005</v>
      </c>
      <c r="Y1765">
        <v>8.6243050000000002E-2</v>
      </c>
      <c r="Z1765">
        <v>9.4352859999999997E-2</v>
      </c>
      <c r="AA1765">
        <v>0.99179620000000002</v>
      </c>
      <c r="AB1765">
        <v>23</v>
      </c>
      <c r="AC1765">
        <v>-3.9899999999988701E-2</v>
      </c>
      <c r="AD1765">
        <v>-7.4625999999999998E-2</v>
      </c>
      <c r="AE1765">
        <v>-0.55455000000000598</v>
      </c>
      <c r="AF1765">
        <v>6.7469450565987799E-2</v>
      </c>
      <c r="AG1765">
        <v>-7.4625999999999998E-2</v>
      </c>
      <c r="AH1765">
        <v>0.54196072666040596</v>
      </c>
      <c r="AI1765">
        <v>97.780798168425605</v>
      </c>
      <c r="AJ1765">
        <v>82.903677661045506</v>
      </c>
      <c r="AK1765">
        <v>0.551219190411538</v>
      </c>
      <c r="AL1765">
        <v>81.538633869402602</v>
      </c>
      <c r="AM1765">
        <v>93.3058294403031</v>
      </c>
      <c r="AN1765">
        <v>1.0000000283506401</v>
      </c>
    </row>
    <row r="1766" spans="1:40" x14ac:dyDescent="0.3">
      <c r="A1766" t="str">
        <f>"20200111150350328"</f>
        <v>20200111150350328</v>
      </c>
      <c r="B1766" t="str">
        <f>"1578726230320151"</f>
        <v>1578726230320151</v>
      </c>
      <c r="C1766" t="s">
        <v>40</v>
      </c>
      <c r="D1766">
        <v>5.3132539999999997</v>
      </c>
      <c r="E1766">
        <v>0.55695360000000005</v>
      </c>
      <c r="F1766" t="s">
        <v>42</v>
      </c>
      <c r="G1766">
        <v>-417.24700000000001</v>
      </c>
      <c r="H1766">
        <v>1.0324450000000001</v>
      </c>
      <c r="I1766">
        <v>91.104979999999998</v>
      </c>
      <c r="J1766">
        <v>-417.2063</v>
      </c>
      <c r="K1766">
        <v>1.10466</v>
      </c>
      <c r="L1766">
        <v>91.623410000000007</v>
      </c>
      <c r="M1766">
        <v>5.272292E-2</v>
      </c>
      <c r="N1766">
        <v>0</v>
      </c>
      <c r="O1766">
        <v>-0.99854949999999998</v>
      </c>
      <c r="P1766">
        <v>0.10815139999999999</v>
      </c>
      <c r="Q1766">
        <v>0.13637579999999999</v>
      </c>
      <c r="R1766">
        <v>-0.9847361</v>
      </c>
      <c r="S1766">
        <v>-0.10867309999999999</v>
      </c>
      <c r="T1766">
        <v>-0.29271130000000001</v>
      </c>
      <c r="U1766">
        <v>-3.098938</v>
      </c>
      <c r="V1766">
        <v>-5.622775E-2</v>
      </c>
      <c r="W1766">
        <v>0.14711939999999901</v>
      </c>
      <c r="X1766">
        <v>0.98751929999999999</v>
      </c>
      <c r="Y1766">
        <v>8.7536610000000001E-2</v>
      </c>
      <c r="Z1766">
        <v>9.3631610000000004E-2</v>
      </c>
      <c r="AA1766">
        <v>0.99175119999999894</v>
      </c>
      <c r="AB1766">
        <v>23</v>
      </c>
      <c r="AC1766">
        <v>-4.0699999999958401E-2</v>
      </c>
      <c r="AD1766">
        <v>-7.2214999999999904E-2</v>
      </c>
      <c r="AE1766">
        <v>-0.51842999999999495</v>
      </c>
      <c r="AF1766">
        <v>6.6692043276465898E-2</v>
      </c>
      <c r="AG1766">
        <v>-7.2214999999999904E-2</v>
      </c>
      <c r="AH1766">
        <v>0.50580870276238798</v>
      </c>
      <c r="AI1766">
        <v>98.056483866333096</v>
      </c>
      <c r="AJ1766">
        <v>82.488747220285603</v>
      </c>
      <c r="AK1766">
        <v>0.51527204334366905</v>
      </c>
      <c r="AL1766">
        <v>81.539971917020907</v>
      </c>
      <c r="AM1766">
        <v>93.258810289350905</v>
      </c>
      <c r="AN1766">
        <v>1.0000000227994501</v>
      </c>
    </row>
    <row r="1767" spans="1:40" x14ac:dyDescent="0.3">
      <c r="A1767" t="str">
        <f>"20200111150350350"</f>
        <v>20200111150350350</v>
      </c>
      <c r="B1767" t="str">
        <f>"1578726230340648"</f>
        <v>1578726230340648</v>
      </c>
      <c r="C1767" t="s">
        <v>40</v>
      </c>
      <c r="D1767">
        <v>5.2840910000000001</v>
      </c>
      <c r="E1767">
        <v>0.55704560000000003</v>
      </c>
      <c r="F1767" t="s">
        <v>42</v>
      </c>
      <c r="G1767">
        <v>-417.23230000000001</v>
      </c>
      <c r="H1767">
        <v>1.0358769999999999</v>
      </c>
      <c r="I1767">
        <v>90.893889999999999</v>
      </c>
      <c r="J1767">
        <v>-417.1936</v>
      </c>
      <c r="K1767">
        <v>1.1046480000000001</v>
      </c>
      <c r="L1767">
        <v>91.397220000000004</v>
      </c>
      <c r="M1767">
        <v>5.3377809999999998E-2</v>
      </c>
      <c r="N1767">
        <v>0</v>
      </c>
      <c r="O1767">
        <v>-0.99851559999999995</v>
      </c>
      <c r="P1767">
        <v>0.1079184</v>
      </c>
      <c r="Q1767">
        <v>0.13581070000000001</v>
      </c>
      <c r="R1767">
        <v>-0.98483960000000004</v>
      </c>
      <c r="S1767">
        <v>-0.1102905</v>
      </c>
      <c r="T1767">
        <v>-0.29223660000000001</v>
      </c>
      <c r="U1767">
        <v>-3.099091</v>
      </c>
      <c r="V1767">
        <v>-5.534041E-2</v>
      </c>
      <c r="W1767">
        <v>0.14645910000000001</v>
      </c>
      <c r="X1767">
        <v>0.98766759999999998</v>
      </c>
      <c r="Y1767">
        <v>8.8705610000000004E-2</v>
      </c>
      <c r="Z1767">
        <v>9.3465939999999997E-2</v>
      </c>
      <c r="AA1767">
        <v>0.99166299999999996</v>
      </c>
      <c r="AB1767">
        <v>23</v>
      </c>
      <c r="AC1767">
        <v>-3.8700000000005702E-2</v>
      </c>
      <c r="AD1767">
        <v>-6.8770999999999902E-2</v>
      </c>
      <c r="AE1767">
        <v>-0.50332999999999095</v>
      </c>
      <c r="AF1767">
        <v>6.4319375324124198E-2</v>
      </c>
      <c r="AG1767">
        <v>-6.8770999999999902E-2</v>
      </c>
      <c r="AH1767">
        <v>0.49142633633428601</v>
      </c>
      <c r="AI1767">
        <v>97.899815343988607</v>
      </c>
      <c r="AJ1767">
        <v>82.5433395858512</v>
      </c>
      <c r="AK1767">
        <v>0.50036614246571998</v>
      </c>
      <c r="AL1767">
        <v>81.578218919415903</v>
      </c>
      <c r="AM1767">
        <v>93.207010064029603</v>
      </c>
      <c r="AN1767">
        <v>1.00000005852076</v>
      </c>
    </row>
    <row r="1768" spans="1:40" x14ac:dyDescent="0.3">
      <c r="A1768" t="str">
        <f>"20200111150350371"</f>
        <v>20200111150350371</v>
      </c>
      <c r="B1768" t="str">
        <f>"1578726230360168"</f>
        <v>1578726230360168</v>
      </c>
      <c r="C1768" t="s">
        <v>40</v>
      </c>
      <c r="D1768">
        <v>5.3125619999999998</v>
      </c>
      <c r="E1768">
        <v>0.55719379999999996</v>
      </c>
      <c r="F1768" t="s">
        <v>42</v>
      </c>
      <c r="G1768">
        <v>-417.22649999999999</v>
      </c>
      <c r="H1768">
        <v>1.017806</v>
      </c>
      <c r="I1768">
        <v>90.481890000000007</v>
      </c>
      <c r="J1768">
        <v>-417.18049999999999</v>
      </c>
      <c r="K1768">
        <v>1.104641</v>
      </c>
      <c r="L1768">
        <v>91.166259999999994</v>
      </c>
      <c r="M1768">
        <v>5.4033200000000003E-2</v>
      </c>
      <c r="N1768">
        <v>0</v>
      </c>
      <c r="O1768">
        <v>-0.99848150000000002</v>
      </c>
      <c r="P1768">
        <v>0.1082994</v>
      </c>
      <c r="Q1768">
        <v>0.13489999999999999</v>
      </c>
      <c r="R1768">
        <v>-0.98492329999999995</v>
      </c>
      <c r="S1768">
        <v>-0.1108398</v>
      </c>
      <c r="T1768">
        <v>-0.29405579999999998</v>
      </c>
      <c r="U1768">
        <v>-3.0988769999999999</v>
      </c>
      <c r="V1768">
        <v>-5.5064580000000002E-2</v>
      </c>
      <c r="W1768">
        <v>0.1454656</v>
      </c>
      <c r="X1768">
        <v>0.98782969999999903</v>
      </c>
      <c r="Y1768">
        <v>8.9535299999999998E-2</v>
      </c>
      <c r="Z1768">
        <v>9.4040219999999994E-2</v>
      </c>
      <c r="AA1768">
        <v>0.99153409999999997</v>
      </c>
      <c r="AB1768">
        <v>24</v>
      </c>
      <c r="AC1768">
        <v>-4.59999999999922E-2</v>
      </c>
      <c r="AD1768">
        <v>-8.6834999999999996E-2</v>
      </c>
      <c r="AE1768">
        <v>-0.68436999999998704</v>
      </c>
      <c r="AF1768">
        <v>8.1605733781467293E-2</v>
      </c>
      <c r="AG1768">
        <v>-8.6834999999999996E-2</v>
      </c>
      <c r="AH1768">
        <v>0.670144100770387</v>
      </c>
      <c r="AI1768">
        <v>97.329506901852994</v>
      </c>
      <c r="AJ1768">
        <v>83.057081066850998</v>
      </c>
      <c r="AK1768">
        <v>0.68065624863683005</v>
      </c>
      <c r="AL1768">
        <v>81.635757454399098</v>
      </c>
      <c r="AM1768">
        <v>93.190536104545203</v>
      </c>
      <c r="AN1768">
        <v>0.99999993247801</v>
      </c>
    </row>
    <row r="1769" spans="1:40" x14ac:dyDescent="0.3">
      <c r="A1769" t="str">
        <f>"20200111150350396"</f>
        <v>20200111150350396</v>
      </c>
      <c r="B1769" t="str">
        <f>"1578726230390424"</f>
        <v>1578726230390424</v>
      </c>
      <c r="C1769" t="s">
        <v>40</v>
      </c>
      <c r="D1769">
        <v>5.2912239999999997</v>
      </c>
      <c r="E1769">
        <v>0.5925726</v>
      </c>
      <c r="F1769" t="s">
        <v>42</v>
      </c>
      <c r="G1769">
        <v>-417.21319999999997</v>
      </c>
      <c r="H1769">
        <v>1.0189319999999999</v>
      </c>
      <c r="I1769">
        <v>90.271019999999993</v>
      </c>
      <c r="J1769">
        <v>-417.16680000000002</v>
      </c>
      <c r="K1769">
        <v>1.10463</v>
      </c>
      <c r="L1769">
        <v>90.927250000000001</v>
      </c>
      <c r="M1769">
        <v>5.4696290000000002E-2</v>
      </c>
      <c r="N1769">
        <v>0</v>
      </c>
      <c r="O1769">
        <v>-0.9984461</v>
      </c>
      <c r="P1769">
        <v>0.1089807</v>
      </c>
      <c r="Q1769">
        <v>0.1348578</v>
      </c>
      <c r="R1769">
        <v>-0.98485370000000005</v>
      </c>
      <c r="S1769">
        <v>-0.11114499999999999</v>
      </c>
      <c r="T1769">
        <v>-0.29687770000000002</v>
      </c>
      <c r="U1769">
        <v>-3.0988159999999998</v>
      </c>
      <c r="V1769">
        <v>-5.5088150000000002E-2</v>
      </c>
      <c r="W1769">
        <v>0.14534720000000001</v>
      </c>
      <c r="X1769">
        <v>0.98784590000000005</v>
      </c>
      <c r="Y1769">
        <v>9.0291850000000007E-2</v>
      </c>
      <c r="Z1769">
        <v>9.4927830000000005E-2</v>
      </c>
      <c r="AA1769">
        <v>0.99138090000000001</v>
      </c>
      <c r="AB1769">
        <v>24</v>
      </c>
      <c r="AC1769">
        <v>-4.6399999999948698E-2</v>
      </c>
      <c r="AD1769">
        <v>-8.5697999999999996E-2</v>
      </c>
      <c r="AE1769">
        <v>-0.65623000000000697</v>
      </c>
      <c r="AF1769">
        <v>8.0853888002692706E-2</v>
      </c>
      <c r="AG1769">
        <v>-8.5697999999999996E-2</v>
      </c>
      <c r="AH1769">
        <v>0.64181829095121601</v>
      </c>
      <c r="AI1769">
        <v>97.5464141959215</v>
      </c>
      <c r="AJ1769">
        <v>82.819913487333295</v>
      </c>
      <c r="AK1769">
        <v>0.652542885187397</v>
      </c>
      <c r="AL1769">
        <v>81.642614863517906</v>
      </c>
      <c r="AM1769">
        <v>93.191846730731996</v>
      </c>
      <c r="AN1769">
        <v>1.0000000174825301</v>
      </c>
    </row>
    <row r="1770" spans="1:40" x14ac:dyDescent="0.3">
      <c r="A1770" t="str">
        <f>"20200111150350417"</f>
        <v>20200111150350417</v>
      </c>
      <c r="B1770" t="str">
        <f>"1578726230409943"</f>
        <v>1578726230409943</v>
      </c>
      <c r="C1770" t="s">
        <v>40</v>
      </c>
      <c r="D1770">
        <v>5.3297220000000003</v>
      </c>
      <c r="E1770">
        <v>0.59660649999999904</v>
      </c>
      <c r="F1770" t="s">
        <v>42</v>
      </c>
      <c r="G1770">
        <v>-417.27710000000002</v>
      </c>
      <c r="H1770">
        <v>1.0304789999999999</v>
      </c>
      <c r="I1770">
        <v>90.046459999999996</v>
      </c>
      <c r="J1770">
        <v>-417.15320000000003</v>
      </c>
      <c r="K1770">
        <v>1.1046240000000001</v>
      </c>
      <c r="L1770">
        <v>90.692840000000004</v>
      </c>
      <c r="M1770">
        <v>5.5322070000000001E-2</v>
      </c>
      <c r="N1770">
        <v>0</v>
      </c>
      <c r="O1770">
        <v>-0.99841239999999998</v>
      </c>
      <c r="P1770">
        <v>0.1103146</v>
      </c>
      <c r="Q1770">
        <v>0.13499700000000001</v>
      </c>
      <c r="R1770">
        <v>-0.98468599999999995</v>
      </c>
      <c r="S1770">
        <v>-0.39056400000000002</v>
      </c>
      <c r="T1770">
        <v>-0.2632082</v>
      </c>
      <c r="U1770">
        <v>-3.125397</v>
      </c>
      <c r="V1770">
        <v>-5.5803970000000001E-2</v>
      </c>
      <c r="W1770">
        <v>0.1454222</v>
      </c>
      <c r="X1770">
        <v>0.98779470000000003</v>
      </c>
      <c r="Y1770">
        <v>0.1782811</v>
      </c>
      <c r="Z1770">
        <v>8.2733870000000001E-2</v>
      </c>
      <c r="AA1770">
        <v>0.98049529999999996</v>
      </c>
      <c r="AB1770">
        <v>24</v>
      </c>
      <c r="AC1770">
        <v>-0.123899999999991</v>
      </c>
      <c r="AD1770">
        <v>-7.4144999999999905E-2</v>
      </c>
      <c r="AE1770">
        <v>-0.64638000000000695</v>
      </c>
      <c r="AF1770">
        <v>0.157472734208217</v>
      </c>
      <c r="AG1770">
        <v>-7.4144999999999905E-2</v>
      </c>
      <c r="AH1770">
        <v>0.63053272669750604</v>
      </c>
      <c r="AI1770">
        <v>96.508556833038796</v>
      </c>
      <c r="AJ1770">
        <v>75.977479401124697</v>
      </c>
      <c r="AK1770">
        <v>0.65411517524103002</v>
      </c>
      <c r="AL1770">
        <v>81.638271675038297</v>
      </c>
      <c r="AM1770">
        <v>93.233401653237607</v>
      </c>
      <c r="AN1770">
        <v>1.00000003433434</v>
      </c>
    </row>
    <row r="1771" spans="1:40" x14ac:dyDescent="0.3">
      <c r="A1771" t="str">
        <f>"20200111150350440"</f>
        <v>20200111150350440</v>
      </c>
      <c r="B1771" t="str">
        <f>"1578726230430440"</f>
        <v>1578726230430440</v>
      </c>
      <c r="C1771" t="s">
        <v>40</v>
      </c>
      <c r="D1771">
        <v>5.3043959999999997</v>
      </c>
      <c r="E1771">
        <v>0.59893529999999995</v>
      </c>
      <c r="F1771" t="s">
        <v>41</v>
      </c>
      <c r="G1771">
        <v>-418.90199999999999</v>
      </c>
      <c r="H1771" s="1">
        <v>-3.6187440000000001E-6</v>
      </c>
      <c r="I1771">
        <v>77.614140000000006</v>
      </c>
      <c r="J1771">
        <v>-417.13909999999998</v>
      </c>
      <c r="K1771">
        <v>1.1045969999999901</v>
      </c>
      <c r="L1771">
        <v>90.450810000000004</v>
      </c>
      <c r="M1771">
        <v>5.592536E-2</v>
      </c>
      <c r="N1771">
        <v>0</v>
      </c>
      <c r="O1771">
        <v>-0.99837929999999997</v>
      </c>
      <c r="P1771">
        <v>0.1116988</v>
      </c>
      <c r="Q1771">
        <v>0.1357911</v>
      </c>
      <c r="R1771">
        <v>-0.98442079999999998</v>
      </c>
      <c r="S1771">
        <v>-0.41848750000000001</v>
      </c>
      <c r="T1771">
        <v>-0.26434229999999997</v>
      </c>
      <c r="U1771">
        <v>-3.129791</v>
      </c>
      <c r="V1771">
        <v>-5.6594699999999998E-2</v>
      </c>
      <c r="W1771">
        <v>0.1461595</v>
      </c>
      <c r="X1771">
        <v>0.98764090000000004</v>
      </c>
      <c r="Y1771">
        <v>0.1873011</v>
      </c>
      <c r="Z1771">
        <v>8.2851449999999993E-2</v>
      </c>
      <c r="AA1771">
        <v>0.97880230000000001</v>
      </c>
      <c r="AB1771">
        <v>24</v>
      </c>
      <c r="AC1771">
        <v>-1.7628999999999999</v>
      </c>
      <c r="AD1771">
        <v>-1.1046006187439901</v>
      </c>
      <c r="AE1771">
        <v>-12.8366699999999</v>
      </c>
      <c r="AF1771">
        <v>2.46019622693552</v>
      </c>
      <c r="AG1771">
        <v>-1.1046006187439901</v>
      </c>
      <c r="AH1771">
        <v>12.626219134805099</v>
      </c>
      <c r="AI1771">
        <v>94.907937447168095</v>
      </c>
      <c r="AJ1771">
        <v>78.974169446841699</v>
      </c>
      <c r="AK1771">
        <v>12.91100761529</v>
      </c>
      <c r="AL1771">
        <v>81.595571423517299</v>
      </c>
      <c r="AM1771">
        <v>93.279628484926505</v>
      </c>
      <c r="AN1771">
        <v>1.00000005343057</v>
      </c>
    </row>
    <row r="1772" spans="1:40" x14ac:dyDescent="0.3">
      <c r="A1772" t="str">
        <f>"20200111150350461"</f>
        <v>20200111150350461</v>
      </c>
      <c r="B1772" t="str">
        <f>"1578726230449961"</f>
        <v>1578726230449961</v>
      </c>
      <c r="C1772" t="s">
        <v>40</v>
      </c>
      <c r="D1772">
        <v>5.3502519999999896</v>
      </c>
      <c r="E1772">
        <v>0.60026109999999999</v>
      </c>
      <c r="F1772" t="s">
        <v>41</v>
      </c>
      <c r="G1772">
        <v>-418.99209999999999</v>
      </c>
      <c r="H1772" s="1">
        <v>-3.3624059999999902E-6</v>
      </c>
      <c r="I1772">
        <v>77.053849999999997</v>
      </c>
      <c r="J1772">
        <v>-417.12599999999998</v>
      </c>
      <c r="K1772">
        <v>1.10456</v>
      </c>
      <c r="L1772">
        <v>90.22757</v>
      </c>
      <c r="M1772">
        <v>5.6424769999999999E-2</v>
      </c>
      <c r="N1772">
        <v>0</v>
      </c>
      <c r="O1772">
        <v>-0.99835180000000001</v>
      </c>
      <c r="P1772">
        <v>0.1125353</v>
      </c>
      <c r="Q1772">
        <v>0.1366647</v>
      </c>
      <c r="R1772">
        <v>-0.98420479999999999</v>
      </c>
      <c r="S1772">
        <v>-0.43322749999999999</v>
      </c>
      <c r="T1772">
        <v>-0.25825999999999999</v>
      </c>
      <c r="U1772">
        <v>-3.132263</v>
      </c>
      <c r="V1772">
        <v>-5.6935640000000003E-2</v>
      </c>
      <c r="W1772">
        <v>0.14699019999999999</v>
      </c>
      <c r="X1772">
        <v>0.98749799999999999</v>
      </c>
      <c r="Y1772">
        <v>0.19223380000000001</v>
      </c>
      <c r="Z1772">
        <v>8.0827319999999994E-2</v>
      </c>
      <c r="AA1772">
        <v>0.97801490000000002</v>
      </c>
      <c r="AB1772">
        <v>24</v>
      </c>
      <c r="AC1772">
        <v>-1.8661000000000101</v>
      </c>
      <c r="AD1772">
        <v>-1.1045633624060001</v>
      </c>
      <c r="AE1772">
        <v>-13.173719999999999</v>
      </c>
      <c r="AF1772">
        <v>2.58865106874276</v>
      </c>
      <c r="AG1772">
        <v>-1.1045633624060001</v>
      </c>
      <c r="AH1772">
        <v>12.9581244273097</v>
      </c>
      <c r="AI1772">
        <v>94.778209189437206</v>
      </c>
      <c r="AJ1772">
        <v>78.702711410084106</v>
      </c>
      <c r="AK1772">
        <v>13.2602474807567</v>
      </c>
      <c r="AL1772">
        <v>81.547456066785401</v>
      </c>
      <c r="AM1772">
        <v>93.299818623807894</v>
      </c>
      <c r="AN1772">
        <v>1.00000004300112</v>
      </c>
    </row>
    <row r="1773" spans="1:40" x14ac:dyDescent="0.3">
      <c r="A1773" t="str">
        <f>"20200111150350483"</f>
        <v>20200111150350483</v>
      </c>
      <c r="B1773" t="str">
        <f>"1578726230479846"</f>
        <v>1578726230479846</v>
      </c>
      <c r="C1773" t="s">
        <v>40</v>
      </c>
      <c r="D1773">
        <v>5.3240530000000001</v>
      </c>
      <c r="E1773">
        <v>0.60183659999999894</v>
      </c>
      <c r="F1773" t="s">
        <v>41</v>
      </c>
      <c r="G1773">
        <v>-419.04610000000002</v>
      </c>
      <c r="H1773" s="1">
        <v>-3.1527369999999999E-6</v>
      </c>
      <c r="I1773">
        <v>76.587450000000004</v>
      </c>
      <c r="J1773">
        <v>-417.11169999999998</v>
      </c>
      <c r="K1773">
        <v>1.104503</v>
      </c>
      <c r="L1773">
        <v>89.985720000000001</v>
      </c>
      <c r="M1773">
        <v>5.688435E-2</v>
      </c>
      <c r="N1773">
        <v>0</v>
      </c>
      <c r="O1773">
        <v>-0.99832619999999905</v>
      </c>
      <c r="P1773">
        <v>0.11280999999999999</v>
      </c>
      <c r="Q1773">
        <v>0.13712669999999999</v>
      </c>
      <c r="R1773">
        <v>-0.98410880000000001</v>
      </c>
      <c r="S1773">
        <v>-0.44113160000000001</v>
      </c>
      <c r="T1773">
        <v>-0.25377359999999999</v>
      </c>
      <c r="U1773">
        <v>-3.1338200000000001</v>
      </c>
      <c r="V1773">
        <v>-5.674034E-2</v>
      </c>
      <c r="W1773">
        <v>0.14741650000000001</v>
      </c>
      <c r="X1773">
        <v>0.98744569999999998</v>
      </c>
      <c r="Y1773">
        <v>0.1950549</v>
      </c>
      <c r="Z1773">
        <v>7.9354359999999999E-2</v>
      </c>
      <c r="AA1773">
        <v>0.97757689999999997</v>
      </c>
      <c r="AB1773">
        <v>24</v>
      </c>
      <c r="AC1773">
        <v>-1.9344000000000301</v>
      </c>
      <c r="AD1773">
        <v>-1.1045061527369999</v>
      </c>
      <c r="AE1773">
        <v>-13.398269999999901</v>
      </c>
      <c r="AF1773">
        <v>2.6756490171099201</v>
      </c>
      <c r="AG1773">
        <v>-1.1045061527369999</v>
      </c>
      <c r="AH1773">
        <v>13.178798347188099</v>
      </c>
      <c r="AI1773">
        <v>94.695371973943793</v>
      </c>
      <c r="AJ1773">
        <v>78.523413245841596</v>
      </c>
      <c r="AK1773">
        <v>13.4929521373213</v>
      </c>
      <c r="AL1773">
        <v>81.522761928864995</v>
      </c>
      <c r="AM1773">
        <v>93.288698301471399</v>
      </c>
      <c r="AN1773">
        <v>1.0000000505520199</v>
      </c>
    </row>
    <row r="1774" spans="1:40" x14ac:dyDescent="0.3">
      <c r="A1774" t="str">
        <f>"20200111150350506"</f>
        <v>20200111150350506</v>
      </c>
      <c r="B1774" t="str">
        <f>"1578726230500343"</f>
        <v>1578726230500343</v>
      </c>
      <c r="C1774" t="s">
        <v>40</v>
      </c>
      <c r="D1774">
        <v>5.3563450000000001</v>
      </c>
      <c r="E1774">
        <v>0.60286830000000002</v>
      </c>
      <c r="F1774" t="s">
        <v>41</v>
      </c>
      <c r="G1774">
        <v>-419.101</v>
      </c>
      <c r="H1774" s="1">
        <v>-2.983067E-6</v>
      </c>
      <c r="I1774">
        <v>76.214640000000003</v>
      </c>
      <c r="J1774">
        <v>-417.09789999999998</v>
      </c>
      <c r="K1774">
        <v>1.104433</v>
      </c>
      <c r="L1774">
        <v>89.750789999999995</v>
      </c>
      <c r="M1774">
        <v>5.7231079999999997E-2</v>
      </c>
      <c r="N1774">
        <v>0</v>
      </c>
      <c r="O1774">
        <v>-0.99830660000000004</v>
      </c>
      <c r="P1774">
        <v>0.11268060000000001</v>
      </c>
      <c r="Q1774">
        <v>0.1375092</v>
      </c>
      <c r="R1774">
        <v>-0.98407040000000001</v>
      </c>
      <c r="S1774">
        <v>-0.45291140000000002</v>
      </c>
      <c r="T1774">
        <v>-0.25147449999999999</v>
      </c>
      <c r="U1774">
        <v>-3.1354060000000001</v>
      </c>
      <c r="V1774">
        <v>-5.6244769999999999E-2</v>
      </c>
      <c r="W1774">
        <v>0.14777680000000001</v>
      </c>
      <c r="X1774">
        <v>0.98742010000000002</v>
      </c>
      <c r="Y1774">
        <v>0.19893440000000001</v>
      </c>
      <c r="Z1774">
        <v>7.8546859999999996E-2</v>
      </c>
      <c r="AA1774">
        <v>0.97685999999999995</v>
      </c>
      <c r="AB1774">
        <v>24</v>
      </c>
      <c r="AC1774">
        <v>-2.0031000000000101</v>
      </c>
      <c r="AD1774">
        <v>-1.1044359830670001</v>
      </c>
      <c r="AE1774">
        <v>-13.536149999999999</v>
      </c>
      <c r="AF1774">
        <v>2.75658912792324</v>
      </c>
      <c r="AG1774">
        <v>-1.1044359830670001</v>
      </c>
      <c r="AH1774">
        <v>13.312590228493599</v>
      </c>
      <c r="AI1774">
        <v>94.644420167777398</v>
      </c>
      <c r="AJ1774">
        <v>78.301303171134606</v>
      </c>
      <c r="AK1774">
        <v>13.639780828615301</v>
      </c>
      <c r="AL1774">
        <v>81.501888844573898</v>
      </c>
      <c r="AM1774">
        <v>93.260121381197195</v>
      </c>
      <c r="AN1774">
        <v>0.99999995532730002</v>
      </c>
    </row>
    <row r="1775" spans="1:40" x14ac:dyDescent="0.3">
      <c r="A1775" t="str">
        <f>"20200111150350529"</f>
        <v>20200111150350529</v>
      </c>
      <c r="B1775" t="str">
        <f>"1578726230519863"</f>
        <v>1578726230519863</v>
      </c>
      <c r="C1775" t="s">
        <v>40</v>
      </c>
      <c r="D1775">
        <v>5.3352729999999999</v>
      </c>
      <c r="E1775">
        <v>0.60335050000000001</v>
      </c>
      <c r="F1775" t="s">
        <v>41</v>
      </c>
      <c r="G1775">
        <v>-419.15809999999999</v>
      </c>
      <c r="H1775" s="1">
        <v>-2.7834249999999902E-6</v>
      </c>
      <c r="I1775">
        <v>75.772869999999998</v>
      </c>
      <c r="J1775">
        <v>-417.08359999999999</v>
      </c>
      <c r="K1775">
        <v>1.1043400000000001</v>
      </c>
      <c r="L1775">
        <v>89.506709999999998</v>
      </c>
      <c r="M1775">
        <v>5.7467579999999997E-2</v>
      </c>
      <c r="N1775">
        <v>0</v>
      </c>
      <c r="O1775">
        <v>-0.99829330000000005</v>
      </c>
      <c r="P1775">
        <v>0.11209280000000001</v>
      </c>
      <c r="Q1775">
        <v>0.13793269999999999</v>
      </c>
      <c r="R1775">
        <v>-0.98407840000000002</v>
      </c>
      <c r="S1775">
        <v>-0.4622192</v>
      </c>
      <c r="T1775">
        <v>-0.24779290000000001</v>
      </c>
      <c r="U1775">
        <v>-3.1361080000000001</v>
      </c>
      <c r="V1775">
        <v>-5.5393320000000003E-2</v>
      </c>
      <c r="W1775">
        <v>0.14818990000000001</v>
      </c>
      <c r="X1775">
        <v>0.98740640000000002</v>
      </c>
      <c r="Y1775">
        <v>0.20198720000000001</v>
      </c>
      <c r="Z1775">
        <v>7.7344540000000003E-2</v>
      </c>
      <c r="AA1775">
        <v>0.97632929999999996</v>
      </c>
      <c r="AB1775">
        <v>24</v>
      </c>
      <c r="AC1775">
        <v>-2.0745</v>
      </c>
      <c r="AD1775">
        <v>-1.1043427834249999</v>
      </c>
      <c r="AE1775">
        <v>-13.733839999999899</v>
      </c>
      <c r="AF1775">
        <v>2.84239595445524</v>
      </c>
      <c r="AG1775">
        <v>-1.1043427834249999</v>
      </c>
      <c r="AH1775">
        <v>13.506534942902</v>
      </c>
      <c r="AI1775">
        <v>94.574549716638401</v>
      </c>
      <c r="AJ1775">
        <v>78.115749698586498</v>
      </c>
      <c r="AK1775">
        <v>13.8464895879439</v>
      </c>
      <c r="AL1775">
        <v>81.4779571207727</v>
      </c>
      <c r="AM1775">
        <v>93.210917208797298</v>
      </c>
      <c r="AN1775">
        <v>1.0000000325617899</v>
      </c>
    </row>
    <row r="1776" spans="1:40" x14ac:dyDescent="0.3">
      <c r="A1776" t="str">
        <f>"20200111150350551"</f>
        <v>20200111150350551</v>
      </c>
      <c r="B1776" t="str">
        <f>"1578726230540358"</f>
        <v>1578726230540358</v>
      </c>
      <c r="C1776" t="s">
        <v>40</v>
      </c>
      <c r="D1776">
        <v>5.3537059999999999</v>
      </c>
      <c r="E1776">
        <v>0.60395359999999998</v>
      </c>
      <c r="F1776" t="s">
        <v>41</v>
      </c>
      <c r="G1776">
        <v>-419.17919999999998</v>
      </c>
      <c r="H1776" s="1">
        <v>-2.6462050000000001E-6</v>
      </c>
      <c r="I1776">
        <v>75.461759999999998</v>
      </c>
      <c r="J1776">
        <v>-417.07</v>
      </c>
      <c r="K1776">
        <v>1.1042540000000001</v>
      </c>
      <c r="L1776">
        <v>89.274439999999998</v>
      </c>
      <c r="M1776">
        <v>5.7564169999999998E-2</v>
      </c>
      <c r="N1776">
        <v>0</v>
      </c>
      <c r="O1776">
        <v>-0.99828779999999995</v>
      </c>
      <c r="P1776">
        <v>0.1107409</v>
      </c>
      <c r="Q1776">
        <v>0.13908229999999999</v>
      </c>
      <c r="R1776">
        <v>-0.98406930000000004</v>
      </c>
      <c r="S1776">
        <v>-0.46798709999999999</v>
      </c>
      <c r="T1776">
        <v>-0.24661340000000001</v>
      </c>
      <c r="U1776">
        <v>-3.1364139999999998</v>
      </c>
      <c r="V1776">
        <v>-5.391816E-2</v>
      </c>
      <c r="W1776">
        <v>0.14933479999999999</v>
      </c>
      <c r="X1776">
        <v>0.98731550000000001</v>
      </c>
      <c r="Y1776">
        <v>0.20382929999999999</v>
      </c>
      <c r="Z1776">
        <v>7.6945470000000002E-2</v>
      </c>
      <c r="AA1776">
        <v>0.97597800000000001</v>
      </c>
      <c r="AB1776">
        <v>24</v>
      </c>
      <c r="AC1776">
        <v>-2.10919999999998</v>
      </c>
      <c r="AD1776">
        <v>-1.1042566462050001</v>
      </c>
      <c r="AE1776">
        <v>-13.812679999999901</v>
      </c>
      <c r="AF1776">
        <v>2.8828553523688498</v>
      </c>
      <c r="AG1776">
        <v>-1.1042566462050001</v>
      </c>
      <c r="AH1776">
        <v>13.583515431713399</v>
      </c>
      <c r="AI1776">
        <v>94.546744493777595</v>
      </c>
      <c r="AJ1776">
        <v>78.017798558690004</v>
      </c>
      <c r="AK1776">
        <v>13.9299005454801</v>
      </c>
      <c r="AL1776">
        <v>81.411620547098394</v>
      </c>
      <c r="AM1776">
        <v>93.125867451640701</v>
      </c>
      <c r="AN1776">
        <v>0.99999997350453695</v>
      </c>
    </row>
    <row r="1777" spans="1:40" x14ac:dyDescent="0.3">
      <c r="A1777" t="str">
        <f>"20200111150350573"</f>
        <v>20200111150350573</v>
      </c>
      <c r="B1777" t="str">
        <f>"1578726230570192"</f>
        <v>1578726230570192</v>
      </c>
      <c r="C1777" t="s">
        <v>40</v>
      </c>
      <c r="D1777">
        <v>5.3325760000000004</v>
      </c>
      <c r="E1777">
        <v>0.60469219999999901</v>
      </c>
      <c r="F1777" t="s">
        <v>41</v>
      </c>
      <c r="G1777">
        <v>-419.23610000000002</v>
      </c>
      <c r="H1777" s="1">
        <v>-2.4478600000000001E-6</v>
      </c>
      <c r="I1777">
        <v>75.022909999999996</v>
      </c>
      <c r="J1777">
        <v>-417.05650000000003</v>
      </c>
      <c r="K1777">
        <v>1.1041799999999999</v>
      </c>
      <c r="L1777">
        <v>89.041169999999994</v>
      </c>
      <c r="M1777">
        <v>5.7540199999999903E-2</v>
      </c>
      <c r="N1777">
        <v>0</v>
      </c>
      <c r="O1777">
        <v>-0.99828930000000005</v>
      </c>
      <c r="P1777">
        <v>0.1099173</v>
      </c>
      <c r="Q1777">
        <v>0.13997200000000001</v>
      </c>
      <c r="R1777">
        <v>-0.98403560000000001</v>
      </c>
      <c r="S1777">
        <v>-0.4767151</v>
      </c>
      <c r="T1777">
        <v>-0.24303150000000001</v>
      </c>
      <c r="U1777">
        <v>-3.1365660000000002</v>
      </c>
      <c r="V1777">
        <v>-5.3091760000000002E-2</v>
      </c>
      <c r="W1777">
        <v>0.15022160000000001</v>
      </c>
      <c r="X1777">
        <v>0.98722580000000004</v>
      </c>
      <c r="Y1777">
        <v>0.20646690000000001</v>
      </c>
      <c r="Z1777">
        <v>7.5794280000000006E-2</v>
      </c>
      <c r="AA1777">
        <v>0.97551350000000003</v>
      </c>
      <c r="AB1777">
        <v>24</v>
      </c>
      <c r="AC1777">
        <v>-2.17959999999999</v>
      </c>
      <c r="AD1777">
        <v>-1.10418244786</v>
      </c>
      <c r="AE1777">
        <v>-14.0182599999999</v>
      </c>
      <c r="AF1777">
        <v>2.9646856573292202</v>
      </c>
      <c r="AG1777">
        <v>-1.10418244786</v>
      </c>
      <c r="AH1777">
        <v>13.786096283424</v>
      </c>
      <c r="AI1777">
        <v>94.477338966121906</v>
      </c>
      <c r="AJ1777">
        <v>77.863438639452198</v>
      </c>
      <c r="AK1777">
        <v>14.144434617925601</v>
      </c>
      <c r="AL1777">
        <v>81.360231375952907</v>
      </c>
      <c r="AM1777">
        <v>93.078329470419902</v>
      </c>
      <c r="AN1777">
        <v>1.0000000221360399</v>
      </c>
    </row>
    <row r="1778" spans="1:40" x14ac:dyDescent="0.3">
      <c r="A1778" t="str">
        <f>"20200111150350595"</f>
        <v>20200111150350595</v>
      </c>
      <c r="B1778" t="str">
        <f>"1578726230590689"</f>
        <v>1578726230590689</v>
      </c>
      <c r="C1778" t="s">
        <v>40</v>
      </c>
      <c r="D1778">
        <v>5.3754269999999904</v>
      </c>
      <c r="E1778">
        <v>0.6050972</v>
      </c>
      <c r="F1778" t="s">
        <v>41</v>
      </c>
      <c r="G1778">
        <v>-419.2749</v>
      </c>
      <c r="H1778" s="1">
        <v>-2.304013E-6</v>
      </c>
      <c r="I1778">
        <v>74.703659999999999</v>
      </c>
      <c r="J1778">
        <v>-417.04259999999999</v>
      </c>
      <c r="K1778">
        <v>1.1041160000000001</v>
      </c>
      <c r="L1778">
        <v>88.797730000000001</v>
      </c>
      <c r="M1778">
        <v>5.7401439999999998E-2</v>
      </c>
      <c r="N1778">
        <v>0</v>
      </c>
      <c r="O1778">
        <v>-0.99829749999999995</v>
      </c>
      <c r="P1778">
        <v>0.1100386</v>
      </c>
      <c r="Q1778">
        <v>0.14122699999999999</v>
      </c>
      <c r="R1778">
        <v>-0.98384269999999996</v>
      </c>
      <c r="S1778">
        <v>-0.48541260000000003</v>
      </c>
      <c r="T1778">
        <v>-0.2416121</v>
      </c>
      <c r="U1778">
        <v>-3.1372680000000002</v>
      </c>
      <c r="V1778">
        <v>-5.3333760000000001E-2</v>
      </c>
      <c r="W1778">
        <v>0.15147360000000001</v>
      </c>
      <c r="X1778">
        <v>0.98702140000000005</v>
      </c>
      <c r="Y1778">
        <v>0.20894579999999999</v>
      </c>
      <c r="Z1778">
        <v>7.5302809999999998E-2</v>
      </c>
      <c r="AA1778">
        <v>0.97502359999999999</v>
      </c>
      <c r="AB1778">
        <v>24</v>
      </c>
      <c r="AC1778">
        <v>-2.2323</v>
      </c>
      <c r="AD1778">
        <v>-1.10411830401299</v>
      </c>
      <c r="AE1778">
        <v>-14.09407</v>
      </c>
      <c r="AF1778">
        <v>3.0196043063197702</v>
      </c>
      <c r="AG1778">
        <v>-1.10411830401299</v>
      </c>
      <c r="AH1778">
        <v>13.859708858089</v>
      </c>
      <c r="AI1778">
        <v>94.450811067543995</v>
      </c>
      <c r="AJ1778">
        <v>77.709080619041401</v>
      </c>
      <c r="AK1778">
        <v>14.227741107673801</v>
      </c>
      <c r="AL1778">
        <v>81.287666443135393</v>
      </c>
      <c r="AM1778">
        <v>93.092972916179704</v>
      </c>
      <c r="AN1778">
        <v>0.99999999275532803</v>
      </c>
    </row>
    <row r="1779" spans="1:40" x14ac:dyDescent="0.3">
      <c r="A1779" t="str">
        <f>"20200111150350618"</f>
        <v>20200111150350618</v>
      </c>
      <c r="B1779" t="str">
        <f>"1578726230610207"</f>
        <v>1578726230610207</v>
      </c>
      <c r="C1779" t="s">
        <v>40</v>
      </c>
      <c r="D1779">
        <v>5.3481709999999998</v>
      </c>
      <c r="E1779">
        <v>0.60547289999999998</v>
      </c>
      <c r="F1779" t="s">
        <v>41</v>
      </c>
      <c r="G1779">
        <v>-419.31360000000001</v>
      </c>
      <c r="H1779" s="1">
        <v>-2.0861159999999998E-6</v>
      </c>
      <c r="I1779">
        <v>74.211749999999995</v>
      </c>
      <c r="J1779">
        <v>-417.02890000000002</v>
      </c>
      <c r="K1779">
        <v>1.1040509999999999</v>
      </c>
      <c r="L1779">
        <v>88.556820000000002</v>
      </c>
      <c r="M1779">
        <v>5.714147E-2</v>
      </c>
      <c r="N1779">
        <v>0</v>
      </c>
      <c r="O1779">
        <v>-0.99831239999999999</v>
      </c>
      <c r="P1779">
        <v>0.11085540000000001</v>
      </c>
      <c r="Q1779">
        <v>0.14198079999999999</v>
      </c>
      <c r="R1779">
        <v>-0.98364240000000003</v>
      </c>
      <c r="S1779">
        <v>-0.48858639999999998</v>
      </c>
      <c r="T1779">
        <v>-0.23753769999999999</v>
      </c>
      <c r="U1779">
        <v>-3.1379999999999999</v>
      </c>
      <c r="V1779">
        <v>-5.439008E-2</v>
      </c>
      <c r="W1779">
        <v>0.15222820000000001</v>
      </c>
      <c r="X1779">
        <v>0.98684760000000005</v>
      </c>
      <c r="Y1779">
        <v>0.20963470000000001</v>
      </c>
      <c r="Z1779">
        <v>7.4013679999999998E-2</v>
      </c>
      <c r="AA1779">
        <v>0.97497449999999997</v>
      </c>
      <c r="AB1779">
        <v>24</v>
      </c>
      <c r="AC1779">
        <v>-2.28469999999998</v>
      </c>
      <c r="AD1779">
        <v>-1.1040530861160001</v>
      </c>
      <c r="AE1779">
        <v>-14.34507</v>
      </c>
      <c r="AF1779">
        <v>3.08289930363427</v>
      </c>
      <c r="AG1779">
        <v>-1.1040530861160001</v>
      </c>
      <c r="AH1779">
        <v>14.1095611660696</v>
      </c>
      <c r="AI1779">
        <v>94.371477624754405</v>
      </c>
      <c r="AJ1779">
        <v>77.674737555169997</v>
      </c>
      <c r="AK1779">
        <v>14.4845751623018</v>
      </c>
      <c r="AL1779">
        <v>81.243923365137704</v>
      </c>
      <c r="AM1779">
        <v>93.154663726570107</v>
      </c>
      <c r="AN1779">
        <v>0.99999994565170103</v>
      </c>
    </row>
    <row r="1780" spans="1:40" x14ac:dyDescent="0.3">
      <c r="A1780" t="str">
        <f>"20200111150350640"</f>
        <v>20200111150350640</v>
      </c>
      <c r="B1780" t="str">
        <f>"1578726230630704"</f>
        <v>1578726230630704</v>
      </c>
      <c r="C1780" t="s">
        <v>40</v>
      </c>
      <c r="D1780">
        <v>5.3440240000000001</v>
      </c>
      <c r="E1780">
        <v>0.60589630000000005</v>
      </c>
      <c r="F1780" t="s">
        <v>41</v>
      </c>
      <c r="G1780">
        <v>-419.31299999999999</v>
      </c>
      <c r="H1780" s="1">
        <v>-1.9445390000000002E-6</v>
      </c>
      <c r="I1780">
        <v>73.881450000000001</v>
      </c>
      <c r="J1780">
        <v>-417.01560000000001</v>
      </c>
      <c r="K1780">
        <v>1.10397099999999</v>
      </c>
      <c r="L1780">
        <v>88.318049999999999</v>
      </c>
      <c r="M1780">
        <v>5.6747470000000001E-2</v>
      </c>
      <c r="N1780">
        <v>0</v>
      </c>
      <c r="O1780">
        <v>-0.99833519999999998</v>
      </c>
      <c r="P1780">
        <v>0.11226179999999999</v>
      </c>
      <c r="Q1780">
        <v>0.14296539999999999</v>
      </c>
      <c r="R1780">
        <v>-0.98334060000000001</v>
      </c>
      <c r="S1780">
        <v>-0.48855589999999999</v>
      </c>
      <c r="T1780">
        <v>-0.23615530000000001</v>
      </c>
      <c r="U1780">
        <v>-3.1390380000000002</v>
      </c>
      <c r="V1780">
        <v>-5.616989E-2</v>
      </c>
      <c r="W1780">
        <v>0.1532201</v>
      </c>
      <c r="X1780">
        <v>0.98659439999999998</v>
      </c>
      <c r="Y1780">
        <v>0.20919570000000001</v>
      </c>
      <c r="Z1780">
        <v>7.3567489999999999E-2</v>
      </c>
      <c r="AA1780">
        <v>0.97510249999999998</v>
      </c>
      <c r="AB1780">
        <v>24</v>
      </c>
      <c r="AC1780">
        <v>-2.2974000000000299</v>
      </c>
      <c r="AD1780">
        <v>-1.1039729445390001</v>
      </c>
      <c r="AE1780">
        <v>-14.4366</v>
      </c>
      <c r="AF1780">
        <v>3.0953281068111198</v>
      </c>
      <c r="AG1780">
        <v>-1.1039729445390001</v>
      </c>
      <c r="AH1780">
        <v>14.2019573660045</v>
      </c>
      <c r="AI1780">
        <v>94.343324841106394</v>
      </c>
      <c r="AJ1780">
        <v>77.704619165042601</v>
      </c>
      <c r="AK1780">
        <v>14.5772221419892</v>
      </c>
      <c r="AL1780">
        <v>81.186417391503696</v>
      </c>
      <c r="AM1780">
        <v>93.258509412397103</v>
      </c>
      <c r="AN1780">
        <v>0.99999998284899005</v>
      </c>
    </row>
    <row r="1781" spans="1:40" x14ac:dyDescent="0.3">
      <c r="A1781" t="str">
        <f>"20200111150350662"</f>
        <v>20200111150350662</v>
      </c>
      <c r="B1781" t="str">
        <f>"1578726230650225"</f>
        <v>1578726230650225</v>
      </c>
      <c r="C1781" t="s">
        <v>40</v>
      </c>
      <c r="D1781">
        <v>5.360258</v>
      </c>
      <c r="E1781">
        <v>0.60632839999999999</v>
      </c>
      <c r="F1781" t="s">
        <v>41</v>
      </c>
      <c r="G1781">
        <v>-419.31990000000002</v>
      </c>
      <c r="H1781" s="1">
        <v>-1.775269E-6</v>
      </c>
      <c r="I1781">
        <v>73.489750000000001</v>
      </c>
      <c r="J1781">
        <v>-417.00299999999999</v>
      </c>
      <c r="K1781">
        <v>1.1038730000000001</v>
      </c>
      <c r="L1781">
        <v>88.088930000000005</v>
      </c>
      <c r="M1781">
        <v>5.6229319999999999E-2</v>
      </c>
      <c r="N1781">
        <v>0</v>
      </c>
      <c r="O1781">
        <v>-0.99836429999999998</v>
      </c>
      <c r="P1781">
        <v>0.1133509</v>
      </c>
      <c r="Q1781">
        <v>0.1430178</v>
      </c>
      <c r="R1781">
        <v>-0.98320779999999997</v>
      </c>
      <c r="S1781">
        <v>-0.4880371</v>
      </c>
      <c r="T1781">
        <v>-0.23381389999999999</v>
      </c>
      <c r="U1781">
        <v>-3.140533</v>
      </c>
      <c r="V1781">
        <v>-5.774236E-2</v>
      </c>
      <c r="W1781">
        <v>0.15328989999999901</v>
      </c>
      <c r="X1781">
        <v>0.98649279999999995</v>
      </c>
      <c r="Y1781">
        <v>0.20846890000000001</v>
      </c>
      <c r="Z1781">
        <v>7.2817939999999998E-2</v>
      </c>
      <c r="AA1781">
        <v>0.97531440000000003</v>
      </c>
      <c r="AB1781">
        <v>24</v>
      </c>
      <c r="AC1781">
        <v>-2.3168999999999702</v>
      </c>
      <c r="AD1781">
        <v>-1.1038747752689999</v>
      </c>
      <c r="AE1781">
        <v>-14.59918</v>
      </c>
      <c r="AF1781">
        <v>3.1167983145448099</v>
      </c>
      <c r="AG1781">
        <v>-1.1038747752689999</v>
      </c>
      <c r="AH1781">
        <v>14.365681584662701</v>
      </c>
      <c r="AI1781">
        <v>94.294509074136499</v>
      </c>
      <c r="AJ1781">
        <v>77.758748817557205</v>
      </c>
      <c r="AK1781">
        <v>14.7412950124791</v>
      </c>
      <c r="AL1781">
        <v>81.182370569422304</v>
      </c>
      <c r="AM1781">
        <v>93.349870337726202</v>
      </c>
      <c r="AN1781">
        <v>1.0000000090161001</v>
      </c>
    </row>
    <row r="1782" spans="1:40" x14ac:dyDescent="0.3">
      <c r="A1782" t="str">
        <f>"20200111150350683"</f>
        <v>20200111150350683</v>
      </c>
      <c r="B1782" t="str">
        <f>"1578726230680041"</f>
        <v>1578726230680041</v>
      </c>
      <c r="C1782" t="s">
        <v>40</v>
      </c>
      <c r="D1782">
        <v>5.3549509999999998</v>
      </c>
      <c r="E1782">
        <v>0.60671889999999995</v>
      </c>
      <c r="F1782" t="s">
        <v>41</v>
      </c>
      <c r="G1782">
        <v>-419.33330000000001</v>
      </c>
      <c r="H1782" s="1">
        <v>-1.6245789999999999E-6</v>
      </c>
      <c r="I1782">
        <v>73.144030000000001</v>
      </c>
      <c r="J1782">
        <v>-416.99009999999998</v>
      </c>
      <c r="K1782">
        <v>1.10375</v>
      </c>
      <c r="L1782">
        <v>87.848910000000004</v>
      </c>
      <c r="M1782">
        <v>5.5536889999999998E-2</v>
      </c>
      <c r="N1782">
        <v>0</v>
      </c>
      <c r="O1782">
        <v>-0.99840309999999999</v>
      </c>
      <c r="P1782">
        <v>0.1138871</v>
      </c>
      <c r="Q1782">
        <v>0.14030290000000001</v>
      </c>
      <c r="R1782">
        <v>-0.98353699999999999</v>
      </c>
      <c r="S1782">
        <v>-0.48983759999999998</v>
      </c>
      <c r="T1782">
        <v>-0.23203889999999999</v>
      </c>
      <c r="U1782">
        <v>-3.1414789999999999</v>
      </c>
      <c r="V1782">
        <v>-5.8905279999999997E-2</v>
      </c>
      <c r="W1782">
        <v>0.15060399999999999</v>
      </c>
      <c r="X1782">
        <v>0.98683770000000004</v>
      </c>
      <c r="Y1782">
        <v>0.20829829999999999</v>
      </c>
      <c r="Z1782">
        <v>7.2249170000000001E-2</v>
      </c>
      <c r="AA1782">
        <v>0.97539319999999896</v>
      </c>
      <c r="AB1782">
        <v>24</v>
      </c>
      <c r="AC1782">
        <v>-2.3432000000000199</v>
      </c>
      <c r="AD1782">
        <v>-1.103751624579</v>
      </c>
      <c r="AE1782">
        <v>-14.704879999999999</v>
      </c>
      <c r="AF1782">
        <v>3.1390426251352301</v>
      </c>
      <c r="AG1782">
        <v>-1.103751624579</v>
      </c>
      <c r="AH1782">
        <v>14.472522013572799</v>
      </c>
      <c r="AI1782">
        <v>94.262506113857995</v>
      </c>
      <c r="AJ1782">
        <v>77.762287606115393</v>
      </c>
      <c r="AK1782">
        <v>14.850109416584299</v>
      </c>
      <c r="AL1782">
        <v>81.338069333239204</v>
      </c>
      <c r="AM1782">
        <v>93.415986304885607</v>
      </c>
      <c r="AN1782">
        <v>1.0000000214845799</v>
      </c>
    </row>
    <row r="1783" spans="1:40" x14ac:dyDescent="0.3">
      <c r="A1783" t="str">
        <f>"20200111150350708"</f>
        <v>20200111150350708</v>
      </c>
      <c r="B1783" t="str">
        <f>"1578726230700537"</f>
        <v>1578726230700537</v>
      </c>
      <c r="C1783" t="s">
        <v>40</v>
      </c>
      <c r="D1783">
        <v>5.3670660000000003</v>
      </c>
      <c r="E1783">
        <v>0.60703560000000001</v>
      </c>
      <c r="F1783" t="s">
        <v>41</v>
      </c>
      <c r="G1783">
        <v>-419.26679999999999</v>
      </c>
      <c r="H1783" s="1">
        <v>-1.7214979999999999E-6</v>
      </c>
      <c r="I1783">
        <v>73.342449999999999</v>
      </c>
      <c r="J1783">
        <v>-416.9769</v>
      </c>
      <c r="K1783">
        <v>1.1036140000000001</v>
      </c>
      <c r="L1783">
        <v>87.594269999999995</v>
      </c>
      <c r="M1783">
        <v>5.4636200000000003E-2</v>
      </c>
      <c r="N1783">
        <v>0</v>
      </c>
      <c r="O1783">
        <v>-0.99845249999999997</v>
      </c>
      <c r="P1783">
        <v>0.1141419</v>
      </c>
      <c r="Q1783">
        <v>0.1382475</v>
      </c>
      <c r="R1783">
        <v>-0.98379830000000001</v>
      </c>
      <c r="S1783">
        <v>-0.49301149999999999</v>
      </c>
      <c r="T1783">
        <v>-0.2390186</v>
      </c>
      <c r="U1783">
        <v>-3.1413880000000001</v>
      </c>
      <c r="V1783">
        <v>-5.9993360000000003E-2</v>
      </c>
      <c r="W1783">
        <v>0.14858460000000001</v>
      </c>
      <c r="X1783">
        <v>0.98707820000000002</v>
      </c>
      <c r="Y1783">
        <v>0.2083575</v>
      </c>
      <c r="Z1783">
        <v>7.4411749999999999E-2</v>
      </c>
      <c r="AA1783">
        <v>0.97521789999999997</v>
      </c>
      <c r="AB1783">
        <v>24</v>
      </c>
      <c r="AC1783">
        <v>-2.2898999999999798</v>
      </c>
      <c r="AD1783">
        <v>-1.10361572149799</v>
      </c>
      <c r="AE1783">
        <v>-14.251819999999899</v>
      </c>
      <c r="AF1783">
        <v>3.0473728348092499</v>
      </c>
      <c r="AG1783">
        <v>-1.10361572149799</v>
      </c>
      <c r="AH1783">
        <v>14.023437261281201</v>
      </c>
      <c r="AI1783">
        <v>94.397569768695007</v>
      </c>
      <c r="AJ1783">
        <v>77.739909849967603</v>
      </c>
      <c r="AK1783">
        <v>14.393097007807601</v>
      </c>
      <c r="AL1783">
        <v>81.455088860736694</v>
      </c>
      <c r="AM1783">
        <v>93.478086212109801</v>
      </c>
      <c r="AN1783">
        <v>0.99999997975824395</v>
      </c>
    </row>
    <row r="1784" spans="1:40" x14ac:dyDescent="0.3">
      <c r="A1784" t="str">
        <f>"20200111150350731"</f>
        <v>20200111150350731</v>
      </c>
      <c r="B1784" t="str">
        <f>"1578726230720056"</f>
        <v>1578726230720056</v>
      </c>
      <c r="C1784" t="s">
        <v>40</v>
      </c>
      <c r="D1784">
        <v>5.3298889999999997</v>
      </c>
      <c r="E1784">
        <v>0.60744189999999998</v>
      </c>
      <c r="F1784" t="s">
        <v>41</v>
      </c>
      <c r="G1784">
        <v>-419.19940000000003</v>
      </c>
      <c r="H1784" s="1">
        <v>-1.7982500000000001E-6</v>
      </c>
      <c r="I1784">
        <v>73.493480000000005</v>
      </c>
      <c r="J1784">
        <v>-416.96499999999997</v>
      </c>
      <c r="K1784">
        <v>1.1034980000000001</v>
      </c>
      <c r="L1784">
        <v>87.357879999999994</v>
      </c>
      <c r="M1784">
        <v>5.3636690000000001E-2</v>
      </c>
      <c r="N1784">
        <v>0</v>
      </c>
      <c r="O1784">
        <v>-0.99850669999999997</v>
      </c>
      <c r="P1784">
        <v>0.1141928</v>
      </c>
      <c r="Q1784">
        <v>0.13755029999999999</v>
      </c>
      <c r="R1784">
        <v>-0.9838905</v>
      </c>
      <c r="S1784">
        <v>-0.49511719999999998</v>
      </c>
      <c r="T1784">
        <v>-0.24586469999999999</v>
      </c>
      <c r="U1784">
        <v>-3.1413880000000001</v>
      </c>
      <c r="V1784">
        <v>-6.0990210000000003E-2</v>
      </c>
      <c r="W1784">
        <v>0.14792350000000001</v>
      </c>
      <c r="X1784">
        <v>0.9871164</v>
      </c>
      <c r="Y1784">
        <v>0.20799139999999999</v>
      </c>
      <c r="Z1784">
        <v>7.6535850000000002E-2</v>
      </c>
      <c r="AA1784">
        <v>0.97513170000000005</v>
      </c>
      <c r="AB1784">
        <v>24</v>
      </c>
      <c r="AC1784">
        <v>-2.2344000000000501</v>
      </c>
      <c r="AD1784">
        <v>-1.1034997982500001</v>
      </c>
      <c r="AE1784">
        <v>-13.8644</v>
      </c>
      <c r="AF1784">
        <v>2.95660798891796</v>
      </c>
      <c r="AG1784">
        <v>-1.1034997982500001</v>
      </c>
      <c r="AH1784">
        <v>13.640364678374199</v>
      </c>
      <c r="AI1784">
        <v>94.520606658925203</v>
      </c>
      <c r="AJ1784">
        <v>77.770080362303901</v>
      </c>
      <c r="AK1784">
        <v>14.0006710969121</v>
      </c>
      <c r="AL1784">
        <v>81.493390339562197</v>
      </c>
      <c r="AM1784">
        <v>93.535596216067205</v>
      </c>
      <c r="AN1784">
        <v>0.99999997735852597</v>
      </c>
    </row>
    <row r="1785" spans="1:40" x14ac:dyDescent="0.3">
      <c r="A1785" t="str">
        <f>"20200111150350752"</f>
        <v>20200111150350752</v>
      </c>
      <c r="B1785" t="str">
        <f>"1578726230740554"</f>
        <v>1578726230740554</v>
      </c>
      <c r="C1785" t="s">
        <v>40</v>
      </c>
      <c r="D1785">
        <v>5.3771680000000002</v>
      </c>
      <c r="E1785">
        <v>0.607572</v>
      </c>
      <c r="F1785" t="s">
        <v>41</v>
      </c>
      <c r="G1785">
        <v>-419.18630000000002</v>
      </c>
      <c r="H1785" s="1">
        <v>-1.7457559999999999E-6</v>
      </c>
      <c r="I1785">
        <v>73.365740000000002</v>
      </c>
      <c r="J1785">
        <v>-416.95370000000003</v>
      </c>
      <c r="K1785">
        <v>1.1034060000000001</v>
      </c>
      <c r="L1785">
        <v>87.124110000000002</v>
      </c>
      <c r="M1785">
        <v>5.2511330000000002E-2</v>
      </c>
      <c r="N1785">
        <v>0</v>
      </c>
      <c r="O1785">
        <v>-0.99856610000000001</v>
      </c>
      <c r="P1785">
        <v>0.1136543</v>
      </c>
      <c r="Q1785">
        <v>0.13833670000000001</v>
      </c>
      <c r="R1785">
        <v>-0.98384260000000001</v>
      </c>
      <c r="S1785">
        <v>-0.49874879999999999</v>
      </c>
      <c r="T1785">
        <v>-0.24776690000000001</v>
      </c>
      <c r="U1785">
        <v>-3.141632</v>
      </c>
      <c r="V1785">
        <v>-6.1534230000000002E-2</v>
      </c>
      <c r="W1785">
        <v>0.14874119999999999</v>
      </c>
      <c r="X1785">
        <v>0.98695980000000005</v>
      </c>
      <c r="Y1785">
        <v>0.20797019999999999</v>
      </c>
      <c r="Z1785">
        <v>7.7118809999999996E-2</v>
      </c>
      <c r="AA1785">
        <v>0.97509029999999997</v>
      </c>
      <c r="AB1785">
        <v>24</v>
      </c>
      <c r="AC1785">
        <v>-2.2325999999999899</v>
      </c>
      <c r="AD1785">
        <v>-1.1034077457560001</v>
      </c>
      <c r="AE1785">
        <v>-13.758369999999999</v>
      </c>
      <c r="AF1785">
        <v>2.9336441029921501</v>
      </c>
      <c r="AG1785">
        <v>-1.1034077457560001</v>
      </c>
      <c r="AH1785">
        <v>13.5373063378885</v>
      </c>
      <c r="AI1785">
        <v>94.554542393868203</v>
      </c>
      <c r="AJ1785">
        <v>77.772609158800805</v>
      </c>
      <c r="AK1785">
        <v>13.895410726648301</v>
      </c>
      <c r="AL1785">
        <v>81.446015920068206</v>
      </c>
      <c r="AM1785">
        <v>93.567616451285403</v>
      </c>
      <c r="AN1785">
        <v>1.0000000264275799</v>
      </c>
    </row>
    <row r="1786" spans="1:40" x14ac:dyDescent="0.3">
      <c r="A1786" t="str">
        <f>"20200111150350773"</f>
        <v>20200111150350773</v>
      </c>
      <c r="B1786" t="str">
        <f>"1578726230770607"</f>
        <v>1578726230770607</v>
      </c>
      <c r="C1786" t="s">
        <v>40</v>
      </c>
      <c r="D1786">
        <v>5.3737649999999997</v>
      </c>
      <c r="E1786">
        <v>0.61215330000000001</v>
      </c>
      <c r="F1786" t="s">
        <v>41</v>
      </c>
      <c r="G1786">
        <v>-419.19479999999999</v>
      </c>
      <c r="H1786" s="1">
        <v>-1.6151180000000001E-6</v>
      </c>
      <c r="I1786">
        <v>73.064719999999994</v>
      </c>
      <c r="J1786">
        <v>-416.9425</v>
      </c>
      <c r="K1786">
        <v>1.1033409999999999</v>
      </c>
      <c r="L1786">
        <v>86.885219999999904</v>
      </c>
      <c r="M1786">
        <v>5.12595E-2</v>
      </c>
      <c r="N1786">
        <v>0</v>
      </c>
      <c r="O1786">
        <v>-0.99863109999999999</v>
      </c>
      <c r="P1786">
        <v>0.1119793</v>
      </c>
      <c r="Q1786">
        <v>0.13847609999999999</v>
      </c>
      <c r="R1786">
        <v>-0.98401519999999998</v>
      </c>
      <c r="S1786">
        <v>-0.50082399999999905</v>
      </c>
      <c r="T1786">
        <v>-0.2465755</v>
      </c>
      <c r="U1786">
        <v>-3.1418149999999998</v>
      </c>
      <c r="V1786">
        <v>-6.1067700000000003E-2</v>
      </c>
      <c r="W1786">
        <v>0.14890719999999999</v>
      </c>
      <c r="X1786">
        <v>0.9869637</v>
      </c>
      <c r="Y1786">
        <v>0.207368</v>
      </c>
      <c r="Z1786">
        <v>7.6754489999999995E-2</v>
      </c>
      <c r="AA1786">
        <v>0.97524730000000004</v>
      </c>
      <c r="AB1786">
        <v>24</v>
      </c>
      <c r="AC1786">
        <v>-2.2522999999999902</v>
      </c>
      <c r="AD1786">
        <v>-1.1033426151179999</v>
      </c>
      <c r="AE1786">
        <v>-13.8204999999999</v>
      </c>
      <c r="AF1786">
        <v>2.9395586789691199</v>
      </c>
      <c r="AG1786">
        <v>-1.1033426151179999</v>
      </c>
      <c r="AH1786">
        <v>13.6024199459951</v>
      </c>
      <c r="AI1786">
        <v>94.533127088557507</v>
      </c>
      <c r="AJ1786">
        <v>77.805587985854103</v>
      </c>
      <c r="AK1786">
        <v>13.9600930706297</v>
      </c>
      <c r="AL1786">
        <v>81.436397323060504</v>
      </c>
      <c r="AM1786">
        <v>93.540623203636997</v>
      </c>
      <c r="AN1786">
        <v>0.99999998165640902</v>
      </c>
    </row>
    <row r="1787" spans="1:40" x14ac:dyDescent="0.3">
      <c r="A1787" t="str">
        <f>"20200111150350796"</f>
        <v>20200111150350796</v>
      </c>
      <c r="B1787" t="str">
        <f>"1578726230790127"</f>
        <v>1578726230790127</v>
      </c>
      <c r="C1787" t="s">
        <v>40</v>
      </c>
      <c r="D1787">
        <v>5.5025409999999999</v>
      </c>
      <c r="E1787">
        <v>0.54123619999999995</v>
      </c>
      <c r="F1787" t="s">
        <v>41</v>
      </c>
      <c r="G1787">
        <v>-419.31439999999998</v>
      </c>
      <c r="H1787" s="1">
        <v>-1.612575E-6</v>
      </c>
      <c r="I1787">
        <v>73.108239999999995</v>
      </c>
      <c r="J1787">
        <v>-416.93119999999999</v>
      </c>
      <c r="K1787">
        <v>1.1032979999999999</v>
      </c>
      <c r="L1787">
        <v>86.636510000000001</v>
      </c>
      <c r="M1787">
        <v>4.9880180000000003E-2</v>
      </c>
      <c r="N1787">
        <v>0</v>
      </c>
      <c r="O1787">
        <v>-0.9987007</v>
      </c>
      <c r="P1787">
        <v>0.1103705</v>
      </c>
      <c r="Q1787">
        <v>0.13826629999999901</v>
      </c>
      <c r="R1787">
        <v>-0.98422609999999999</v>
      </c>
      <c r="S1787">
        <v>-0.54159550000000001</v>
      </c>
      <c r="T1787">
        <v>-0.25193539999999998</v>
      </c>
      <c r="U1787">
        <v>-3.145813</v>
      </c>
      <c r="V1787">
        <v>-6.0800710000000001E-2</v>
      </c>
      <c r="W1787">
        <v>0.1487204</v>
      </c>
      <c r="X1787">
        <v>0.98700840000000001</v>
      </c>
      <c r="Y1787">
        <v>0.21809480000000001</v>
      </c>
      <c r="Z1787">
        <v>7.8148590000000004E-2</v>
      </c>
      <c r="AA1787">
        <v>0.97279360000000004</v>
      </c>
      <c r="AB1787">
        <v>24</v>
      </c>
      <c r="AC1787">
        <v>-2.38319999999998</v>
      </c>
      <c r="AD1787">
        <v>-1.1032996125750001</v>
      </c>
      <c r="AE1787">
        <v>-13.5282699999999</v>
      </c>
      <c r="AF1787">
        <v>3.0354803793374301</v>
      </c>
      <c r="AG1787">
        <v>-1.1032996125750001</v>
      </c>
      <c r="AH1787">
        <v>13.306705346473301</v>
      </c>
      <c r="AI1787">
        <v>94.621539932023495</v>
      </c>
      <c r="AJ1787">
        <v>77.149766759411193</v>
      </c>
      <c r="AK1787">
        <v>13.693057304572701</v>
      </c>
      <c r="AL1787">
        <v>81.447221130309202</v>
      </c>
      <c r="AM1787">
        <v>93.525023355903599</v>
      </c>
      <c r="AN1787">
        <v>1.0000000326916101</v>
      </c>
    </row>
    <row r="1788" spans="1:40" x14ac:dyDescent="0.3">
      <c r="A1788" t="str">
        <f>"20200111150350819"</f>
        <v>20200111150350819</v>
      </c>
      <c r="B1788" t="str">
        <f>"1578726230810623"</f>
        <v>1578726230810623</v>
      </c>
      <c r="C1788" t="s">
        <v>40</v>
      </c>
      <c r="D1788">
        <v>5.3747980000000002</v>
      </c>
      <c r="E1788">
        <v>0.51712879999999894</v>
      </c>
      <c r="F1788" t="s">
        <v>42</v>
      </c>
      <c r="G1788">
        <v>-416.92669999999998</v>
      </c>
      <c r="H1788">
        <v>1.019568</v>
      </c>
      <c r="I1788">
        <v>85.790790000000001</v>
      </c>
      <c r="J1788">
        <v>-416.92059999999998</v>
      </c>
      <c r="K1788">
        <v>1.103275</v>
      </c>
      <c r="L1788">
        <v>86.393010000000004</v>
      </c>
      <c r="M1788">
        <v>4.8490239999999997E-2</v>
      </c>
      <c r="N1788">
        <v>0</v>
      </c>
      <c r="O1788">
        <v>-0.99876900000000002</v>
      </c>
      <c r="P1788">
        <v>0.1077612</v>
      </c>
      <c r="Q1788">
        <v>0.1378731</v>
      </c>
      <c r="R1788">
        <v>-0.98457039999999996</v>
      </c>
      <c r="S1788">
        <v>1.6296390000000001E-2</v>
      </c>
      <c r="T1788">
        <v>-0.3058844</v>
      </c>
      <c r="U1788">
        <v>-3.0892330000000001</v>
      </c>
      <c r="V1788">
        <v>-5.9547460000000003E-2</v>
      </c>
      <c r="W1788">
        <v>0.14834320000000001</v>
      </c>
      <c r="X1788">
        <v>0.98714150000000001</v>
      </c>
      <c r="Y1788">
        <v>4.3248759999999997E-2</v>
      </c>
      <c r="Z1788">
        <v>9.8314109999999996E-2</v>
      </c>
      <c r="AA1788">
        <v>0.99421519999999997</v>
      </c>
      <c r="AB1788">
        <v>24</v>
      </c>
      <c r="AC1788">
        <v>-6.1000000000035401E-3</v>
      </c>
      <c r="AD1788">
        <v>-8.3706999999999906E-2</v>
      </c>
      <c r="AE1788">
        <v>-0.60222000000000198</v>
      </c>
      <c r="AF1788">
        <v>3.4627270523330603E-2</v>
      </c>
      <c r="AG1788">
        <v>-8.3706999999999906E-2</v>
      </c>
      <c r="AH1788">
        <v>0.58982135913418499</v>
      </c>
      <c r="AI1788">
        <v>98.063731087280104</v>
      </c>
      <c r="AJ1788">
        <v>86.640132208325994</v>
      </c>
      <c r="AK1788">
        <v>0.59673708230995104</v>
      </c>
      <c r="AL1788">
        <v>81.469075001617696</v>
      </c>
      <c r="AM1788">
        <v>93.4520772883521</v>
      </c>
      <c r="AN1788">
        <v>0.99999997300047005</v>
      </c>
    </row>
    <row r="1789" spans="1:40" x14ac:dyDescent="0.3">
      <c r="A1789" t="str">
        <f>"20200111150350852"</f>
        <v>20200111150350852</v>
      </c>
      <c r="B1789" t="str">
        <f>"1578726230839903"</f>
        <v>1578726230839903</v>
      </c>
      <c r="C1789" t="s">
        <v>40</v>
      </c>
      <c r="D1789">
        <v>5.6066459999999996</v>
      </c>
      <c r="E1789">
        <v>0.50662890000000005</v>
      </c>
      <c r="F1789" t="s">
        <v>42</v>
      </c>
      <c r="G1789">
        <v>-416.86750000000001</v>
      </c>
      <c r="H1789">
        <v>1.0250330000000001</v>
      </c>
      <c r="I1789">
        <v>85.57329</v>
      </c>
      <c r="J1789">
        <v>-416.9058</v>
      </c>
      <c r="K1789">
        <v>1.1032679999999999</v>
      </c>
      <c r="L1789">
        <v>86.037409999999994</v>
      </c>
      <c r="M1789">
        <v>4.6445590000000002E-2</v>
      </c>
      <c r="N1789">
        <v>0</v>
      </c>
      <c r="O1789">
        <v>-0.99886589999999997</v>
      </c>
      <c r="P1789">
        <v>0.1062123</v>
      </c>
      <c r="Q1789">
        <v>0.13755499999999901</v>
      </c>
      <c r="R1789">
        <v>-0.98478310000000002</v>
      </c>
      <c r="S1789">
        <v>0.19918820000000001</v>
      </c>
      <c r="T1789">
        <v>-0.29261679999999901</v>
      </c>
      <c r="U1789">
        <v>-3.0661930000000002</v>
      </c>
      <c r="V1789">
        <v>-6.001426E-2</v>
      </c>
      <c r="W1789">
        <v>0.1480475</v>
      </c>
      <c r="X1789">
        <v>0.98715759999999997</v>
      </c>
      <c r="Y1789">
        <v>-1.8113779999999999E-2</v>
      </c>
      <c r="Z1789">
        <v>9.4741699999999998E-2</v>
      </c>
      <c r="AA1789">
        <v>0.99533709999999997</v>
      </c>
      <c r="AB1789">
        <v>24</v>
      </c>
      <c r="AC1789">
        <v>3.8299999999992403E-2</v>
      </c>
      <c r="AD1789">
        <v>-7.8234999999999999E-2</v>
      </c>
      <c r="AE1789">
        <v>-0.46411999999999398</v>
      </c>
      <c r="AF1789">
        <v>-1.6242743568151499E-2</v>
      </c>
      <c r="AG1789">
        <v>-7.8234999999999999E-2</v>
      </c>
      <c r="AH1789">
        <v>0.45262390125021301</v>
      </c>
      <c r="AI1789">
        <v>99.800362662830807</v>
      </c>
      <c r="AJ1789">
        <v>92.055219512756295</v>
      </c>
      <c r="AK1789">
        <v>0.45962260380292802</v>
      </c>
      <c r="AL1789">
        <v>81.486206335208706</v>
      </c>
      <c r="AM1789">
        <v>93.479015740981495</v>
      </c>
      <c r="AN1789">
        <v>0.99999995044867696</v>
      </c>
    </row>
    <row r="1790" spans="1:40" x14ac:dyDescent="0.3">
      <c r="A1790" t="str">
        <f>"20200111150350874"</f>
        <v>20200111150350874</v>
      </c>
      <c r="B1790" t="str">
        <f>"1578726230870161"</f>
        <v>1578726230870161</v>
      </c>
      <c r="C1790" t="s">
        <v>40</v>
      </c>
      <c r="D1790">
        <v>4.7338120000000004</v>
      </c>
      <c r="E1790">
        <v>0.50071109999999996</v>
      </c>
      <c r="F1790" t="s">
        <v>41</v>
      </c>
      <c r="G1790">
        <v>-415.67540000000002</v>
      </c>
      <c r="H1790" s="1">
        <v>-2.0980099999999999E-6</v>
      </c>
      <c r="I1790">
        <v>72.431910000000002</v>
      </c>
      <c r="J1790">
        <v>-416.89609999999999</v>
      </c>
      <c r="K1790">
        <v>1.103283</v>
      </c>
      <c r="L1790">
        <v>85.797849999999997</v>
      </c>
      <c r="M1790">
        <v>4.5083140000000001E-2</v>
      </c>
      <c r="N1790">
        <v>0</v>
      </c>
      <c r="O1790">
        <v>-0.99892809999999999</v>
      </c>
      <c r="P1790">
        <v>0.1050143</v>
      </c>
      <c r="Q1790">
        <v>0.13861670000000001</v>
      </c>
      <c r="R1790">
        <v>-0.98476280000000005</v>
      </c>
      <c r="S1790">
        <v>0.27590940000000003</v>
      </c>
      <c r="T1790">
        <v>-0.24741730000000001</v>
      </c>
      <c r="U1790">
        <v>-3.0511469999999998</v>
      </c>
      <c r="V1790">
        <v>-6.0167270000000002E-2</v>
      </c>
      <c r="W1790">
        <v>0.14912449999999999</v>
      </c>
      <c r="X1790">
        <v>0.98698620000000004</v>
      </c>
      <c r="Y1790">
        <v>-4.4774130000000002E-2</v>
      </c>
      <c r="Z1790">
        <v>8.0498159999999999E-2</v>
      </c>
      <c r="AA1790">
        <v>0.99574859999999998</v>
      </c>
      <c r="AB1790">
        <v>24</v>
      </c>
      <c r="AC1790">
        <v>1.2206999999999599</v>
      </c>
      <c r="AD1790">
        <v>-1.10328509801</v>
      </c>
      <c r="AE1790">
        <v>-13.365939999999901</v>
      </c>
      <c r="AF1790">
        <v>-0.61270676085456199</v>
      </c>
      <c r="AG1790">
        <v>-1.10328509801</v>
      </c>
      <c r="AH1790">
        <v>13.317395767221599</v>
      </c>
      <c r="AI1790">
        <v>94.730895730321294</v>
      </c>
      <c r="AJ1790">
        <v>92.634206702143402</v>
      </c>
      <c r="AK1790">
        <v>13.377057882924101</v>
      </c>
      <c r="AL1790">
        <v>81.423806423743102</v>
      </c>
      <c r="AM1790">
        <v>93.488468040399098</v>
      </c>
      <c r="AN1790">
        <v>0.99999998793497102</v>
      </c>
    </row>
    <row r="1791" spans="1:40" x14ac:dyDescent="0.3">
      <c r="A1791" t="str">
        <f>"20200111150350897"</f>
        <v>20200111150350897</v>
      </c>
      <c r="B1791" t="str">
        <f>"1578726230890655"</f>
        <v>1578726230890655</v>
      </c>
      <c r="C1791" t="s">
        <v>40</v>
      </c>
      <c r="D1791">
        <v>5.2852449999999997</v>
      </c>
      <c r="E1791">
        <v>0.49951050000000002</v>
      </c>
      <c r="F1791" t="s">
        <v>41</v>
      </c>
      <c r="G1791">
        <v>-415.31509999999997</v>
      </c>
      <c r="H1791" s="1">
        <v>-1.611304E-6</v>
      </c>
      <c r="I1791">
        <v>70.719969999999904</v>
      </c>
      <c r="J1791">
        <v>-416.88659999999999</v>
      </c>
      <c r="K1791">
        <v>1.103305</v>
      </c>
      <c r="L1791">
        <v>85.551640000000006</v>
      </c>
      <c r="M1791">
        <v>4.3703890000000002E-2</v>
      </c>
      <c r="N1791">
        <v>0</v>
      </c>
      <c r="O1791">
        <v>-0.99898920000000002</v>
      </c>
      <c r="P1791">
        <v>0.1039612</v>
      </c>
      <c r="Q1791">
        <v>0.14040659999999999</v>
      </c>
      <c r="R1791">
        <v>-0.98462099999999997</v>
      </c>
      <c r="S1791">
        <v>0.31915280000000001</v>
      </c>
      <c r="T1791">
        <v>-0.2227171</v>
      </c>
      <c r="U1791">
        <v>-3.0437319999999999</v>
      </c>
      <c r="V1791">
        <v>-6.04851E-2</v>
      </c>
      <c r="W1791">
        <v>0.1509325</v>
      </c>
      <c r="X1791">
        <v>0.98669189999999996</v>
      </c>
      <c r="Y1791">
        <v>-6.044099E-2</v>
      </c>
      <c r="Z1791">
        <v>7.2608399999999906E-2</v>
      </c>
      <c r="AA1791">
        <v>0.99552739999999995</v>
      </c>
      <c r="AB1791">
        <v>24</v>
      </c>
      <c r="AC1791">
        <v>1.5715000000000101</v>
      </c>
      <c r="AD1791">
        <v>-1.103306611304</v>
      </c>
      <c r="AE1791">
        <v>-14.831670000000001</v>
      </c>
      <c r="AF1791">
        <v>-0.91674417533555796</v>
      </c>
      <c r="AG1791">
        <v>-1.103306611304</v>
      </c>
      <c r="AH1791">
        <v>14.805164482620301</v>
      </c>
      <c r="AI1791">
        <v>94.253786278864496</v>
      </c>
      <c r="AJ1791">
        <v>93.543263284254294</v>
      </c>
      <c r="AK1791">
        <v>14.8744949735781</v>
      </c>
      <c r="AL1791">
        <v>81.319029725682896</v>
      </c>
      <c r="AM1791">
        <v>93.507893170987302</v>
      </c>
      <c r="AN1791">
        <v>0.99999998620193398</v>
      </c>
    </row>
    <row r="1792" spans="1:40" x14ac:dyDescent="0.3">
      <c r="A1792" t="str">
        <f>"20200111150350919"</f>
        <v>20200111150350919</v>
      </c>
      <c r="B1792" t="str">
        <f>"1578726230910176"</f>
        <v>1578726230910176</v>
      </c>
      <c r="C1792" t="s">
        <v>40</v>
      </c>
      <c r="D1792">
        <v>5.150512</v>
      </c>
      <c r="E1792">
        <v>0.4979594</v>
      </c>
      <c r="F1792" t="s">
        <v>41</v>
      </c>
      <c r="G1792">
        <v>-415.30369999999999</v>
      </c>
      <c r="H1792" s="1">
        <v>-1.6241860000000001E-6</v>
      </c>
      <c r="I1792">
        <v>70.748890000000003</v>
      </c>
      <c r="J1792">
        <v>-416.8775</v>
      </c>
      <c r="K1792">
        <v>1.1033189999999999</v>
      </c>
      <c r="L1792">
        <v>85.309749999999994</v>
      </c>
      <c r="M1792">
        <v>4.2369339999999998E-2</v>
      </c>
      <c r="N1792">
        <v>0</v>
      </c>
      <c r="O1792">
        <v>-0.99904660000000001</v>
      </c>
      <c r="P1792">
        <v>0.10378610000000001</v>
      </c>
      <c r="Q1792">
        <v>0.14099979999999901</v>
      </c>
      <c r="R1792">
        <v>-0.98455479999999995</v>
      </c>
      <c r="S1792">
        <v>0.32559199999999999</v>
      </c>
      <c r="T1792">
        <v>-0.22694529999999999</v>
      </c>
      <c r="U1792">
        <v>-3.044861</v>
      </c>
      <c r="V1792">
        <v>-6.163569E-2</v>
      </c>
      <c r="W1792">
        <v>0.15154429999999999</v>
      </c>
      <c r="X1792">
        <v>0.98652689999999998</v>
      </c>
      <c r="Y1792">
        <v>-6.3807320000000001E-2</v>
      </c>
      <c r="Z1792">
        <v>7.3942640000000004E-2</v>
      </c>
      <c r="AA1792">
        <v>0.99521910000000002</v>
      </c>
      <c r="AB1792">
        <v>24</v>
      </c>
      <c r="AC1792">
        <v>1.5738000000000001</v>
      </c>
      <c r="AD1792">
        <v>-1.1033206241859901</v>
      </c>
      <c r="AE1792">
        <v>-14.5608599999999</v>
      </c>
      <c r="AF1792">
        <v>-0.95002676603088199</v>
      </c>
      <c r="AG1792">
        <v>-1.1033206241859901</v>
      </c>
      <c r="AH1792">
        <v>14.531994933134699</v>
      </c>
      <c r="AI1792">
        <v>94.332555955084104</v>
      </c>
      <c r="AJ1792">
        <v>93.740379541115004</v>
      </c>
      <c r="AK1792">
        <v>14.604750733668199</v>
      </c>
      <c r="AL1792">
        <v>81.283568199588998</v>
      </c>
      <c r="AM1792">
        <v>93.575047665982098</v>
      </c>
      <c r="AN1792">
        <v>0.99999997878393698</v>
      </c>
    </row>
    <row r="1793" spans="1:40" x14ac:dyDescent="0.3">
      <c r="A1793" t="str">
        <f>"20200111150350941"</f>
        <v>20200111150350941</v>
      </c>
      <c r="B1793" t="str">
        <f>"1578726230930671"</f>
        <v>1578726230930671</v>
      </c>
      <c r="C1793" t="s">
        <v>40</v>
      </c>
      <c r="D1793">
        <v>5.3148260000000001</v>
      </c>
      <c r="E1793">
        <v>0.49723659999999997</v>
      </c>
      <c r="F1793" t="s">
        <v>41</v>
      </c>
      <c r="G1793">
        <v>-415.33120000000002</v>
      </c>
      <c r="H1793" s="1">
        <v>-1.8176430000000001E-6</v>
      </c>
      <c r="I1793">
        <v>71.338899999999995</v>
      </c>
      <c r="J1793">
        <v>-416.86900000000003</v>
      </c>
      <c r="K1793">
        <v>1.1033230000000001</v>
      </c>
      <c r="L1793">
        <v>85.073969999999903</v>
      </c>
      <c r="M1793">
        <v>4.108324E-2</v>
      </c>
      <c r="N1793">
        <v>0</v>
      </c>
      <c r="O1793">
        <v>-0.99910019999999999</v>
      </c>
      <c r="P1793">
        <v>0.1032217</v>
      </c>
      <c r="Q1793">
        <v>0.1403441</v>
      </c>
      <c r="R1793">
        <v>-0.98470780000000002</v>
      </c>
      <c r="S1793">
        <v>0.33712769999999997</v>
      </c>
      <c r="T1793">
        <v>-0.24055119999999999</v>
      </c>
      <c r="U1793">
        <v>-3.0459900000000002</v>
      </c>
      <c r="V1793">
        <v>-6.234228E-2</v>
      </c>
      <c r="W1793">
        <v>0.15090609999999999</v>
      </c>
      <c r="X1793">
        <v>0.98658040000000002</v>
      </c>
      <c r="Y1793">
        <v>-6.8740549999999997E-2</v>
      </c>
      <c r="Z1793">
        <v>7.8298019999999996E-2</v>
      </c>
      <c r="AA1793">
        <v>0.99455729999999998</v>
      </c>
      <c r="AB1793">
        <v>24</v>
      </c>
      <c r="AC1793">
        <v>1.5378000000000001</v>
      </c>
      <c r="AD1793">
        <v>-1.1033248176429999</v>
      </c>
      <c r="AE1793">
        <v>-13.735069999999901</v>
      </c>
      <c r="AF1793">
        <v>-0.96603265086226198</v>
      </c>
      <c r="AG1793">
        <v>-1.1033248176429999</v>
      </c>
      <c r="AH1793">
        <v>13.6993497554135</v>
      </c>
      <c r="AI1793">
        <v>94.593219444577997</v>
      </c>
      <c r="AJ1793">
        <v>94.033631060852798</v>
      </c>
      <c r="AK1793">
        <v>13.7776169367894</v>
      </c>
      <c r="AL1793">
        <v>81.320560403262505</v>
      </c>
      <c r="AM1793">
        <v>93.615728237099205</v>
      </c>
      <c r="AN1793">
        <v>1.0000000482784801</v>
      </c>
    </row>
    <row r="1794" spans="1:40" x14ac:dyDescent="0.3">
      <c r="A1794" t="str">
        <f>"20200111150350963"</f>
        <v>20200111150350963</v>
      </c>
      <c r="B1794" t="str">
        <f>"1578726230959951"</f>
        <v>1578726230959951</v>
      </c>
      <c r="C1794" t="s">
        <v>40</v>
      </c>
      <c r="D1794">
        <v>5.3941569999999999</v>
      </c>
      <c r="E1794">
        <v>0.49644280000000002</v>
      </c>
      <c r="F1794" t="s">
        <v>41</v>
      </c>
      <c r="G1794">
        <v>-415.34870000000001</v>
      </c>
      <c r="H1794" s="1">
        <v>-1.877674E-6</v>
      </c>
      <c r="I1794">
        <v>71.528989999999993</v>
      </c>
      <c r="J1794">
        <v>-416.8603</v>
      </c>
      <c r="K1794">
        <v>1.1033299999999999</v>
      </c>
      <c r="L1794">
        <v>84.823819999999998</v>
      </c>
      <c r="M1794">
        <v>3.9729029999999999E-2</v>
      </c>
      <c r="N1794">
        <v>0</v>
      </c>
      <c r="O1794">
        <v>-0.99915469999999895</v>
      </c>
      <c r="P1794">
        <v>0.10173119999999999</v>
      </c>
      <c r="Q1794">
        <v>0.1388481</v>
      </c>
      <c r="R1794">
        <v>-0.98507500000000003</v>
      </c>
      <c r="S1794">
        <v>0.34188839999999998</v>
      </c>
      <c r="T1794">
        <v>-0.24812519999999999</v>
      </c>
      <c r="U1794">
        <v>-3.0461119999999999</v>
      </c>
      <c r="V1794">
        <v>-6.218423E-2</v>
      </c>
      <c r="W1794">
        <v>0.1494277</v>
      </c>
      <c r="X1794">
        <v>0.98681529999999995</v>
      </c>
      <c r="Y1794">
        <v>-7.1601670000000006E-2</v>
      </c>
      <c r="Z1794">
        <v>8.0735779999999993E-2</v>
      </c>
      <c r="AA1794">
        <v>0.99416040000000006</v>
      </c>
      <c r="AB1794">
        <v>24</v>
      </c>
      <c r="AC1794">
        <v>1.5115999999999801</v>
      </c>
      <c r="AD1794">
        <v>-1.103331877674</v>
      </c>
      <c r="AE1794">
        <v>-13.2948299999999</v>
      </c>
      <c r="AF1794">
        <v>-0.97555315413989296</v>
      </c>
      <c r="AG1794">
        <v>-1.103331877674</v>
      </c>
      <c r="AH1794">
        <v>13.2542695421891</v>
      </c>
      <c r="AI1794">
        <v>94.745751904630296</v>
      </c>
      <c r="AJ1794">
        <v>94.209546959720896</v>
      </c>
      <c r="AK1794">
        <v>13.3358429162107</v>
      </c>
      <c r="AL1794">
        <v>81.4062373909222</v>
      </c>
      <c r="AM1794">
        <v>93.605729635745405</v>
      </c>
      <c r="AN1794">
        <v>0.99999997615103597</v>
      </c>
    </row>
    <row r="1795" spans="1:40" x14ac:dyDescent="0.3">
      <c r="A1795" t="str">
        <f>"20200111150350986"</f>
        <v>20200111150350986</v>
      </c>
      <c r="B1795" t="str">
        <f>"1578726230980447"</f>
        <v>1578726230980447</v>
      </c>
      <c r="C1795" t="s">
        <v>40</v>
      </c>
      <c r="D1795">
        <v>5.3222360000000002</v>
      </c>
      <c r="E1795">
        <v>0.49591499999999999</v>
      </c>
      <c r="F1795" t="s">
        <v>41</v>
      </c>
      <c r="G1795">
        <v>-415.42380000000003</v>
      </c>
      <c r="H1795" s="1">
        <v>-2.041313E-6</v>
      </c>
      <c r="I1795">
        <v>72.068550000000002</v>
      </c>
      <c r="J1795">
        <v>-416.85210000000001</v>
      </c>
      <c r="K1795">
        <v>1.1033329999999999</v>
      </c>
      <c r="L1795">
        <v>84.580169999999995</v>
      </c>
      <c r="M1795">
        <v>3.841522E-2</v>
      </c>
      <c r="N1795">
        <v>0</v>
      </c>
      <c r="O1795">
        <v>-0.99920589999999998</v>
      </c>
      <c r="P1795">
        <v>0.1007011</v>
      </c>
      <c r="Q1795">
        <v>0.138241</v>
      </c>
      <c r="R1795">
        <v>-0.98526590000000003</v>
      </c>
      <c r="S1795">
        <v>0.34317019999999998</v>
      </c>
      <c r="T1795">
        <v>-0.26358140000000002</v>
      </c>
      <c r="U1795">
        <v>-3.04718</v>
      </c>
      <c r="V1795">
        <v>-6.2451010000000001E-2</v>
      </c>
      <c r="W1795">
        <v>0.14883550000000001</v>
      </c>
      <c r="X1795">
        <v>0.98688799999999999</v>
      </c>
      <c r="Y1795">
        <v>-7.3241000000000001E-2</v>
      </c>
      <c r="Z1795">
        <v>8.5698800000000006E-2</v>
      </c>
      <c r="AA1795">
        <v>0.99362539999999999</v>
      </c>
      <c r="AB1795">
        <v>24</v>
      </c>
      <c r="AC1795">
        <v>1.4282999999999699</v>
      </c>
      <c r="AD1795">
        <v>-1.1033350413130001</v>
      </c>
      <c r="AE1795">
        <v>-12.511619999999899</v>
      </c>
      <c r="AF1795">
        <v>-0.93937098359055005</v>
      </c>
      <c r="AG1795">
        <v>-1.1033350413130001</v>
      </c>
      <c r="AH1795">
        <v>12.461593494713799</v>
      </c>
      <c r="AI1795">
        <v>95.045467669109698</v>
      </c>
      <c r="AJ1795">
        <v>94.310876776268699</v>
      </c>
      <c r="AK1795">
        <v>12.5455601104811</v>
      </c>
      <c r="AL1795">
        <v>81.440552138488897</v>
      </c>
      <c r="AM1795">
        <v>93.620891656796104</v>
      </c>
      <c r="AN1795">
        <v>1.0000000296271301</v>
      </c>
    </row>
    <row r="1796" spans="1:40" x14ac:dyDescent="0.3">
      <c r="A1796" t="str">
        <f>"20200111150351008"</f>
        <v>20200111150351008</v>
      </c>
      <c r="B1796" t="str">
        <f>"1578726230999968"</f>
        <v>1578726230999968</v>
      </c>
      <c r="C1796" t="s">
        <v>40</v>
      </c>
      <c r="D1796">
        <v>5.5439769999999999</v>
      </c>
      <c r="E1796">
        <v>0.49485499999999999</v>
      </c>
      <c r="F1796" t="s">
        <v>41</v>
      </c>
      <c r="G1796">
        <v>-415.39150000000001</v>
      </c>
      <c r="H1796" s="1">
        <v>-1.9044520000000001E-6</v>
      </c>
      <c r="I1796">
        <v>71.641120000000001</v>
      </c>
      <c r="J1796">
        <v>-416.8442</v>
      </c>
      <c r="K1796">
        <v>1.1033269999999999</v>
      </c>
      <c r="L1796">
        <v>84.336119999999994</v>
      </c>
      <c r="M1796">
        <v>3.7101420000000003E-2</v>
      </c>
      <c r="N1796">
        <v>0</v>
      </c>
      <c r="O1796">
        <v>-0.99925520000000001</v>
      </c>
      <c r="P1796">
        <v>9.909221E-2</v>
      </c>
      <c r="Q1796">
        <v>0.13718159999999999</v>
      </c>
      <c r="R1796">
        <v>-0.98557689999999998</v>
      </c>
      <c r="S1796">
        <v>0.34387210000000001</v>
      </c>
      <c r="T1796">
        <v>-0.25975239999999999</v>
      </c>
      <c r="U1796">
        <v>-3.046173</v>
      </c>
      <c r="V1796">
        <v>-6.2135219999999998E-2</v>
      </c>
      <c r="W1796">
        <v>0.14779049999999999</v>
      </c>
      <c r="X1796">
        <v>0.98706499999999997</v>
      </c>
      <c r="Y1796">
        <v>-7.4826340000000005E-2</v>
      </c>
      <c r="Z1796">
        <v>8.4490620000000002E-2</v>
      </c>
      <c r="AA1796">
        <v>0.99361069999999996</v>
      </c>
      <c r="AB1796">
        <v>24</v>
      </c>
      <c r="AC1796">
        <v>1.4526999999999901</v>
      </c>
      <c r="AD1796">
        <v>-1.103328904452</v>
      </c>
      <c r="AE1796">
        <v>-12.694999999999901</v>
      </c>
      <c r="AF1796">
        <v>-0.97341310090718802</v>
      </c>
      <c r="AG1796">
        <v>-1.103328904452</v>
      </c>
      <c r="AH1796">
        <v>12.6458736486455</v>
      </c>
      <c r="AI1796">
        <v>94.9716900659473</v>
      </c>
      <c r="AJ1796">
        <v>94.401649199788395</v>
      </c>
      <c r="AK1796">
        <v>12.731181723387801</v>
      </c>
      <c r="AL1796">
        <v>81.501096123853699</v>
      </c>
      <c r="AM1796">
        <v>93.601986264930503</v>
      </c>
      <c r="AN1796">
        <v>1.00000006583984</v>
      </c>
    </row>
    <row r="1797" spans="1:40" x14ac:dyDescent="0.3">
      <c r="A1797" t="str">
        <f>"20200111150351031"</f>
        <v>20200111150351031</v>
      </c>
      <c r="B1797" t="str">
        <f>"1578726231020464"</f>
        <v>1578726231020464</v>
      </c>
      <c r="C1797" t="s">
        <v>40</v>
      </c>
      <c r="D1797">
        <v>5.4086339999999904</v>
      </c>
      <c r="E1797">
        <v>0.49454419999999999</v>
      </c>
      <c r="F1797" t="s">
        <v>41</v>
      </c>
      <c r="G1797">
        <v>-415.39190000000002</v>
      </c>
      <c r="H1797" s="1">
        <v>-1.8878420000000001E-6</v>
      </c>
      <c r="I1797">
        <v>71.592640000000003</v>
      </c>
      <c r="J1797">
        <v>-416.83679999999998</v>
      </c>
      <c r="K1797">
        <v>1.1033170000000001</v>
      </c>
      <c r="L1797">
        <v>84.095089999999999</v>
      </c>
      <c r="M1797">
        <v>3.5803649999999999E-2</v>
      </c>
      <c r="N1797">
        <v>0</v>
      </c>
      <c r="O1797">
        <v>-0.99930260000000004</v>
      </c>
      <c r="P1797">
        <v>9.6839729999999999E-2</v>
      </c>
      <c r="Q1797">
        <v>0.1360509</v>
      </c>
      <c r="R1797">
        <v>-0.98595759999999999</v>
      </c>
      <c r="S1797">
        <v>0.3471069</v>
      </c>
      <c r="T1797">
        <v>-0.26369769999999998</v>
      </c>
      <c r="U1797">
        <v>-3.045715</v>
      </c>
      <c r="V1797">
        <v>-6.115802E-2</v>
      </c>
      <c r="W1797">
        <v>0.1466713</v>
      </c>
      <c r="X1797">
        <v>0.98729290000000003</v>
      </c>
      <c r="Y1797">
        <v>-7.7167360000000004E-2</v>
      </c>
      <c r="Z1797">
        <v>8.5770559999999996E-2</v>
      </c>
      <c r="AA1797">
        <v>0.99332200000000004</v>
      </c>
      <c r="AB1797">
        <v>24</v>
      </c>
      <c r="AC1797">
        <v>1.4448999999999601</v>
      </c>
      <c r="AD1797">
        <v>-1.1033188878419999</v>
      </c>
      <c r="AE1797">
        <v>-12.5024499999999</v>
      </c>
      <c r="AF1797">
        <v>-0.98871659452671401</v>
      </c>
      <c r="AG1797">
        <v>-1.1033188878419999</v>
      </c>
      <c r="AH1797">
        <v>12.450485414014301</v>
      </c>
      <c r="AI1797">
        <v>95.048314708429302</v>
      </c>
      <c r="AJ1797">
        <v>94.540437836793899</v>
      </c>
      <c r="AK1797">
        <v>12.5383196688051</v>
      </c>
      <c r="AL1797">
        <v>81.565927716426103</v>
      </c>
      <c r="AM1797">
        <v>93.544667183746697</v>
      </c>
      <c r="AN1797">
        <v>1.0000000220222101</v>
      </c>
    </row>
    <row r="1798" spans="1:40" x14ac:dyDescent="0.3">
      <c r="A1798" t="str">
        <f>"20200111150351054"</f>
        <v>20200111150351054</v>
      </c>
      <c r="B1798" t="str">
        <f>"1578726231050721"</f>
        <v>1578726231050721</v>
      </c>
      <c r="C1798" t="s">
        <v>40</v>
      </c>
      <c r="D1798">
        <v>5.587955</v>
      </c>
      <c r="E1798">
        <v>0.49387170000000002</v>
      </c>
      <c r="F1798" t="s">
        <v>41</v>
      </c>
      <c r="G1798">
        <v>-415.44740000000002</v>
      </c>
      <c r="H1798" s="1">
        <v>-1.9338290000000002E-6</v>
      </c>
      <c r="I1798">
        <v>71.771159999999995</v>
      </c>
      <c r="J1798">
        <v>-416.82929999999999</v>
      </c>
      <c r="K1798">
        <v>1.1033139999999999</v>
      </c>
      <c r="L1798">
        <v>83.842959999999906</v>
      </c>
      <c r="M1798">
        <v>3.4444809999999999E-2</v>
      </c>
      <c r="N1798">
        <v>0</v>
      </c>
      <c r="O1798">
        <v>-0.99935019999999997</v>
      </c>
      <c r="P1798">
        <v>9.4933119999999996E-2</v>
      </c>
      <c r="Q1798">
        <v>0.13587959999999999</v>
      </c>
      <c r="R1798">
        <v>-0.9861666</v>
      </c>
      <c r="S1798">
        <v>0.34347529999999998</v>
      </c>
      <c r="T1798">
        <v>-0.27275429999999901</v>
      </c>
      <c r="U1798">
        <v>-3.0466310000000001</v>
      </c>
      <c r="V1798">
        <v>-6.059076E-2</v>
      </c>
      <c r="W1798">
        <v>0.1465109</v>
      </c>
      <c r="X1798">
        <v>0.98735170000000005</v>
      </c>
      <c r="Y1798">
        <v>-7.7291879999999993E-2</v>
      </c>
      <c r="Z1798">
        <v>8.8678950000000006E-2</v>
      </c>
      <c r="AA1798">
        <v>0.99305690000000002</v>
      </c>
      <c r="AB1798">
        <v>24</v>
      </c>
      <c r="AC1798">
        <v>1.3818999999999699</v>
      </c>
      <c r="AD1798">
        <v>-1.103315933829</v>
      </c>
      <c r="AE1798">
        <v>-12.0717999999999</v>
      </c>
      <c r="AF1798">
        <v>-0.95735202635021399</v>
      </c>
      <c r="AG1798">
        <v>-1.103315933829</v>
      </c>
      <c r="AH1798">
        <v>12.0131865474776</v>
      </c>
      <c r="AI1798">
        <v>95.230950525111496</v>
      </c>
      <c r="AJ1798">
        <v>94.556372513608807</v>
      </c>
      <c r="AK1798">
        <v>12.1016726107053</v>
      </c>
      <c r="AL1798">
        <v>81.575218406668995</v>
      </c>
      <c r="AM1798">
        <v>93.511663321523201</v>
      </c>
      <c r="AN1798">
        <v>1.0000000317545299</v>
      </c>
    </row>
    <row r="1799" spans="1:40" x14ac:dyDescent="0.3">
      <c r="A1799" t="str">
        <f>"20200111150351076"</f>
        <v>20200111150351076</v>
      </c>
      <c r="B1799" t="str">
        <f>"1578726231070225"</f>
        <v>1578726231070225</v>
      </c>
      <c r="C1799" t="s">
        <v>40</v>
      </c>
      <c r="D1799">
        <v>6.5681919999999998</v>
      </c>
      <c r="E1799">
        <v>0.44665250000000001</v>
      </c>
      <c r="F1799" t="s">
        <v>41</v>
      </c>
      <c r="G1799">
        <v>-415.44450000000001</v>
      </c>
      <c r="H1799" s="1">
        <v>-1.8568749999999999E-6</v>
      </c>
      <c r="I1799">
        <v>71.542739999999995</v>
      </c>
      <c r="J1799">
        <v>-416.82260000000002</v>
      </c>
      <c r="K1799">
        <v>1.103313</v>
      </c>
      <c r="L1799">
        <v>83.602019999999996</v>
      </c>
      <c r="M1799">
        <v>3.3144970000000003E-2</v>
      </c>
      <c r="N1799">
        <v>0</v>
      </c>
      <c r="O1799">
        <v>-0.99939429999999996</v>
      </c>
      <c r="P1799">
        <v>9.3905470000000005E-2</v>
      </c>
      <c r="Q1799">
        <v>0.1363164</v>
      </c>
      <c r="R1799">
        <v>-0.986205</v>
      </c>
      <c r="S1799">
        <v>0.34301759999999998</v>
      </c>
      <c r="T1799">
        <v>-0.27328770000000002</v>
      </c>
      <c r="U1799">
        <v>-3.0467219999999999</v>
      </c>
      <c r="V1799">
        <v>-6.0847520000000002E-2</v>
      </c>
      <c r="W1799">
        <v>0.14695710000000001</v>
      </c>
      <c r="X1799">
        <v>0.98726959999999997</v>
      </c>
      <c r="Y1799">
        <v>-7.8436199999999998E-2</v>
      </c>
      <c r="Z1799">
        <v>8.8850999999999999E-2</v>
      </c>
      <c r="AA1799">
        <v>0.99295180000000005</v>
      </c>
      <c r="AB1799">
        <v>24</v>
      </c>
      <c r="AC1799">
        <v>1.3781000000000101</v>
      </c>
      <c r="AD1799">
        <v>-1.103314856875</v>
      </c>
      <c r="AE1799">
        <v>-12.0592799999999</v>
      </c>
      <c r="AF1799">
        <v>-0.96960423938752804</v>
      </c>
      <c r="AG1799">
        <v>-1.103314856875</v>
      </c>
      <c r="AH1799">
        <v>11.9991874545076</v>
      </c>
      <c r="AI1799">
        <v>95.236551723853907</v>
      </c>
      <c r="AJ1799">
        <v>94.619795061409604</v>
      </c>
      <c r="AK1799">
        <v>12.0887524427814</v>
      </c>
      <c r="AL1799">
        <v>81.549373322946707</v>
      </c>
      <c r="AM1799">
        <v>93.526799424666805</v>
      </c>
      <c r="AN1799">
        <v>1.00000003650735</v>
      </c>
    </row>
    <row r="1800" spans="1:40" x14ac:dyDescent="0.3">
      <c r="A1800" t="str">
        <f>"20200111150351098"</f>
        <v>20200111150351098</v>
      </c>
      <c r="B1800" t="str">
        <f>"1578726231090720"</f>
        <v>1578726231090720</v>
      </c>
      <c r="C1800" t="s">
        <v>40</v>
      </c>
      <c r="D1800">
        <v>5.2755289999999997</v>
      </c>
      <c r="E1800">
        <v>0.48546869999999998</v>
      </c>
      <c r="F1800" t="s">
        <v>44</v>
      </c>
      <c r="G1800">
        <v>0</v>
      </c>
      <c r="H1800">
        <v>0</v>
      </c>
      <c r="I1800">
        <v>0</v>
      </c>
      <c r="J1800">
        <v>-416.8159</v>
      </c>
      <c r="K1800">
        <v>1.1033219999999999</v>
      </c>
      <c r="L1800">
        <v>83.355990000000006</v>
      </c>
      <c r="M1800">
        <v>3.181726E-2</v>
      </c>
      <c r="N1800">
        <v>0</v>
      </c>
      <c r="O1800">
        <v>-0.99943720000000003</v>
      </c>
      <c r="P1800">
        <v>9.3392799999999998E-2</v>
      </c>
      <c r="Q1800">
        <v>0.136051799999999</v>
      </c>
      <c r="R1800">
        <v>-0.98629020000000001</v>
      </c>
      <c r="S1800">
        <v>0.69668580000000002</v>
      </c>
      <c r="T1800">
        <v>1.0752269999999999</v>
      </c>
      <c r="U1800">
        <v>-2.8269959999999998</v>
      </c>
      <c r="V1800">
        <v>-6.1646390000000002E-2</v>
      </c>
      <c r="W1800">
        <v>0.14670339999999901</v>
      </c>
      <c r="X1800">
        <v>0.98725770000000002</v>
      </c>
      <c r="Y1800">
        <v>-0.19337860000000001</v>
      </c>
      <c r="Z1800">
        <v>-0.34737390000000001</v>
      </c>
      <c r="AA1800">
        <v>0.91757080000000002</v>
      </c>
      <c r="AB1800">
        <v>24</v>
      </c>
      <c r="AC1800">
        <v>0.69668580000000002</v>
      </c>
      <c r="AD1800">
        <v>1.0752269999999999</v>
      </c>
      <c r="AE1800">
        <v>-2.8269959999999998</v>
      </c>
      <c r="AF1800">
        <v>-0.53360831457300995</v>
      </c>
      <c r="AG1800">
        <v>1.0752269999999999</v>
      </c>
      <c r="AH1800">
        <v>2.5059731295682002</v>
      </c>
      <c r="AI1800">
        <v>67.234289653361699</v>
      </c>
      <c r="AJ1800">
        <v>102.02072054275899</v>
      </c>
      <c r="AK1800">
        <v>2.7786241669265501</v>
      </c>
      <c r="AL1800">
        <v>81.564067930124097</v>
      </c>
      <c r="AM1800">
        <v>93.573026722306494</v>
      </c>
      <c r="AN1800">
        <v>0.99999996559044002</v>
      </c>
    </row>
    <row r="1801" spans="1:40" x14ac:dyDescent="0.3">
      <c r="A1801" t="str">
        <f>"20200111150351121"</f>
        <v>20200111150351121</v>
      </c>
      <c r="B1801" t="str">
        <f>"1578726231110241"</f>
        <v>1578726231110241</v>
      </c>
      <c r="C1801" t="s">
        <v>40</v>
      </c>
      <c r="D1801">
        <v>5.5833579999999996</v>
      </c>
      <c r="E1801">
        <v>0.4879713</v>
      </c>
      <c r="F1801" t="s">
        <v>41</v>
      </c>
      <c r="G1801">
        <v>-415.49419999999998</v>
      </c>
      <c r="H1801" s="1">
        <v>-2.4790439999999998E-6</v>
      </c>
      <c r="I1801">
        <v>73.409869999999998</v>
      </c>
      <c r="J1801">
        <v>-416.80930000000001</v>
      </c>
      <c r="K1801">
        <v>1.103321</v>
      </c>
      <c r="L1801">
        <v>83.097530000000006</v>
      </c>
      <c r="M1801">
        <v>3.0427220000000001E-2</v>
      </c>
      <c r="N1801">
        <v>0</v>
      </c>
      <c r="O1801">
        <v>-0.99948049999999999</v>
      </c>
      <c r="P1801">
        <v>9.3034329999999998E-2</v>
      </c>
      <c r="Q1801">
        <v>0.13593559999999999</v>
      </c>
      <c r="R1801">
        <v>-0.9863402</v>
      </c>
      <c r="S1801">
        <v>0.405304</v>
      </c>
      <c r="T1801">
        <v>-0.33833550000000001</v>
      </c>
      <c r="U1801">
        <v>-3.0499879999999999</v>
      </c>
      <c r="V1801">
        <v>-6.2662770000000007E-2</v>
      </c>
      <c r="W1801">
        <v>0.1465967</v>
      </c>
      <c r="X1801">
        <v>0.98720960000000002</v>
      </c>
      <c r="Y1801">
        <v>-0.10071339999999999</v>
      </c>
      <c r="Z1801">
        <v>0.109422699999999</v>
      </c>
      <c r="AA1801">
        <v>0.98887990000000003</v>
      </c>
      <c r="AB1801">
        <v>24</v>
      </c>
      <c r="AC1801">
        <v>1.3151000000000199</v>
      </c>
      <c r="AD1801">
        <v>-1.1033234790440001</v>
      </c>
      <c r="AE1801">
        <v>-9.6876599999999993</v>
      </c>
      <c r="AF1801">
        <v>-1.0068820313815801</v>
      </c>
      <c r="AG1801">
        <v>-1.1033234790440001</v>
      </c>
      <c r="AH1801">
        <v>9.6009125584392407</v>
      </c>
      <c r="AI1801">
        <v>96.520146311018905</v>
      </c>
      <c r="AJ1801">
        <v>95.986928274087802</v>
      </c>
      <c r="AK1801">
        <v>9.7164116874144995</v>
      </c>
      <c r="AL1801">
        <v>81.570248541111695</v>
      </c>
      <c r="AM1801">
        <v>93.631956224862805</v>
      </c>
      <c r="AN1801">
        <v>1.00000000476356</v>
      </c>
    </row>
    <row r="1802" spans="1:40" x14ac:dyDescent="0.3">
      <c r="A1802" t="str">
        <f>"20200111150351142"</f>
        <v>20200111150351142</v>
      </c>
      <c r="B1802" t="str">
        <f>"1578726231130737"</f>
        <v>1578726231130737</v>
      </c>
      <c r="C1802" t="s">
        <v>40</v>
      </c>
      <c r="D1802">
        <v>5.2052959999999997</v>
      </c>
      <c r="E1802">
        <v>0.499473</v>
      </c>
      <c r="F1802" t="s">
        <v>41</v>
      </c>
      <c r="G1802">
        <v>-415.60879999999997</v>
      </c>
      <c r="H1802" s="1">
        <v>-2.499969E-6</v>
      </c>
      <c r="I1802">
        <v>73.561000000000007</v>
      </c>
      <c r="J1802">
        <v>-416.80380000000002</v>
      </c>
      <c r="K1802">
        <v>1.1033249999999999</v>
      </c>
      <c r="L1802">
        <v>82.876130000000003</v>
      </c>
      <c r="M1802">
        <v>2.924413E-2</v>
      </c>
      <c r="N1802">
        <v>0</v>
      </c>
      <c r="O1802">
        <v>-0.9995155</v>
      </c>
      <c r="P1802">
        <v>9.1588390000000006E-2</v>
      </c>
      <c r="Q1802">
        <v>0.13646129999999901</v>
      </c>
      <c r="R1802">
        <v>-0.98640269999999997</v>
      </c>
      <c r="S1802">
        <v>0.38442989999999999</v>
      </c>
      <c r="T1802">
        <v>-0.3533289</v>
      </c>
      <c r="U1802">
        <v>-3.0539860000000001</v>
      </c>
      <c r="V1802">
        <v>-6.2386190000000001E-2</v>
      </c>
      <c r="W1802">
        <v>0.14712739999999999</v>
      </c>
      <c r="X1802">
        <v>0.98714820000000003</v>
      </c>
      <c r="Y1802">
        <v>-9.5006030000000005E-2</v>
      </c>
      <c r="Z1802">
        <v>0.1141505</v>
      </c>
      <c r="AA1802">
        <v>0.98891030000000002</v>
      </c>
      <c r="AB1802">
        <v>24</v>
      </c>
      <c r="AC1802">
        <v>1.19500000000005</v>
      </c>
      <c r="AD1802">
        <v>-1.1033274999689999</v>
      </c>
      <c r="AE1802">
        <v>-9.3151299999999893</v>
      </c>
      <c r="AF1802">
        <v>-0.90950748034128803</v>
      </c>
      <c r="AG1802">
        <v>-1.1033274999689999</v>
      </c>
      <c r="AH1802">
        <v>9.2188555631283506</v>
      </c>
      <c r="AI1802">
        <v>96.792124990630001</v>
      </c>
      <c r="AJ1802">
        <v>95.634414206375695</v>
      </c>
      <c r="AK1802">
        <v>9.3290853422405302</v>
      </c>
      <c r="AL1802">
        <v>81.539508643119007</v>
      </c>
      <c r="AM1802">
        <v>93.616192490940406</v>
      </c>
      <c r="AN1802">
        <v>1.0000000386483501</v>
      </c>
    </row>
    <row r="1803" spans="1:40" x14ac:dyDescent="0.3">
      <c r="A1803" t="str">
        <f>"20200111150351165"</f>
        <v>20200111150351165</v>
      </c>
      <c r="B1803" t="str">
        <f>"1578726231160611"</f>
        <v>1578726231160611</v>
      </c>
      <c r="C1803" t="s">
        <v>40</v>
      </c>
      <c r="D1803">
        <v>5.4098920000000001</v>
      </c>
      <c r="E1803">
        <v>0.50992760000000004</v>
      </c>
      <c r="F1803" t="s">
        <v>41</v>
      </c>
      <c r="G1803">
        <v>-415.58350000000002</v>
      </c>
      <c r="H1803" s="1">
        <v>-1.276725E-6</v>
      </c>
      <c r="I1803">
        <v>69.946619999999996</v>
      </c>
      <c r="J1803">
        <v>-416.798</v>
      </c>
      <c r="K1803">
        <v>1.103335</v>
      </c>
      <c r="L1803">
        <v>82.626009999999994</v>
      </c>
      <c r="M1803">
        <v>2.7919059999999999E-2</v>
      </c>
      <c r="N1803">
        <v>0</v>
      </c>
      <c r="O1803">
        <v>-0.99955340000000004</v>
      </c>
      <c r="P1803">
        <v>8.9946579999999998E-2</v>
      </c>
      <c r="Q1803">
        <v>0.13702310000000001</v>
      </c>
      <c r="R1803">
        <v>-0.98647589999999996</v>
      </c>
      <c r="S1803">
        <v>0.2879333</v>
      </c>
      <c r="T1803">
        <v>-0.2603222</v>
      </c>
      <c r="U1803">
        <v>-3.0506289999999998</v>
      </c>
      <c r="V1803">
        <v>-6.2054699999999997E-2</v>
      </c>
      <c r="W1803">
        <v>0.14769289999999999</v>
      </c>
      <c r="X1803">
        <v>0.98708459999999998</v>
      </c>
      <c r="Y1803">
        <v>-6.5795899999999893E-2</v>
      </c>
      <c r="Z1803">
        <v>8.4696540000000001E-2</v>
      </c>
      <c r="AA1803">
        <v>0.99423209999999995</v>
      </c>
      <c r="AB1803">
        <v>24</v>
      </c>
      <c r="AC1803">
        <v>1.2144999999999799</v>
      </c>
      <c r="AD1803">
        <v>-1.1033362767249999</v>
      </c>
      <c r="AE1803">
        <v>-12.6793899999999</v>
      </c>
      <c r="AF1803">
        <v>-0.853604913598349</v>
      </c>
      <c r="AG1803">
        <v>-1.1033362767249999</v>
      </c>
      <c r="AH1803">
        <v>12.6137119305683</v>
      </c>
      <c r="AI1803">
        <v>94.987655959728698</v>
      </c>
      <c r="AJ1803">
        <v>93.8714617839168</v>
      </c>
      <c r="AK1803">
        <v>12.690615467951799</v>
      </c>
      <c r="AL1803">
        <v>81.506749616977203</v>
      </c>
      <c r="AM1803">
        <v>93.597259533140203</v>
      </c>
      <c r="AN1803">
        <v>0.99999999302983</v>
      </c>
    </row>
    <row r="1804" spans="1:40" x14ac:dyDescent="0.3">
      <c r="A1804" t="str">
        <f>"20200111150351186"</f>
        <v>20200111150351186</v>
      </c>
      <c r="B1804" t="str">
        <f>"1578726231180129"</f>
        <v>1578726231180129</v>
      </c>
      <c r="C1804" t="s">
        <v>40</v>
      </c>
      <c r="D1804">
        <v>5.3305410000000002</v>
      </c>
      <c r="E1804">
        <v>0.51338649999999997</v>
      </c>
      <c r="F1804" t="s">
        <v>41</v>
      </c>
      <c r="G1804">
        <v>-415.71719999999999</v>
      </c>
      <c r="H1804" s="1">
        <v>-3.4935370000000001E-6</v>
      </c>
      <c r="I1804">
        <v>66.005399999999995</v>
      </c>
      <c r="J1804">
        <v>-416.79259999999999</v>
      </c>
      <c r="K1804">
        <v>1.1033470000000001</v>
      </c>
      <c r="L1804">
        <v>82.379149999999996</v>
      </c>
      <c r="M1804">
        <v>2.6627899999999999E-2</v>
      </c>
      <c r="N1804">
        <v>0</v>
      </c>
      <c r="O1804">
        <v>-0.99958860000000005</v>
      </c>
      <c r="P1804">
        <v>8.8468019999999994E-2</v>
      </c>
      <c r="Q1804">
        <v>0.13675689999999999</v>
      </c>
      <c r="R1804">
        <v>-0.98664669999999999</v>
      </c>
      <c r="S1804">
        <v>0.1984253</v>
      </c>
      <c r="T1804">
        <v>-0.2025488</v>
      </c>
      <c r="U1804">
        <v>-3.0511780000000002</v>
      </c>
      <c r="V1804">
        <v>-6.1853350000000001E-2</v>
      </c>
      <c r="W1804">
        <v>0.1474307</v>
      </c>
      <c r="X1804">
        <v>0.98713640000000002</v>
      </c>
      <c r="Y1804">
        <v>-3.815698E-2</v>
      </c>
      <c r="Z1804">
        <v>6.6109249999999994E-2</v>
      </c>
      <c r="AA1804">
        <v>0.99708249999999998</v>
      </c>
      <c r="AB1804">
        <v>24</v>
      </c>
      <c r="AC1804">
        <v>1.0753999999999999</v>
      </c>
      <c r="AD1804">
        <v>-1.10335049353699</v>
      </c>
      <c r="AE1804">
        <v>-16.373750000000001</v>
      </c>
      <c r="AF1804">
        <v>-0.63611922166823198</v>
      </c>
      <c r="AG1804">
        <v>-1.10335049353699</v>
      </c>
      <c r="AH1804">
        <v>16.322780869923101</v>
      </c>
      <c r="AI1804">
        <v>93.864143797478405</v>
      </c>
      <c r="AJ1804">
        <v>92.231758937649602</v>
      </c>
      <c r="AK1804">
        <v>16.372391557231101</v>
      </c>
      <c r="AL1804">
        <v>81.521938569193495</v>
      </c>
      <c r="AM1804">
        <v>93.585430276220805</v>
      </c>
      <c r="AN1804">
        <v>0.99999996020683501</v>
      </c>
    </row>
    <row r="1805" spans="1:40" x14ac:dyDescent="0.3">
      <c r="A1805" t="str">
        <f>"20200111150351210"</f>
        <v>20200111150351210</v>
      </c>
      <c r="B1805" t="str">
        <f>"1578726231200625"</f>
        <v>1578726231200625</v>
      </c>
      <c r="C1805" t="s">
        <v>40</v>
      </c>
      <c r="D1805">
        <v>5.3286889999999998</v>
      </c>
      <c r="E1805">
        <v>0.51567079999999998</v>
      </c>
      <c r="F1805" t="s">
        <v>41</v>
      </c>
      <c r="G1805">
        <v>-415.96789999999999</v>
      </c>
      <c r="H1805" s="1">
        <v>-3.9864590000000002E-6</v>
      </c>
      <c r="I1805">
        <v>67.258080000000007</v>
      </c>
      <c r="J1805">
        <v>-416.78750000000002</v>
      </c>
      <c r="K1805">
        <v>1.1033580000000001</v>
      </c>
      <c r="L1805">
        <v>82.136569999999907</v>
      </c>
      <c r="M1805">
        <v>2.538002E-2</v>
      </c>
      <c r="N1805">
        <v>0</v>
      </c>
      <c r="O1805">
        <v>-0.99962070000000003</v>
      </c>
      <c r="P1805">
        <v>8.7087709999999999E-2</v>
      </c>
      <c r="Q1805">
        <v>0.13641519999999999</v>
      </c>
      <c r="R1805">
        <v>-0.98681620000000003</v>
      </c>
      <c r="S1805">
        <v>0.16671749999999999</v>
      </c>
      <c r="T1805">
        <v>-0.22303190000000001</v>
      </c>
      <c r="U1805">
        <v>-3.0565799999999999</v>
      </c>
      <c r="V1805">
        <v>-6.1708680000000002E-2</v>
      </c>
      <c r="W1805">
        <v>0.14709249999999999</v>
      </c>
      <c r="X1805">
        <v>0.98719599999999996</v>
      </c>
      <c r="Y1805">
        <v>-2.8957489999999999E-2</v>
      </c>
      <c r="Z1805">
        <v>7.2670289999999998E-2</v>
      </c>
      <c r="AA1805">
        <v>0.99693549999999997</v>
      </c>
      <c r="AB1805">
        <v>25</v>
      </c>
      <c r="AC1805">
        <v>0.81960000000003597</v>
      </c>
      <c r="AD1805">
        <v>-1.1033619864589901</v>
      </c>
      <c r="AE1805">
        <v>-14.8784899999999</v>
      </c>
      <c r="AF1805">
        <v>-0.43928946155540299</v>
      </c>
      <c r="AG1805">
        <v>-1.1033619864589901</v>
      </c>
      <c r="AH1805">
        <v>14.813281111338499</v>
      </c>
      <c r="AI1805">
        <v>94.257924742944596</v>
      </c>
      <c r="AJ1805">
        <v>91.698614751184607</v>
      </c>
      <c r="AK1805">
        <v>14.860810213031201</v>
      </c>
      <c r="AL1805">
        <v>81.541530387872001</v>
      </c>
      <c r="AM1805">
        <v>93.576850645487596</v>
      </c>
      <c r="AN1805">
        <v>1.0000000535797899</v>
      </c>
    </row>
    <row r="1806" spans="1:40" x14ac:dyDescent="0.3">
      <c r="A1806" t="str">
        <f>"20200111150351231"</f>
        <v>20200111150351231</v>
      </c>
      <c r="B1806" t="str">
        <f>"1578726231220145"</f>
        <v>1578726231220145</v>
      </c>
      <c r="C1806" t="s">
        <v>40</v>
      </c>
      <c r="D1806">
        <v>5.3086690000000001</v>
      </c>
      <c r="E1806">
        <v>0.51769149999999997</v>
      </c>
      <c r="F1806" t="s">
        <v>42</v>
      </c>
      <c r="G1806">
        <v>-416.74340000000001</v>
      </c>
      <c r="H1806">
        <v>1.0313129999999999</v>
      </c>
      <c r="I1806">
        <v>81.197829999999996</v>
      </c>
      <c r="J1806">
        <v>-416.78269999999998</v>
      </c>
      <c r="K1806">
        <v>1.1033649999999999</v>
      </c>
      <c r="L1806">
        <v>81.890590000000003</v>
      </c>
      <c r="M1806">
        <v>2.4141780000000002E-2</v>
      </c>
      <c r="N1806">
        <v>0</v>
      </c>
      <c r="O1806">
        <v>-0.99965159999999997</v>
      </c>
      <c r="P1806">
        <v>8.554254E-2</v>
      </c>
      <c r="Q1806">
        <v>0.1356135</v>
      </c>
      <c r="R1806">
        <v>-0.98706229999999995</v>
      </c>
      <c r="S1806">
        <v>0.1443787</v>
      </c>
      <c r="T1806">
        <v>-0.23480760000000001</v>
      </c>
      <c r="U1806">
        <v>-3.0597840000000001</v>
      </c>
      <c r="V1806">
        <v>-6.1389329999999999E-2</v>
      </c>
      <c r="W1806">
        <v>0.14629389999999901</v>
      </c>
      <c r="X1806">
        <v>0.9873345</v>
      </c>
      <c r="Y1806">
        <v>-2.2865509999999999E-2</v>
      </c>
      <c r="Z1806">
        <v>7.6429319999999995E-2</v>
      </c>
      <c r="AA1806">
        <v>0.99681280000000005</v>
      </c>
      <c r="AB1806">
        <v>25</v>
      </c>
      <c r="AC1806">
        <v>3.9299999999968797E-2</v>
      </c>
      <c r="AD1806">
        <v>-7.2052000000000005E-2</v>
      </c>
      <c r="AE1806">
        <v>-0.69275999999999205</v>
      </c>
      <c r="AF1806">
        <v>-2.23224347719241E-2</v>
      </c>
      <c r="AG1806">
        <v>-7.2052000000000005E-2</v>
      </c>
      <c r="AH1806">
        <v>0.68610872973752901</v>
      </c>
      <c r="AI1806">
        <v>95.991819814156102</v>
      </c>
      <c r="AJ1806">
        <v>91.863451458941199</v>
      </c>
      <c r="AK1806">
        <v>0.69024268979844505</v>
      </c>
      <c r="AL1806">
        <v>81.587786619144495</v>
      </c>
      <c r="AM1806">
        <v>93.557889812260896</v>
      </c>
      <c r="AN1806">
        <v>0.99999998495265396</v>
      </c>
    </row>
    <row r="1807" spans="1:40" x14ac:dyDescent="0.3">
      <c r="A1807" t="str">
        <f>"20200111150351255"</f>
        <v>20200111150351255</v>
      </c>
      <c r="B1807" t="str">
        <f>"1578726231250402"</f>
        <v>1578726231250402</v>
      </c>
      <c r="C1807" t="s">
        <v>40</v>
      </c>
      <c r="D1807">
        <v>5.5705390000000001</v>
      </c>
      <c r="E1807">
        <v>0.53424039999999995</v>
      </c>
      <c r="F1807" t="s">
        <v>42</v>
      </c>
      <c r="G1807">
        <v>-416.7457</v>
      </c>
      <c r="H1807">
        <v>1.031536</v>
      </c>
      <c r="I1807">
        <v>80.978210000000004</v>
      </c>
      <c r="J1807">
        <v>-416.77809999999999</v>
      </c>
      <c r="K1807">
        <v>1.1033729999999999</v>
      </c>
      <c r="L1807">
        <v>81.638549999999995</v>
      </c>
      <c r="M1807">
        <v>2.289617E-2</v>
      </c>
      <c r="N1807">
        <v>0</v>
      </c>
      <c r="O1807">
        <v>-0.99968089999999998</v>
      </c>
      <c r="P1807">
        <v>8.4003540000000002E-2</v>
      </c>
      <c r="Q1807">
        <v>0.1348406</v>
      </c>
      <c r="R1807">
        <v>-0.98729999999999996</v>
      </c>
      <c r="S1807">
        <v>0.12414550000000001</v>
      </c>
      <c r="T1807">
        <v>-0.24103169999999999</v>
      </c>
      <c r="U1807">
        <v>-3.0616759999999998</v>
      </c>
      <c r="V1807">
        <v>-6.1084670000000001E-2</v>
      </c>
      <c r="W1807">
        <v>0.14552409999999999</v>
      </c>
      <c r="X1807">
        <v>0.98746719999999999</v>
      </c>
      <c r="Y1807">
        <v>-1.7500849999999998E-2</v>
      </c>
      <c r="Z1807">
        <v>7.8413780000000002E-2</v>
      </c>
      <c r="AA1807">
        <v>0.99676730000000002</v>
      </c>
      <c r="AB1807">
        <v>25</v>
      </c>
      <c r="AC1807">
        <v>3.2399999999995502E-2</v>
      </c>
      <c r="AD1807">
        <v>-7.1836999999999901E-2</v>
      </c>
      <c r="AE1807">
        <v>-0.66033999999999005</v>
      </c>
      <c r="AF1807">
        <v>-1.7069854335455201E-2</v>
      </c>
      <c r="AG1807">
        <v>-7.1836999999999901E-2</v>
      </c>
      <c r="AH1807">
        <v>0.65319685664448601</v>
      </c>
      <c r="AI1807">
        <v>96.273903604037201</v>
      </c>
      <c r="AJ1807">
        <v>91.496957696350293</v>
      </c>
      <c r="AK1807">
        <v>0.65735688026084405</v>
      </c>
      <c r="AL1807">
        <v>81.632370471983904</v>
      </c>
      <c r="AM1807">
        <v>93.539803360288701</v>
      </c>
      <c r="AN1807">
        <v>1.00000003583282</v>
      </c>
    </row>
    <row r="1808" spans="1:40" x14ac:dyDescent="0.3">
      <c r="A1808" t="str">
        <f>"20200111150351278"</f>
        <v>20200111150351278</v>
      </c>
      <c r="B1808" t="str">
        <f>"1578726231269921"</f>
        <v>1578726231269921</v>
      </c>
      <c r="C1808" t="s">
        <v>40</v>
      </c>
      <c r="D1808">
        <v>4.4676039999999997</v>
      </c>
      <c r="E1808">
        <v>0.52975890000000003</v>
      </c>
      <c r="F1808" t="s">
        <v>71</v>
      </c>
      <c r="G1808">
        <v>-417.37830000000002</v>
      </c>
      <c r="H1808">
        <v>15.966670000000001</v>
      </c>
      <c r="I1808">
        <v>0.50410080000000002</v>
      </c>
      <c r="J1808">
        <v>-416.77370000000002</v>
      </c>
      <c r="K1808">
        <v>1.1033919999999999</v>
      </c>
      <c r="L1808">
        <v>81.381129999999999</v>
      </c>
      <c r="M1808">
        <v>2.1652500000000002E-2</v>
      </c>
      <c r="N1808">
        <v>0</v>
      </c>
      <c r="O1808">
        <v>-0.99970840000000005</v>
      </c>
      <c r="P1808">
        <v>8.1940319999999997E-2</v>
      </c>
      <c r="Q1808">
        <v>0.1346918</v>
      </c>
      <c r="R1808">
        <v>-0.98749379999999998</v>
      </c>
      <c r="S1808">
        <v>-2.1942139999999999E-2</v>
      </c>
      <c r="T1808">
        <v>0.54339579999999998</v>
      </c>
      <c r="U1808">
        <v>-2.9662480000000002</v>
      </c>
      <c r="V1808">
        <v>-6.0253969999999997E-2</v>
      </c>
      <c r="W1808">
        <v>0.14537549999999999</v>
      </c>
      <c r="X1808">
        <v>0.98754010000000003</v>
      </c>
      <c r="Y1808">
        <v>2.8927430000000001E-2</v>
      </c>
      <c r="Z1808">
        <v>-0.1800911</v>
      </c>
      <c r="AA1808">
        <v>0.98322449999999995</v>
      </c>
      <c r="AB1808">
        <v>25</v>
      </c>
      <c r="AC1808">
        <v>-0.60460000000000402</v>
      </c>
      <c r="AD1808">
        <v>14.863277999999999</v>
      </c>
      <c r="AE1808">
        <v>-80.877029199999996</v>
      </c>
      <c r="AF1808">
        <v>2.2787893119565701</v>
      </c>
      <c r="AG1808">
        <v>14.863277999999999</v>
      </c>
      <c r="AH1808">
        <v>78.203886054909404</v>
      </c>
      <c r="AI1808">
        <v>79.243281997246299</v>
      </c>
      <c r="AJ1808">
        <v>88.330925971414402</v>
      </c>
      <c r="AK1808">
        <v>79.636409435149901</v>
      </c>
      <c r="AL1808">
        <v>81.640975948164595</v>
      </c>
      <c r="AM1808">
        <v>93.491527816429993</v>
      </c>
      <c r="AN1808">
        <v>1.0000000130045099</v>
      </c>
    </row>
    <row r="1809" spans="1:40" x14ac:dyDescent="0.3">
      <c r="A1809" t="str">
        <f>"20200111150351299"</f>
        <v>20200111150351299</v>
      </c>
      <c r="B1809" t="str">
        <f>"1578726231290417"</f>
        <v>1578726231290417</v>
      </c>
      <c r="C1809" t="s">
        <v>40</v>
      </c>
      <c r="D1809">
        <v>6.8873899999999901</v>
      </c>
      <c r="E1809">
        <v>0.52608129999999997</v>
      </c>
      <c r="F1809" t="s">
        <v>71</v>
      </c>
      <c r="G1809">
        <v>-416.52890000000002</v>
      </c>
      <c r="H1809">
        <v>13.082850000000001</v>
      </c>
      <c r="I1809">
        <v>1.2753509999999999</v>
      </c>
      <c r="J1809">
        <v>-416.76990000000001</v>
      </c>
      <c r="K1809">
        <v>1.1034090000000001</v>
      </c>
      <c r="L1809">
        <v>81.147639999999996</v>
      </c>
      <c r="M1809">
        <v>2.0553910000000002E-2</v>
      </c>
      <c r="N1809">
        <v>0</v>
      </c>
      <c r="O1809">
        <v>-0.9997317</v>
      </c>
      <c r="P1809">
        <v>7.976577E-2</v>
      </c>
      <c r="Q1809">
        <v>0.13500390000000001</v>
      </c>
      <c r="R1809">
        <v>-0.98762969999999894</v>
      </c>
      <c r="S1809">
        <v>9.0942379999999993E-3</v>
      </c>
      <c r="T1809">
        <v>0.44512570000000001</v>
      </c>
      <c r="U1809">
        <v>-2.9765320000000002</v>
      </c>
      <c r="V1809">
        <v>-5.9169090000000001E-2</v>
      </c>
      <c r="W1809">
        <v>0.14568639999999999</v>
      </c>
      <c r="X1809">
        <v>0.98755990000000005</v>
      </c>
      <c r="Y1809">
        <v>1.7533900000000002E-2</v>
      </c>
      <c r="Z1809">
        <v>-0.147842</v>
      </c>
      <c r="AA1809">
        <v>0.9888555</v>
      </c>
      <c r="AB1809">
        <v>25</v>
      </c>
      <c r="AC1809">
        <v>0.240999999999985</v>
      </c>
      <c r="AD1809">
        <v>11.979441</v>
      </c>
      <c r="AE1809">
        <v>-79.872288999999995</v>
      </c>
      <c r="AF1809">
        <v>1.37001456364787</v>
      </c>
      <c r="AG1809">
        <v>11.979441</v>
      </c>
      <c r="AH1809">
        <v>78.103466870180199</v>
      </c>
      <c r="AI1809">
        <v>81.281300545005706</v>
      </c>
      <c r="AJ1809">
        <v>88.995076579180093</v>
      </c>
      <c r="AK1809">
        <v>79.028700379788802</v>
      </c>
      <c r="AL1809">
        <v>81.622971166574104</v>
      </c>
      <c r="AM1809">
        <v>93.4287452111368</v>
      </c>
      <c r="AN1809">
        <v>1.00000003222219</v>
      </c>
    </row>
    <row r="1810" spans="1:40" x14ac:dyDescent="0.3">
      <c r="A1810" t="str">
        <f>"20200111150351320"</f>
        <v>20200111150351320</v>
      </c>
      <c r="B1810" t="str">
        <f>"1578726231309937"</f>
        <v>1578726231309937</v>
      </c>
      <c r="C1810" t="s">
        <v>40</v>
      </c>
      <c r="D1810">
        <v>5.261463</v>
      </c>
      <c r="E1810">
        <v>0.52948919999999999</v>
      </c>
      <c r="F1810" t="s">
        <v>71</v>
      </c>
      <c r="G1810">
        <v>-415.92619999999999</v>
      </c>
      <c r="H1810">
        <v>13.28252</v>
      </c>
      <c r="I1810">
        <v>1.2777350000000001</v>
      </c>
      <c r="J1810">
        <v>-416.76609999999999</v>
      </c>
      <c r="K1810">
        <v>1.1034250000000001</v>
      </c>
      <c r="L1810">
        <v>80.90616</v>
      </c>
      <c r="M1810">
        <v>1.944999E-2</v>
      </c>
      <c r="N1810">
        <v>0</v>
      </c>
      <c r="O1810">
        <v>-0.99975380000000003</v>
      </c>
      <c r="P1810">
        <v>7.8512830000000006E-2</v>
      </c>
      <c r="Q1810">
        <v>0.13453780000000001</v>
      </c>
      <c r="R1810">
        <v>-0.98779329999999999</v>
      </c>
      <c r="S1810">
        <v>3.1402590000000001E-2</v>
      </c>
      <c r="T1810">
        <v>0.45335039999999999</v>
      </c>
      <c r="U1810">
        <v>-2.9730530000000002</v>
      </c>
      <c r="V1810">
        <v>-5.9013059999999999E-2</v>
      </c>
      <c r="W1810">
        <v>0.14522070000000001</v>
      </c>
      <c r="X1810">
        <v>0.98763780000000001</v>
      </c>
      <c r="Y1810">
        <v>9.0108289999999997E-3</v>
      </c>
      <c r="Z1810">
        <v>-0.1506943</v>
      </c>
      <c r="AA1810">
        <v>0.98853930000000001</v>
      </c>
      <c r="AB1810">
        <v>25</v>
      </c>
      <c r="AC1810">
        <v>0.83989999999999998</v>
      </c>
      <c r="AD1810">
        <v>12.179095</v>
      </c>
      <c r="AE1810">
        <v>-79.628424999999993</v>
      </c>
      <c r="AF1810">
        <v>0.69291151805670803</v>
      </c>
      <c r="AG1810">
        <v>12.179095</v>
      </c>
      <c r="AH1810">
        <v>77.809665067913699</v>
      </c>
      <c r="AI1810">
        <v>81.104352895934397</v>
      </c>
      <c r="AJ1810">
        <v>89.489782456822795</v>
      </c>
      <c r="AK1810">
        <v>78.760107029966505</v>
      </c>
      <c r="AL1810">
        <v>81.649940428787502</v>
      </c>
      <c r="AM1810">
        <v>93.419455940758297</v>
      </c>
      <c r="AN1810">
        <v>1.00000000847394</v>
      </c>
    </row>
    <row r="1811" spans="1:40" x14ac:dyDescent="0.3">
      <c r="A1811" t="str">
        <f>"20200111150351343"</f>
        <v>20200111150351343</v>
      </c>
      <c r="B1811" t="str">
        <f>"1578726231340194"</f>
        <v>1578726231340194</v>
      </c>
      <c r="C1811" t="s">
        <v>40</v>
      </c>
      <c r="D1811">
        <v>7.3507939999999996</v>
      </c>
      <c r="E1811">
        <v>0.51826170000000005</v>
      </c>
      <c r="F1811" t="s">
        <v>41</v>
      </c>
      <c r="G1811">
        <v>-416.71949999999998</v>
      </c>
      <c r="H1811" s="1">
        <v>-1.714622E-6</v>
      </c>
      <c r="I1811">
        <v>62.121639999999999</v>
      </c>
      <c r="J1811">
        <v>-416.7627</v>
      </c>
      <c r="K1811">
        <v>1.1034489999999999</v>
      </c>
      <c r="L1811">
        <v>80.664000000000001</v>
      </c>
      <c r="M1811">
        <v>1.8378490000000001E-2</v>
      </c>
      <c r="N1811">
        <v>0</v>
      </c>
      <c r="O1811">
        <v>-0.99977389999999999</v>
      </c>
      <c r="P1811">
        <v>7.7814170000000002E-2</v>
      </c>
      <c r="Q1811">
        <v>0.13428679999999901</v>
      </c>
      <c r="R1811">
        <v>-0.9878827</v>
      </c>
      <c r="S1811">
        <v>7.59887699999999E-3</v>
      </c>
      <c r="T1811">
        <v>-0.17980370000000001</v>
      </c>
      <c r="U1811">
        <v>-3.0609440000000001</v>
      </c>
      <c r="V1811">
        <v>-5.9382129999999998E-2</v>
      </c>
      <c r="W1811">
        <v>0.14497019999999999</v>
      </c>
      <c r="X1811">
        <v>0.98765250000000004</v>
      </c>
      <c r="Y1811">
        <v>1.590165E-2</v>
      </c>
      <c r="Z1811">
        <v>5.8621550000000001E-2</v>
      </c>
      <c r="AA1811">
        <v>0.99815359999999997</v>
      </c>
      <c r="AB1811">
        <v>25</v>
      </c>
      <c r="AC1811">
        <v>4.3200000000012999E-2</v>
      </c>
      <c r="AD1811">
        <v>-1.1034507146219901</v>
      </c>
      <c r="AE1811">
        <v>-18.542359999999999</v>
      </c>
      <c r="AF1811">
        <v>0.29655714211478201</v>
      </c>
      <c r="AG1811">
        <v>-1.1034507146219901</v>
      </c>
      <c r="AH1811">
        <v>18.474596144924298</v>
      </c>
      <c r="AI1811">
        <v>93.417662427161702</v>
      </c>
      <c r="AJ1811">
        <v>89.080358059670402</v>
      </c>
      <c r="AK1811">
        <v>18.509896064975401</v>
      </c>
      <c r="AL1811">
        <v>81.664446698081704</v>
      </c>
      <c r="AM1811">
        <v>93.440739044106095</v>
      </c>
      <c r="AN1811">
        <v>1.00000002850381</v>
      </c>
    </row>
    <row r="1812" spans="1:40" x14ac:dyDescent="0.3">
      <c r="A1812" t="str">
        <f>"20200111150351890"</f>
        <v>20200111150351890</v>
      </c>
      <c r="B1812" t="str">
        <f>"1578726231879921"</f>
        <v>1578726231879921</v>
      </c>
      <c r="C1812" t="s">
        <v>40</v>
      </c>
      <c r="D1812">
        <v>5.5914169999999999</v>
      </c>
      <c r="E1812">
        <v>0.51826170000000005</v>
      </c>
      <c r="F1812" t="s">
        <v>71</v>
      </c>
      <c r="G1812">
        <v>-414.42680000000001</v>
      </c>
      <c r="H1812">
        <v>15.54416</v>
      </c>
      <c r="I1812">
        <v>0.5341148</v>
      </c>
      <c r="J1812">
        <v>-416.7396</v>
      </c>
      <c r="K1812">
        <v>1.1036809999999999</v>
      </c>
      <c r="L1812">
        <v>74.540189999999996</v>
      </c>
      <c r="M1812">
        <v>-2.9560519999999998E-3</v>
      </c>
      <c r="N1812">
        <v>0</v>
      </c>
      <c r="O1812">
        <v>-0.99993600000000005</v>
      </c>
      <c r="P1812">
        <v>5.7813639999999999E-2</v>
      </c>
      <c r="Q1812">
        <v>0.1359032</v>
      </c>
      <c r="R1812">
        <v>-0.98903410000000003</v>
      </c>
      <c r="S1812">
        <v>8.6212159999999996E-2</v>
      </c>
      <c r="T1812">
        <v>0.53299779999999997</v>
      </c>
      <c r="U1812">
        <v>-2.9575499999999999</v>
      </c>
      <c r="V1812">
        <v>-6.0542760000000001E-2</v>
      </c>
      <c r="W1812">
        <v>0.14676889999999901</v>
      </c>
      <c r="X1812">
        <v>0.98731630000000004</v>
      </c>
      <c r="Y1812">
        <v>-3.1630810000000002E-2</v>
      </c>
      <c r="Z1812">
        <v>-0.17727679999999901</v>
      </c>
      <c r="AA1812">
        <v>0.98365259999999999</v>
      </c>
      <c r="AB1812">
        <v>25</v>
      </c>
      <c r="AC1812">
        <v>2.3127999999999802</v>
      </c>
      <c r="AD1812">
        <v>14.440479</v>
      </c>
      <c r="AE1812">
        <v>-74.006075199999998</v>
      </c>
      <c r="AF1812">
        <v>-2.4388043207556098</v>
      </c>
      <c r="AG1812">
        <v>14.440479</v>
      </c>
      <c r="AH1812">
        <v>71.287367979899201</v>
      </c>
      <c r="AI1812">
        <v>78.555226503223295</v>
      </c>
      <c r="AJ1812">
        <v>91.959375454112603</v>
      </c>
      <c r="AK1812">
        <v>72.776122689835105</v>
      </c>
      <c r="AL1812">
        <v>81.560274333270698</v>
      </c>
      <c r="AM1812">
        <v>93.509013831259793</v>
      </c>
      <c r="AN1812">
        <v>1.00000000602065</v>
      </c>
    </row>
    <row r="1813" spans="1:40" x14ac:dyDescent="0.3">
      <c r="A1813" t="str">
        <f>"20200111150351913"</f>
        <v>20200111150351913</v>
      </c>
      <c r="B1813" t="str">
        <f>"1578726231910179"</f>
        <v>1578726231910179</v>
      </c>
      <c r="C1813" t="s">
        <v>40</v>
      </c>
      <c r="D1813">
        <v>5.5650510000000004</v>
      </c>
      <c r="E1813">
        <v>0.44586999999999999</v>
      </c>
      <c r="F1813" t="s">
        <v>71</v>
      </c>
      <c r="G1813">
        <v>-416.07819999999998</v>
      </c>
      <c r="H1813">
        <v>14.420389999999999</v>
      </c>
      <c r="I1813">
        <v>1.277134</v>
      </c>
      <c r="J1813">
        <v>-416.74119999999999</v>
      </c>
      <c r="K1813">
        <v>1.1036999999999999</v>
      </c>
      <c r="L1813">
        <v>74.286069999999995</v>
      </c>
      <c r="M1813">
        <v>-3.7164960000000001E-3</v>
      </c>
      <c r="N1813">
        <v>0</v>
      </c>
      <c r="O1813">
        <v>-0.99993339999999997</v>
      </c>
      <c r="P1813">
        <v>5.7039189999999997E-2</v>
      </c>
      <c r="Q1813">
        <v>0.13572699999999999</v>
      </c>
      <c r="R1813">
        <v>-0.98910330000000002</v>
      </c>
      <c r="S1813">
        <v>2.6702879999999998E-2</v>
      </c>
      <c r="T1813">
        <v>0.53762980000000005</v>
      </c>
      <c r="U1813">
        <v>-2.9578250000000001</v>
      </c>
      <c r="V1813">
        <v>-6.052577E-2</v>
      </c>
      <c r="W1813">
        <v>0.1466171</v>
      </c>
      <c r="X1813">
        <v>0.98733990000000005</v>
      </c>
      <c r="Y1813">
        <v>-1.25985E-2</v>
      </c>
      <c r="Z1813">
        <v>-0.1788226</v>
      </c>
      <c r="AA1813">
        <v>0.98380060000000003</v>
      </c>
      <c r="AB1813">
        <v>25</v>
      </c>
      <c r="AC1813">
        <v>0.66300000000001003</v>
      </c>
      <c r="AD1813">
        <v>13.316689999999999</v>
      </c>
      <c r="AE1813">
        <v>-73.008935999999906</v>
      </c>
      <c r="AF1813">
        <v>-0.90426739113389998</v>
      </c>
      <c r="AG1813">
        <v>13.316689999999999</v>
      </c>
      <c r="AH1813">
        <v>70.655518626158496</v>
      </c>
      <c r="AI1813">
        <v>79.327327339982602</v>
      </c>
      <c r="AJ1813">
        <v>90.733246002073997</v>
      </c>
      <c r="AK1813">
        <v>71.9051753659095</v>
      </c>
      <c r="AL1813">
        <v>81.5690669884399</v>
      </c>
      <c r="AM1813">
        <v>93.507947921112702</v>
      </c>
      <c r="AN1813">
        <v>1.0000000104892499</v>
      </c>
    </row>
    <row r="1814" spans="1:40" x14ac:dyDescent="0.3">
      <c r="A1814" t="str">
        <f>"20200111150351935"</f>
        <v>20200111150351935</v>
      </c>
      <c r="B1814" t="str">
        <f>"1578726231930674"</f>
        <v>1578726231930674</v>
      </c>
      <c r="C1814" t="s">
        <v>40</v>
      </c>
      <c r="D1814">
        <v>5.5688899999999997</v>
      </c>
      <c r="E1814">
        <v>0.44557000000000002</v>
      </c>
      <c r="F1814" t="s">
        <v>50</v>
      </c>
      <c r="G1814">
        <v>-408.44490000000002</v>
      </c>
      <c r="H1814">
        <v>0.1027846</v>
      </c>
      <c r="I1814">
        <v>33.177430000000001</v>
      </c>
      <c r="J1814">
        <v>-416.74299999999999</v>
      </c>
      <c r="K1814">
        <v>1.1037079999999999</v>
      </c>
      <c r="L1814">
        <v>74.036649999999995</v>
      </c>
      <c r="M1814">
        <v>-4.4455520000000002E-3</v>
      </c>
      <c r="N1814">
        <v>0</v>
      </c>
      <c r="O1814">
        <v>-0.99992999999999999</v>
      </c>
      <c r="P1814">
        <v>5.6287810000000001E-2</v>
      </c>
      <c r="Q1814">
        <v>0.13599990000000001</v>
      </c>
      <c r="R1814">
        <v>-0.98910869999999995</v>
      </c>
      <c r="S1814">
        <v>0.60708619999999902</v>
      </c>
      <c r="T1814">
        <v>-7.3241829999999994E-2</v>
      </c>
      <c r="U1814">
        <v>-3.0081180000000001</v>
      </c>
      <c r="V1814">
        <v>-6.0499039999999997E-2</v>
      </c>
      <c r="W1814">
        <v>0.14691699999999999</v>
      </c>
      <c r="X1814">
        <v>0.98729690000000003</v>
      </c>
      <c r="Y1814">
        <v>-0.20212720000000001</v>
      </c>
      <c r="Z1814">
        <v>2.3848999999999999E-2</v>
      </c>
      <c r="AA1814">
        <v>0.97906890000000002</v>
      </c>
      <c r="AB1814">
        <v>25</v>
      </c>
      <c r="AC1814">
        <v>8.29810000000003</v>
      </c>
      <c r="AD1814">
        <v>-1.0009234</v>
      </c>
      <c r="AE1814">
        <v>-40.859219999999901</v>
      </c>
      <c r="AF1814">
        <v>-8.4747864584449797</v>
      </c>
      <c r="AG1814">
        <v>-1.0009234</v>
      </c>
      <c r="AH1814">
        <v>40.7984111533762</v>
      </c>
      <c r="AI1814">
        <v>91.376016173002995</v>
      </c>
      <c r="AJ1814">
        <v>101.73479433153901</v>
      </c>
      <c r="AK1814">
        <v>41.681341218929603</v>
      </c>
      <c r="AL1814">
        <v>81.551695390992705</v>
      </c>
      <c r="AM1814">
        <v>93.506554906119405</v>
      </c>
      <c r="AN1814">
        <v>0.99999995373976402</v>
      </c>
    </row>
    <row r="1815" spans="1:40" x14ac:dyDescent="0.3">
      <c r="A1815" t="str">
        <f>"20200111150351958"</f>
        <v>20200111150351958</v>
      </c>
      <c r="B1815" t="str">
        <f>"1578726231950196"</f>
        <v>1578726231950196</v>
      </c>
      <c r="C1815" t="s">
        <v>40</v>
      </c>
      <c r="D1815">
        <v>5.4424089999999996</v>
      </c>
      <c r="E1815">
        <v>0.4445171</v>
      </c>
      <c r="F1815" t="s">
        <v>72</v>
      </c>
      <c r="G1815">
        <v>-409.68520000000001</v>
      </c>
      <c r="H1815">
        <v>7.9989699999999997E-2</v>
      </c>
      <c r="I1815">
        <v>39.063540000000003</v>
      </c>
      <c r="J1815">
        <v>-416.745</v>
      </c>
      <c r="K1815">
        <v>1.103723</v>
      </c>
      <c r="L1815">
        <v>73.778049999999993</v>
      </c>
      <c r="M1815">
        <v>-5.1867099999999998E-3</v>
      </c>
      <c r="N1815">
        <v>0</v>
      </c>
      <c r="O1815">
        <v>-0.99992630000000005</v>
      </c>
      <c r="P1815">
        <v>5.5348219999999997E-2</v>
      </c>
      <c r="Q1815">
        <v>0.1355066</v>
      </c>
      <c r="R1815">
        <v>-0.9892299</v>
      </c>
      <c r="S1815">
        <v>0.60754390000000003</v>
      </c>
      <c r="T1815">
        <v>-8.8123800000000002E-2</v>
      </c>
      <c r="U1815">
        <v>-3.0105590000000002</v>
      </c>
      <c r="V1815">
        <v>-6.0296990000000002E-2</v>
      </c>
      <c r="W1815">
        <v>0.14645759999999999</v>
      </c>
      <c r="X1815">
        <v>0.98737759999999997</v>
      </c>
      <c r="Y1815">
        <v>-0.2028171</v>
      </c>
      <c r="Z1815">
        <v>2.8665699999999999E-2</v>
      </c>
      <c r="AA1815">
        <v>0.97879700000000003</v>
      </c>
      <c r="AB1815">
        <v>25</v>
      </c>
      <c r="AC1815">
        <v>7.0597999999999903</v>
      </c>
      <c r="AD1815">
        <v>-1.0237333</v>
      </c>
      <c r="AE1815">
        <v>-34.714509999999898</v>
      </c>
      <c r="AF1815">
        <v>-7.2337289047906701</v>
      </c>
      <c r="AG1815">
        <v>-1.0237333</v>
      </c>
      <c r="AH1815">
        <v>34.648487842323803</v>
      </c>
      <c r="AI1815">
        <v>91.6566845224432</v>
      </c>
      <c r="AJ1815">
        <v>101.79252529081499</v>
      </c>
      <c r="AK1815">
        <v>35.410345571558501</v>
      </c>
      <c r="AL1815">
        <v>81.578305645288395</v>
      </c>
      <c r="AM1815">
        <v>93.494588127160597</v>
      </c>
      <c r="AN1815">
        <v>1.0000000402912801</v>
      </c>
    </row>
    <row r="1816" spans="1:40" x14ac:dyDescent="0.3">
      <c r="A1816" t="str">
        <f>"20200111150351979"</f>
        <v>20200111150351979</v>
      </c>
      <c r="B1816" t="str">
        <f>"1578726231970689"</f>
        <v>1578726231970689</v>
      </c>
      <c r="C1816" t="s">
        <v>40</v>
      </c>
      <c r="D1816">
        <v>5.5630290000000002</v>
      </c>
      <c r="E1816">
        <v>0.44410040000000001</v>
      </c>
      <c r="F1816" t="s">
        <v>50</v>
      </c>
      <c r="G1816">
        <v>-408.46949999999998</v>
      </c>
      <c r="H1816">
        <v>0.14961679999999999</v>
      </c>
      <c r="I1816">
        <v>33.177419999999998</v>
      </c>
      <c r="J1816">
        <v>-416.74709999999999</v>
      </c>
      <c r="K1816">
        <v>1.1037319999999999</v>
      </c>
      <c r="L1816">
        <v>73.533479999999997</v>
      </c>
      <c r="M1816">
        <v>-5.8770330000000003E-3</v>
      </c>
      <c r="N1816">
        <v>0</v>
      </c>
      <c r="O1816">
        <v>-0.99992179999999997</v>
      </c>
      <c r="P1816">
        <v>5.512914E-2</v>
      </c>
      <c r="Q1816">
        <v>0.135016</v>
      </c>
      <c r="R1816">
        <v>-0.98930870000000004</v>
      </c>
      <c r="S1816">
        <v>0.61312869999999997</v>
      </c>
      <c r="T1816">
        <v>-7.0688719999999997E-2</v>
      </c>
      <c r="U1816">
        <v>-3.008057</v>
      </c>
      <c r="V1816">
        <v>-6.0763940000000002E-2</v>
      </c>
      <c r="W1816">
        <v>0.14599999999999999</v>
      </c>
      <c r="X1816">
        <v>0.98741670000000004</v>
      </c>
      <c r="Y1816">
        <v>-0.20542489999999999</v>
      </c>
      <c r="Z1816">
        <v>2.3005790000000002E-2</v>
      </c>
      <c r="AA1816">
        <v>0.97840240000000001</v>
      </c>
      <c r="AB1816">
        <v>25</v>
      </c>
      <c r="AC1816">
        <v>8.2775999999999996</v>
      </c>
      <c r="AD1816">
        <v>-0.95411520000000005</v>
      </c>
      <c r="AE1816">
        <v>-40.356059999999999</v>
      </c>
      <c r="AF1816">
        <v>-8.5100805942893203</v>
      </c>
      <c r="AG1816">
        <v>-0.95411520000000005</v>
      </c>
      <c r="AH1816">
        <v>40.285103462572401</v>
      </c>
      <c r="AI1816">
        <v>91.327458755173595</v>
      </c>
      <c r="AJ1816">
        <v>101.92815570743601</v>
      </c>
      <c r="AK1816">
        <v>41.185208127753</v>
      </c>
      <c r="AL1816">
        <v>81.604808725754793</v>
      </c>
      <c r="AM1816">
        <v>93.521443860996797</v>
      </c>
      <c r="AN1816">
        <v>0.99999999792160599</v>
      </c>
    </row>
    <row r="1817" spans="1:40" x14ac:dyDescent="0.3">
      <c r="A1817" t="str">
        <f>"20200111150352002"</f>
        <v>20200111150352002</v>
      </c>
      <c r="B1817" t="str">
        <f>"1578726231990210"</f>
        <v>1578726231990210</v>
      </c>
      <c r="C1817" t="s">
        <v>40</v>
      </c>
      <c r="D1817">
        <v>5.5410349999999999</v>
      </c>
      <c r="E1817">
        <v>0.4440733</v>
      </c>
      <c r="F1817" t="s">
        <v>72</v>
      </c>
      <c r="G1817">
        <v>-409.26440000000002</v>
      </c>
      <c r="H1817">
        <v>7.9988840000000005E-2</v>
      </c>
      <c r="I1817">
        <v>36.924019999999999</v>
      </c>
      <c r="J1817">
        <v>-416.74939999999998</v>
      </c>
      <c r="K1817">
        <v>1.1037410000000001</v>
      </c>
      <c r="L1817">
        <v>73.278779999999998</v>
      </c>
      <c r="M1817">
        <v>-6.5895559999999999E-3</v>
      </c>
      <c r="N1817">
        <v>0</v>
      </c>
      <c r="O1817">
        <v>-0.99991730000000001</v>
      </c>
      <c r="P1817">
        <v>5.4946620000000002E-2</v>
      </c>
      <c r="Q1817">
        <v>0.13417319999999999</v>
      </c>
      <c r="R1817">
        <v>-0.98943360000000002</v>
      </c>
      <c r="S1817">
        <v>0.61514279999999999</v>
      </c>
      <c r="T1817">
        <v>-8.4161399999999997E-2</v>
      </c>
      <c r="U1817">
        <v>-3.0096440000000002</v>
      </c>
      <c r="V1817">
        <v>-6.1289679999999999E-2</v>
      </c>
      <c r="W1817">
        <v>0.14519379999999901</v>
      </c>
      <c r="X1817">
        <v>0.98750309999999997</v>
      </c>
      <c r="Y1817">
        <v>-0.2066277</v>
      </c>
      <c r="Z1817">
        <v>2.736777E-2</v>
      </c>
      <c r="AA1817">
        <v>0.97803680000000004</v>
      </c>
      <c r="AB1817">
        <v>25</v>
      </c>
      <c r="AC1817">
        <v>7.4849999999999497</v>
      </c>
      <c r="AD1817">
        <v>-1.0237521599999999</v>
      </c>
      <c r="AE1817">
        <v>-36.354759999999999</v>
      </c>
      <c r="AF1817">
        <v>-7.7185419954678904</v>
      </c>
      <c r="AG1817">
        <v>-1.0237521599999999</v>
      </c>
      <c r="AH1817">
        <v>36.277047311688101</v>
      </c>
      <c r="AI1817">
        <v>91.581106455586095</v>
      </c>
      <c r="AJ1817">
        <v>102.01151055669401</v>
      </c>
      <c r="AK1817">
        <v>37.103209034736601</v>
      </c>
      <c r="AL1817">
        <v>81.6514982796661</v>
      </c>
      <c r="AM1817">
        <v>93.551524364491598</v>
      </c>
      <c r="AN1817">
        <v>1.0000000184712701</v>
      </c>
    </row>
    <row r="1818" spans="1:40" x14ac:dyDescent="0.3">
      <c r="A1818" t="str">
        <f>"20200111150352025"</f>
        <v>20200111150352025</v>
      </c>
      <c r="B1818" t="str">
        <f>"1578726232020465"</f>
        <v>1578726232020465</v>
      </c>
      <c r="C1818" t="s">
        <v>40</v>
      </c>
      <c r="D1818">
        <v>5.5063950000000004</v>
      </c>
      <c r="E1818">
        <v>0.44404640000000001</v>
      </c>
      <c r="F1818" t="s">
        <v>41</v>
      </c>
      <c r="G1818">
        <v>-409.95479999999998</v>
      </c>
      <c r="H1818">
        <v>5.293718E-2</v>
      </c>
      <c r="I1818">
        <v>40.003230000000002</v>
      </c>
      <c r="J1818">
        <v>-416.75189999999998</v>
      </c>
      <c r="K1818">
        <v>1.103742</v>
      </c>
      <c r="L1818">
        <v>73.02722</v>
      </c>
      <c r="M1818">
        <v>-7.2913149999999996E-3</v>
      </c>
      <c r="N1818">
        <v>0</v>
      </c>
      <c r="O1818">
        <v>-0.99991169999999996</v>
      </c>
      <c r="P1818">
        <v>5.4573509999999999E-2</v>
      </c>
      <c r="Q1818">
        <v>0.13418250000000001</v>
      </c>
      <c r="R1818">
        <v>-0.98945280000000002</v>
      </c>
      <c r="S1818">
        <v>0.61477660000000001</v>
      </c>
      <c r="T1818">
        <v>-9.5077750000000003E-2</v>
      </c>
      <c r="U1818">
        <v>-3.0108030000000001</v>
      </c>
      <c r="V1818">
        <v>-6.1610860000000003E-2</v>
      </c>
      <c r="W1818">
        <v>0.14524100000000001</v>
      </c>
      <c r="X1818">
        <v>0.98747620000000003</v>
      </c>
      <c r="Y1818">
        <v>-0.2071056</v>
      </c>
      <c r="Z1818">
        <v>3.0901209999999998E-2</v>
      </c>
      <c r="AA1818">
        <v>0.97783050000000005</v>
      </c>
      <c r="AB1818">
        <v>25</v>
      </c>
      <c r="AC1818">
        <v>6.7971000000000004</v>
      </c>
      <c r="AD1818">
        <v>-1.05080482</v>
      </c>
      <c r="AE1818">
        <v>-33.023989999999998</v>
      </c>
      <c r="AF1818">
        <v>-7.0308931679387001</v>
      </c>
      <c r="AG1818">
        <v>-1.05080482</v>
      </c>
      <c r="AH1818">
        <v>32.941552135324898</v>
      </c>
      <c r="AI1818">
        <v>91.786843142010397</v>
      </c>
      <c r="AJ1818">
        <v>102.048168138682</v>
      </c>
      <c r="AK1818">
        <v>33.699903658512603</v>
      </c>
      <c r="AL1818">
        <v>81.648765175302103</v>
      </c>
      <c r="AM1818">
        <v>93.5701846232989</v>
      </c>
      <c r="AN1818">
        <v>1.00000004585868</v>
      </c>
    </row>
    <row r="1819" spans="1:40" x14ac:dyDescent="0.3">
      <c r="A1819" t="str">
        <f>"20200111150352047"</f>
        <v>20200111150352047</v>
      </c>
      <c r="B1819" t="str">
        <f>"1578726232039985"</f>
        <v>1578726232039985</v>
      </c>
      <c r="C1819" t="s">
        <v>40</v>
      </c>
      <c r="D1819">
        <v>5.4539980000000003</v>
      </c>
      <c r="E1819">
        <v>0.4448551</v>
      </c>
      <c r="F1819" t="s">
        <v>41</v>
      </c>
      <c r="G1819">
        <v>-410.87580000000003</v>
      </c>
      <c r="H1819" s="1">
        <v>-3.9748889999999997E-6</v>
      </c>
      <c r="I1819">
        <v>44.194470000000003</v>
      </c>
      <c r="J1819">
        <v>-416.75459999999998</v>
      </c>
      <c r="K1819">
        <v>1.103742</v>
      </c>
      <c r="L1819">
        <v>72.765140000000002</v>
      </c>
      <c r="M1819">
        <v>-8.0231529999999999E-3</v>
      </c>
      <c r="N1819">
        <v>0</v>
      </c>
      <c r="O1819">
        <v>-0.9999055</v>
      </c>
      <c r="P1819">
        <v>5.4523309999999998E-2</v>
      </c>
      <c r="Q1819">
        <v>0.13387769999999999</v>
      </c>
      <c r="R1819">
        <v>-0.98949670000000001</v>
      </c>
      <c r="S1819">
        <v>0.61419679999999999</v>
      </c>
      <c r="T1819">
        <v>-0.1153686</v>
      </c>
      <c r="U1819">
        <v>-3.0137330000000002</v>
      </c>
      <c r="V1819">
        <v>-6.2285180000000002E-2</v>
      </c>
      <c r="W1819">
        <v>0.1449801</v>
      </c>
      <c r="X1819">
        <v>0.98747220000000002</v>
      </c>
      <c r="Y1819">
        <v>-0.20740990000000001</v>
      </c>
      <c r="Z1819">
        <v>3.7450810000000001E-2</v>
      </c>
      <c r="AA1819">
        <v>0.97753699999999999</v>
      </c>
      <c r="AB1819">
        <v>25</v>
      </c>
      <c r="AC1819">
        <v>5.8787999999999503</v>
      </c>
      <c r="AD1819">
        <v>-1.1037459748889999</v>
      </c>
      <c r="AE1819">
        <v>-28.57067</v>
      </c>
      <c r="AF1819">
        <v>-6.0991190584416799</v>
      </c>
      <c r="AG1819">
        <v>-1.1037459748889999</v>
      </c>
      <c r="AH1819">
        <v>28.481800031629401</v>
      </c>
      <c r="AI1819">
        <v>92.170104133730007</v>
      </c>
      <c r="AJ1819">
        <v>102.086825337166</v>
      </c>
      <c r="AK1819">
        <v>29.1484209093367</v>
      </c>
      <c r="AL1819">
        <v>81.663873252981404</v>
      </c>
      <c r="AM1819">
        <v>93.609171519199904</v>
      </c>
      <c r="AN1819">
        <v>1.00000000940824</v>
      </c>
    </row>
    <row r="1820" spans="1:40" x14ac:dyDescent="0.3">
      <c r="A1820" t="str">
        <f>"20200111150352070"</f>
        <v>20200111150352070</v>
      </c>
      <c r="B1820" t="str">
        <f>"1578726232060481"</f>
        <v>1578726232060481</v>
      </c>
      <c r="C1820" t="s">
        <v>40</v>
      </c>
      <c r="D1820">
        <v>5.5164429999999998</v>
      </c>
      <c r="E1820">
        <v>0.44529679999999999</v>
      </c>
      <c r="F1820" t="s">
        <v>41</v>
      </c>
      <c r="G1820">
        <v>-411.74090000000001</v>
      </c>
      <c r="H1820" s="1">
        <v>-5.0035109999999997E-6</v>
      </c>
      <c r="I1820">
        <v>47.881079999999997</v>
      </c>
      <c r="J1820">
        <v>-416.75740000000002</v>
      </c>
      <c r="K1820">
        <v>1.103742</v>
      </c>
      <c r="L1820">
        <v>72.514799999999994</v>
      </c>
      <c r="M1820">
        <v>-8.7237329999999991E-3</v>
      </c>
      <c r="N1820">
        <v>0</v>
      </c>
      <c r="O1820">
        <v>-0.99989930000000005</v>
      </c>
      <c r="P1820">
        <v>5.3908539999999998E-2</v>
      </c>
      <c r="Q1820">
        <v>0.13344129999999901</v>
      </c>
      <c r="R1820">
        <v>-0.98958970000000002</v>
      </c>
      <c r="S1820">
        <v>0.60775760000000001</v>
      </c>
      <c r="T1820">
        <v>-0.13379639999999901</v>
      </c>
      <c r="U1820">
        <v>-3.0164490000000002</v>
      </c>
      <c r="V1820">
        <v>-6.2363670000000003E-2</v>
      </c>
      <c r="W1820">
        <v>0.14458760000000001</v>
      </c>
      <c r="X1820">
        <v>0.98752479999999998</v>
      </c>
      <c r="Y1820">
        <v>-0.20587079999999999</v>
      </c>
      <c r="Z1820">
        <v>4.3399670000000001E-2</v>
      </c>
      <c r="AA1820">
        <v>0.97761629999999999</v>
      </c>
      <c r="AB1820">
        <v>25</v>
      </c>
      <c r="AC1820">
        <v>5.0164999999999997</v>
      </c>
      <c r="AD1820">
        <v>-1.103747003511</v>
      </c>
      <c r="AE1820">
        <v>-24.63372</v>
      </c>
      <c r="AF1820">
        <v>-5.2211558952497299</v>
      </c>
      <c r="AG1820">
        <v>-1.103747003511</v>
      </c>
      <c r="AH1820">
        <v>24.5417089182918</v>
      </c>
      <c r="AI1820">
        <v>92.518808234520606</v>
      </c>
      <c r="AJ1820">
        <v>102.010396688566</v>
      </c>
      <c r="AK1820">
        <v>25.115218552909699</v>
      </c>
      <c r="AL1820">
        <v>81.686601380380296</v>
      </c>
      <c r="AM1820">
        <v>93.613515677013993</v>
      </c>
      <c r="AN1820">
        <v>1.0000000160123299</v>
      </c>
    </row>
    <row r="1821" spans="1:40" x14ac:dyDescent="0.3">
      <c r="A1821" t="str">
        <f>"20200111150352090"</f>
        <v>20200111150352090</v>
      </c>
      <c r="B1821" t="str">
        <f>"1578726232080001"</f>
        <v>1578726232080001</v>
      </c>
      <c r="C1821" t="s">
        <v>40</v>
      </c>
      <c r="D1821">
        <v>5.459409</v>
      </c>
      <c r="E1821">
        <v>0.44558920000000002</v>
      </c>
      <c r="F1821" t="s">
        <v>41</v>
      </c>
      <c r="G1821">
        <v>-412.40870000000001</v>
      </c>
      <c r="H1821" s="1">
        <v>-2.3784809999999999E-6</v>
      </c>
      <c r="I1821">
        <v>50.701889999999999</v>
      </c>
      <c r="J1821">
        <v>-416.76029999999997</v>
      </c>
      <c r="K1821">
        <v>1.1037459999999999</v>
      </c>
      <c r="L1821">
        <v>72.273769999999999</v>
      </c>
      <c r="M1821">
        <v>-9.4012009999999997E-3</v>
      </c>
      <c r="N1821">
        <v>0</v>
      </c>
      <c r="O1821">
        <v>-0.99989289999999997</v>
      </c>
      <c r="P1821">
        <v>5.3204389999999997E-2</v>
      </c>
      <c r="Q1821">
        <v>0.13308789999999901</v>
      </c>
      <c r="R1821">
        <v>-0.98967530000000004</v>
      </c>
      <c r="S1821">
        <v>0.60195919999999903</v>
      </c>
      <c r="T1821">
        <v>-0.1527821</v>
      </c>
      <c r="U1821">
        <v>-3.0193789999999998</v>
      </c>
      <c r="V1821">
        <v>-6.2331240000000003E-2</v>
      </c>
      <c r="W1821">
        <v>0.14427329999999999</v>
      </c>
      <c r="X1821">
        <v>0.98757280000000003</v>
      </c>
      <c r="Y1821">
        <v>-0.20448930000000001</v>
      </c>
      <c r="Z1821">
        <v>4.9512569999999999E-2</v>
      </c>
      <c r="AA1821">
        <v>0.97761580000000003</v>
      </c>
      <c r="AB1821">
        <v>25</v>
      </c>
      <c r="AC1821">
        <v>4.3515999999999604</v>
      </c>
      <c r="AD1821">
        <v>-1.1037483784809901</v>
      </c>
      <c r="AE1821">
        <v>-21.57188</v>
      </c>
      <c r="AF1821">
        <v>-4.5427941573237298</v>
      </c>
      <c r="AG1821">
        <v>-1.1037483784809901</v>
      </c>
      <c r="AH1821">
        <v>21.475988750153299</v>
      </c>
      <c r="AI1821">
        <v>92.878517601295101</v>
      </c>
      <c r="AJ1821">
        <v>101.94365761880699</v>
      </c>
      <c r="AK1821">
        <v>21.978929274091701</v>
      </c>
      <c r="AL1821">
        <v>81.704800142160195</v>
      </c>
      <c r="AM1821">
        <v>93.611466496435298</v>
      </c>
      <c r="AN1821">
        <v>1.00000000193633</v>
      </c>
    </row>
    <row r="1822" spans="1:40" x14ac:dyDescent="0.3">
      <c r="A1822" t="str">
        <f>"20200111150352114"</f>
        <v>20200111150352114</v>
      </c>
      <c r="B1822" t="str">
        <f>"1578726232110257"</f>
        <v>1578726232110257</v>
      </c>
      <c r="C1822" t="s">
        <v>40</v>
      </c>
      <c r="D1822">
        <v>5.4654689999999997</v>
      </c>
      <c r="E1822">
        <v>0.44595990000000002</v>
      </c>
      <c r="F1822" t="s">
        <v>41</v>
      </c>
      <c r="G1822">
        <v>-412.76650000000001</v>
      </c>
      <c r="H1822" s="1">
        <v>-2.7574110000000002E-6</v>
      </c>
      <c r="I1822">
        <v>52.095179999999999</v>
      </c>
      <c r="J1822">
        <v>-416.7636</v>
      </c>
      <c r="K1822">
        <v>1.1037490000000001</v>
      </c>
      <c r="L1822">
        <v>72.011380000000003</v>
      </c>
      <c r="M1822">
        <v>-1.0140150000000001E-2</v>
      </c>
      <c r="N1822">
        <v>0</v>
      </c>
      <c r="O1822">
        <v>-0.99988500000000002</v>
      </c>
      <c r="P1822">
        <v>5.1985679999999999E-2</v>
      </c>
      <c r="Q1822">
        <v>0.13268389999999999</v>
      </c>
      <c r="R1822">
        <v>-0.98979430000000002</v>
      </c>
      <c r="S1822">
        <v>0.59799190000000002</v>
      </c>
      <c r="T1822">
        <v>-0.1652671</v>
      </c>
      <c r="U1822">
        <v>-3.0213930000000002</v>
      </c>
      <c r="V1822">
        <v>-6.184386E-2</v>
      </c>
      <c r="W1822">
        <v>0.1439086</v>
      </c>
      <c r="X1822">
        <v>0.98765670000000005</v>
      </c>
      <c r="Y1822">
        <v>-0.20381250000000001</v>
      </c>
      <c r="Z1822">
        <v>5.3522300000000002E-2</v>
      </c>
      <c r="AA1822">
        <v>0.97754580000000002</v>
      </c>
      <c r="AB1822">
        <v>25</v>
      </c>
      <c r="AC1822">
        <v>3.9970999999999801</v>
      </c>
      <c r="AD1822">
        <v>-1.1037517574109901</v>
      </c>
      <c r="AE1822">
        <v>-19.9162</v>
      </c>
      <c r="AF1822">
        <v>-4.1865002071904698</v>
      </c>
      <c r="AG1822">
        <v>-1.1037517574109901</v>
      </c>
      <c r="AH1822">
        <v>19.816136334409698</v>
      </c>
      <c r="AI1822">
        <v>93.119346574815296</v>
      </c>
      <c r="AJ1822">
        <v>101.92930150405201</v>
      </c>
      <c r="AK1822">
        <v>20.283597095946899</v>
      </c>
      <c r="AL1822">
        <v>81.725916693736707</v>
      </c>
      <c r="AM1822">
        <v>93.582998004040306</v>
      </c>
      <c r="AN1822">
        <v>1.0000000526142701</v>
      </c>
    </row>
    <row r="1823" spans="1:40" x14ac:dyDescent="0.3">
      <c r="A1823" t="str">
        <f>"20200111150352136"</f>
        <v>20200111150352136</v>
      </c>
      <c r="B1823" t="str">
        <f>"1578726232130754"</f>
        <v>1578726232130754</v>
      </c>
      <c r="C1823" t="s">
        <v>40</v>
      </c>
      <c r="D1823">
        <v>5.4023000000000003</v>
      </c>
      <c r="E1823">
        <v>0.4461273</v>
      </c>
      <c r="F1823" t="s">
        <v>41</v>
      </c>
      <c r="G1823">
        <v>-413.0797</v>
      </c>
      <c r="H1823" s="1">
        <v>-3.0411669999999999E-6</v>
      </c>
      <c r="I1823">
        <v>53.173870000000001</v>
      </c>
      <c r="J1823">
        <v>-416.767</v>
      </c>
      <c r="K1823">
        <v>1.1037509999999999</v>
      </c>
      <c r="L1823">
        <v>71.756649999999993</v>
      </c>
      <c r="M1823">
        <v>-1.085972E-2</v>
      </c>
      <c r="N1823">
        <v>0</v>
      </c>
      <c r="O1823">
        <v>-0.99987720000000002</v>
      </c>
      <c r="P1823">
        <v>5.039312E-2</v>
      </c>
      <c r="Q1823">
        <v>0.1325904</v>
      </c>
      <c r="R1823">
        <v>-0.98988920000000002</v>
      </c>
      <c r="S1823">
        <v>0.59130859999999996</v>
      </c>
      <c r="T1823">
        <v>-0.17716379999999901</v>
      </c>
      <c r="U1823">
        <v>-3.0236209999999999</v>
      </c>
      <c r="V1823">
        <v>-6.096464E-2</v>
      </c>
      <c r="W1823">
        <v>0.14384820000000001</v>
      </c>
      <c r="X1823">
        <v>0.98772009999999999</v>
      </c>
      <c r="Y1823">
        <v>-0.20225860000000001</v>
      </c>
      <c r="Z1823">
        <v>5.7341999999999997E-2</v>
      </c>
      <c r="AA1823">
        <v>0.97765199999999997</v>
      </c>
      <c r="AB1823">
        <v>25</v>
      </c>
      <c r="AC1823">
        <v>3.6872999999999898</v>
      </c>
      <c r="AD1823">
        <v>-1.1037540411669999</v>
      </c>
      <c r="AE1823">
        <v>-18.58278</v>
      </c>
      <c r="AF1823">
        <v>-3.8757437184622598</v>
      </c>
      <c r="AG1823">
        <v>-1.1037540411669999</v>
      </c>
      <c r="AH1823">
        <v>18.478915232596499</v>
      </c>
      <c r="AI1823">
        <v>93.345617149153497</v>
      </c>
      <c r="AJ1823">
        <v>101.845439510597</v>
      </c>
      <c r="AK1823">
        <v>18.9132221085694</v>
      </c>
      <c r="AL1823">
        <v>81.729413255619306</v>
      </c>
      <c r="AM1823">
        <v>93.531963080880601</v>
      </c>
      <c r="AN1823">
        <v>0.99999999395878902</v>
      </c>
    </row>
    <row r="1824" spans="1:40" x14ac:dyDescent="0.3">
      <c r="A1824" t="str">
        <f>"20200111150352895"</f>
        <v>20200111150352895</v>
      </c>
      <c r="B1824" t="str">
        <f>"1578726232889948"</f>
        <v>1578726232889948</v>
      </c>
      <c r="C1824" t="s">
        <v>40</v>
      </c>
      <c r="D1824">
        <v>5.3622639999999997</v>
      </c>
      <c r="E1824">
        <v>0.44542589999999999</v>
      </c>
      <c r="F1824" t="s">
        <v>41</v>
      </c>
      <c r="G1824">
        <v>-413.202</v>
      </c>
      <c r="H1824" s="1">
        <v>-3.0607269999999999E-6</v>
      </c>
      <c r="I1824">
        <v>53.326999999999998</v>
      </c>
      <c r="J1824">
        <v>-416.99059999999997</v>
      </c>
      <c r="K1824">
        <v>1.103836</v>
      </c>
      <c r="L1824">
        <v>63.12509</v>
      </c>
      <c r="M1824">
        <v>-3.5128430000000002E-2</v>
      </c>
      <c r="N1824">
        <v>0</v>
      </c>
      <c r="O1824">
        <v>-0.99931250000000005</v>
      </c>
      <c r="P1824">
        <v>2.654813E-2</v>
      </c>
      <c r="Q1824">
        <v>0.13577829999999999</v>
      </c>
      <c r="R1824">
        <v>-0.99038369999999998</v>
      </c>
      <c r="S1824">
        <v>0.58517459999999999</v>
      </c>
      <c r="T1824">
        <v>-0.18117449999999999</v>
      </c>
      <c r="U1824">
        <v>-3.0251160000000001</v>
      </c>
      <c r="V1824">
        <v>-6.1142519999999999E-2</v>
      </c>
      <c r="W1824">
        <v>0.14758769999999999</v>
      </c>
      <c r="X1824">
        <v>0.98715730000000002</v>
      </c>
      <c r="Y1824">
        <v>-0.223967</v>
      </c>
      <c r="Z1824">
        <v>5.8428439999999998E-2</v>
      </c>
      <c r="AA1824">
        <v>0.97284369999999998</v>
      </c>
      <c r="AB1824">
        <v>25</v>
      </c>
      <c r="AC1824">
        <v>3.78859999999997</v>
      </c>
      <c r="AD1824">
        <v>-1.1038390607269899</v>
      </c>
      <c r="AE1824">
        <v>-9.7980900000000002</v>
      </c>
      <c r="AF1824">
        <v>-4.08536978777048</v>
      </c>
      <c r="AG1824">
        <v>-1.1038390607269899</v>
      </c>
      <c r="AH1824">
        <v>9.5534634354628096</v>
      </c>
      <c r="AI1824">
        <v>96.064195815388899</v>
      </c>
      <c r="AJ1824">
        <v>113.15311773719</v>
      </c>
      <c r="AK1824">
        <v>10.4487975665881</v>
      </c>
      <c r="AL1824">
        <v>81.512844286646398</v>
      </c>
      <c r="AM1824">
        <v>93.544256652752097</v>
      </c>
      <c r="AN1824">
        <v>1.0000000359432599</v>
      </c>
    </row>
    <row r="1825" spans="1:40" x14ac:dyDescent="0.3">
      <c r="A1825" t="str">
        <f>"20200111150352928"</f>
        <v>20200111150352928</v>
      </c>
      <c r="B1825" t="str">
        <f>"1578726232920206"</f>
        <v>1578726232920206</v>
      </c>
      <c r="C1825" t="s">
        <v>40</v>
      </c>
      <c r="D1825">
        <v>5.390142</v>
      </c>
      <c r="E1825">
        <v>0.41868749999999999</v>
      </c>
      <c r="F1825" t="s">
        <v>41</v>
      </c>
      <c r="G1825">
        <v>-413.73630000000003</v>
      </c>
      <c r="H1825" s="1">
        <v>-3.1612150000000001E-6</v>
      </c>
      <c r="I1825">
        <v>44.040019999999998</v>
      </c>
      <c r="J1825">
        <v>-417.00490000000002</v>
      </c>
      <c r="K1825">
        <v>1.1038380000000001</v>
      </c>
      <c r="L1825">
        <v>62.752499999999998</v>
      </c>
      <c r="M1825">
        <v>-3.6177189999999998E-2</v>
      </c>
      <c r="N1825">
        <v>0</v>
      </c>
      <c r="O1825">
        <v>-0.99927509999999997</v>
      </c>
      <c r="P1825">
        <v>2.5224670000000001E-2</v>
      </c>
      <c r="Q1825">
        <v>0.13608299999999901</v>
      </c>
      <c r="R1825">
        <v>-0.99037660000000005</v>
      </c>
      <c r="S1825">
        <v>0.51824950000000003</v>
      </c>
      <c r="T1825">
        <v>-0.17578859999999999</v>
      </c>
      <c r="U1825">
        <v>-3.0393370000000002</v>
      </c>
      <c r="V1825">
        <v>-6.085724E-2</v>
      </c>
      <c r="W1825">
        <v>0.14789849999999999</v>
      </c>
      <c r="X1825">
        <v>0.98712840000000002</v>
      </c>
      <c r="Y1825">
        <v>-0.20337189999999999</v>
      </c>
      <c r="Z1825">
        <v>5.6673460000000002E-2</v>
      </c>
      <c r="AA1825">
        <v>0.97746</v>
      </c>
      <c r="AB1825">
        <v>25</v>
      </c>
      <c r="AC1825">
        <v>3.26859999999999</v>
      </c>
      <c r="AD1825">
        <v>-1.1038411612150001</v>
      </c>
      <c r="AE1825">
        <v>-18.712479999999999</v>
      </c>
      <c r="AF1825">
        <v>-3.9302012756939599</v>
      </c>
      <c r="AG1825">
        <v>-1.1038411612150001</v>
      </c>
      <c r="AH1825">
        <v>18.519436519738999</v>
      </c>
      <c r="AI1825">
        <v>93.336906970374699</v>
      </c>
      <c r="AJ1825">
        <v>101.981567867568</v>
      </c>
      <c r="AK1825">
        <v>18.964031121713099</v>
      </c>
      <c r="AL1825">
        <v>81.494839064524996</v>
      </c>
      <c r="AM1825">
        <v>93.527864669546005</v>
      </c>
      <c r="AN1825">
        <v>1.0000000240246101</v>
      </c>
    </row>
    <row r="1826" spans="1:40" x14ac:dyDescent="0.3">
      <c r="A1826" t="str">
        <f>"20200111150352950"</f>
        <v>20200111150352950</v>
      </c>
      <c r="B1826" t="str">
        <f>"1578726232940700"</f>
        <v>1578726232940700</v>
      </c>
      <c r="C1826" t="s">
        <v>40</v>
      </c>
      <c r="D1826">
        <v>5.3351629999999997</v>
      </c>
      <c r="E1826">
        <v>0.41957159999999899</v>
      </c>
      <c r="F1826" t="s">
        <v>41</v>
      </c>
      <c r="G1826">
        <v>-413.21780000000001</v>
      </c>
      <c r="H1826" s="1">
        <v>-4.3487679999999997E-6</v>
      </c>
      <c r="I1826">
        <v>46.965519999999998</v>
      </c>
      <c r="J1826">
        <v>-417.01479999999998</v>
      </c>
      <c r="K1826">
        <v>1.103842</v>
      </c>
      <c r="L1826">
        <v>62.501399999999997</v>
      </c>
      <c r="M1826">
        <v>-3.6883180000000002E-2</v>
      </c>
      <c r="N1826">
        <v>0</v>
      </c>
      <c r="O1826">
        <v>-0.9992489</v>
      </c>
      <c r="P1826">
        <v>2.4631759999999999E-2</v>
      </c>
      <c r="Q1826">
        <v>0.13572690000000001</v>
      </c>
      <c r="R1826">
        <v>-0.99044010000000005</v>
      </c>
      <c r="S1826">
        <v>0.72921749999999996</v>
      </c>
      <c r="T1826">
        <v>-0.2125456</v>
      </c>
      <c r="U1826">
        <v>-3.0397949999999998</v>
      </c>
      <c r="V1826">
        <v>-6.0965449999999997E-2</v>
      </c>
      <c r="W1826">
        <v>0.1475467</v>
      </c>
      <c r="X1826">
        <v>0.98717429999999995</v>
      </c>
      <c r="Y1826">
        <v>-0.26844839999999998</v>
      </c>
      <c r="Z1826">
        <v>6.7446809999999996E-2</v>
      </c>
      <c r="AA1826">
        <v>0.9609299</v>
      </c>
      <c r="AB1826">
        <v>25</v>
      </c>
      <c r="AC1826">
        <v>3.7969999999999602</v>
      </c>
      <c r="AD1826">
        <v>-1.1038463487679999</v>
      </c>
      <c r="AE1826">
        <v>-15.535880000000001</v>
      </c>
      <c r="AF1826">
        <v>-4.3467623245568499</v>
      </c>
      <c r="AG1826">
        <v>-1.1038463487679999</v>
      </c>
      <c r="AH1826">
        <v>15.312308244219199</v>
      </c>
      <c r="AI1826">
        <v>93.967039307850001</v>
      </c>
      <c r="AJ1826">
        <v>105.847852374406</v>
      </c>
      <c r="AK1826">
        <v>15.955550859618</v>
      </c>
      <c r="AL1826">
        <v>81.515218738852994</v>
      </c>
      <c r="AM1826">
        <v>93.533957758734502</v>
      </c>
      <c r="AN1826">
        <v>0.99999995667754005</v>
      </c>
    </row>
    <row r="1827" spans="1:40" x14ac:dyDescent="0.3">
      <c r="A1827" t="str">
        <f>"20200111150352996"</f>
        <v>20200111150352996</v>
      </c>
      <c r="B1827" t="str">
        <f>"1578726232990309"</f>
        <v>1578726232990309</v>
      </c>
      <c r="C1827" t="s">
        <v>40</v>
      </c>
      <c r="D1827">
        <v>5.4290079999999996</v>
      </c>
      <c r="E1827">
        <v>0.41997659999999998</v>
      </c>
      <c r="F1827" t="s">
        <v>41</v>
      </c>
      <c r="G1827">
        <v>-413.6388</v>
      </c>
      <c r="H1827" s="1">
        <v>-4.816686E-6</v>
      </c>
      <c r="I1827">
        <v>48.230310000000003</v>
      </c>
      <c r="J1827">
        <v>-417.03579999999999</v>
      </c>
      <c r="K1827">
        <v>1.103834</v>
      </c>
      <c r="L1827">
        <v>61.985050000000001</v>
      </c>
      <c r="M1827">
        <v>-3.8335809999999998E-2</v>
      </c>
      <c r="N1827">
        <v>0</v>
      </c>
      <c r="O1827">
        <v>-0.99919429999999998</v>
      </c>
      <c r="P1827">
        <v>2.4966260000000001E-2</v>
      </c>
      <c r="Q1827">
        <v>0.134211</v>
      </c>
      <c r="R1827">
        <v>-0.99063849999999998</v>
      </c>
      <c r="S1827">
        <v>0.71994019999999903</v>
      </c>
      <c r="T1827">
        <v>-0.23539479999999999</v>
      </c>
      <c r="U1827">
        <v>-3.043304</v>
      </c>
      <c r="V1827">
        <v>-6.2747079999999997E-2</v>
      </c>
      <c r="W1827">
        <v>0.14603969999999999</v>
      </c>
      <c r="X1827">
        <v>0.98728680000000002</v>
      </c>
      <c r="Y1827">
        <v>-0.26670670000000002</v>
      </c>
      <c r="Z1827">
        <v>7.4612159999999997E-2</v>
      </c>
      <c r="AA1827">
        <v>0.96088530000000005</v>
      </c>
      <c r="AB1827">
        <v>25</v>
      </c>
      <c r="AC1827">
        <v>3.39699999999999</v>
      </c>
      <c r="AD1827">
        <v>-1.103838816686</v>
      </c>
      <c r="AE1827">
        <v>-13.75474</v>
      </c>
      <c r="AF1827">
        <v>-3.8981766605893502</v>
      </c>
      <c r="AG1827">
        <v>-1.103838816686</v>
      </c>
      <c r="AH1827">
        <v>13.5322500017501</v>
      </c>
      <c r="AI1827">
        <v>94.481884114130295</v>
      </c>
      <c r="AJ1827">
        <v>106.06987489433899</v>
      </c>
      <c r="AK1827">
        <v>14.125722336229501</v>
      </c>
      <c r="AL1827">
        <v>81.602509521804606</v>
      </c>
      <c r="AM1827">
        <v>93.636546140422695</v>
      </c>
      <c r="AN1827">
        <v>1.00000000773942</v>
      </c>
    </row>
    <row r="1828" spans="1:40" x14ac:dyDescent="0.3">
      <c r="A1828" t="str">
        <f>"20200111150353018"</f>
        <v>20200111150353018</v>
      </c>
      <c r="B1828" t="str">
        <f>"1578726233010802"</f>
        <v>1578726233010802</v>
      </c>
      <c r="C1828" t="s">
        <v>40</v>
      </c>
      <c r="D1828">
        <v>5.3824870000000002</v>
      </c>
      <c r="E1828">
        <v>0.42023120000000003</v>
      </c>
      <c r="F1828" t="s">
        <v>41</v>
      </c>
      <c r="G1828">
        <v>-413.91059999999999</v>
      </c>
      <c r="H1828" s="1">
        <v>-4.9704839999999997E-6</v>
      </c>
      <c r="I1828">
        <v>48.701230000000002</v>
      </c>
      <c r="J1828">
        <v>-417.04649999999998</v>
      </c>
      <c r="K1828">
        <v>1.1038319999999999</v>
      </c>
      <c r="L1828">
        <v>61.727229999999999</v>
      </c>
      <c r="M1828">
        <v>-3.9060999999999998E-2</v>
      </c>
      <c r="N1828">
        <v>0</v>
      </c>
      <c r="O1828">
        <v>-0.99916609999999995</v>
      </c>
      <c r="P1828">
        <v>2.514576E-2</v>
      </c>
      <c r="Q1828">
        <v>0.1334245</v>
      </c>
      <c r="R1828">
        <v>-0.99073990000000001</v>
      </c>
      <c r="S1828">
        <v>0.71627810000000003</v>
      </c>
      <c r="T1828">
        <v>-0.25299460000000001</v>
      </c>
      <c r="U1828">
        <v>-3.0445859999999998</v>
      </c>
      <c r="V1828">
        <v>-6.3649419999999998E-2</v>
      </c>
      <c r="W1828">
        <v>0.145257</v>
      </c>
      <c r="X1828">
        <v>0.98734449999999996</v>
      </c>
      <c r="Y1828">
        <v>-0.26612200000000003</v>
      </c>
      <c r="Z1828">
        <v>8.0136020000000002E-2</v>
      </c>
      <c r="AA1828">
        <v>0.96060259999999997</v>
      </c>
      <c r="AB1828">
        <v>25</v>
      </c>
      <c r="AC1828">
        <v>3.1358999999999901</v>
      </c>
      <c r="AD1828">
        <v>-1.1038369704840001</v>
      </c>
      <c r="AE1828">
        <v>-13.026</v>
      </c>
      <c r="AF1828">
        <v>-3.6177946282250502</v>
      </c>
      <c r="AG1828">
        <v>-1.1038369704840001</v>
      </c>
      <c r="AH1828">
        <v>12.806630448760799</v>
      </c>
      <c r="AI1828">
        <v>94.741627430484698</v>
      </c>
      <c r="AJ1828">
        <v>105.774660818774</v>
      </c>
      <c r="AK1828">
        <v>13.353526780613</v>
      </c>
      <c r="AL1828">
        <v>81.647838257986805</v>
      </c>
      <c r="AM1828">
        <v>93.688483482934799</v>
      </c>
      <c r="AN1828">
        <v>1.00000000319779</v>
      </c>
    </row>
    <row r="1829" spans="1:40" x14ac:dyDescent="0.3">
      <c r="A1829" t="str">
        <f>"20200111150353040"</f>
        <v>20200111150353040</v>
      </c>
      <c r="B1829" t="str">
        <f>"1578726233030322"</f>
        <v>1578726233030322</v>
      </c>
      <c r="C1829" t="s">
        <v>40</v>
      </c>
      <c r="D1829">
        <v>5.4749540000000003</v>
      </c>
      <c r="E1829">
        <v>0.42047580000000001</v>
      </c>
      <c r="F1829" t="s">
        <v>41</v>
      </c>
      <c r="G1829">
        <v>-414.1773</v>
      </c>
      <c r="H1829" s="1">
        <v>-5.2715950000000001E-6</v>
      </c>
      <c r="I1829">
        <v>49.51341</v>
      </c>
      <c r="J1829">
        <v>-417.05680000000001</v>
      </c>
      <c r="K1829">
        <v>1.1038319999999999</v>
      </c>
      <c r="L1829">
        <v>61.483179999999997</v>
      </c>
      <c r="M1829">
        <v>-3.9747409999999997E-2</v>
      </c>
      <c r="N1829">
        <v>0</v>
      </c>
      <c r="O1829">
        <v>-0.999139</v>
      </c>
      <c r="P1829">
        <v>2.5926060000000001E-2</v>
      </c>
      <c r="Q1829">
        <v>0.13301099999999999</v>
      </c>
      <c r="R1829">
        <v>-0.99077559999999998</v>
      </c>
      <c r="S1829">
        <v>0.71575929999999999</v>
      </c>
      <c r="T1829">
        <v>-0.27537270000000003</v>
      </c>
      <c r="U1829">
        <v>-3.046967</v>
      </c>
      <c r="V1829">
        <v>-6.5109970000000003E-2</v>
      </c>
      <c r="W1829">
        <v>0.14484710000000001</v>
      </c>
      <c r="X1829">
        <v>0.98730949999999995</v>
      </c>
      <c r="Y1829">
        <v>-0.26632749999999999</v>
      </c>
      <c r="Z1829">
        <v>8.7100189999999994E-2</v>
      </c>
      <c r="AA1829">
        <v>0.95993919999999999</v>
      </c>
      <c r="AB1829">
        <v>25</v>
      </c>
      <c r="AC1829">
        <v>2.8795000000000002</v>
      </c>
      <c r="AD1829">
        <v>-1.103837271595</v>
      </c>
      <c r="AE1829">
        <v>-11.96977</v>
      </c>
      <c r="AF1829">
        <v>-3.3262849463189399</v>
      </c>
      <c r="AG1829">
        <v>-1.103837271595</v>
      </c>
      <c r="AH1829">
        <v>11.751378771856</v>
      </c>
      <c r="AI1829">
        <v>95.164454444027598</v>
      </c>
      <c r="AJ1829">
        <v>105.804423529244</v>
      </c>
      <c r="AK1829">
        <v>12.262851679193499</v>
      </c>
      <c r="AL1829">
        <v>81.671574973798101</v>
      </c>
      <c r="AM1829">
        <v>93.7730139802363</v>
      </c>
      <c r="AN1829">
        <v>1.0000000196810299</v>
      </c>
    </row>
    <row r="1830" spans="1:40" x14ac:dyDescent="0.3">
      <c r="A1830" t="str">
        <f>"20200111150353129"</f>
        <v>20200111150353129</v>
      </c>
      <c r="B1830" t="str">
        <f>"1578726233120114"</f>
        <v>1578726233120114</v>
      </c>
      <c r="C1830" t="s">
        <v>40</v>
      </c>
      <c r="D1830">
        <v>5.4361439999999996</v>
      </c>
      <c r="E1830">
        <v>0.38592290000000001</v>
      </c>
      <c r="F1830" t="s">
        <v>41</v>
      </c>
      <c r="G1830">
        <v>-414.28550000000001</v>
      </c>
      <c r="H1830" s="1">
        <v>-1.5316469999999999E-6</v>
      </c>
      <c r="I1830">
        <v>49.680869999999999</v>
      </c>
      <c r="J1830">
        <v>-417.10180000000003</v>
      </c>
      <c r="K1830">
        <v>1.103844</v>
      </c>
      <c r="L1830">
        <v>60.464320000000001</v>
      </c>
      <c r="M1830">
        <v>-4.2613199999999997E-2</v>
      </c>
      <c r="N1830">
        <v>0</v>
      </c>
      <c r="O1830">
        <v>-0.99902069999999998</v>
      </c>
      <c r="P1830">
        <v>2.842915E-2</v>
      </c>
      <c r="Q1830">
        <v>0.13460259999999999</v>
      </c>
      <c r="R1830">
        <v>-0.99049200000000004</v>
      </c>
      <c r="S1830">
        <v>0.7155762</v>
      </c>
      <c r="T1830">
        <v>-0.28501880000000002</v>
      </c>
      <c r="U1830">
        <v>-3.0474549999999998</v>
      </c>
      <c r="V1830">
        <v>-7.0432850000000005E-2</v>
      </c>
      <c r="W1830">
        <v>0.14644389999999999</v>
      </c>
      <c r="X1830">
        <v>0.98670829999999998</v>
      </c>
      <c r="Y1830">
        <v>-0.26894079999999998</v>
      </c>
      <c r="Z1830">
        <v>9.0062799999999998E-2</v>
      </c>
      <c r="AA1830">
        <v>0.95893660000000003</v>
      </c>
      <c r="AB1830">
        <v>25</v>
      </c>
      <c r="AC1830">
        <v>2.8163000000000098</v>
      </c>
      <c r="AD1830">
        <v>-1.1038455316469999</v>
      </c>
      <c r="AE1830">
        <v>-10.783449999999901</v>
      </c>
      <c r="AF1830">
        <v>-3.2414940323687498</v>
      </c>
      <c r="AG1830">
        <v>-1.1038455316469999</v>
      </c>
      <c r="AH1830">
        <v>10.550142204313699</v>
      </c>
      <c r="AI1830">
        <v>95.711401344273199</v>
      </c>
      <c r="AJ1830">
        <v>107.079391099209</v>
      </c>
      <c r="AK1830">
        <v>11.091945683732</v>
      </c>
      <c r="AL1830">
        <v>81.579098266319704</v>
      </c>
      <c r="AM1830">
        <v>94.082941063362199</v>
      </c>
      <c r="AN1830">
        <v>0.99999993574760904</v>
      </c>
    </row>
    <row r="1831" spans="1:40" x14ac:dyDescent="0.3">
      <c r="A1831" t="str">
        <f>"20200111150353151"</f>
        <v>20200111150353151</v>
      </c>
      <c r="B1831" t="str">
        <f>"1578726233140610"</f>
        <v>1578726233140610</v>
      </c>
      <c r="C1831" t="s">
        <v>40</v>
      </c>
      <c r="D1831">
        <v>5.4920780000000002</v>
      </c>
      <c r="E1831">
        <v>0.38592290000000001</v>
      </c>
      <c r="F1831" t="s">
        <v>71</v>
      </c>
      <c r="G1831">
        <v>-397.19819999999999</v>
      </c>
      <c r="H1831">
        <v>2.7225380000000001</v>
      </c>
      <c r="I1831">
        <v>0.70928959999999996</v>
      </c>
      <c r="J1831">
        <v>-417.11340000000001</v>
      </c>
      <c r="K1831">
        <v>1.1038410000000001</v>
      </c>
      <c r="L1831">
        <v>60.210999999999999</v>
      </c>
      <c r="M1831">
        <v>-4.3325919999999997E-2</v>
      </c>
      <c r="N1831">
        <v>0</v>
      </c>
      <c r="O1831">
        <v>-0.99899020000000005</v>
      </c>
      <c r="P1831">
        <v>2.898183E-2</v>
      </c>
      <c r="Q1831">
        <v>0.13481109999999999</v>
      </c>
      <c r="R1831">
        <v>-0.99044750000000004</v>
      </c>
      <c r="S1831">
        <v>0.99566650000000001</v>
      </c>
      <c r="T1831">
        <v>8.097327E-2</v>
      </c>
      <c r="U1831">
        <v>-2.9892270000000001</v>
      </c>
      <c r="V1831">
        <v>-7.1688180000000004E-2</v>
      </c>
      <c r="W1831">
        <v>0.14665429999999999</v>
      </c>
      <c r="X1831">
        <v>0.98658670000000004</v>
      </c>
      <c r="Y1831">
        <v>-0.3567244</v>
      </c>
      <c r="Z1831">
        <v>-2.5462240000000001E-2</v>
      </c>
      <c r="AA1831">
        <v>0.93386259999999999</v>
      </c>
      <c r="AB1831">
        <v>25</v>
      </c>
      <c r="AC1831">
        <v>19.915199999999999</v>
      </c>
      <c r="AD1831">
        <v>1.6186969999999901</v>
      </c>
      <c r="AE1831">
        <v>-59.5017104</v>
      </c>
      <c r="AF1831">
        <v>-22.4596982189214</v>
      </c>
      <c r="AG1831">
        <v>1.6186969999999901</v>
      </c>
      <c r="AH1831">
        <v>58.543962576829799</v>
      </c>
      <c r="AI1831">
        <v>88.521251946968803</v>
      </c>
      <c r="AJ1831">
        <v>110.98871964772999</v>
      </c>
      <c r="AK1831">
        <v>62.725224417773802</v>
      </c>
      <c r="AL1831">
        <v>81.566912186126203</v>
      </c>
      <c r="AM1831">
        <v>94.155969311015099</v>
      </c>
      <c r="AN1831">
        <v>0.99999999773854598</v>
      </c>
    </row>
    <row r="1832" spans="1:40" x14ac:dyDescent="0.3">
      <c r="A1832" t="str">
        <f>"20200111150353174"</f>
        <v>20200111150353174</v>
      </c>
      <c r="B1832" t="str">
        <f>"1578726233170866"</f>
        <v>1578726233170866</v>
      </c>
      <c r="C1832" t="s">
        <v>40</v>
      </c>
      <c r="D1832">
        <v>5.5364490000000002</v>
      </c>
      <c r="E1832">
        <v>0.42914999999999998</v>
      </c>
      <c r="F1832" t="s">
        <v>71</v>
      </c>
      <c r="G1832">
        <v>-397.2527</v>
      </c>
      <c r="H1832">
        <v>2.7212719999999999</v>
      </c>
      <c r="I1832">
        <v>0.70873640000000004</v>
      </c>
      <c r="J1832">
        <v>-417.12540000000001</v>
      </c>
      <c r="K1832">
        <v>1.1038380000000001</v>
      </c>
      <c r="L1832">
        <v>59.954439999999998</v>
      </c>
      <c r="M1832">
        <v>-4.4047879999999998E-2</v>
      </c>
      <c r="N1832">
        <v>0</v>
      </c>
      <c r="O1832">
        <v>-0.99895869999999998</v>
      </c>
      <c r="P1832">
        <v>2.8763850000000001E-2</v>
      </c>
      <c r="Q1832">
        <v>0.134801799999999</v>
      </c>
      <c r="R1832">
        <v>-0.99045530000000004</v>
      </c>
      <c r="S1832">
        <v>0.99755859999999996</v>
      </c>
      <c r="T1832">
        <v>8.1238989999999997E-2</v>
      </c>
      <c r="U1832">
        <v>-2.9886780000000002</v>
      </c>
      <c r="V1832">
        <v>-7.2185050000000001E-2</v>
      </c>
      <c r="W1832">
        <v>0.14664579999999999</v>
      </c>
      <c r="X1832">
        <v>0.98655179999999998</v>
      </c>
      <c r="Y1832">
        <v>-0.35798210000000003</v>
      </c>
      <c r="Z1832">
        <v>-2.5540090000000001E-2</v>
      </c>
      <c r="AA1832">
        <v>0.93337910000000002</v>
      </c>
      <c r="AB1832">
        <v>25</v>
      </c>
      <c r="AC1832">
        <v>19.872699999999998</v>
      </c>
      <c r="AD1832">
        <v>1.617434</v>
      </c>
      <c r="AE1832">
        <v>-59.245703599999999</v>
      </c>
      <c r="AF1832">
        <v>-22.448202380805899</v>
      </c>
      <c r="AG1832">
        <v>1.617434</v>
      </c>
      <c r="AH1832">
        <v>58.273740895000103</v>
      </c>
      <c r="AI1832">
        <v>88.516342368632905</v>
      </c>
      <c r="AJ1832">
        <v>111.06767573305601</v>
      </c>
      <c r="AK1832">
        <v>62.468926361604602</v>
      </c>
      <c r="AL1832">
        <v>81.567405078301306</v>
      </c>
      <c r="AM1832">
        <v>94.184819822418305</v>
      </c>
      <c r="AN1832">
        <v>1.0000000630921799</v>
      </c>
    </row>
    <row r="1833" spans="1:40" x14ac:dyDescent="0.3">
      <c r="A1833" t="str">
        <f>"20200111150353465"</f>
        <v>20200111150353465</v>
      </c>
      <c r="B1833" t="str">
        <f>"1578726233460192"</f>
        <v>1578726233460192</v>
      </c>
      <c r="C1833" t="s">
        <v>40</v>
      </c>
      <c r="D1833">
        <v>5.0431119999999998</v>
      </c>
      <c r="E1833">
        <v>0.42824469999999998</v>
      </c>
      <c r="F1833" t="s">
        <v>41</v>
      </c>
      <c r="G1833">
        <v>-414.02749999999997</v>
      </c>
      <c r="H1833" s="1">
        <v>-3.5939789999999999E-6</v>
      </c>
      <c r="I1833">
        <v>45.53942</v>
      </c>
      <c r="J1833">
        <v>-417.2962</v>
      </c>
      <c r="K1833">
        <v>1.1038349999999999</v>
      </c>
      <c r="L1833">
        <v>56.647190000000002</v>
      </c>
      <c r="M1833">
        <v>-5.3351219999999998E-2</v>
      </c>
      <c r="N1833">
        <v>0</v>
      </c>
      <c r="O1833">
        <v>-0.99850510000000003</v>
      </c>
      <c r="P1833">
        <v>2.4724599999999999E-2</v>
      </c>
      <c r="Q1833">
        <v>0.13321169999999999</v>
      </c>
      <c r="R1833">
        <v>-0.99077939999999998</v>
      </c>
      <c r="S1833">
        <v>0.65365600000000001</v>
      </c>
      <c r="T1833">
        <v>-0.23291500000000001</v>
      </c>
      <c r="U1833">
        <v>-3.0416259999999999</v>
      </c>
      <c r="V1833">
        <v>-7.7372670000000004E-2</v>
      </c>
      <c r="W1833">
        <v>0.1450669</v>
      </c>
      <c r="X1833">
        <v>0.98639200000000005</v>
      </c>
      <c r="Y1833">
        <v>-0.2613915</v>
      </c>
      <c r="Z1833">
        <v>7.402098E-2</v>
      </c>
      <c r="AA1833">
        <v>0.96239039999999998</v>
      </c>
      <c r="AB1833">
        <v>25</v>
      </c>
      <c r="AC1833">
        <v>3.2687000000000199</v>
      </c>
      <c r="AD1833">
        <v>-1.1038385939790001</v>
      </c>
      <c r="AE1833">
        <v>-11.10777</v>
      </c>
      <c r="AF1833">
        <v>-3.8219633288636001</v>
      </c>
      <c r="AG1833">
        <v>-1.1038385939790001</v>
      </c>
      <c r="AH1833">
        <v>10.8192169187794</v>
      </c>
      <c r="AI1833">
        <v>95.494930438673293</v>
      </c>
      <c r="AJ1833">
        <v>109.45612049687399</v>
      </c>
      <c r="AK1833">
        <v>11.527415931783599</v>
      </c>
      <c r="AL1833">
        <v>81.658847237649198</v>
      </c>
      <c r="AM1833">
        <v>94.485102009787596</v>
      </c>
      <c r="AN1833">
        <v>1.0000000566012599</v>
      </c>
    </row>
    <row r="1834" spans="1:40" x14ac:dyDescent="0.3">
      <c r="A1834" t="str">
        <f>"20200111150353487"</f>
        <v>20200111150353487</v>
      </c>
      <c r="B1834" t="str">
        <f>"1578726233480688"</f>
        <v>1578726233480688</v>
      </c>
      <c r="C1834" t="s">
        <v>40</v>
      </c>
      <c r="D1834">
        <v>5.0708270000000004</v>
      </c>
      <c r="E1834">
        <v>0.42662620000000001</v>
      </c>
      <c r="F1834" t="s">
        <v>41</v>
      </c>
      <c r="G1834">
        <v>-414.19200000000001</v>
      </c>
      <c r="H1834" s="1">
        <v>-2.3683709999999999E-6</v>
      </c>
      <c r="I1834">
        <v>42.066490000000002</v>
      </c>
      <c r="J1834">
        <v>-417.31119999999999</v>
      </c>
      <c r="K1834">
        <v>1.1038349999999999</v>
      </c>
      <c r="L1834">
        <v>56.38205</v>
      </c>
      <c r="M1834">
        <v>-5.4095879999999999E-2</v>
      </c>
      <c r="N1834">
        <v>0</v>
      </c>
      <c r="O1834">
        <v>-0.99846480000000004</v>
      </c>
      <c r="P1834">
        <v>2.5835009999999999E-2</v>
      </c>
      <c r="Q1834">
        <v>0.1328232</v>
      </c>
      <c r="R1834">
        <v>-0.9908032</v>
      </c>
      <c r="S1834">
        <v>0.64779659999999994</v>
      </c>
      <c r="T1834">
        <v>-0.23035059999999999</v>
      </c>
      <c r="U1834">
        <v>-3.0427249999999999</v>
      </c>
      <c r="V1834">
        <v>-7.9220369999999998E-2</v>
      </c>
      <c r="W1834">
        <v>0.14467959999999999</v>
      </c>
      <c r="X1834">
        <v>0.98630209999999996</v>
      </c>
      <c r="Y1834">
        <v>-0.26028000000000001</v>
      </c>
      <c r="Z1834">
        <v>7.3206080000000007E-2</v>
      </c>
      <c r="AA1834">
        <v>0.962754</v>
      </c>
      <c r="AB1834">
        <v>25</v>
      </c>
      <c r="AC1834">
        <v>3.1192000000000299</v>
      </c>
      <c r="AD1834">
        <v>-1.1038373683709899</v>
      </c>
      <c r="AE1834">
        <v>-14.3155599999999</v>
      </c>
      <c r="AF1834">
        <v>-3.8671494259377099</v>
      </c>
      <c r="AG1834">
        <v>-1.1038373683709899</v>
      </c>
      <c r="AH1834">
        <v>14.0461204790134</v>
      </c>
      <c r="AI1834">
        <v>94.332879137572206</v>
      </c>
      <c r="AJ1834">
        <v>105.393187503142</v>
      </c>
      <c r="AK1834">
        <v>14.610503144289799</v>
      </c>
      <c r="AL1834">
        <v>81.681273543394298</v>
      </c>
      <c r="AM1834">
        <v>94.592172634413203</v>
      </c>
      <c r="AN1834">
        <v>0.999999943071751</v>
      </c>
    </row>
    <row r="1835" spans="1:40" x14ac:dyDescent="0.3">
      <c r="A1835" t="str">
        <f>"20200111150353509"</f>
        <v>20200111150353509</v>
      </c>
      <c r="B1835" t="str">
        <f>"1578726233500208"</f>
        <v>1578726233500208</v>
      </c>
      <c r="C1835" t="s">
        <v>40</v>
      </c>
      <c r="D1835">
        <v>5.0864399999999996</v>
      </c>
      <c r="E1835">
        <v>0.42581980000000003</v>
      </c>
      <c r="F1835" t="s">
        <v>41</v>
      </c>
      <c r="G1835">
        <v>-414.125</v>
      </c>
      <c r="H1835" s="1">
        <v>-2.292967E-6</v>
      </c>
      <c r="I1835">
        <v>41.792560000000002</v>
      </c>
      <c r="J1835">
        <v>-417.32510000000002</v>
      </c>
      <c r="K1835">
        <v>1.103834</v>
      </c>
      <c r="L1835">
        <v>56.139740000000003</v>
      </c>
      <c r="M1835">
        <v>-5.4768879999999999E-2</v>
      </c>
      <c r="N1835">
        <v>0</v>
      </c>
      <c r="O1835">
        <v>-0.99842790000000003</v>
      </c>
      <c r="P1835">
        <v>2.7277579999999999E-2</v>
      </c>
      <c r="Q1835">
        <v>0.13249</v>
      </c>
      <c r="R1835">
        <v>-0.99080900000000005</v>
      </c>
      <c r="S1835">
        <v>0.66421509999999995</v>
      </c>
      <c r="T1835">
        <v>-0.23011000000000001</v>
      </c>
      <c r="U1835">
        <v>-3.041382</v>
      </c>
      <c r="V1835">
        <v>-8.1328789999999998E-2</v>
      </c>
      <c r="W1835">
        <v>0.1443469</v>
      </c>
      <c r="X1835">
        <v>0.98617929999999998</v>
      </c>
      <c r="Y1835">
        <v>-0.26598110000000003</v>
      </c>
      <c r="Z1835">
        <v>7.3058429999999994E-2</v>
      </c>
      <c r="AA1835">
        <v>0.9612058</v>
      </c>
      <c r="AB1835">
        <v>25</v>
      </c>
      <c r="AC1835">
        <v>3.2001000000000199</v>
      </c>
      <c r="AD1835">
        <v>-1.103836292967</v>
      </c>
      <c r="AE1835">
        <v>-14.34718</v>
      </c>
      <c r="AF1835">
        <v>-3.9588078564099698</v>
      </c>
      <c r="AG1835">
        <v>-1.103836292967</v>
      </c>
      <c r="AH1835">
        <v>14.0710199824348</v>
      </c>
      <c r="AI1835">
        <v>94.318533836199805</v>
      </c>
      <c r="AJ1835">
        <v>105.71366950396801</v>
      </c>
      <c r="AK1835">
        <v>14.658929618213</v>
      </c>
      <c r="AL1835">
        <v>81.700538596126606</v>
      </c>
      <c r="AM1835">
        <v>94.7144322144038</v>
      </c>
      <c r="AN1835">
        <v>1.0000000056854801</v>
      </c>
    </row>
    <row r="1836" spans="1:40" x14ac:dyDescent="0.3">
      <c r="A1836" t="str">
        <f>"20200111150353532"</f>
        <v>20200111150353532</v>
      </c>
      <c r="B1836" t="str">
        <f>"1578726233520704"</f>
        <v>1578726233520704</v>
      </c>
      <c r="C1836" t="s">
        <v>40</v>
      </c>
      <c r="D1836">
        <v>5.0450749999999998</v>
      </c>
      <c r="E1836">
        <v>0.42518709999999998</v>
      </c>
      <c r="F1836" t="s">
        <v>41</v>
      </c>
      <c r="G1836">
        <v>-414.1078</v>
      </c>
      <c r="H1836" s="1">
        <v>-2.2550180000000001E-6</v>
      </c>
      <c r="I1836">
        <v>41.667610000000003</v>
      </c>
      <c r="J1836">
        <v>-417.34030000000001</v>
      </c>
      <c r="K1836">
        <v>1.103842</v>
      </c>
      <c r="L1836">
        <v>55.878570000000003</v>
      </c>
      <c r="M1836">
        <v>-5.5472529999999999E-2</v>
      </c>
      <c r="N1836">
        <v>0</v>
      </c>
      <c r="O1836">
        <v>-0.99838919999999998</v>
      </c>
      <c r="P1836">
        <v>2.8273800000000002E-2</v>
      </c>
      <c r="Q1836">
        <v>0.13210050000000001</v>
      </c>
      <c r="R1836">
        <v>-0.99083319999999997</v>
      </c>
      <c r="S1836">
        <v>0.67587280000000005</v>
      </c>
      <c r="T1836">
        <v>-0.2318875</v>
      </c>
      <c r="U1836">
        <v>-3.040222</v>
      </c>
      <c r="V1836">
        <v>-8.3024929999999997E-2</v>
      </c>
      <c r="W1836">
        <v>0.14395620000000001</v>
      </c>
      <c r="X1836">
        <v>0.9860951</v>
      </c>
      <c r="Y1836">
        <v>-0.27024090000000001</v>
      </c>
      <c r="Z1836">
        <v>7.3568069999999999E-2</v>
      </c>
      <c r="AA1836">
        <v>0.95997790000000005</v>
      </c>
      <c r="AB1836">
        <v>25</v>
      </c>
      <c r="AC1836">
        <v>3.2325000000000101</v>
      </c>
      <c r="AD1836">
        <v>-1.1038442550180001</v>
      </c>
      <c r="AE1836">
        <v>-14.21096</v>
      </c>
      <c r="AF1836">
        <v>-3.9929892598268402</v>
      </c>
      <c r="AG1836">
        <v>-1.1038442550180001</v>
      </c>
      <c r="AH1836">
        <v>13.929836450673999</v>
      </c>
      <c r="AI1836">
        <v>94.356112579922495</v>
      </c>
      <c r="AJ1836">
        <v>105.99495613297999</v>
      </c>
      <c r="AK1836">
        <v>14.532817308111801</v>
      </c>
      <c r="AL1836">
        <v>81.7231605829502</v>
      </c>
      <c r="AM1836">
        <v>94.812705242091198</v>
      </c>
      <c r="AN1836">
        <v>1.0000000363819701</v>
      </c>
    </row>
    <row r="1837" spans="1:40" x14ac:dyDescent="0.3">
      <c r="A1837" t="str">
        <f>"20200111150353553"</f>
        <v>20200111150353553</v>
      </c>
      <c r="B1837" t="str">
        <f>"1578726233549984"</f>
        <v>1578726233549984</v>
      </c>
      <c r="C1837" t="s">
        <v>40</v>
      </c>
      <c r="D1837">
        <v>5.1494049999999998</v>
      </c>
      <c r="E1837">
        <v>0.42532589999999998</v>
      </c>
      <c r="F1837" t="s">
        <v>41</v>
      </c>
      <c r="G1837">
        <v>-414.12299999999999</v>
      </c>
      <c r="H1837" s="1">
        <v>-2.2285890000000001E-6</v>
      </c>
      <c r="I1837">
        <v>41.601819999999996</v>
      </c>
      <c r="J1837">
        <v>-417.35489999999999</v>
      </c>
      <c r="K1837">
        <v>1.1038559999999999</v>
      </c>
      <c r="L1837">
        <v>55.629640000000002</v>
      </c>
      <c r="M1837">
        <v>-5.6120000000000003E-2</v>
      </c>
      <c r="N1837">
        <v>0</v>
      </c>
      <c r="O1837">
        <v>-0.99835300000000005</v>
      </c>
      <c r="P1837">
        <v>2.8342369999999999E-2</v>
      </c>
      <c r="Q1837">
        <v>0.13166020000000001</v>
      </c>
      <c r="R1837">
        <v>-0.99088969999999998</v>
      </c>
      <c r="S1837">
        <v>0.68496699999999999</v>
      </c>
      <c r="T1837">
        <v>-0.23501089999999999</v>
      </c>
      <c r="U1837">
        <v>-3.0395509999999999</v>
      </c>
      <c r="V1837">
        <v>-8.3743659999999998E-2</v>
      </c>
      <c r="W1837">
        <v>0.1435131</v>
      </c>
      <c r="X1837">
        <v>0.9860989</v>
      </c>
      <c r="Y1837">
        <v>-0.27362799999999998</v>
      </c>
      <c r="Z1837">
        <v>7.4504689999999998E-2</v>
      </c>
      <c r="AA1837">
        <v>0.95894559999999995</v>
      </c>
      <c r="AB1837">
        <v>25</v>
      </c>
      <c r="AC1837">
        <v>3.2318999999999298</v>
      </c>
      <c r="AD1837">
        <v>-1.103858228589</v>
      </c>
      <c r="AE1837">
        <v>-14.027819999999901</v>
      </c>
      <c r="AF1837">
        <v>-3.9906376509743802</v>
      </c>
      <c r="AG1837">
        <v>-1.103858228589</v>
      </c>
      <c r="AH1837">
        <v>13.743509165644101</v>
      </c>
      <c r="AI1837">
        <v>94.410645029146707</v>
      </c>
      <c r="AJ1837">
        <v>106.191461637911</v>
      </c>
      <c r="AK1837">
        <v>14.3536662924962</v>
      </c>
      <c r="AL1837">
        <v>81.748814637762493</v>
      </c>
      <c r="AM1837">
        <v>94.854151012878603</v>
      </c>
      <c r="AN1837">
        <v>1.0000000255215</v>
      </c>
    </row>
    <row r="1838" spans="1:40" x14ac:dyDescent="0.3">
      <c r="A1838" t="str">
        <f>"20200111150353755"</f>
        <v>20200111150353755</v>
      </c>
      <c r="B1838" t="str">
        <f>"1578726233750067"</f>
        <v>1578726233750067</v>
      </c>
      <c r="C1838" t="s">
        <v>40</v>
      </c>
      <c r="D1838">
        <v>5.2092739999999997</v>
      </c>
      <c r="E1838">
        <v>0.42832680000000001</v>
      </c>
      <c r="F1838" t="s">
        <v>41</v>
      </c>
      <c r="G1838">
        <v>-414.22500000000002</v>
      </c>
      <c r="H1838" s="1">
        <v>-2.2358720000000001E-6</v>
      </c>
      <c r="I1838">
        <v>41.702979999999997</v>
      </c>
      <c r="J1838">
        <v>-417.4898</v>
      </c>
      <c r="K1838">
        <v>1.104563</v>
      </c>
      <c r="L1838">
        <v>53.337310000000002</v>
      </c>
      <c r="M1838">
        <v>-5.7619549999999999E-2</v>
      </c>
      <c r="N1838">
        <v>0</v>
      </c>
      <c r="O1838">
        <v>-0.99826769999999998</v>
      </c>
      <c r="P1838">
        <v>2.33738E-2</v>
      </c>
      <c r="Q1838">
        <v>0.13048270000000001</v>
      </c>
      <c r="R1838">
        <v>-0.99117520000000003</v>
      </c>
      <c r="S1838">
        <v>0.68322749999999999</v>
      </c>
      <c r="T1838">
        <v>-0.2409627</v>
      </c>
      <c r="U1838">
        <v>-3.0400700000000001</v>
      </c>
      <c r="V1838">
        <v>-8.0533049999999995E-2</v>
      </c>
      <c r="W1838">
        <v>0.14219689999999999</v>
      </c>
      <c r="X1838">
        <v>0.98655689999999996</v>
      </c>
      <c r="Y1838">
        <v>-0.27448400000000001</v>
      </c>
      <c r="Z1838">
        <v>7.6352719999999999E-2</v>
      </c>
      <c r="AA1838">
        <v>0.95855559999999995</v>
      </c>
      <c r="AB1838">
        <v>25</v>
      </c>
      <c r="AC1838">
        <v>3.2647999999999802</v>
      </c>
      <c r="AD1838">
        <v>-1.104565235872</v>
      </c>
      <c r="AE1838">
        <v>-11.63433</v>
      </c>
      <c r="AF1838">
        <v>-3.8972235917253699</v>
      </c>
      <c r="AG1838">
        <v>-1.104565235872</v>
      </c>
      <c r="AH1838">
        <v>11.3321806932193</v>
      </c>
      <c r="AI1838">
        <v>95.266247865798505</v>
      </c>
      <c r="AJ1838">
        <v>108.978485371202</v>
      </c>
      <c r="AK1838">
        <v>12.034398005217</v>
      </c>
      <c r="AL1838">
        <v>81.825008807819501</v>
      </c>
      <c r="AM1838">
        <v>94.666731036810305</v>
      </c>
      <c r="AN1838">
        <v>1.0000000237247599</v>
      </c>
    </row>
    <row r="1839" spans="1:40" x14ac:dyDescent="0.3">
      <c r="A1839" t="str">
        <f>"20200111150353778"</f>
        <v>20200111150353778</v>
      </c>
      <c r="B1839" t="str">
        <f>"1578726233770560"</f>
        <v>1578726233770560</v>
      </c>
      <c r="C1839" t="s">
        <v>40</v>
      </c>
      <c r="D1839">
        <v>5.3955070000000003</v>
      </c>
      <c r="E1839">
        <v>0.43388939999999998</v>
      </c>
      <c r="F1839" t="s">
        <v>72</v>
      </c>
      <c r="G1839">
        <v>-414.47840000000002</v>
      </c>
      <c r="H1839" s="1">
        <v>-1.7761889999999999E-6</v>
      </c>
      <c r="I1839">
        <v>39.113120000000002</v>
      </c>
      <c r="J1839">
        <v>-417.5043</v>
      </c>
      <c r="K1839">
        <v>1.1046640000000001</v>
      </c>
      <c r="L1839">
        <v>53.079129999999999</v>
      </c>
      <c r="M1839">
        <v>-5.7106789999999998E-2</v>
      </c>
      <c r="N1839">
        <v>0</v>
      </c>
      <c r="O1839">
        <v>-0.99829699999999999</v>
      </c>
      <c r="P1839">
        <v>2.5653769999999999E-2</v>
      </c>
      <c r="Q1839">
        <v>0.13006589999999901</v>
      </c>
      <c r="R1839">
        <v>-0.99117330000000003</v>
      </c>
      <c r="S1839">
        <v>0.64416499999999999</v>
      </c>
      <c r="T1839">
        <v>-0.23627239999999999</v>
      </c>
      <c r="U1839">
        <v>-3.0426329999999999</v>
      </c>
      <c r="V1839">
        <v>-8.2336119999999999E-2</v>
      </c>
      <c r="W1839">
        <v>0.14175789999999999</v>
      </c>
      <c r="X1839">
        <v>0.98647119999999999</v>
      </c>
      <c r="Y1839">
        <v>-0.26206849999999998</v>
      </c>
      <c r="Z1839">
        <v>7.5050640000000002E-2</v>
      </c>
      <c r="AA1839">
        <v>0.96212660000000005</v>
      </c>
      <c r="AB1839">
        <v>25</v>
      </c>
      <c r="AC1839">
        <v>3.0258999999999698</v>
      </c>
      <c r="AD1839">
        <v>-1.104665776189</v>
      </c>
      <c r="AE1839">
        <v>-13.966010000000001</v>
      </c>
      <c r="AF1839">
        <v>-3.7958884757688098</v>
      </c>
      <c r="AG1839">
        <v>-1.104665776189</v>
      </c>
      <c r="AH1839">
        <v>13.688603556277</v>
      </c>
      <c r="AI1839">
        <v>94.446662463414398</v>
      </c>
      <c r="AJ1839">
        <v>105.498844607108</v>
      </c>
      <c r="AK1839">
        <v>14.2480498005333</v>
      </c>
      <c r="AL1839">
        <v>81.850418734256607</v>
      </c>
      <c r="AM1839">
        <v>94.7711509045903</v>
      </c>
      <c r="AN1839">
        <v>0.99999998364925202</v>
      </c>
    </row>
    <row r="1840" spans="1:40" x14ac:dyDescent="0.3">
      <c r="A1840" t="str">
        <f>"20200111150353799"</f>
        <v>20200111150353799</v>
      </c>
      <c r="B1840" t="str">
        <f>"1578726233790080"</f>
        <v>1578726233790080</v>
      </c>
      <c r="C1840" t="s">
        <v>40</v>
      </c>
      <c r="D1840">
        <v>5.1757429999999998</v>
      </c>
      <c r="E1840">
        <v>0.43768099999999999</v>
      </c>
      <c r="F1840" t="s">
        <v>72</v>
      </c>
      <c r="G1840">
        <v>-414.5779</v>
      </c>
      <c r="H1840" s="1">
        <v>-2.1937989999999998E-6</v>
      </c>
      <c r="I1840">
        <v>38.414439999999999</v>
      </c>
      <c r="J1840">
        <v>-417.5179</v>
      </c>
      <c r="K1840">
        <v>1.104779</v>
      </c>
      <c r="L1840">
        <v>52.830570000000002</v>
      </c>
      <c r="M1840">
        <v>-5.6461860000000003E-2</v>
      </c>
      <c r="N1840">
        <v>0</v>
      </c>
      <c r="O1840">
        <v>-0.99833360000000004</v>
      </c>
      <c r="P1840">
        <v>2.8202049999999999E-2</v>
      </c>
      <c r="Q1840">
        <v>0.13022520000000001</v>
      </c>
      <c r="R1840">
        <v>-0.9910833</v>
      </c>
      <c r="S1840">
        <v>0.60684199999999999</v>
      </c>
      <c r="T1840">
        <v>-0.229079</v>
      </c>
      <c r="U1840">
        <v>-3.041077</v>
      </c>
      <c r="V1840">
        <v>-8.4274660000000001E-2</v>
      </c>
      <c r="W1840">
        <v>0.1418915</v>
      </c>
      <c r="X1840">
        <v>0.98628830000000001</v>
      </c>
      <c r="Y1840">
        <v>-0.25022650000000002</v>
      </c>
      <c r="Z1840">
        <v>7.3024270000000002E-2</v>
      </c>
      <c r="AA1840">
        <v>0.96542950000000005</v>
      </c>
      <c r="AB1840">
        <v>26</v>
      </c>
      <c r="AC1840">
        <v>2.9399999999999902</v>
      </c>
      <c r="AD1840">
        <v>-1.104781193799</v>
      </c>
      <c r="AE1840">
        <v>-14.4161299999999</v>
      </c>
      <c r="AF1840">
        <v>-3.7283068729061202</v>
      </c>
      <c r="AG1840">
        <v>-1.104781193799</v>
      </c>
      <c r="AH1840">
        <v>14.147351015114401</v>
      </c>
      <c r="AI1840">
        <v>94.318372125027693</v>
      </c>
      <c r="AJ1840">
        <v>104.763710260717</v>
      </c>
      <c r="AK1840">
        <v>14.6720262530296</v>
      </c>
      <c r="AL1840">
        <v>81.842686096749304</v>
      </c>
      <c r="AM1840">
        <v>94.883848144004702</v>
      </c>
      <c r="AN1840">
        <v>1.00000001340362</v>
      </c>
    </row>
    <row r="1841" spans="1:40" x14ac:dyDescent="0.3">
      <c r="A1841" t="str">
        <f>"20200111150353822"</f>
        <v>20200111150353822</v>
      </c>
      <c r="B1841" t="str">
        <f>"1578726233810576"</f>
        <v>1578726233810576</v>
      </c>
      <c r="C1841" t="s">
        <v>40</v>
      </c>
      <c r="D1841">
        <v>5.2009429999999996</v>
      </c>
      <c r="E1841">
        <v>0.4406369</v>
      </c>
      <c r="F1841" t="s">
        <v>72</v>
      </c>
      <c r="G1841">
        <v>-414.56920000000002</v>
      </c>
      <c r="H1841" s="1">
        <v>-2.7784719999999998E-6</v>
      </c>
      <c r="I1841">
        <v>37.498260000000002</v>
      </c>
      <c r="J1841">
        <v>-417.53129999999999</v>
      </c>
      <c r="K1841">
        <v>1.1049150000000001</v>
      </c>
      <c r="L1841">
        <v>52.57788</v>
      </c>
      <c r="M1841">
        <v>-5.5618029999999999E-2</v>
      </c>
      <c r="N1841">
        <v>0</v>
      </c>
      <c r="O1841">
        <v>-0.99838130000000003</v>
      </c>
      <c r="P1841">
        <v>3.0986469999999999E-2</v>
      </c>
      <c r="Q1841">
        <v>0.13054859999999999</v>
      </c>
      <c r="R1841">
        <v>-0.99095800000000001</v>
      </c>
      <c r="S1841">
        <v>0.58447269999999996</v>
      </c>
      <c r="T1841">
        <v>-0.2189866</v>
      </c>
      <c r="U1841">
        <v>-3.0391240000000002</v>
      </c>
      <c r="V1841">
        <v>-8.6257849999999997E-2</v>
      </c>
      <c r="W1841">
        <v>0.14218459999999999</v>
      </c>
      <c r="X1841">
        <v>0.98607460000000002</v>
      </c>
      <c r="Y1841">
        <v>-0.2427182</v>
      </c>
      <c r="Z1841">
        <v>6.998944E-2</v>
      </c>
      <c r="AA1841">
        <v>0.96756880000000001</v>
      </c>
      <c r="AB1841">
        <v>26</v>
      </c>
      <c r="AC1841">
        <v>2.96209999999996</v>
      </c>
      <c r="AD1841">
        <v>-1.1049177784719999</v>
      </c>
      <c r="AE1841">
        <v>-15.07962</v>
      </c>
      <c r="AF1841">
        <v>-3.7767490509291202</v>
      </c>
      <c r="AG1841">
        <v>-1.1049177784719999</v>
      </c>
      <c r="AH1841">
        <v>14.814933650133501</v>
      </c>
      <c r="AI1841">
        <v>94.133576895930304</v>
      </c>
      <c r="AJ1841">
        <v>104.301706116931</v>
      </c>
      <c r="AK1841">
        <v>15.328631241853801</v>
      </c>
      <c r="AL1841">
        <v>81.825720559801994</v>
      </c>
      <c r="AM1841">
        <v>94.999279268894</v>
      </c>
      <c r="AN1841">
        <v>0.99999999696447095</v>
      </c>
    </row>
    <row r="1842" spans="1:40" x14ac:dyDescent="0.3">
      <c r="A1842" t="str">
        <f>"20200111150353844"</f>
        <v>20200111150353844</v>
      </c>
      <c r="B1842" t="str">
        <f>"1578726233840833"</f>
        <v>1578726233840833</v>
      </c>
      <c r="C1842" t="s">
        <v>40</v>
      </c>
      <c r="D1842">
        <v>5.2383499999999996</v>
      </c>
      <c r="E1842">
        <v>0.44460850000000002</v>
      </c>
      <c r="F1842" t="s">
        <v>72</v>
      </c>
      <c r="G1842">
        <v>-414.55779999999999</v>
      </c>
      <c r="H1842" s="1">
        <v>-3.2177129999999998E-6</v>
      </c>
      <c r="I1842">
        <v>36.730220000000003</v>
      </c>
      <c r="J1842">
        <v>-417.54430000000002</v>
      </c>
      <c r="K1842">
        <v>1.1050709999999999</v>
      </c>
      <c r="L1842">
        <v>52.325470000000003</v>
      </c>
      <c r="M1842">
        <v>-5.4547239999999997E-2</v>
      </c>
      <c r="N1842">
        <v>0</v>
      </c>
      <c r="O1842">
        <v>-0.9984402</v>
      </c>
      <c r="P1842">
        <v>3.3536700000000003E-2</v>
      </c>
      <c r="Q1842">
        <v>0.13194719999999999</v>
      </c>
      <c r="R1842">
        <v>-0.99068920000000005</v>
      </c>
      <c r="S1842">
        <v>0.56991579999999997</v>
      </c>
      <c r="T1842">
        <v>-0.21177670000000001</v>
      </c>
      <c r="U1842">
        <v>-3.0374759999999998</v>
      </c>
      <c r="V1842">
        <v>-8.7785820000000001E-2</v>
      </c>
      <c r="W1842">
        <v>0.1435476</v>
      </c>
      <c r="X1842">
        <v>0.98574220000000001</v>
      </c>
      <c r="Y1842">
        <v>-0.23732410000000001</v>
      </c>
      <c r="Z1842">
        <v>6.7814150000000004E-2</v>
      </c>
      <c r="AA1842">
        <v>0.96906060000000005</v>
      </c>
      <c r="AB1842">
        <v>26</v>
      </c>
      <c r="AC1842">
        <v>2.9865000000000301</v>
      </c>
      <c r="AD1842">
        <v>-1.105074217713</v>
      </c>
      <c r="AE1842">
        <v>-15.59525</v>
      </c>
      <c r="AF1842">
        <v>-3.8143166612132502</v>
      </c>
      <c r="AG1842">
        <v>-1.105074217713</v>
      </c>
      <c r="AH1842">
        <v>15.3348376464411</v>
      </c>
      <c r="AI1842">
        <v>94.000303015156803</v>
      </c>
      <c r="AJ1842">
        <v>103.96802798457099</v>
      </c>
      <c r="AK1842">
        <v>15.8406895765737</v>
      </c>
      <c r="AL1842">
        <v>81.746816826301</v>
      </c>
      <c r="AM1842">
        <v>95.089082200436195</v>
      </c>
      <c r="AN1842">
        <v>0.999999974259835</v>
      </c>
    </row>
    <row r="1843" spans="1:40" x14ac:dyDescent="0.3">
      <c r="A1843" t="str">
        <f>"20200111150353867"</f>
        <v>20200111150353867</v>
      </c>
      <c r="B1843" t="str">
        <f>"1578726233860355"</f>
        <v>1578726233860355</v>
      </c>
      <c r="C1843" t="s">
        <v>40</v>
      </c>
      <c r="D1843">
        <v>5.1980839999999997</v>
      </c>
      <c r="E1843">
        <v>0.44661469999999998</v>
      </c>
      <c r="F1843" t="s">
        <v>72</v>
      </c>
      <c r="G1843">
        <v>-414.62709999999998</v>
      </c>
      <c r="H1843" s="1">
        <v>-3.5370210000000001E-6</v>
      </c>
      <c r="I1843">
        <v>36.11833</v>
      </c>
      <c r="J1843">
        <v>-417.55709999999999</v>
      </c>
      <c r="K1843">
        <v>1.1052599999999999</v>
      </c>
      <c r="L1843">
        <v>52.06512</v>
      </c>
      <c r="M1843">
        <v>-5.3163349999999998E-2</v>
      </c>
      <c r="N1843">
        <v>0</v>
      </c>
      <c r="O1843">
        <v>-0.99851460000000003</v>
      </c>
      <c r="P1843">
        <v>3.474054E-2</v>
      </c>
      <c r="Q1843">
        <v>0.1325017</v>
      </c>
      <c r="R1843">
        <v>-0.99057360000000005</v>
      </c>
      <c r="S1843">
        <v>0.54669190000000001</v>
      </c>
      <c r="T1843">
        <v>-0.2070941</v>
      </c>
      <c r="U1843">
        <v>-3.0372620000000001</v>
      </c>
      <c r="V1843">
        <v>-8.7681389999999998E-2</v>
      </c>
      <c r="W1843">
        <v>0.14406479999999999</v>
      </c>
      <c r="X1843">
        <v>0.98567610000000005</v>
      </c>
      <c r="Y1843">
        <v>-0.22883029999999999</v>
      </c>
      <c r="Z1843">
        <v>6.6447759999999995E-2</v>
      </c>
      <c r="AA1843">
        <v>0.9711959</v>
      </c>
      <c r="AB1843">
        <v>26</v>
      </c>
      <c r="AC1843">
        <v>2.93</v>
      </c>
      <c r="AD1843">
        <v>-1.105263537021</v>
      </c>
      <c r="AE1843">
        <v>-15.94679</v>
      </c>
      <c r="AF1843">
        <v>-3.75624597233071</v>
      </c>
      <c r="AG1843">
        <v>-1.105263537021</v>
      </c>
      <c r="AH1843">
        <v>15.6955196722515</v>
      </c>
      <c r="AI1843">
        <v>93.917792411329998</v>
      </c>
      <c r="AJ1843">
        <v>103.458868397098</v>
      </c>
      <c r="AK1843">
        <v>16.1765363744206</v>
      </c>
      <c r="AL1843">
        <v>81.716872693208501</v>
      </c>
      <c r="AM1843">
        <v>95.083399050034103</v>
      </c>
      <c r="AN1843">
        <v>1.00000003343129</v>
      </c>
    </row>
    <row r="1844" spans="1:40" x14ac:dyDescent="0.3">
      <c r="A1844" t="str">
        <f>"20200111150353912"</f>
        <v>20200111150353912</v>
      </c>
      <c r="B1844" t="str">
        <f>"1578726233900368"</f>
        <v>1578726233900368</v>
      </c>
      <c r="C1844" t="s">
        <v>40</v>
      </c>
      <c r="D1844">
        <v>5.1908810000000001</v>
      </c>
      <c r="E1844">
        <v>0.44750620000000002</v>
      </c>
      <c r="F1844" t="s">
        <v>72</v>
      </c>
      <c r="G1844">
        <v>-414.64859999999999</v>
      </c>
      <c r="H1844" s="1">
        <v>-3.8424839999999996E-6</v>
      </c>
      <c r="I1844">
        <v>35.551090000000002</v>
      </c>
      <c r="J1844">
        <v>-417.57979999999998</v>
      </c>
      <c r="K1844">
        <v>1.1057319999999999</v>
      </c>
      <c r="L1844">
        <v>51.562069999999999</v>
      </c>
      <c r="M1844">
        <v>-4.9471069999999999E-2</v>
      </c>
      <c r="N1844">
        <v>0</v>
      </c>
      <c r="O1844">
        <v>-0.9987045</v>
      </c>
      <c r="P1844">
        <v>3.3919240000000003E-2</v>
      </c>
      <c r="Q1844">
        <v>0.13350629999999999</v>
      </c>
      <c r="R1844">
        <v>-0.9904676</v>
      </c>
      <c r="S1844">
        <v>0.53488159999999996</v>
      </c>
      <c r="T1844">
        <v>-0.2032619</v>
      </c>
      <c r="U1844">
        <v>-3.0369869999999999</v>
      </c>
      <c r="V1844">
        <v>-8.3369890000000002E-2</v>
      </c>
      <c r="W1844">
        <v>0.14500279999999999</v>
      </c>
      <c r="X1844">
        <v>0.98591260000000003</v>
      </c>
      <c r="Y1844">
        <v>-0.22159280000000001</v>
      </c>
      <c r="Z1844">
        <v>6.5325709999999995E-2</v>
      </c>
      <c r="AA1844">
        <v>0.9729487</v>
      </c>
      <c r="AB1844">
        <v>26</v>
      </c>
      <c r="AC1844">
        <v>2.9311999999999898</v>
      </c>
      <c r="AD1844">
        <v>-1.105735842484</v>
      </c>
      <c r="AE1844">
        <v>-16.010979999999901</v>
      </c>
      <c r="AF1844">
        <v>-3.7026600249761499</v>
      </c>
      <c r="AG1844">
        <v>-1.105735842484</v>
      </c>
      <c r="AH1844">
        <v>15.7735615012498</v>
      </c>
      <c r="AI1844">
        <v>93.904128772904897</v>
      </c>
      <c r="AJ1844">
        <v>103.210344271172</v>
      </c>
      <c r="AK1844">
        <v>16.2399995519587</v>
      </c>
      <c r="AL1844">
        <v>81.662558692001298</v>
      </c>
      <c r="AM1844">
        <v>94.833497342440793</v>
      </c>
      <c r="AN1844">
        <v>1.0000000027025999</v>
      </c>
    </row>
    <row r="1845" spans="1:40" x14ac:dyDescent="0.3">
      <c r="A1845" t="str">
        <f>"20200111150353933"</f>
        <v>20200111150353933</v>
      </c>
      <c r="B1845" t="str">
        <f>"1578726233930625"</f>
        <v>1578726233930625</v>
      </c>
      <c r="C1845" t="s">
        <v>40</v>
      </c>
      <c r="D1845">
        <v>5.2214720000000003</v>
      </c>
      <c r="E1845">
        <v>0.45018180000000002</v>
      </c>
      <c r="F1845" t="s">
        <v>72</v>
      </c>
      <c r="G1845">
        <v>-414.59730000000002</v>
      </c>
      <c r="H1845" s="1">
        <v>-4.4764159999999996E-6</v>
      </c>
      <c r="I1845">
        <v>34.3979</v>
      </c>
      <c r="J1845">
        <v>-417.58960000000002</v>
      </c>
      <c r="K1845">
        <v>1.1059650000000001</v>
      </c>
      <c r="L1845">
        <v>51.315980000000003</v>
      </c>
      <c r="M1845">
        <v>-4.719839E-2</v>
      </c>
      <c r="N1845">
        <v>0</v>
      </c>
      <c r="O1845">
        <v>-0.99881419999999999</v>
      </c>
      <c r="P1845">
        <v>3.3970010000000002E-2</v>
      </c>
      <c r="Q1845">
        <v>0.13593440000000001</v>
      </c>
      <c r="R1845">
        <v>-0.99013530000000005</v>
      </c>
      <c r="S1845">
        <v>0.52774049999999995</v>
      </c>
      <c r="T1845">
        <v>-0.19565830000000001</v>
      </c>
      <c r="U1845">
        <v>-3.0371700000000001</v>
      </c>
      <c r="V1845">
        <v>-8.1245730000000002E-2</v>
      </c>
      <c r="W1845">
        <v>0.14740139999999999</v>
      </c>
      <c r="X1845">
        <v>0.9857342</v>
      </c>
      <c r="Y1845">
        <v>-0.21716849999999999</v>
      </c>
      <c r="Z1845">
        <v>6.2943360000000004E-2</v>
      </c>
      <c r="AA1845">
        <v>0.97410269999999999</v>
      </c>
      <c r="AB1845">
        <v>26</v>
      </c>
      <c r="AC1845">
        <v>2.9923000000000002</v>
      </c>
      <c r="AD1845">
        <v>-1.105969476416</v>
      </c>
      <c r="AE1845">
        <v>-16.9180799999999</v>
      </c>
      <c r="AF1845">
        <v>-3.7718974919662598</v>
      </c>
      <c r="AG1845">
        <v>-1.105969476416</v>
      </c>
      <c r="AH1845">
        <v>16.688824551111701</v>
      </c>
      <c r="AI1845">
        <v>93.698434567544595</v>
      </c>
      <c r="AJ1845">
        <v>102.73563560900899</v>
      </c>
      <c r="AK1845">
        <v>17.1454729905725</v>
      </c>
      <c r="AL1845">
        <v>81.523636024606901</v>
      </c>
      <c r="AM1845">
        <v>94.711756123057597</v>
      </c>
      <c r="AN1845">
        <v>0.99999997720741596</v>
      </c>
    </row>
    <row r="1846" spans="1:40" x14ac:dyDescent="0.3">
      <c r="A1846" t="str">
        <f>"20200111150353967"</f>
        <v>20200111150353967</v>
      </c>
      <c r="B1846" t="str">
        <f>"1578726233960879"</f>
        <v>1578726233960879</v>
      </c>
      <c r="C1846" t="s">
        <v>40</v>
      </c>
      <c r="D1846">
        <v>5.5840730000000001</v>
      </c>
      <c r="E1846">
        <v>0.45099339999999999</v>
      </c>
      <c r="F1846" t="s">
        <v>72</v>
      </c>
      <c r="G1846">
        <v>-414.66320000000002</v>
      </c>
      <c r="H1846" s="1">
        <v>-4.7574649999999999E-6</v>
      </c>
      <c r="I1846">
        <v>33.81765</v>
      </c>
      <c r="J1846">
        <v>-417.6035</v>
      </c>
      <c r="K1846">
        <v>1.1063160000000001</v>
      </c>
      <c r="L1846">
        <v>50.924349999999997</v>
      </c>
      <c r="M1846">
        <v>-4.2981650000000003E-2</v>
      </c>
      <c r="N1846">
        <v>0</v>
      </c>
      <c r="O1846">
        <v>-0.99900449999999996</v>
      </c>
      <c r="P1846">
        <v>3.657767E-2</v>
      </c>
      <c r="Q1846">
        <v>0.13831009999999999</v>
      </c>
      <c r="R1846">
        <v>-0.98971330000000002</v>
      </c>
      <c r="S1846">
        <v>0.50820920000000003</v>
      </c>
      <c r="T1846">
        <v>-0.1920663</v>
      </c>
      <c r="U1846">
        <v>-3.038818</v>
      </c>
      <c r="V1846">
        <v>-7.9794680000000007E-2</v>
      </c>
      <c r="W1846">
        <v>0.1497252</v>
      </c>
      <c r="X1846">
        <v>0.98550249999999995</v>
      </c>
      <c r="Y1846">
        <v>-0.20687449999999999</v>
      </c>
      <c r="Z1846">
        <v>6.1880419999999998E-2</v>
      </c>
      <c r="AA1846">
        <v>0.97640859999999996</v>
      </c>
      <c r="AB1846">
        <v>26</v>
      </c>
      <c r="AC1846">
        <v>2.9402999999999699</v>
      </c>
      <c r="AD1846">
        <v>-1.106320757465</v>
      </c>
      <c r="AE1846">
        <v>-17.106699999999901</v>
      </c>
      <c r="AF1846">
        <v>-3.6580484425839099</v>
      </c>
      <c r="AG1846">
        <v>-1.106320757465</v>
      </c>
      <c r="AH1846">
        <v>16.895862674196099</v>
      </c>
      <c r="AI1846">
        <v>93.6617116631665</v>
      </c>
      <c r="AJ1846">
        <v>102.216306304537</v>
      </c>
      <c r="AK1846">
        <v>17.3226856905037</v>
      </c>
      <c r="AL1846">
        <v>81.388998179376799</v>
      </c>
      <c r="AM1846">
        <v>94.629056280102105</v>
      </c>
      <c r="AN1846">
        <v>1.00000000198879</v>
      </c>
    </row>
    <row r="1847" spans="1:40" x14ac:dyDescent="0.3">
      <c r="A1847" t="str">
        <f>"20200111150353990"</f>
        <v>20200111150353990</v>
      </c>
      <c r="B1847" t="str">
        <f>"1578726233980404"</f>
        <v>1578726233980404</v>
      </c>
      <c r="C1847" t="s">
        <v>40</v>
      </c>
      <c r="D1847">
        <v>5.5469850000000003</v>
      </c>
      <c r="E1847">
        <v>0.4516925</v>
      </c>
      <c r="F1847" t="s">
        <v>72</v>
      </c>
      <c r="G1847">
        <v>-414.46050000000002</v>
      </c>
      <c r="H1847" s="1">
        <v>-5.6022929999999997E-6</v>
      </c>
      <c r="I1847">
        <v>32.207270000000001</v>
      </c>
      <c r="J1847">
        <v>-417.61070000000001</v>
      </c>
      <c r="K1847">
        <v>1.106528</v>
      </c>
      <c r="L1847">
        <v>50.681399999999996</v>
      </c>
      <c r="M1847">
        <v>-3.9948369999999997E-2</v>
      </c>
      <c r="N1847">
        <v>0</v>
      </c>
      <c r="O1847">
        <v>-0.99913050000000003</v>
      </c>
      <c r="P1847">
        <v>3.7474170000000001E-2</v>
      </c>
      <c r="Q1847">
        <v>0.13721620000000001</v>
      </c>
      <c r="R1847">
        <v>-0.98983220000000005</v>
      </c>
      <c r="S1847">
        <v>0.5100403</v>
      </c>
      <c r="T1847">
        <v>-0.1795342</v>
      </c>
      <c r="U1847">
        <v>-3.0374150000000002</v>
      </c>
      <c r="V1847">
        <v>-7.7767420000000004E-2</v>
      </c>
      <c r="W1847">
        <v>0.1486016</v>
      </c>
      <c r="X1847">
        <v>0.98583460000000001</v>
      </c>
      <c r="Y1847">
        <v>-0.2045893</v>
      </c>
      <c r="Z1847">
        <v>5.7905730000000002E-2</v>
      </c>
      <c r="AA1847">
        <v>0.97713360000000005</v>
      </c>
      <c r="AB1847">
        <v>26</v>
      </c>
      <c r="AC1847">
        <v>3.1501999999999799</v>
      </c>
      <c r="AD1847">
        <v>-1.1065336022929999</v>
      </c>
      <c r="AE1847">
        <v>-18.474129999999899</v>
      </c>
      <c r="AF1847">
        <v>-3.8722494321058099</v>
      </c>
      <c r="AG1847">
        <v>-1.1065336022929999</v>
      </c>
      <c r="AH1847">
        <v>18.2698340675541</v>
      </c>
      <c r="AI1847">
        <v>93.390808795465603</v>
      </c>
      <c r="AJ1847">
        <v>101.96661902503899</v>
      </c>
      <c r="AK1847">
        <v>18.7084357746287</v>
      </c>
      <c r="AL1847">
        <v>81.454104354904999</v>
      </c>
      <c r="AM1847">
        <v>94.510428901365202</v>
      </c>
      <c r="AN1847">
        <v>1.0000000328465799</v>
      </c>
    </row>
    <row r="1848" spans="1:40" x14ac:dyDescent="0.3">
      <c r="A1848" t="str">
        <f>"20200111150354034"</f>
        <v>20200111150354034</v>
      </c>
      <c r="B1848" t="str">
        <f>"1578726234030176"</f>
        <v>1578726234030176</v>
      </c>
      <c r="C1848" t="s">
        <v>40</v>
      </c>
      <c r="D1848">
        <v>4.7255099999999999</v>
      </c>
      <c r="E1848">
        <v>0.46113340000000003</v>
      </c>
      <c r="F1848" t="s">
        <v>72</v>
      </c>
      <c r="G1848">
        <v>-414.65989999999999</v>
      </c>
      <c r="H1848" s="1">
        <v>-5.1453919999999997E-6</v>
      </c>
      <c r="I1848">
        <v>33.057759999999902</v>
      </c>
      <c r="J1848">
        <v>-417.6223</v>
      </c>
      <c r="K1848">
        <v>1.106978</v>
      </c>
      <c r="L1848">
        <v>50.174500000000002</v>
      </c>
      <c r="M1848">
        <v>-3.2561130000000001E-2</v>
      </c>
      <c r="N1848">
        <v>0</v>
      </c>
      <c r="O1848">
        <v>-0.99939860000000003</v>
      </c>
      <c r="P1848">
        <v>3.994905E-2</v>
      </c>
      <c r="Q1848">
        <v>0.135188</v>
      </c>
      <c r="R1848">
        <v>-0.99001450000000002</v>
      </c>
      <c r="S1848">
        <v>0.50866699999999998</v>
      </c>
      <c r="T1848">
        <v>-0.1907461</v>
      </c>
      <c r="U1848">
        <v>-3.0379939999999999</v>
      </c>
      <c r="V1848">
        <v>-7.3102559999999997E-2</v>
      </c>
      <c r="W1848">
        <v>0.14649770000000001</v>
      </c>
      <c r="X1848">
        <v>0.9865062</v>
      </c>
      <c r="Y1848">
        <v>-0.1968511</v>
      </c>
      <c r="Z1848">
        <v>6.1573490000000002E-2</v>
      </c>
      <c r="AA1848">
        <v>0.97849799999999998</v>
      </c>
      <c r="AB1848">
        <v>26</v>
      </c>
      <c r="AC1848">
        <v>2.9624000000000001</v>
      </c>
      <c r="AD1848">
        <v>-1.1069831453919901</v>
      </c>
      <c r="AE1848">
        <v>-17.11674</v>
      </c>
      <c r="AF1848">
        <v>-3.5039796689929599</v>
      </c>
      <c r="AG1848">
        <v>-1.1069831453919901</v>
      </c>
      <c r="AH1848">
        <v>16.942395152377301</v>
      </c>
      <c r="AI1848">
        <v>93.661021300599899</v>
      </c>
      <c r="AJ1848">
        <v>101.68501227401499</v>
      </c>
      <c r="AK1848">
        <v>17.336321371738499</v>
      </c>
      <c r="AL1848">
        <v>81.575982873526002</v>
      </c>
      <c r="AM1848">
        <v>94.2380136874405</v>
      </c>
      <c r="AN1848">
        <v>1.00000002151114</v>
      </c>
    </row>
    <row r="1849" spans="1:40" x14ac:dyDescent="0.3">
      <c r="A1849" t="str">
        <f>"20200111150354056"</f>
        <v>20200111150354056</v>
      </c>
      <c r="B1849" t="str">
        <f>"1578726234050672"</f>
        <v>1578726234050672</v>
      </c>
      <c r="C1849" t="s">
        <v>40</v>
      </c>
      <c r="D1849">
        <v>6.8640169999999996</v>
      </c>
      <c r="E1849">
        <v>0.46262829999999999</v>
      </c>
      <c r="F1849" t="s">
        <v>41</v>
      </c>
      <c r="G1849">
        <v>-416.39490000000001</v>
      </c>
      <c r="H1849" s="1">
        <v>-1.6709280000000001E-6</v>
      </c>
      <c r="I1849">
        <v>41.739400000000003</v>
      </c>
      <c r="J1849">
        <v>-417.62619999999998</v>
      </c>
      <c r="K1849">
        <v>1.107199</v>
      </c>
      <c r="L1849">
        <v>49.918030000000002</v>
      </c>
      <c r="M1849">
        <v>-2.8373760000000001E-2</v>
      </c>
      <c r="N1849">
        <v>0</v>
      </c>
      <c r="O1849">
        <v>-0.99952640000000004</v>
      </c>
      <c r="P1849">
        <v>4.217311E-2</v>
      </c>
      <c r="Q1849">
        <v>0.1359041</v>
      </c>
      <c r="R1849">
        <v>-0.98982409999999998</v>
      </c>
      <c r="S1849">
        <v>0.44631959999999998</v>
      </c>
      <c r="T1849">
        <v>-0.40252379999999999</v>
      </c>
      <c r="U1849">
        <v>-3.0672000000000001</v>
      </c>
      <c r="V1849">
        <v>-7.1264859999999999E-2</v>
      </c>
      <c r="W1849">
        <v>0.1471741</v>
      </c>
      <c r="X1849">
        <v>0.98653999999999997</v>
      </c>
      <c r="Y1849">
        <v>-0.1708247</v>
      </c>
      <c r="Z1849">
        <v>0.12841859999999999</v>
      </c>
      <c r="AA1849">
        <v>0.97689689999999996</v>
      </c>
      <c r="AB1849">
        <v>26</v>
      </c>
      <c r="AC1849">
        <v>1.2312999999999701</v>
      </c>
      <c r="AD1849">
        <v>-1.107200670928</v>
      </c>
      <c r="AE1849">
        <v>-8.1786299999999894</v>
      </c>
      <c r="AF1849">
        <v>-1.43712468450764</v>
      </c>
      <c r="AG1849">
        <v>-1.107200670928</v>
      </c>
      <c r="AH1849">
        <v>7.9970832887691401</v>
      </c>
      <c r="AI1849">
        <v>97.759770148644705</v>
      </c>
      <c r="AJ1849">
        <v>100.187662370444</v>
      </c>
      <c r="AK1849">
        <v>8.2002781545527608</v>
      </c>
      <c r="AL1849">
        <v>81.536803440734403</v>
      </c>
      <c r="AM1849">
        <v>94.131708366222995</v>
      </c>
      <c r="AN1849">
        <v>1.0000000337908099</v>
      </c>
    </row>
    <row r="1850" spans="1:40" x14ac:dyDescent="0.3">
      <c r="A1850" t="str">
        <f>"20200111150354078"</f>
        <v>20200111150354078</v>
      </c>
      <c r="B1850" t="str">
        <f>"1578726234070192"</f>
        <v>1578726234070192</v>
      </c>
      <c r="C1850" t="s">
        <v>40</v>
      </c>
      <c r="D1850">
        <v>5.4672830000000001</v>
      </c>
      <c r="E1850">
        <v>0.43810100000000002</v>
      </c>
      <c r="F1850" t="s">
        <v>41</v>
      </c>
      <c r="G1850">
        <v>-416.2167</v>
      </c>
      <c r="H1850" s="1">
        <v>-1.1740619999999999E-6</v>
      </c>
      <c r="I1850">
        <v>40.14002</v>
      </c>
      <c r="J1850">
        <v>-417.62849999999997</v>
      </c>
      <c r="K1850">
        <v>1.1074170000000001</v>
      </c>
      <c r="L1850">
        <v>49.666110000000003</v>
      </c>
      <c r="M1850">
        <v>-2.3937770000000001E-2</v>
      </c>
      <c r="N1850">
        <v>0</v>
      </c>
      <c r="O1850">
        <v>-0.9996429</v>
      </c>
      <c r="P1850">
        <v>4.4412460000000001E-2</v>
      </c>
      <c r="Q1850">
        <v>0.13715450000000001</v>
      </c>
      <c r="R1850">
        <v>-0.98955389999999999</v>
      </c>
      <c r="S1850">
        <v>0.44103999999999999</v>
      </c>
      <c r="T1850">
        <v>-0.34645340000000002</v>
      </c>
      <c r="U1850">
        <v>-3.059631</v>
      </c>
      <c r="V1850">
        <v>-6.9198200000000001E-2</v>
      </c>
      <c r="W1850">
        <v>0.14838370000000001</v>
      </c>
      <c r="X1850">
        <v>0.98650590000000005</v>
      </c>
      <c r="Y1850">
        <v>-0.16544220000000001</v>
      </c>
      <c r="Z1850">
        <v>0.1111235</v>
      </c>
      <c r="AA1850">
        <v>0.979939</v>
      </c>
      <c r="AB1850">
        <v>26</v>
      </c>
      <c r="AC1850">
        <v>1.41179999999997</v>
      </c>
      <c r="AD1850">
        <v>-1.1074181740619999</v>
      </c>
      <c r="AE1850">
        <v>-9.5260899999999893</v>
      </c>
      <c r="AF1850">
        <v>-1.6180479894492401</v>
      </c>
      <c r="AG1850">
        <v>-1.1074181740619999</v>
      </c>
      <c r="AH1850">
        <v>9.3657113435092398</v>
      </c>
      <c r="AI1850">
        <v>96.645892312826504</v>
      </c>
      <c r="AJ1850">
        <v>99.801834003380307</v>
      </c>
      <c r="AK1850">
        <v>9.5687513959942105</v>
      </c>
      <c r="AL1850">
        <v>81.466728803616107</v>
      </c>
      <c r="AM1850">
        <v>94.012425418923698</v>
      </c>
      <c r="AN1850">
        <v>1.00000000202187</v>
      </c>
    </row>
    <row r="1851" spans="1:40" x14ac:dyDescent="0.3">
      <c r="A1851" t="str">
        <f>"20200111150354101"</f>
        <v>20200111150354101</v>
      </c>
      <c r="B1851" t="str">
        <f>"1578726234090688"</f>
        <v>1578726234090688</v>
      </c>
      <c r="C1851" t="s">
        <v>40</v>
      </c>
      <c r="D1851">
        <v>6.8872910000000003</v>
      </c>
      <c r="E1851">
        <v>0.45096920000000001</v>
      </c>
      <c r="F1851" t="s">
        <v>71</v>
      </c>
      <c r="G1851">
        <v>-407.22070000000002</v>
      </c>
      <c r="H1851">
        <v>2.611167</v>
      </c>
      <c r="I1851">
        <v>0.60736080000000003</v>
      </c>
      <c r="J1851">
        <v>-417.62950000000001</v>
      </c>
      <c r="K1851">
        <v>1.1076330000000001</v>
      </c>
      <c r="L1851">
        <v>49.412570000000002</v>
      </c>
      <c r="M1851">
        <v>-1.913099E-2</v>
      </c>
      <c r="N1851">
        <v>0</v>
      </c>
      <c r="O1851">
        <v>-0.99974660000000004</v>
      </c>
      <c r="P1851">
        <v>4.8236710000000002E-2</v>
      </c>
      <c r="Q1851">
        <v>0.13772529999999999</v>
      </c>
      <c r="R1851">
        <v>-0.98929529999999999</v>
      </c>
      <c r="S1851">
        <v>0.63442989999999999</v>
      </c>
      <c r="T1851">
        <v>9.1662530000000006E-2</v>
      </c>
      <c r="U1851">
        <v>-2.9904790000000001</v>
      </c>
      <c r="V1851">
        <v>-6.8350320000000006E-2</v>
      </c>
      <c r="W1851">
        <v>0.14890059999999999</v>
      </c>
      <c r="X1851">
        <v>0.98648720000000001</v>
      </c>
      <c r="Y1851">
        <v>-0.22611609999999999</v>
      </c>
      <c r="Z1851">
        <v>-2.9899490000000001E-2</v>
      </c>
      <c r="AA1851">
        <v>0.97364139999999999</v>
      </c>
      <c r="AB1851">
        <v>26</v>
      </c>
      <c r="AC1851">
        <v>10.4087999999999</v>
      </c>
      <c r="AD1851">
        <v>1.5035339999999999</v>
      </c>
      <c r="AE1851">
        <v>-48.8052092</v>
      </c>
      <c r="AF1851">
        <v>-11.330367075980501</v>
      </c>
      <c r="AG1851">
        <v>1.5035339999999999</v>
      </c>
      <c r="AH1851">
        <v>48.553056179389003</v>
      </c>
      <c r="AI1851">
        <v>88.272678223606505</v>
      </c>
      <c r="AJ1851">
        <v>103.13550026495901</v>
      </c>
      <c r="AK1851">
        <v>49.880227514763099</v>
      </c>
      <c r="AL1851">
        <v>81.436780546801401</v>
      </c>
      <c r="AM1851">
        <v>93.963494037839197</v>
      </c>
      <c r="AN1851">
        <v>1.00000007534414</v>
      </c>
    </row>
    <row r="1852" spans="1:40" x14ac:dyDescent="0.3">
      <c r="A1852" t="str">
        <f>"20200111150354124"</f>
        <v>20200111150354124</v>
      </c>
      <c r="B1852" t="str">
        <f>"1578726234119969"</f>
        <v>1578726234119969</v>
      </c>
      <c r="C1852" t="s">
        <v>40</v>
      </c>
      <c r="D1852">
        <v>5.2891779999999997</v>
      </c>
      <c r="E1852">
        <v>0.45561220000000002</v>
      </c>
      <c r="F1852" t="s">
        <v>71</v>
      </c>
      <c r="G1852">
        <v>-408.76769999999999</v>
      </c>
      <c r="H1852">
        <v>2.0724670000000001</v>
      </c>
      <c r="I1852">
        <v>0.59162519999999996</v>
      </c>
      <c r="J1852">
        <v>-417.62880000000001</v>
      </c>
      <c r="K1852">
        <v>1.1078779999999999</v>
      </c>
      <c r="L1852">
        <v>49.153170000000003</v>
      </c>
      <c r="M1852">
        <v>-1.3851459999999999E-2</v>
      </c>
      <c r="N1852">
        <v>0</v>
      </c>
      <c r="O1852">
        <v>-0.99983390000000005</v>
      </c>
      <c r="P1852">
        <v>5.346397E-2</v>
      </c>
      <c r="Q1852">
        <v>0.13872190000000001</v>
      </c>
      <c r="R1852">
        <v>-0.98888730000000002</v>
      </c>
      <c r="S1852">
        <v>0.54412839999999996</v>
      </c>
      <c r="T1852">
        <v>5.924082E-2</v>
      </c>
      <c r="U1852">
        <v>-2.997681</v>
      </c>
      <c r="V1852">
        <v>-6.8448750000000003E-2</v>
      </c>
      <c r="W1852">
        <v>0.1498341</v>
      </c>
      <c r="X1852">
        <v>0.98633890000000002</v>
      </c>
      <c r="Y1852">
        <v>-0.19217690000000001</v>
      </c>
      <c r="Z1852">
        <v>-1.9412820000000001E-2</v>
      </c>
      <c r="AA1852">
        <v>0.98116829999999999</v>
      </c>
      <c r="AB1852">
        <v>26</v>
      </c>
      <c r="AC1852">
        <v>8.86110000000002</v>
      </c>
      <c r="AD1852">
        <v>0.96458899999999903</v>
      </c>
      <c r="AE1852">
        <v>-48.5615448</v>
      </c>
      <c r="AF1852">
        <v>-9.5293066552394805</v>
      </c>
      <c r="AG1852">
        <v>0.96458899999999903</v>
      </c>
      <c r="AH1852">
        <v>48.415650802556399</v>
      </c>
      <c r="AI1852">
        <v>88.880122327945799</v>
      </c>
      <c r="AJ1852">
        <v>101.13479047575299</v>
      </c>
      <c r="AK1852">
        <v>49.353959921201799</v>
      </c>
      <c r="AL1852">
        <v>81.382687092308799</v>
      </c>
      <c r="AM1852">
        <v>93.969778434457695</v>
      </c>
      <c r="AN1852">
        <v>0.99999995727628999</v>
      </c>
    </row>
    <row r="1853" spans="1:40" x14ac:dyDescent="0.3">
      <c r="A1853" t="str">
        <f>"20200111150354146"</f>
        <v>20200111150354146</v>
      </c>
      <c r="B1853" t="str">
        <f>"1578726234140469"</f>
        <v>1578726234140469</v>
      </c>
      <c r="C1853" t="s">
        <v>40</v>
      </c>
      <c r="D1853">
        <v>5.3311679999999999</v>
      </c>
      <c r="E1853">
        <v>0.45703339999999998</v>
      </c>
      <c r="F1853" t="s">
        <v>71</v>
      </c>
      <c r="G1853">
        <v>-409.15879999999999</v>
      </c>
      <c r="H1853">
        <v>2.524394</v>
      </c>
      <c r="I1853">
        <v>0.58765029999999996</v>
      </c>
      <c r="J1853">
        <v>-417.62650000000002</v>
      </c>
      <c r="K1853">
        <v>1.1081369999999999</v>
      </c>
      <c r="L1853">
        <v>48.906619999999997</v>
      </c>
      <c r="M1853">
        <v>-8.4790349999999994E-3</v>
      </c>
      <c r="N1853">
        <v>0</v>
      </c>
      <c r="O1853">
        <v>-0.99989399999999995</v>
      </c>
      <c r="P1853">
        <v>5.8998170000000003E-2</v>
      </c>
      <c r="Q1853">
        <v>0.13945829999999901</v>
      </c>
      <c r="R1853">
        <v>-0.98846880000000004</v>
      </c>
      <c r="S1853">
        <v>0.52203370000000004</v>
      </c>
      <c r="T1853">
        <v>8.7303039999999998E-2</v>
      </c>
      <c r="U1853">
        <v>-2.9932560000000001</v>
      </c>
      <c r="V1853">
        <v>-6.8766079999999993E-2</v>
      </c>
      <c r="W1853">
        <v>0.15051339999999999</v>
      </c>
      <c r="X1853">
        <v>0.98621340000000002</v>
      </c>
      <c r="Y1853">
        <v>-0.18008650000000001</v>
      </c>
      <c r="Z1853">
        <v>-2.8697879999999999E-2</v>
      </c>
      <c r="AA1853">
        <v>0.98323210000000005</v>
      </c>
      <c r="AB1853">
        <v>26</v>
      </c>
      <c r="AC1853">
        <v>8.4677000000000309</v>
      </c>
      <c r="AD1853">
        <v>1.4162570000000001</v>
      </c>
      <c r="AE1853">
        <v>-48.318969699999997</v>
      </c>
      <c r="AF1853">
        <v>-8.8697294740543295</v>
      </c>
      <c r="AG1853">
        <v>1.4162570000000001</v>
      </c>
      <c r="AH1853">
        <v>48.205249894622803</v>
      </c>
      <c r="AI1853">
        <v>88.344917774040198</v>
      </c>
      <c r="AJ1853">
        <v>100.425766555865</v>
      </c>
      <c r="AK1853">
        <v>49.034926350877498</v>
      </c>
      <c r="AL1853">
        <v>81.343319681981896</v>
      </c>
      <c r="AM1853">
        <v>93.988629037351998</v>
      </c>
      <c r="AN1853">
        <v>0.99999996383884204</v>
      </c>
    </row>
    <row r="1854" spans="1:40" x14ac:dyDescent="0.3">
      <c r="A1854" t="str">
        <f>"20200111150354168"</f>
        <v>20200111150354168</v>
      </c>
      <c r="B1854" t="str">
        <f>"1578726234160960"</f>
        <v>1578726234160960</v>
      </c>
      <c r="C1854" t="s">
        <v>40</v>
      </c>
      <c r="D1854">
        <v>5.2499039999999999</v>
      </c>
      <c r="E1854">
        <v>0.45828780000000002</v>
      </c>
      <c r="F1854" t="s">
        <v>71</v>
      </c>
      <c r="G1854">
        <v>-409.11360000000002</v>
      </c>
      <c r="H1854">
        <v>1.568967</v>
      </c>
      <c r="I1854">
        <v>0.58810419999999997</v>
      </c>
      <c r="J1854">
        <v>-417.62240000000003</v>
      </c>
      <c r="K1854">
        <v>1.1084130000000001</v>
      </c>
      <c r="L1854">
        <v>48.652500000000003</v>
      </c>
      <c r="M1854">
        <v>-2.5694379999999998E-3</v>
      </c>
      <c r="N1854">
        <v>0</v>
      </c>
      <c r="O1854">
        <v>-0.99992689999999995</v>
      </c>
      <c r="P1854">
        <v>6.3837240000000003E-2</v>
      </c>
      <c r="Q1854">
        <v>0.13887060000000001</v>
      </c>
      <c r="R1854">
        <v>-0.98825099999999999</v>
      </c>
      <c r="S1854">
        <v>0.52844239999999998</v>
      </c>
      <c r="T1854">
        <v>2.8604979999999999E-2</v>
      </c>
      <c r="U1854">
        <v>-2.9994200000000002</v>
      </c>
      <c r="V1854">
        <v>-6.7856570000000005E-2</v>
      </c>
      <c r="W1854">
        <v>0.14988170000000001</v>
      </c>
      <c r="X1854">
        <v>0.98637260000000004</v>
      </c>
      <c r="Y1854">
        <v>-0.17603170000000001</v>
      </c>
      <c r="Z1854">
        <v>-9.3895999999999997E-3</v>
      </c>
      <c r="AA1854">
        <v>0.98433970000000004</v>
      </c>
      <c r="AB1854">
        <v>26</v>
      </c>
      <c r="AC1854">
        <v>8.5088000000000008</v>
      </c>
      <c r="AD1854">
        <v>0.46055400000000002</v>
      </c>
      <c r="AE1854">
        <v>-48.0643958</v>
      </c>
      <c r="AF1854">
        <v>-8.6315105928320399</v>
      </c>
      <c r="AG1854">
        <v>0.46055400000000002</v>
      </c>
      <c r="AH1854">
        <v>48.038096159336703</v>
      </c>
      <c r="AI1854">
        <v>89.459364342099093</v>
      </c>
      <c r="AJ1854">
        <v>100.186242915718</v>
      </c>
      <c r="AK1854">
        <v>48.809566354504398</v>
      </c>
      <c r="AL1854">
        <v>81.379928792050904</v>
      </c>
      <c r="AM1854">
        <v>93.935408503984107</v>
      </c>
      <c r="AN1854">
        <v>0.99999997205890701</v>
      </c>
    </row>
    <row r="1855" spans="1:40" x14ac:dyDescent="0.3">
      <c r="A1855" t="str">
        <f>"20200111150354191"</f>
        <v>20200111150354191</v>
      </c>
      <c r="B1855" t="str">
        <f>"1578726234180480"</f>
        <v>1578726234180480</v>
      </c>
      <c r="C1855" t="s">
        <v>40</v>
      </c>
      <c r="D1855">
        <v>5.3274359999999996</v>
      </c>
      <c r="E1855">
        <v>0.45913009999999899</v>
      </c>
      <c r="F1855" t="s">
        <v>71</v>
      </c>
      <c r="G1855">
        <v>-409.07220000000001</v>
      </c>
      <c r="H1855">
        <v>0.79738069999999905</v>
      </c>
      <c r="I1855">
        <v>0.58852389999999999</v>
      </c>
      <c r="J1855">
        <v>-417.6164</v>
      </c>
      <c r="K1855">
        <v>1.1086879999999999</v>
      </c>
      <c r="L1855">
        <v>48.404330000000002</v>
      </c>
      <c r="M1855">
        <v>3.6074649999999998E-3</v>
      </c>
      <c r="N1855">
        <v>0</v>
      </c>
      <c r="O1855">
        <v>-0.99992389999999998</v>
      </c>
      <c r="P1855">
        <v>6.9632589999999994E-2</v>
      </c>
      <c r="Q1855">
        <v>0.14002979999999901</v>
      </c>
      <c r="R1855">
        <v>-0.98769589999999996</v>
      </c>
      <c r="S1855">
        <v>0.53436280000000003</v>
      </c>
      <c r="T1855">
        <v>-1.9440410000000002E-2</v>
      </c>
      <c r="U1855">
        <v>-3.003876</v>
      </c>
      <c r="V1855">
        <v>-6.7659269999999994E-2</v>
      </c>
      <c r="W1855">
        <v>0.1509867</v>
      </c>
      <c r="X1855">
        <v>0.98621760000000003</v>
      </c>
      <c r="Y1855">
        <v>-0.17158489999999901</v>
      </c>
      <c r="Z1855">
        <v>6.3735609999999998E-3</v>
      </c>
      <c r="AA1855">
        <v>0.98514869999999999</v>
      </c>
      <c r="AB1855">
        <v>26</v>
      </c>
      <c r="AC1855">
        <v>8.5441999999999894</v>
      </c>
      <c r="AD1855">
        <v>-0.31130729999999901</v>
      </c>
      <c r="AE1855">
        <v>-47.815806099999897</v>
      </c>
      <c r="AF1855">
        <v>-8.3712946866112592</v>
      </c>
      <c r="AG1855">
        <v>-0.31130729999999901</v>
      </c>
      <c r="AH1855">
        <v>47.844354728371201</v>
      </c>
      <c r="AI1855">
        <v>90.367220750497907</v>
      </c>
      <c r="AJ1855">
        <v>99.924540447982693</v>
      </c>
      <c r="AK1855">
        <v>48.572191286160098</v>
      </c>
      <c r="AL1855">
        <v>81.315888041940198</v>
      </c>
      <c r="AM1855">
        <v>93.924616488360002</v>
      </c>
      <c r="AN1855">
        <v>0.99999995747179005</v>
      </c>
    </row>
    <row r="1856" spans="1:40" x14ac:dyDescent="0.3">
      <c r="A1856" t="str">
        <f>"20200111150354212"</f>
        <v>20200111150354212</v>
      </c>
      <c r="B1856" t="str">
        <f>"1578726234210736"</f>
        <v>1578726234210736</v>
      </c>
      <c r="C1856" t="s">
        <v>40</v>
      </c>
      <c r="D1856">
        <v>5.2572729999999996</v>
      </c>
      <c r="E1856">
        <v>0.46040049999999999</v>
      </c>
      <c r="F1856" t="s">
        <v>71</v>
      </c>
      <c r="G1856">
        <v>-408.92099999999999</v>
      </c>
      <c r="H1856">
        <v>0.40180250000000001</v>
      </c>
      <c r="I1856">
        <v>0.59005929999999995</v>
      </c>
      <c r="J1856">
        <v>-417.60809999999998</v>
      </c>
      <c r="K1856">
        <v>1.1089599999999999</v>
      </c>
      <c r="L1856">
        <v>48.149990000000003</v>
      </c>
      <c r="M1856">
        <v>1.0338379999999999E-2</v>
      </c>
      <c r="N1856">
        <v>0</v>
      </c>
      <c r="O1856">
        <v>-0.99987700000000002</v>
      </c>
      <c r="P1856">
        <v>7.6758980000000004E-2</v>
      </c>
      <c r="Q1856">
        <v>0.14256529999999901</v>
      </c>
      <c r="R1856">
        <v>-0.98680469999999998</v>
      </c>
      <c r="S1856">
        <v>0.54650880000000002</v>
      </c>
      <c r="T1856">
        <v>-4.4429900000000001E-2</v>
      </c>
      <c r="U1856">
        <v>-3.0051570000000001</v>
      </c>
      <c r="V1856">
        <v>-6.8271150000000003E-2</v>
      </c>
      <c r="W1856">
        <v>0.1534557</v>
      </c>
      <c r="X1856">
        <v>0.98579430000000001</v>
      </c>
      <c r="Y1856">
        <v>-0.1687216</v>
      </c>
      <c r="Z1856">
        <v>1.455644E-2</v>
      </c>
      <c r="AA1856">
        <v>0.98555619999999999</v>
      </c>
      <c r="AB1856">
        <v>26</v>
      </c>
      <c r="AC1856">
        <v>8.6870999999999796</v>
      </c>
      <c r="AD1856">
        <v>-0.707157499999999</v>
      </c>
      <c r="AE1856">
        <v>-47.559930700000002</v>
      </c>
      <c r="AF1856">
        <v>-8.1931559738252595</v>
      </c>
      <c r="AG1856">
        <v>-0.707157499999999</v>
      </c>
      <c r="AH1856">
        <v>47.637013835838701</v>
      </c>
      <c r="AI1856">
        <v>90.838171723674407</v>
      </c>
      <c r="AJ1856">
        <v>99.758901831737703</v>
      </c>
      <c r="AK1856">
        <v>48.341627648819703</v>
      </c>
      <c r="AL1856">
        <v>81.172757123779206</v>
      </c>
      <c r="AM1856">
        <v>93.961691545666199</v>
      </c>
      <c r="AN1856">
        <v>1.0000000018486499</v>
      </c>
    </row>
    <row r="1857" spans="1:40" x14ac:dyDescent="0.3">
      <c r="A1857" t="str">
        <f>"20200111150354236"</f>
        <v>20200111150354236</v>
      </c>
      <c r="B1857" t="str">
        <f>"1578726234230256"</f>
        <v>1578726234230256</v>
      </c>
      <c r="C1857" t="s">
        <v>40</v>
      </c>
      <c r="D1857">
        <v>5.3486770000000003</v>
      </c>
      <c r="E1857">
        <v>0.46108650000000001</v>
      </c>
      <c r="F1857" t="s">
        <v>43</v>
      </c>
      <c r="G1857">
        <v>-407.63240000000002</v>
      </c>
      <c r="H1857">
        <v>-0.05</v>
      </c>
      <c r="I1857">
        <v>-5.5337069999999997</v>
      </c>
      <c r="J1857">
        <v>-417.59739999999999</v>
      </c>
      <c r="K1857">
        <v>1.1092150000000001</v>
      </c>
      <c r="L1857">
        <v>47.886659999999999</v>
      </c>
      <c r="M1857">
        <v>1.7655799999999999E-2</v>
      </c>
      <c r="N1857">
        <v>0</v>
      </c>
      <c r="O1857">
        <v>-0.99977479999999996</v>
      </c>
      <c r="P1857">
        <v>8.3951040000000005E-2</v>
      </c>
      <c r="Q1857">
        <v>0.14451149999999999</v>
      </c>
      <c r="R1857">
        <v>-0.98593560000000002</v>
      </c>
      <c r="S1857">
        <v>0.55859380000000003</v>
      </c>
      <c r="T1857">
        <v>-6.4896460000000003E-2</v>
      </c>
      <c r="U1857">
        <v>-3.0060419999999999</v>
      </c>
      <c r="V1857">
        <v>-6.8365399999999896E-2</v>
      </c>
      <c r="W1857">
        <v>0.15534539999999999</v>
      </c>
      <c r="X1857">
        <v>0.98549180000000003</v>
      </c>
      <c r="Y1857">
        <v>-0.16526660000000001</v>
      </c>
      <c r="Z1857">
        <v>2.1248420000000001E-2</v>
      </c>
      <c r="AA1857">
        <v>0.98602000000000001</v>
      </c>
      <c r="AB1857">
        <v>26</v>
      </c>
      <c r="AC1857">
        <v>9.9649999999999697</v>
      </c>
      <c r="AD1857">
        <v>-1.1592149999999899</v>
      </c>
      <c r="AE1857">
        <v>-53.420366999999999</v>
      </c>
      <c r="AF1857">
        <v>-9.0160990113784294</v>
      </c>
      <c r="AG1857">
        <v>-1.1592149999999899</v>
      </c>
      <c r="AH1857">
        <v>53.563617022633302</v>
      </c>
      <c r="AI1857">
        <v>91.222598478582995</v>
      </c>
      <c r="AJ1857">
        <v>99.554748091909104</v>
      </c>
      <c r="AK1857">
        <v>54.329502936678303</v>
      </c>
      <c r="AL1857">
        <v>81.063171628263703</v>
      </c>
      <c r="AM1857">
        <v>93.968357144673703</v>
      </c>
      <c r="AN1857">
        <v>1.0000000545427701</v>
      </c>
    </row>
    <row r="1858" spans="1:40" x14ac:dyDescent="0.3">
      <c r="A1858" t="str">
        <f>"20200111150354258"</f>
        <v>20200111150354258</v>
      </c>
      <c r="B1858" t="str">
        <f>"1578726234250752"</f>
        <v>1578726234250752</v>
      </c>
      <c r="C1858" t="s">
        <v>40</v>
      </c>
      <c r="D1858">
        <v>5.2959250000000004</v>
      </c>
      <c r="E1858">
        <v>0.46176709999999899</v>
      </c>
      <c r="F1858" t="s">
        <v>72</v>
      </c>
      <c r="G1858">
        <v>-409.613</v>
      </c>
      <c r="H1858">
        <v>7.9986570000000007E-2</v>
      </c>
      <c r="I1858">
        <v>6.1669349999999996</v>
      </c>
      <c r="J1858">
        <v>-417.5849</v>
      </c>
      <c r="K1858">
        <v>1.1094379999999999</v>
      </c>
      <c r="L1858">
        <v>47.632539999999999</v>
      </c>
      <c r="M1858">
        <v>2.504667E-2</v>
      </c>
      <c r="N1858">
        <v>0</v>
      </c>
      <c r="O1858">
        <v>-0.99961699999999998</v>
      </c>
      <c r="P1858">
        <v>8.9234590000000003E-2</v>
      </c>
      <c r="Q1858">
        <v>0.1450989</v>
      </c>
      <c r="R1858">
        <v>-0.98538499999999996</v>
      </c>
      <c r="S1858">
        <v>0.57504270000000002</v>
      </c>
      <c r="T1858">
        <v>-7.4126120000000004E-2</v>
      </c>
      <c r="U1858">
        <v>-3.0047000000000001</v>
      </c>
      <c r="V1858">
        <v>-6.6449980000000006E-2</v>
      </c>
      <c r="W1858">
        <v>0.155912</v>
      </c>
      <c r="X1858">
        <v>0.98553329999999995</v>
      </c>
      <c r="Y1858">
        <v>-0.1632535</v>
      </c>
      <c r="Z1858">
        <v>2.4265479999999999E-2</v>
      </c>
      <c r="AA1858">
        <v>0.98628570000000004</v>
      </c>
      <c r="AB1858">
        <v>26</v>
      </c>
      <c r="AC1858">
        <v>7.9718999999999403</v>
      </c>
      <c r="AD1858">
        <v>-1.0294514299999999</v>
      </c>
      <c r="AE1858">
        <v>-41.465604999999996</v>
      </c>
      <c r="AF1858">
        <v>-6.9266343319450296</v>
      </c>
      <c r="AG1858">
        <v>-1.0294514299999999</v>
      </c>
      <c r="AH1858">
        <v>41.627535024610999</v>
      </c>
      <c r="AI1858">
        <v>91.397433475930796</v>
      </c>
      <c r="AJ1858">
        <v>99.447204518346695</v>
      </c>
      <c r="AK1858">
        <v>42.212435438392099</v>
      </c>
      <c r="AL1858">
        <v>81.0303070849764</v>
      </c>
      <c r="AM1858">
        <v>93.8573526850939</v>
      </c>
      <c r="AN1858">
        <v>1.00000001849744</v>
      </c>
    </row>
    <row r="1859" spans="1:40" x14ac:dyDescent="0.3">
      <c r="A1859" t="str">
        <f>"20200111150354280"</f>
        <v>20200111150354280</v>
      </c>
      <c r="B1859" t="str">
        <f>"1578726234270272"</f>
        <v>1578726234270272</v>
      </c>
      <c r="C1859" t="s">
        <v>40</v>
      </c>
      <c r="D1859">
        <v>5.2954319999999999</v>
      </c>
      <c r="E1859">
        <v>0.46218330000000002</v>
      </c>
      <c r="F1859" t="s">
        <v>72</v>
      </c>
      <c r="G1859">
        <v>-410.14370000000002</v>
      </c>
      <c r="H1859">
        <v>3.159642E-2</v>
      </c>
      <c r="I1859">
        <v>9.6162530000000004</v>
      </c>
      <c r="J1859">
        <v>-417.57089999999999</v>
      </c>
      <c r="K1859">
        <v>1.1096429999999999</v>
      </c>
      <c r="L1859">
        <v>47.389800000000001</v>
      </c>
      <c r="M1859">
        <v>3.241695E-2</v>
      </c>
      <c r="N1859">
        <v>0</v>
      </c>
      <c r="O1859">
        <v>-0.99940510000000005</v>
      </c>
      <c r="P1859">
        <v>9.5805559999999998E-2</v>
      </c>
      <c r="Q1859">
        <v>0.14386599999999999</v>
      </c>
      <c r="R1859">
        <v>-0.98494890000000002</v>
      </c>
      <c r="S1859">
        <v>0.58795169999999997</v>
      </c>
      <c r="T1859">
        <v>-8.5163589999999997E-2</v>
      </c>
      <c r="U1859">
        <v>-3.003784</v>
      </c>
      <c r="V1859">
        <v>-6.5810399999999894E-2</v>
      </c>
      <c r="W1859">
        <v>0.1546534</v>
      </c>
      <c r="X1859">
        <v>0.9857745</v>
      </c>
      <c r="Y1859">
        <v>-0.16010079999999999</v>
      </c>
      <c r="Z1859">
        <v>2.7871389999999999E-2</v>
      </c>
      <c r="AA1859">
        <v>0.98670709999999995</v>
      </c>
      <c r="AB1859">
        <v>26</v>
      </c>
      <c r="AC1859">
        <v>7.4271999999999698</v>
      </c>
      <c r="AD1859">
        <v>-1.0780465800000001</v>
      </c>
      <c r="AE1859">
        <v>-37.773547000000001</v>
      </c>
      <c r="AF1859">
        <v>-6.1938507164920704</v>
      </c>
      <c r="AG1859">
        <v>-1.0780465800000001</v>
      </c>
      <c r="AH1859">
        <v>37.964703719865803</v>
      </c>
      <c r="AI1859">
        <v>91.605322245412694</v>
      </c>
      <c r="AJ1859">
        <v>99.2660333069133</v>
      </c>
      <c r="AK1859">
        <v>38.481745018437401</v>
      </c>
      <c r="AL1859">
        <v>81.103305064592206</v>
      </c>
      <c r="AM1859">
        <v>93.819404206679906</v>
      </c>
      <c r="AN1859">
        <v>1.00000002386498</v>
      </c>
    </row>
    <row r="1860" spans="1:40" x14ac:dyDescent="0.3">
      <c r="A1860" t="str">
        <f>"20200111150354302"</f>
        <v>20200111150354302</v>
      </c>
      <c r="B1860" t="str">
        <f>"1578726234290768"</f>
        <v>1578726234290768</v>
      </c>
      <c r="C1860" t="s">
        <v>40</v>
      </c>
      <c r="D1860">
        <v>4.6962549999999998</v>
      </c>
      <c r="E1860">
        <v>0.42704979999999998</v>
      </c>
      <c r="F1860" t="s">
        <v>72</v>
      </c>
      <c r="G1860">
        <v>-410.8329</v>
      </c>
      <c r="H1860" s="1">
        <v>-1.116126E-5</v>
      </c>
      <c r="I1860">
        <v>13.94121</v>
      </c>
      <c r="J1860">
        <v>-417.55430000000001</v>
      </c>
      <c r="K1860">
        <v>1.1098460000000001</v>
      </c>
      <c r="L1860">
        <v>47.139339999999997</v>
      </c>
      <c r="M1860">
        <v>4.0336810000000001E-2</v>
      </c>
      <c r="N1860">
        <v>0</v>
      </c>
      <c r="O1860">
        <v>-0.99911700000000003</v>
      </c>
      <c r="P1860">
        <v>0.104907399999999</v>
      </c>
      <c r="Q1860">
        <v>0.14342189999999999</v>
      </c>
      <c r="R1860">
        <v>-0.98408580000000001</v>
      </c>
      <c r="S1860">
        <v>0.60464479999999998</v>
      </c>
      <c r="T1860">
        <v>-9.9577429999999995E-2</v>
      </c>
      <c r="U1860">
        <v>-3.0015869999999998</v>
      </c>
      <c r="V1860">
        <v>-6.7183899999999894E-2</v>
      </c>
      <c r="W1860">
        <v>0.15415960000000001</v>
      </c>
      <c r="X1860">
        <v>0.9857591</v>
      </c>
      <c r="Y1860">
        <v>-0.1576642</v>
      </c>
      <c r="Z1860">
        <v>3.2582060000000003E-2</v>
      </c>
      <c r="AA1860">
        <v>0.98695509999999997</v>
      </c>
      <c r="AB1860">
        <v>26</v>
      </c>
      <c r="AC1860">
        <v>6.7214000000000098</v>
      </c>
      <c r="AD1860">
        <v>-1.1098571612599999</v>
      </c>
      <c r="AE1860">
        <v>-33.198129999999999</v>
      </c>
      <c r="AF1860">
        <v>-5.3709632884968599</v>
      </c>
      <c r="AG1860">
        <v>-1.1098571612599999</v>
      </c>
      <c r="AH1860">
        <v>33.406379671948002</v>
      </c>
      <c r="AI1860">
        <v>91.878723548407393</v>
      </c>
      <c r="AJ1860">
        <v>99.1336554701642</v>
      </c>
      <c r="AK1860">
        <v>33.853585221525996</v>
      </c>
      <c r="AL1860">
        <v>81.131940310489895</v>
      </c>
      <c r="AM1860">
        <v>93.898934690622099</v>
      </c>
      <c r="AN1860">
        <v>0.99999993096208695</v>
      </c>
    </row>
    <row r="1861" spans="1:40" x14ac:dyDescent="0.3">
      <c r="A1861" t="str">
        <f>"20200111150354325"</f>
        <v>20200111150354325</v>
      </c>
      <c r="B1861" t="str">
        <f>"1578726234320048"</f>
        <v>1578726234320048</v>
      </c>
      <c r="C1861" t="s">
        <v>40</v>
      </c>
      <c r="D1861">
        <v>6.9835789999999998</v>
      </c>
      <c r="E1861">
        <v>0.30121150000000002</v>
      </c>
      <c r="F1861" t="s">
        <v>71</v>
      </c>
      <c r="G1861">
        <v>-403.22019999999998</v>
      </c>
      <c r="H1861">
        <v>5.4531409999999996</v>
      </c>
      <c r="I1861">
        <v>0.64805409999999997</v>
      </c>
      <c r="J1861">
        <v>-417.53449999999998</v>
      </c>
      <c r="K1861">
        <v>1.110066</v>
      </c>
      <c r="L1861">
        <v>46.877780000000001</v>
      </c>
      <c r="M1861">
        <v>4.892842E-2</v>
      </c>
      <c r="N1861">
        <v>0</v>
      </c>
      <c r="O1861">
        <v>-0.99873290000000003</v>
      </c>
      <c r="P1861">
        <v>0.1150798</v>
      </c>
      <c r="Q1861">
        <v>0.1447098</v>
      </c>
      <c r="R1861">
        <v>-0.98275950000000001</v>
      </c>
      <c r="S1861">
        <v>0.89816280000000004</v>
      </c>
      <c r="T1861">
        <v>0.27214660000000002</v>
      </c>
      <c r="U1861">
        <v>-2.913116</v>
      </c>
      <c r="V1861">
        <v>-6.9015259999999995E-2</v>
      </c>
      <c r="W1861">
        <v>0.1553911</v>
      </c>
      <c r="X1861">
        <v>0.98543919999999996</v>
      </c>
      <c r="Y1861">
        <v>-0.24634110000000001</v>
      </c>
      <c r="Z1861">
        <v>-8.935999E-2</v>
      </c>
      <c r="AA1861">
        <v>0.96505479999999999</v>
      </c>
      <c r="AB1861">
        <v>26</v>
      </c>
      <c r="AC1861">
        <v>14.314299999999999</v>
      </c>
      <c r="AD1861">
        <v>4.3430749999999998</v>
      </c>
      <c r="AE1861">
        <v>-46.229725899999998</v>
      </c>
      <c r="AF1861">
        <v>-11.938897522700699</v>
      </c>
      <c r="AG1861">
        <v>4.3430749999999998</v>
      </c>
      <c r="AH1861">
        <v>46.500276895655603</v>
      </c>
      <c r="AI1861">
        <v>84.830821192495904</v>
      </c>
      <c r="AJ1861">
        <v>104.399601970327</v>
      </c>
      <c r="AK1861">
        <v>48.204515617168198</v>
      </c>
      <c r="AL1861">
        <v>81.060520158249503</v>
      </c>
      <c r="AM1861">
        <v>94.006169992613593</v>
      </c>
      <c r="AN1861">
        <v>0.99999995848435796</v>
      </c>
    </row>
    <row r="1862" spans="1:40" x14ac:dyDescent="0.3">
      <c r="A1862" t="str">
        <f>"20200111150354347"</f>
        <v>20200111150354347</v>
      </c>
      <c r="B1862" t="str">
        <f>"1578726234340544"</f>
        <v>1578726234340544</v>
      </c>
      <c r="C1862" t="s">
        <v>40</v>
      </c>
      <c r="D1862">
        <v>7.2961419999999997</v>
      </c>
      <c r="E1862">
        <v>0.30650450000000001</v>
      </c>
      <c r="F1862" t="s">
        <v>71</v>
      </c>
      <c r="G1862">
        <v>-385.4665</v>
      </c>
      <c r="H1862">
        <v>10.027419999999999</v>
      </c>
      <c r="I1862">
        <v>0.88757509999999995</v>
      </c>
      <c r="J1862">
        <v>-417.51299999999998</v>
      </c>
      <c r="K1862">
        <v>1.1102799999999999</v>
      </c>
      <c r="L1862">
        <v>46.62744</v>
      </c>
      <c r="M1862">
        <v>5.7440440000000002E-2</v>
      </c>
      <c r="N1862">
        <v>0</v>
      </c>
      <c r="O1862">
        <v>-0.99827929999999998</v>
      </c>
      <c r="P1862">
        <v>0.123369699999999</v>
      </c>
      <c r="Q1862">
        <v>0.14664269999999999</v>
      </c>
      <c r="R1862">
        <v>-0.98146610000000001</v>
      </c>
      <c r="S1862">
        <v>1.9172359999999999</v>
      </c>
      <c r="T1862">
        <v>0.53313759999999999</v>
      </c>
      <c r="U1862">
        <v>-2.749603</v>
      </c>
      <c r="V1862">
        <v>-6.9056179999999995E-2</v>
      </c>
      <c r="W1862">
        <v>0.1572971</v>
      </c>
      <c r="X1862">
        <v>0.98513390000000001</v>
      </c>
      <c r="Y1862">
        <v>-0.51662580000000002</v>
      </c>
      <c r="Z1862">
        <v>-0.15935089999999999</v>
      </c>
      <c r="AA1862">
        <v>0.84125209999999995</v>
      </c>
      <c r="AB1862">
        <v>26</v>
      </c>
      <c r="AC1862">
        <v>32.046500000000002</v>
      </c>
      <c r="AD1862">
        <v>8.9171399999999998</v>
      </c>
      <c r="AE1862">
        <v>-45.739864900000001</v>
      </c>
      <c r="AF1862">
        <v>-28.636063562846299</v>
      </c>
      <c r="AG1862">
        <v>8.9171399999999998</v>
      </c>
      <c r="AH1862">
        <v>46.324285483267303</v>
      </c>
      <c r="AI1862">
        <v>80.701163114799201</v>
      </c>
      <c r="AJ1862">
        <v>121.722916174144</v>
      </c>
      <c r="AK1862">
        <v>55.185858221923297</v>
      </c>
      <c r="AL1862">
        <v>80.949954797998501</v>
      </c>
      <c r="AM1862">
        <v>94.009775781859304</v>
      </c>
      <c r="AN1862">
        <v>0.99999996729690499</v>
      </c>
    </row>
    <row r="1863" spans="1:40" x14ac:dyDescent="0.3">
      <c r="A1863" t="str">
        <f>"20200111150354369"</f>
        <v>20200111150354369</v>
      </c>
      <c r="B1863" t="str">
        <f>"1578726234360064"</f>
        <v>1578726234360064</v>
      </c>
      <c r="C1863" t="s">
        <v>40</v>
      </c>
      <c r="D1863">
        <v>5.4039979999999996</v>
      </c>
      <c r="E1863">
        <v>0.39430900000000002</v>
      </c>
      <c r="F1863" t="s">
        <v>71</v>
      </c>
      <c r="G1863">
        <v>-385.73219999999998</v>
      </c>
      <c r="H1863">
        <v>10.33295</v>
      </c>
      <c r="I1863">
        <v>0.82592389999999904</v>
      </c>
      <c r="J1863">
        <v>-417.48970000000003</v>
      </c>
      <c r="K1863">
        <v>1.1104689999999999</v>
      </c>
      <c r="L1863">
        <v>46.382840000000002</v>
      </c>
      <c r="M1863">
        <v>6.6014799999999998E-2</v>
      </c>
      <c r="N1863">
        <v>0</v>
      </c>
      <c r="O1863">
        <v>-0.99774890000000005</v>
      </c>
      <c r="P1863">
        <v>0.13157669999999999</v>
      </c>
      <c r="Q1863">
        <v>0.14758769999999999</v>
      </c>
      <c r="R1863">
        <v>-0.98025799999999996</v>
      </c>
      <c r="S1863">
        <v>1.898285</v>
      </c>
      <c r="T1863">
        <v>0.55087299999999995</v>
      </c>
      <c r="U1863">
        <v>-2.7357480000000001</v>
      </c>
      <c r="V1863">
        <v>-6.8931690000000004E-2</v>
      </c>
      <c r="W1863">
        <v>0.1582247</v>
      </c>
      <c r="X1863">
        <v>0.98499409999999998</v>
      </c>
      <c r="Y1863">
        <v>-0.50674799999999998</v>
      </c>
      <c r="Z1863">
        <v>-0.16582459999999999</v>
      </c>
      <c r="AA1863">
        <v>0.84599570000000002</v>
      </c>
      <c r="AB1863">
        <v>26</v>
      </c>
      <c r="AC1863">
        <v>31.7575</v>
      </c>
      <c r="AD1863">
        <v>9.2224810000000002</v>
      </c>
      <c r="AE1863">
        <v>-45.556916100000002</v>
      </c>
      <c r="AF1863">
        <v>-27.910811800560602</v>
      </c>
      <c r="AG1863">
        <v>9.2224810000000002</v>
      </c>
      <c r="AH1863">
        <v>46.277821639926501</v>
      </c>
      <c r="AI1863">
        <v>80.315725101598204</v>
      </c>
      <c r="AJ1863">
        <v>121.094775589873</v>
      </c>
      <c r="AK1863">
        <v>54.824304344866299</v>
      </c>
      <c r="AL1863">
        <v>80.896133588970898</v>
      </c>
      <c r="AM1863">
        <v>94.003136971268404</v>
      </c>
      <c r="AN1863">
        <v>1.00000000530557</v>
      </c>
    </row>
    <row r="1864" spans="1:40" x14ac:dyDescent="0.3">
      <c r="A1864" t="str">
        <f>"20200111150354391"</f>
        <v>20200111150354391</v>
      </c>
      <c r="B1864" t="str">
        <f>"1578726234380560"</f>
        <v>1578726234380560</v>
      </c>
      <c r="C1864" t="s">
        <v>40</v>
      </c>
      <c r="D1864">
        <v>5.3586589999999896</v>
      </c>
      <c r="E1864">
        <v>0.39528469999999999</v>
      </c>
      <c r="F1864" t="s">
        <v>72</v>
      </c>
      <c r="G1864">
        <v>-405.57260000000002</v>
      </c>
      <c r="H1864" s="1">
        <v>-5.5600570000000002E-6</v>
      </c>
      <c r="I1864">
        <v>18.601839999999999</v>
      </c>
      <c r="J1864">
        <v>-417.4633</v>
      </c>
      <c r="K1864">
        <v>1.110619</v>
      </c>
      <c r="L1864">
        <v>46.133789999999998</v>
      </c>
      <c r="M1864">
        <v>7.4982370000000007E-2</v>
      </c>
      <c r="N1864">
        <v>0</v>
      </c>
      <c r="O1864">
        <v>-0.99711479999999997</v>
      </c>
      <c r="P1864">
        <v>0.14278779999999999</v>
      </c>
      <c r="Q1864">
        <v>0.1460719</v>
      </c>
      <c r="R1864">
        <v>-0.97891499999999998</v>
      </c>
      <c r="S1864">
        <v>1.2484440000000001</v>
      </c>
      <c r="T1864">
        <v>-0.1163346</v>
      </c>
      <c r="U1864">
        <v>-2.9103699999999999</v>
      </c>
      <c r="V1864">
        <v>-7.137918E-2</v>
      </c>
      <c r="W1864">
        <v>0.15665850000000001</v>
      </c>
      <c r="X1864">
        <v>0.98507009999999995</v>
      </c>
      <c r="Y1864">
        <v>-0.32392910000000003</v>
      </c>
      <c r="Z1864">
        <v>3.7065580000000001E-2</v>
      </c>
      <c r="AA1864">
        <v>0.94535499999999995</v>
      </c>
      <c r="AB1864">
        <v>26</v>
      </c>
      <c r="AC1864">
        <v>11.890699999999899</v>
      </c>
      <c r="AD1864">
        <v>-1.1106245600569999</v>
      </c>
      <c r="AE1864">
        <v>-27.531949999999998</v>
      </c>
      <c r="AF1864">
        <v>-9.7792543743692004</v>
      </c>
      <c r="AG1864">
        <v>-1.1106245600569999</v>
      </c>
      <c r="AH1864">
        <v>28.307265730128002</v>
      </c>
      <c r="AI1864">
        <v>92.123784407113007</v>
      </c>
      <c r="AJ1864">
        <v>109.058393021231</v>
      </c>
      <c r="AK1864">
        <v>29.969461058686001</v>
      </c>
      <c r="AL1864">
        <v>80.987003389029198</v>
      </c>
      <c r="AM1864">
        <v>94.144466864081295</v>
      </c>
      <c r="AN1864">
        <v>0.99999998743686602</v>
      </c>
    </row>
    <row r="1865" spans="1:40" x14ac:dyDescent="0.3">
      <c r="A1865" t="str">
        <f>"20200111150354413"</f>
        <v>20200111150354413</v>
      </c>
      <c r="B1865" t="str">
        <f>"1578726234410816"</f>
        <v>1578726234410816</v>
      </c>
      <c r="C1865" t="s">
        <v>40</v>
      </c>
      <c r="D1865">
        <v>5.4756340000000003</v>
      </c>
      <c r="E1865">
        <v>0.3971961</v>
      </c>
      <c r="F1865" t="s">
        <v>72</v>
      </c>
      <c r="G1865">
        <v>-406.23910000000001</v>
      </c>
      <c r="H1865" s="1">
        <v>-3.29361E-6</v>
      </c>
      <c r="I1865">
        <v>20.602429999999998</v>
      </c>
      <c r="J1865">
        <v>-417.43419999999998</v>
      </c>
      <c r="K1865">
        <v>1.110722</v>
      </c>
      <c r="L1865">
        <v>45.881990000000002</v>
      </c>
      <c r="M1865">
        <v>8.4228239999999996E-2</v>
      </c>
      <c r="N1865">
        <v>0</v>
      </c>
      <c r="O1865">
        <v>-0.99637629999999999</v>
      </c>
      <c r="P1865">
        <v>0.15621350000000001</v>
      </c>
      <c r="Q1865">
        <v>0.1432388</v>
      </c>
      <c r="R1865">
        <v>-0.97728199999999998</v>
      </c>
      <c r="S1865">
        <v>1.273865</v>
      </c>
      <c r="T1865">
        <v>-0.1260471</v>
      </c>
      <c r="U1865">
        <v>-2.8976139999999999</v>
      </c>
      <c r="V1865">
        <v>-7.5743379999999999E-2</v>
      </c>
      <c r="W1865">
        <v>0.15374930000000001</v>
      </c>
      <c r="X1865">
        <v>0.98520260000000004</v>
      </c>
      <c r="Y1865">
        <v>-0.32358480000000001</v>
      </c>
      <c r="Z1865">
        <v>4.0206680000000002E-2</v>
      </c>
      <c r="AA1865">
        <v>0.94534459999999998</v>
      </c>
      <c r="AB1865">
        <v>26</v>
      </c>
      <c r="AC1865">
        <v>11.195099999999901</v>
      </c>
      <c r="AD1865">
        <v>-1.1107252936100001</v>
      </c>
      <c r="AE1865">
        <v>-25.27956</v>
      </c>
      <c r="AF1865">
        <v>-9.01136648985179</v>
      </c>
      <c r="AG1865">
        <v>-1.1107252936100001</v>
      </c>
      <c r="AH1865">
        <v>26.0906157686589</v>
      </c>
      <c r="AI1865">
        <v>92.304299657662497</v>
      </c>
      <c r="AJ1865">
        <v>109.05426067518199</v>
      </c>
      <c r="AK1865">
        <v>27.625326566035</v>
      </c>
      <c r="AL1865">
        <v>81.155733348621695</v>
      </c>
      <c r="AM1865">
        <v>94.396309791771401</v>
      </c>
      <c r="AN1865">
        <v>1.00000003495553</v>
      </c>
    </row>
    <row r="1866" spans="1:40" x14ac:dyDescent="0.3">
      <c r="A1866" t="str">
        <f>"20200111150354437"</f>
        <v>20200111150354437</v>
      </c>
      <c r="B1866" t="str">
        <f>"1578726234430336"</f>
        <v>1578726234430336</v>
      </c>
      <c r="C1866" t="s">
        <v>40</v>
      </c>
      <c r="D1866">
        <v>5.4211390000000002</v>
      </c>
      <c r="E1866">
        <v>0.3991653</v>
      </c>
      <c r="F1866" t="s">
        <v>72</v>
      </c>
      <c r="G1866">
        <v>-407.38470000000001</v>
      </c>
      <c r="H1866" s="1">
        <v>-3.2692930000000002E-6</v>
      </c>
      <c r="I1866">
        <v>23.54261</v>
      </c>
      <c r="J1866">
        <v>-417.4015</v>
      </c>
      <c r="K1866">
        <v>1.1108089999999999</v>
      </c>
      <c r="L1866">
        <v>45.622500000000002</v>
      </c>
      <c r="M1866">
        <v>9.3902219999999995E-2</v>
      </c>
      <c r="N1866">
        <v>0</v>
      </c>
      <c r="O1866">
        <v>-0.99551089999999998</v>
      </c>
      <c r="P1866">
        <v>0.1705757</v>
      </c>
      <c r="Q1866">
        <v>0.1411289</v>
      </c>
      <c r="R1866">
        <v>-0.97518559999999999</v>
      </c>
      <c r="S1866">
        <v>1.2971189999999999</v>
      </c>
      <c r="T1866">
        <v>-0.143365299999999</v>
      </c>
      <c r="U1866">
        <v>-2.8834230000000001</v>
      </c>
      <c r="V1866">
        <v>-8.0651100000000003E-2</v>
      </c>
      <c r="W1866">
        <v>0.15155469999999999</v>
      </c>
      <c r="X1866">
        <v>0.9851531</v>
      </c>
      <c r="Y1866">
        <v>-0.32236890000000001</v>
      </c>
      <c r="Z1866">
        <v>4.5802040000000002E-2</v>
      </c>
      <c r="AA1866">
        <v>0.94550540000000005</v>
      </c>
      <c r="AB1866">
        <v>26</v>
      </c>
      <c r="AC1866">
        <v>10.0167999999999</v>
      </c>
      <c r="AD1866">
        <v>-1.110812269293</v>
      </c>
      <c r="AE1866">
        <v>-22.079889999999999</v>
      </c>
      <c r="AF1866">
        <v>-7.8824922882811803</v>
      </c>
      <c r="AG1866">
        <v>-1.110812269293</v>
      </c>
      <c r="AH1866">
        <v>22.874966236606401</v>
      </c>
      <c r="AI1866">
        <v>92.628650898455007</v>
      </c>
      <c r="AJ1866">
        <v>109.013456257736</v>
      </c>
      <c r="AK1866">
        <v>24.220480360602</v>
      </c>
      <c r="AL1866">
        <v>81.282965799262996</v>
      </c>
      <c r="AM1866">
        <v>94.680171549081507</v>
      </c>
      <c r="AN1866">
        <v>1.0000000287314501</v>
      </c>
    </row>
    <row r="1867" spans="1:40" x14ac:dyDescent="0.3">
      <c r="A1867" t="str">
        <f>"20200111150354458"</f>
        <v>20200111150354458</v>
      </c>
      <c r="B1867" t="str">
        <f>"1578726234450832"</f>
        <v>1578726234450832</v>
      </c>
      <c r="C1867" t="s">
        <v>40</v>
      </c>
      <c r="D1867">
        <v>5.4377779999999998</v>
      </c>
      <c r="E1867">
        <v>0.39922390000000002</v>
      </c>
      <c r="F1867" t="s">
        <v>72</v>
      </c>
      <c r="G1867">
        <v>-408.15350000000001</v>
      </c>
      <c r="H1867" s="1">
        <v>-3.2667719999999999E-6</v>
      </c>
      <c r="I1867">
        <v>25.577850000000002</v>
      </c>
      <c r="J1867">
        <v>-417.36810000000003</v>
      </c>
      <c r="K1867">
        <v>1.11087</v>
      </c>
      <c r="L1867">
        <v>45.376370000000001</v>
      </c>
      <c r="M1867">
        <v>0.1031772</v>
      </c>
      <c r="N1867">
        <v>0</v>
      </c>
      <c r="O1867">
        <v>-0.99459229999999998</v>
      </c>
      <c r="P1867">
        <v>0.1819229</v>
      </c>
      <c r="Q1867">
        <v>0.14031289999999999</v>
      </c>
      <c r="R1867">
        <v>-0.97325030000000001</v>
      </c>
      <c r="S1867">
        <v>1.323151</v>
      </c>
      <c r="T1867">
        <v>-0.1589295</v>
      </c>
      <c r="U1867">
        <v>-2.8678889999999999</v>
      </c>
      <c r="V1867">
        <v>-8.2944909999999997E-2</v>
      </c>
      <c r="W1867">
        <v>0.15069869999999999</v>
      </c>
      <c r="X1867">
        <v>0.98509400000000003</v>
      </c>
      <c r="Y1867">
        <v>-0.3224592</v>
      </c>
      <c r="Z1867">
        <v>5.0847719999999999E-2</v>
      </c>
      <c r="AA1867">
        <v>0.94521670000000002</v>
      </c>
      <c r="AB1867">
        <v>26</v>
      </c>
      <c r="AC1867">
        <v>9.2146000000000097</v>
      </c>
      <c r="AD1867">
        <v>-1.110873266772</v>
      </c>
      <c r="AE1867">
        <v>-19.79852</v>
      </c>
      <c r="AF1867">
        <v>-7.1041319382291004</v>
      </c>
      <c r="AG1867">
        <v>-1.110873266772</v>
      </c>
      <c r="AH1867">
        <v>20.590362427029</v>
      </c>
      <c r="AI1867">
        <v>92.919605469758807</v>
      </c>
      <c r="AJ1867">
        <v>109.035570510657</v>
      </c>
      <c r="AK1867">
        <v>21.809762834267701</v>
      </c>
      <c r="AL1867">
        <v>81.332581228030094</v>
      </c>
      <c r="AM1867">
        <v>94.812951749305597</v>
      </c>
      <c r="AN1867">
        <v>1.0000000725562901</v>
      </c>
    </row>
    <row r="1868" spans="1:40" x14ac:dyDescent="0.3">
      <c r="A1868" t="str">
        <f>"20200111150354481"</f>
        <v>20200111150354481</v>
      </c>
      <c r="B1868" t="str">
        <f>"1578726234470352"</f>
        <v>1578726234470352</v>
      </c>
      <c r="C1868" t="s">
        <v>40</v>
      </c>
      <c r="D1868">
        <v>5.3802370000000002</v>
      </c>
      <c r="E1868">
        <v>0.4005821</v>
      </c>
      <c r="F1868" t="s">
        <v>72</v>
      </c>
      <c r="G1868">
        <v>-408.34320000000002</v>
      </c>
      <c r="H1868" s="1">
        <v>-3.3359340000000002E-6</v>
      </c>
      <c r="I1868">
        <v>26.395510000000002</v>
      </c>
      <c r="J1868">
        <v>-417.33159999999998</v>
      </c>
      <c r="K1868">
        <v>1.1109</v>
      </c>
      <c r="L1868">
        <v>45.125610000000002</v>
      </c>
      <c r="M1868">
        <v>0.112688</v>
      </c>
      <c r="N1868">
        <v>0</v>
      </c>
      <c r="O1868">
        <v>-0.99355970000000005</v>
      </c>
      <c r="P1868">
        <v>0.19418740000000001</v>
      </c>
      <c r="Q1868">
        <v>0.140321</v>
      </c>
      <c r="R1868">
        <v>-0.97087679999999998</v>
      </c>
      <c r="S1868">
        <v>1.356506</v>
      </c>
      <c r="T1868">
        <v>-0.1669725</v>
      </c>
      <c r="U1868">
        <v>-2.8529659999999999</v>
      </c>
      <c r="V1868">
        <v>-8.5968729999999993E-2</v>
      </c>
      <c r="W1868">
        <v>0.15065490000000001</v>
      </c>
      <c r="X1868">
        <v>0.98484130000000003</v>
      </c>
      <c r="Y1868">
        <v>-0.32427889999999998</v>
      </c>
      <c r="Z1868">
        <v>5.3438069999999997E-2</v>
      </c>
      <c r="AA1868">
        <v>0.94445100000000004</v>
      </c>
      <c r="AB1868">
        <v>26</v>
      </c>
      <c r="AC1868">
        <v>8.9883999999999507</v>
      </c>
      <c r="AD1868">
        <v>-1.1109033359339999</v>
      </c>
      <c r="AE1868">
        <v>-18.7301</v>
      </c>
      <c r="AF1868">
        <v>-6.80088784213648</v>
      </c>
      <c r="AG1868">
        <v>-1.1109033359339999</v>
      </c>
      <c r="AH1868">
        <v>19.567785735526201</v>
      </c>
      <c r="AI1868">
        <v>93.069576095323001</v>
      </c>
      <c r="AJ1868">
        <v>109.165166900485</v>
      </c>
      <c r="AK1868">
        <v>20.745708478009799</v>
      </c>
      <c r="AL1868">
        <v>81.335118728418706</v>
      </c>
      <c r="AM1868">
        <v>94.988815289806297</v>
      </c>
      <c r="AN1868">
        <v>0.99999995380875495</v>
      </c>
    </row>
    <row r="1869" spans="1:40" x14ac:dyDescent="0.3">
      <c r="A1869" t="str">
        <f>"20200111150354497"</f>
        <v>20200111150354497</v>
      </c>
      <c r="B1869" t="str">
        <f>"1578726234490848"</f>
        <v>1578726234490848</v>
      </c>
      <c r="C1869" t="s">
        <v>40</v>
      </c>
      <c r="D1869">
        <v>4.712358</v>
      </c>
      <c r="E1869">
        <v>0.40068520000000002</v>
      </c>
      <c r="F1869" t="s">
        <v>72</v>
      </c>
      <c r="G1869">
        <v>-408.93669999999997</v>
      </c>
      <c r="H1869" s="1">
        <v>-3.2992129999999998E-6</v>
      </c>
      <c r="I1869">
        <v>27.86683</v>
      </c>
      <c r="J1869">
        <v>-417.30270000000002</v>
      </c>
      <c r="K1869">
        <v>1.1109169999999999</v>
      </c>
      <c r="L1869">
        <v>44.938389999999998</v>
      </c>
      <c r="M1869">
        <v>0.1198096</v>
      </c>
      <c r="N1869">
        <v>0</v>
      </c>
      <c r="O1869">
        <v>-0.99272590000000005</v>
      </c>
      <c r="P1869">
        <v>0.20203679999999999</v>
      </c>
      <c r="Q1869">
        <v>0.14082529999999999</v>
      </c>
      <c r="R1869">
        <v>-0.96920039999999996</v>
      </c>
      <c r="S1869">
        <v>1.38147</v>
      </c>
      <c r="T1869">
        <v>-0.18281120000000001</v>
      </c>
      <c r="U1869">
        <v>-2.8401179999999999</v>
      </c>
      <c r="V1869">
        <v>-8.6900870000000005E-2</v>
      </c>
      <c r="W1869">
        <v>0.1511441</v>
      </c>
      <c r="X1869">
        <v>0.98468460000000002</v>
      </c>
      <c r="Y1869">
        <v>-0.32576319999999998</v>
      </c>
      <c r="Z1869">
        <v>5.8531340000000001E-2</v>
      </c>
      <c r="AA1869">
        <v>0.94363779999999997</v>
      </c>
      <c r="AB1869">
        <v>26</v>
      </c>
      <c r="AC1869">
        <v>8.3660000000000405</v>
      </c>
      <c r="AD1869">
        <v>-1.1109202992129901</v>
      </c>
      <c r="AE1869">
        <v>-17.071560000000002</v>
      </c>
      <c r="AF1869">
        <v>-6.23894560079958</v>
      </c>
      <c r="AG1869">
        <v>-1.1109202992129901</v>
      </c>
      <c r="AH1869">
        <v>17.889884625897398</v>
      </c>
      <c r="AI1869">
        <v>93.355660661861705</v>
      </c>
      <c r="AJ1869">
        <v>109.225784546637</v>
      </c>
      <c r="AK1869">
        <v>18.979108462961602</v>
      </c>
      <c r="AL1869">
        <v>81.306765630186803</v>
      </c>
      <c r="AM1869">
        <v>95.043428833973707</v>
      </c>
      <c r="AN1869">
        <v>1.00000003082436</v>
      </c>
    </row>
    <row r="1870" spans="1:40" x14ac:dyDescent="0.3">
      <c r="A1870" t="str">
        <f>"20200111150354512"</f>
        <v>20200111150354512</v>
      </c>
      <c r="B1870" t="str">
        <f>"1578726234510368"</f>
        <v>1578726234510368</v>
      </c>
      <c r="C1870" t="s">
        <v>40</v>
      </c>
      <c r="D1870">
        <v>4.189381</v>
      </c>
      <c r="E1870">
        <v>0.37760349999999998</v>
      </c>
      <c r="F1870" t="s">
        <v>72</v>
      </c>
      <c r="G1870">
        <v>-408.77100000000002</v>
      </c>
      <c r="H1870" s="1">
        <v>-3.3602029999999999E-6</v>
      </c>
      <c r="I1870">
        <v>27.74119</v>
      </c>
      <c r="J1870">
        <v>-417.27670000000001</v>
      </c>
      <c r="K1870">
        <v>1.1109279999999999</v>
      </c>
      <c r="L1870">
        <v>44.776490000000003</v>
      </c>
      <c r="M1870">
        <v>0.12597159999999999</v>
      </c>
      <c r="N1870">
        <v>0</v>
      </c>
      <c r="O1870">
        <v>-0.99196289999999998</v>
      </c>
      <c r="P1870">
        <v>0.20844109999999999</v>
      </c>
      <c r="Q1870">
        <v>0.1413044</v>
      </c>
      <c r="R1870">
        <v>-0.96777360000000001</v>
      </c>
      <c r="S1870">
        <v>1.4036249999999999</v>
      </c>
      <c r="T1870">
        <v>-0.18276880000000001</v>
      </c>
      <c r="U1870">
        <v>-2.829285</v>
      </c>
      <c r="V1870">
        <v>-8.7319399999999894E-2</v>
      </c>
      <c r="W1870">
        <v>0.15161640000000001</v>
      </c>
      <c r="X1870">
        <v>0.98457490000000003</v>
      </c>
      <c r="Y1870">
        <v>-0.327262</v>
      </c>
      <c r="Z1870">
        <v>5.8538590000000001E-2</v>
      </c>
      <c r="AA1870">
        <v>0.94311869999999998</v>
      </c>
      <c r="AB1870">
        <v>26</v>
      </c>
      <c r="AC1870">
        <v>8.50570000000004</v>
      </c>
      <c r="AD1870">
        <v>-1.110931360203</v>
      </c>
      <c r="AE1870">
        <v>-17.035299999999999</v>
      </c>
      <c r="AF1870">
        <v>-6.2704720604570099</v>
      </c>
      <c r="AG1870">
        <v>-1.110931360203</v>
      </c>
      <c r="AH1870">
        <v>17.910158253295499</v>
      </c>
      <c r="AI1870">
        <v>93.350482401356004</v>
      </c>
      <c r="AJ1870">
        <v>109.295508450919</v>
      </c>
      <c r="AK1870">
        <v>19.008596923659098</v>
      </c>
      <c r="AL1870">
        <v>81.279388822230104</v>
      </c>
      <c r="AM1870">
        <v>95.068154387786805</v>
      </c>
      <c r="AN1870">
        <v>0.999999972037664</v>
      </c>
    </row>
    <row r="1871" spans="1:40" x14ac:dyDescent="0.3">
      <c r="A1871" t="str">
        <f>"20200111150354527"</f>
        <v>20200111150354527</v>
      </c>
      <c r="B1871" t="str">
        <f>"1578726234520128"</f>
        <v>1578726234520128</v>
      </c>
      <c r="C1871" t="s">
        <v>40</v>
      </c>
      <c r="D1871">
        <v>5.3805969999999999</v>
      </c>
      <c r="E1871">
        <v>0.37760349999999998</v>
      </c>
      <c r="F1871" t="s">
        <v>71</v>
      </c>
      <c r="G1871">
        <v>-391.6112</v>
      </c>
      <c r="H1871">
        <v>5.4782630000000001</v>
      </c>
      <c r="I1871">
        <v>0.76612089999999999</v>
      </c>
      <c r="J1871">
        <v>-417.24799999999999</v>
      </c>
      <c r="K1871">
        <v>1.1109370000000001</v>
      </c>
      <c r="L1871">
        <v>44.60519</v>
      </c>
      <c r="M1871">
        <v>0.13249369999999999</v>
      </c>
      <c r="N1871">
        <v>0</v>
      </c>
      <c r="O1871">
        <v>-0.99111269999999996</v>
      </c>
      <c r="P1871">
        <v>0.21507770000000001</v>
      </c>
      <c r="Q1871">
        <v>0.1420285</v>
      </c>
      <c r="R1871">
        <v>-0.96621409999999996</v>
      </c>
      <c r="S1871">
        <v>1.5856319999999999</v>
      </c>
      <c r="T1871">
        <v>0.26981539999999998</v>
      </c>
      <c r="U1871">
        <v>-2.7189939999999999</v>
      </c>
      <c r="V1871">
        <v>-8.762884E-2</v>
      </c>
      <c r="W1871">
        <v>0.1523361</v>
      </c>
      <c r="X1871">
        <v>0.98443630000000004</v>
      </c>
      <c r="Y1871">
        <v>-0.38295620000000002</v>
      </c>
      <c r="Z1871">
        <v>-8.6916320000000005E-2</v>
      </c>
      <c r="AA1871">
        <v>0.9196685</v>
      </c>
      <c r="AB1871">
        <v>26</v>
      </c>
      <c r="AC1871">
        <v>25.636800000000001</v>
      </c>
      <c r="AD1871">
        <v>4.3673260000000003</v>
      </c>
      <c r="AE1871">
        <v>-43.839069099999897</v>
      </c>
      <c r="AF1871">
        <v>-19.4580400158153</v>
      </c>
      <c r="AG1871">
        <v>4.3673260000000003</v>
      </c>
      <c r="AH1871">
        <v>46.505549501024802</v>
      </c>
      <c r="AI1871">
        <v>85.048687404393306</v>
      </c>
      <c r="AJ1871">
        <v>112.70455813255001</v>
      </c>
      <c r="AK1871">
        <v>50.600938647811802</v>
      </c>
      <c r="AL1871">
        <v>81.237668366169999</v>
      </c>
      <c r="AM1871">
        <v>95.086733044404895</v>
      </c>
      <c r="AN1871">
        <v>0.99999996486032205</v>
      </c>
    </row>
    <row r="1872" spans="1:40" x14ac:dyDescent="0.3">
      <c r="A1872" t="str">
        <f>"20200111150354549"</f>
        <v>20200111150354549</v>
      </c>
      <c r="B1872" t="str">
        <f>"1578726234540624"</f>
        <v>1578726234540624</v>
      </c>
      <c r="C1872" t="s">
        <v>40</v>
      </c>
      <c r="D1872">
        <v>5.3455430000000002</v>
      </c>
      <c r="E1872">
        <v>0.3809651</v>
      </c>
      <c r="F1872" t="s">
        <v>71</v>
      </c>
      <c r="G1872">
        <v>-391.28440000000001</v>
      </c>
      <c r="H1872">
        <v>5.5046429999999997</v>
      </c>
      <c r="I1872">
        <v>0.76944159999999995</v>
      </c>
      <c r="J1872">
        <v>-417.20580000000001</v>
      </c>
      <c r="K1872">
        <v>1.110946</v>
      </c>
      <c r="L1872">
        <v>44.364899999999999</v>
      </c>
      <c r="M1872">
        <v>0.14163709999999999</v>
      </c>
      <c r="N1872">
        <v>0</v>
      </c>
      <c r="O1872">
        <v>-0.98984740000000004</v>
      </c>
      <c r="P1872">
        <v>0.22475600000000001</v>
      </c>
      <c r="Q1872">
        <v>0.1417746</v>
      </c>
      <c r="R1872">
        <v>-0.96404619999999996</v>
      </c>
      <c r="S1872">
        <v>1.603912</v>
      </c>
      <c r="T1872">
        <v>0.27142189999999999</v>
      </c>
      <c r="U1872">
        <v>-2.7079770000000001</v>
      </c>
      <c r="V1872">
        <v>-8.8406979999999996E-2</v>
      </c>
      <c r="W1872">
        <v>0.15207209999999999</v>
      </c>
      <c r="X1872">
        <v>0.98440749999999999</v>
      </c>
      <c r="Y1872">
        <v>-0.38064490000000001</v>
      </c>
      <c r="Z1872">
        <v>-8.7469199999999997E-2</v>
      </c>
      <c r="AA1872">
        <v>0.92057509999999998</v>
      </c>
      <c r="AB1872">
        <v>26</v>
      </c>
      <c r="AC1872">
        <v>25.921399999999998</v>
      </c>
      <c r="AD1872">
        <v>4.3936970000000004</v>
      </c>
      <c r="AE1872">
        <v>-43.595458399999998</v>
      </c>
      <c r="AF1872">
        <v>-19.3397399976838</v>
      </c>
      <c r="AG1872">
        <v>4.3936970000000004</v>
      </c>
      <c r="AH1872">
        <v>46.478797022248798</v>
      </c>
      <c r="AI1872">
        <v>85.012024904927799</v>
      </c>
      <c r="AJ1872">
        <v>112.592102790589</v>
      </c>
      <c r="AK1872">
        <v>50.5332434061106</v>
      </c>
      <c r="AL1872">
        <v>81.252972383926803</v>
      </c>
      <c r="AM1872">
        <v>95.131812204354404</v>
      </c>
      <c r="AN1872">
        <v>0.99999992188368703</v>
      </c>
    </row>
    <row r="1873" spans="1:40" x14ac:dyDescent="0.3">
      <c r="A1873" t="str">
        <f>"20200111150354570"</f>
        <v>20200111150354570</v>
      </c>
      <c r="B1873" t="str">
        <f>"1578726234560145"</f>
        <v>1578726234560145</v>
      </c>
      <c r="C1873" t="s">
        <v>40</v>
      </c>
      <c r="D1873">
        <v>5.3356579999999996</v>
      </c>
      <c r="E1873">
        <v>0.40751310000000002</v>
      </c>
      <c r="F1873" t="s">
        <v>71</v>
      </c>
      <c r="G1873">
        <v>-391.20479999999998</v>
      </c>
      <c r="H1873">
        <v>7.1508880000000001</v>
      </c>
      <c r="I1873">
        <v>0.77025600000000005</v>
      </c>
      <c r="J1873">
        <v>-417.16129999999998</v>
      </c>
      <c r="K1873">
        <v>1.1109389999999999</v>
      </c>
      <c r="L1873">
        <v>44.125059999999998</v>
      </c>
      <c r="M1873">
        <v>0.15075269999999999</v>
      </c>
      <c r="N1873">
        <v>0</v>
      </c>
      <c r="O1873">
        <v>-0.98850009999999999</v>
      </c>
      <c r="P1873">
        <v>0.2349176</v>
      </c>
      <c r="Q1873">
        <v>0.14186799999999999</v>
      </c>
      <c r="R1873">
        <v>-0.96160659999999998</v>
      </c>
      <c r="S1873">
        <v>1.6008</v>
      </c>
      <c r="T1873">
        <v>0.3718592</v>
      </c>
      <c r="U1873">
        <v>-2.6839900000000001</v>
      </c>
      <c r="V1873">
        <v>-8.9730989999999997E-2</v>
      </c>
      <c r="W1873">
        <v>0.15214569999999999</v>
      </c>
      <c r="X1873">
        <v>0.98427640000000005</v>
      </c>
      <c r="Y1873">
        <v>-0.37317529999999999</v>
      </c>
      <c r="Z1873">
        <v>-0.1202792</v>
      </c>
      <c r="AA1873">
        <v>0.9199311</v>
      </c>
      <c r="AB1873">
        <v>26</v>
      </c>
      <c r="AC1873">
        <v>25.956499999999998</v>
      </c>
      <c r="AD1873">
        <v>6.039949</v>
      </c>
      <c r="AE1873">
        <v>-43.354804000000001</v>
      </c>
      <c r="AF1873">
        <v>-18.854123807789101</v>
      </c>
      <c r="AG1873">
        <v>6.039949</v>
      </c>
      <c r="AH1873">
        <v>46.113700283640199</v>
      </c>
      <c r="AI1873">
        <v>83.087345075749397</v>
      </c>
      <c r="AJ1873">
        <v>112.237770565178</v>
      </c>
      <c r="AK1873">
        <v>50.1839847195441</v>
      </c>
      <c r="AL1873">
        <v>81.248706438940502</v>
      </c>
      <c r="AM1873">
        <v>95.2089381065136</v>
      </c>
      <c r="AN1873">
        <v>0.999999998095915</v>
      </c>
    </row>
    <row r="1874" spans="1:40" x14ac:dyDescent="0.3">
      <c r="A1874" t="str">
        <f>"20200111150354593"</f>
        <v>20200111150354593</v>
      </c>
      <c r="B1874" t="str">
        <f>"1578726234590400"</f>
        <v>1578726234590400</v>
      </c>
      <c r="C1874" t="s">
        <v>40</v>
      </c>
      <c r="D1874">
        <v>5.3004689999999997</v>
      </c>
      <c r="E1874">
        <v>0.40855609999999998</v>
      </c>
      <c r="F1874" t="s">
        <v>72</v>
      </c>
      <c r="G1874">
        <v>-409.87459999999999</v>
      </c>
      <c r="H1874" s="1">
        <v>-7.1039200000000004E-6</v>
      </c>
      <c r="I1874">
        <v>30.019770000000001</v>
      </c>
      <c r="J1874">
        <v>-417.11239999999998</v>
      </c>
      <c r="K1874">
        <v>1.1109420000000001</v>
      </c>
      <c r="L1874">
        <v>43.875120000000003</v>
      </c>
      <c r="M1874">
        <v>0.1602431</v>
      </c>
      <c r="N1874">
        <v>0</v>
      </c>
      <c r="O1874">
        <v>-0.98700600000000005</v>
      </c>
      <c r="P1874">
        <v>0.24552640000000001</v>
      </c>
      <c r="Q1874">
        <v>0.14186979999999999</v>
      </c>
      <c r="R1874">
        <v>-0.95895249999999999</v>
      </c>
      <c r="S1874">
        <v>1.4459839999999999</v>
      </c>
      <c r="T1874">
        <v>-0.2204576</v>
      </c>
      <c r="U1874">
        <v>-2.7990719999999998</v>
      </c>
      <c r="V1874">
        <v>-9.1150460000000003E-2</v>
      </c>
      <c r="W1874">
        <v>0.15212539999999999</v>
      </c>
      <c r="X1874">
        <v>0.9841491</v>
      </c>
      <c r="Y1874">
        <v>-0.30950539999999999</v>
      </c>
      <c r="Z1874">
        <v>7.0681910000000001E-2</v>
      </c>
      <c r="AA1874">
        <v>0.94826710000000003</v>
      </c>
      <c r="AB1874">
        <v>26</v>
      </c>
      <c r="AC1874">
        <v>7.2377999999999902</v>
      </c>
      <c r="AD1874">
        <v>-1.1109491039199999</v>
      </c>
      <c r="AE1874">
        <v>-13.85535</v>
      </c>
      <c r="AF1874">
        <v>-4.8991309114866697</v>
      </c>
      <c r="AG1874">
        <v>-1.1109491039199999</v>
      </c>
      <c r="AH1874">
        <v>14.761610657224001</v>
      </c>
      <c r="AI1874">
        <v>94.0856009390682</v>
      </c>
      <c r="AJ1874">
        <v>108.360139603881</v>
      </c>
      <c r="AK1874">
        <v>15.592974084338501</v>
      </c>
      <c r="AL1874">
        <v>81.249883235160993</v>
      </c>
      <c r="AM1874">
        <v>95.2915556577953</v>
      </c>
      <c r="AN1874">
        <v>0.99999999735709</v>
      </c>
    </row>
    <row r="1875" spans="1:40" x14ac:dyDescent="0.3">
      <c r="A1875" t="str">
        <f>"20200111150354616"</f>
        <v>20200111150354616</v>
      </c>
      <c r="B1875" t="str">
        <f>"1578726234610896"</f>
        <v>1578726234610896</v>
      </c>
      <c r="C1875" t="s">
        <v>40</v>
      </c>
      <c r="D1875">
        <v>5.2542809999999998</v>
      </c>
      <c r="E1875">
        <v>0.40986899999999998</v>
      </c>
      <c r="F1875" t="s">
        <v>72</v>
      </c>
      <c r="G1875">
        <v>-410.15339999999998</v>
      </c>
      <c r="H1875" s="1">
        <v>-6.8539940000000002E-6</v>
      </c>
      <c r="I1875">
        <v>30.677389999999999</v>
      </c>
      <c r="J1875">
        <v>-417.05990000000003</v>
      </c>
      <c r="K1875">
        <v>1.110943</v>
      </c>
      <c r="L1875">
        <v>43.619540000000001</v>
      </c>
      <c r="M1875">
        <v>0.16993900000000001</v>
      </c>
      <c r="N1875">
        <v>0</v>
      </c>
      <c r="O1875">
        <v>-0.98538300000000001</v>
      </c>
      <c r="P1875">
        <v>0.2564593</v>
      </c>
      <c r="Q1875">
        <v>0.1423808</v>
      </c>
      <c r="R1875">
        <v>-0.9560109</v>
      </c>
      <c r="S1875">
        <v>1.469482</v>
      </c>
      <c r="T1875">
        <v>-0.2345932</v>
      </c>
      <c r="U1875">
        <v>-2.786896</v>
      </c>
      <c r="V1875">
        <v>-9.2735600000000001E-2</v>
      </c>
      <c r="W1875">
        <v>0.15261089999999999</v>
      </c>
      <c r="X1875">
        <v>0.98392579999999996</v>
      </c>
      <c r="Y1875">
        <v>-0.30797049999999998</v>
      </c>
      <c r="Z1875">
        <v>7.5172340000000004E-2</v>
      </c>
      <c r="AA1875">
        <v>0.94842150000000003</v>
      </c>
      <c r="AB1875">
        <v>26</v>
      </c>
      <c r="AC1875">
        <v>6.90650000000005</v>
      </c>
      <c r="AD1875">
        <v>-1.1109498539939999</v>
      </c>
      <c r="AE1875">
        <v>-12.9421499999999</v>
      </c>
      <c r="AF1875">
        <v>-4.5802280821665402</v>
      </c>
      <c r="AG1875">
        <v>-1.1109498539939999</v>
      </c>
      <c r="AH1875">
        <v>13.8482184603224</v>
      </c>
      <c r="AI1875">
        <v>94.355549201316606</v>
      </c>
      <c r="AJ1875">
        <v>108.301371348465</v>
      </c>
      <c r="AK1875">
        <v>14.628255309078099</v>
      </c>
      <c r="AL1875">
        <v>81.2217373372944</v>
      </c>
      <c r="AM1875">
        <v>95.384256264001095</v>
      </c>
      <c r="AN1875">
        <v>0.99999997910590399</v>
      </c>
    </row>
    <row r="1876" spans="1:40" x14ac:dyDescent="0.3">
      <c r="A1876" t="str">
        <f>"20200111150354629"</f>
        <v>20200111150354629</v>
      </c>
      <c r="B1876" t="str">
        <f>"1578726234620656"</f>
        <v>1578726234620656</v>
      </c>
      <c r="C1876" t="s">
        <v>40</v>
      </c>
      <c r="D1876">
        <v>5.2413150000000002</v>
      </c>
      <c r="E1876">
        <v>0.4096648</v>
      </c>
      <c r="F1876" t="s">
        <v>72</v>
      </c>
      <c r="G1876">
        <v>-410.18169999999998</v>
      </c>
      <c r="H1876" s="1">
        <v>-6.793446E-6</v>
      </c>
      <c r="I1876">
        <v>30.825710000000001</v>
      </c>
      <c r="J1876">
        <v>-417.02719999999999</v>
      </c>
      <c r="K1876">
        <v>1.110943</v>
      </c>
      <c r="L1876">
        <v>43.465699999999998</v>
      </c>
      <c r="M1876">
        <v>0.17576939999999999</v>
      </c>
      <c r="N1876">
        <v>0</v>
      </c>
      <c r="O1876">
        <v>-0.98435969999999995</v>
      </c>
      <c r="P1876">
        <v>0.26290619999999998</v>
      </c>
      <c r="Q1876">
        <v>0.14254510000000001</v>
      </c>
      <c r="R1876">
        <v>-0.95423389999999997</v>
      </c>
      <c r="S1876">
        <v>1.4912719999999999</v>
      </c>
      <c r="T1876">
        <v>-0.2408682</v>
      </c>
      <c r="U1876">
        <v>-2.7738649999999998</v>
      </c>
      <c r="V1876">
        <v>-9.3560039999999997E-2</v>
      </c>
      <c r="W1876">
        <v>0.15276210000000001</v>
      </c>
      <c r="X1876">
        <v>0.98382429999999998</v>
      </c>
      <c r="Y1876">
        <v>-0.30989990000000001</v>
      </c>
      <c r="Z1876">
        <v>7.7209059999999996E-2</v>
      </c>
      <c r="AA1876">
        <v>0.94762900000000005</v>
      </c>
      <c r="AB1876">
        <v>26</v>
      </c>
      <c r="AC1876">
        <v>6.8455000000000101</v>
      </c>
      <c r="AD1876">
        <v>-1.110949793446</v>
      </c>
      <c r="AE1876">
        <v>-12.639989999999999</v>
      </c>
      <c r="AF1876">
        <v>-4.4902093774632803</v>
      </c>
      <c r="AG1876">
        <v>-1.110949793446</v>
      </c>
      <c r="AH1876">
        <v>13.5654620050398</v>
      </c>
      <c r="AI1876">
        <v>94.445634211324204</v>
      </c>
      <c r="AJ1876">
        <v>108.314701377126</v>
      </c>
      <c r="AK1876">
        <v>14.3324090475815</v>
      </c>
      <c r="AL1876">
        <v>81.212971588643697</v>
      </c>
      <c r="AM1876">
        <v>95.432395491289398</v>
      </c>
      <c r="AN1876">
        <v>0.99999999677585005</v>
      </c>
    </row>
    <row r="1877" spans="1:40" x14ac:dyDescent="0.3">
      <c r="A1877" t="str">
        <f>"20200111150354648"</f>
        <v>20200111150354648</v>
      </c>
      <c r="B1877" t="str">
        <f>"1578726234640179"</f>
        <v>1578726234640179</v>
      </c>
      <c r="C1877" t="s">
        <v>40</v>
      </c>
      <c r="D1877">
        <v>5.2213760000000002</v>
      </c>
      <c r="E1877">
        <v>0.40941719999999998</v>
      </c>
      <c r="F1877" t="s">
        <v>72</v>
      </c>
      <c r="G1877">
        <v>-409.8913</v>
      </c>
      <c r="H1877" s="1">
        <v>-6.9597090000000001E-6</v>
      </c>
      <c r="I1877">
        <v>30.416519999999998</v>
      </c>
      <c r="J1877">
        <v>-416.98009999999999</v>
      </c>
      <c r="K1877">
        <v>1.110935</v>
      </c>
      <c r="L1877">
        <v>43.252139999999997</v>
      </c>
      <c r="M1877">
        <v>0.18386259999999999</v>
      </c>
      <c r="N1877">
        <v>0</v>
      </c>
      <c r="O1877">
        <v>-0.98287999999999998</v>
      </c>
      <c r="P1877">
        <v>0.27247909999999997</v>
      </c>
      <c r="Q1877">
        <v>0.1424579</v>
      </c>
      <c r="R1877">
        <v>-0.95155699999999999</v>
      </c>
      <c r="S1877">
        <v>1.5108029999999999</v>
      </c>
      <c r="T1877">
        <v>-0.235209</v>
      </c>
      <c r="U1877">
        <v>-2.762756</v>
      </c>
      <c r="V1877">
        <v>-9.5348039999999995E-2</v>
      </c>
      <c r="W1877">
        <v>0.15264620000000001</v>
      </c>
      <c r="X1877">
        <v>0.98367070000000001</v>
      </c>
      <c r="Y1877">
        <v>-0.30890640000000003</v>
      </c>
      <c r="Z1877">
        <v>7.5394450000000002E-2</v>
      </c>
      <c r="AA1877">
        <v>0.94809940000000004</v>
      </c>
      <c r="AB1877">
        <v>26</v>
      </c>
      <c r="AC1877">
        <v>7.0887999999999902</v>
      </c>
      <c r="AD1877">
        <v>-1.110941959709</v>
      </c>
      <c r="AE1877">
        <v>-12.83562</v>
      </c>
      <c r="AF1877">
        <v>-4.5814760575662596</v>
      </c>
      <c r="AG1877">
        <v>-1.110941959709</v>
      </c>
      <c r="AH1877">
        <v>13.840773523307901</v>
      </c>
      <c r="AI1877">
        <v>94.357505133584297</v>
      </c>
      <c r="AJ1877">
        <v>108.315215214547</v>
      </c>
      <c r="AK1877">
        <v>14.6215979505455</v>
      </c>
      <c r="AL1877">
        <v>81.219691698702107</v>
      </c>
      <c r="AM1877">
        <v>95.536432660360404</v>
      </c>
      <c r="AN1877">
        <v>1.0000000785723799</v>
      </c>
    </row>
    <row r="1878" spans="1:40" x14ac:dyDescent="0.3">
      <c r="A1878" t="str">
        <f>"20200111150354663"</f>
        <v>20200111150354663</v>
      </c>
      <c r="B1878" t="str">
        <f>"1578726234660672"</f>
        <v>1578726234660672</v>
      </c>
      <c r="C1878" t="s">
        <v>40</v>
      </c>
      <c r="D1878">
        <v>5.0700629999999904</v>
      </c>
      <c r="E1878">
        <v>0.41003889999999998</v>
      </c>
      <c r="F1878" t="s">
        <v>72</v>
      </c>
      <c r="G1878">
        <v>-409.38850000000002</v>
      </c>
      <c r="H1878" s="1">
        <v>-7.0270109999999999E-6</v>
      </c>
      <c r="I1878">
        <v>29.708269999999999</v>
      </c>
      <c r="J1878">
        <v>-416.94209999999998</v>
      </c>
      <c r="K1878">
        <v>1.1109340000000001</v>
      </c>
      <c r="L1878">
        <v>43.08652</v>
      </c>
      <c r="M1878">
        <v>0.19013859999999999</v>
      </c>
      <c r="N1878">
        <v>0</v>
      </c>
      <c r="O1878">
        <v>-0.98168529999999998</v>
      </c>
      <c r="P1878">
        <v>0.2791032</v>
      </c>
      <c r="Q1878">
        <v>0.14211940000000001</v>
      </c>
      <c r="R1878">
        <v>-0.94968620000000004</v>
      </c>
      <c r="S1878">
        <v>1.539032</v>
      </c>
      <c r="T1878">
        <v>-0.22521949999999999</v>
      </c>
      <c r="U1878">
        <v>-2.7457280000000002</v>
      </c>
      <c r="V1878">
        <v>-9.5903849999999999E-2</v>
      </c>
      <c r="W1878">
        <v>0.15229980000000001</v>
      </c>
      <c r="X1878">
        <v>0.9836703</v>
      </c>
      <c r="Y1878">
        <v>-0.31286530000000001</v>
      </c>
      <c r="Z1878">
        <v>7.225144E-2</v>
      </c>
      <c r="AA1878">
        <v>0.94704540000000004</v>
      </c>
      <c r="AB1878">
        <v>26</v>
      </c>
      <c r="AC1878">
        <v>7.5535999999999497</v>
      </c>
      <c r="AD1878">
        <v>-1.1109410270110001</v>
      </c>
      <c r="AE1878">
        <v>-13.3782499999999</v>
      </c>
      <c r="AF1878">
        <v>-4.8465386800276598</v>
      </c>
      <c r="AG1878">
        <v>-1.1109410270110001</v>
      </c>
      <c r="AH1878">
        <v>14.4947009288865</v>
      </c>
      <c r="AI1878">
        <v>94.157456804814601</v>
      </c>
      <c r="AJ1878">
        <v>108.488195489818</v>
      </c>
      <c r="AK1878">
        <v>15.323820742894499</v>
      </c>
      <c r="AL1878">
        <v>81.239773229988998</v>
      </c>
      <c r="AM1878">
        <v>95.568506038912602</v>
      </c>
      <c r="AN1878">
        <v>1.0000000183134701</v>
      </c>
    </row>
    <row r="1879" spans="1:40" x14ac:dyDescent="0.3">
      <c r="A1879" t="str">
        <f>"20200111150354682"</f>
        <v>20200111150354682</v>
      </c>
      <c r="B1879" t="str">
        <f>"1578726234670432"</f>
        <v>1578726234670432</v>
      </c>
      <c r="C1879" t="s">
        <v>40</v>
      </c>
      <c r="D1879">
        <v>5.1212910000000003</v>
      </c>
      <c r="E1879">
        <v>0.4104333</v>
      </c>
      <c r="F1879" t="s">
        <v>72</v>
      </c>
      <c r="G1879">
        <v>-409.40820000000002</v>
      </c>
      <c r="H1879" s="1">
        <v>-7.0016E-6</v>
      </c>
      <c r="I1879">
        <v>29.808789999999998</v>
      </c>
      <c r="J1879">
        <v>-416.89449999999999</v>
      </c>
      <c r="K1879">
        <v>1.1109359999999999</v>
      </c>
      <c r="L1879">
        <v>42.884889999999999</v>
      </c>
      <c r="M1879">
        <v>0.1977778</v>
      </c>
      <c r="N1879">
        <v>0</v>
      </c>
      <c r="O1879">
        <v>-0.98017480000000001</v>
      </c>
      <c r="P1879">
        <v>0.287695599999999</v>
      </c>
      <c r="Q1879">
        <v>0.14179659999999999</v>
      </c>
      <c r="R1879">
        <v>-0.94716690000000003</v>
      </c>
      <c r="S1879">
        <v>1.5528869999999999</v>
      </c>
      <c r="T1879">
        <v>-0.2289881</v>
      </c>
      <c r="U1879">
        <v>-2.7368160000000001</v>
      </c>
      <c r="V1879">
        <v>-9.714304E-2</v>
      </c>
      <c r="W1879">
        <v>0.1519577</v>
      </c>
      <c r="X1879">
        <v>0.98360159999999996</v>
      </c>
      <c r="Y1879">
        <v>-0.31037480000000001</v>
      </c>
      <c r="Z1879">
        <v>7.3436950000000001E-2</v>
      </c>
      <c r="AA1879">
        <v>0.94777350000000005</v>
      </c>
      <c r="AB1879">
        <v>26</v>
      </c>
      <c r="AC1879">
        <v>7.4862999999999698</v>
      </c>
      <c r="AD1879">
        <v>-1.1109430015999999</v>
      </c>
      <c r="AE1879">
        <v>-13.0761</v>
      </c>
      <c r="AF1879">
        <v>-4.72636222380918</v>
      </c>
      <c r="AG1879">
        <v>-1.1109430015999999</v>
      </c>
      <c r="AH1879">
        <v>14.2211874926509</v>
      </c>
      <c r="AI1879">
        <v>94.239694323742597</v>
      </c>
      <c r="AJ1879">
        <v>108.384047734753</v>
      </c>
      <c r="AK1879">
        <v>15.027137715632501</v>
      </c>
      <c r="AL1879">
        <v>81.259604871691707</v>
      </c>
      <c r="AM1879">
        <v>95.640388075867094</v>
      </c>
      <c r="AN1879">
        <v>1.0000000101661399</v>
      </c>
    </row>
    <row r="1880" spans="1:40" x14ac:dyDescent="0.3">
      <c r="A1880" t="str">
        <f>"20200111150354704"</f>
        <v>20200111150354704</v>
      </c>
      <c r="B1880" t="str">
        <f>"1578726234700689"</f>
        <v>1578726234700689</v>
      </c>
      <c r="C1880" t="s">
        <v>40</v>
      </c>
      <c r="D1880">
        <v>5.0863319999999996</v>
      </c>
      <c r="E1880">
        <v>0.41120499999999999</v>
      </c>
      <c r="F1880" t="s">
        <v>72</v>
      </c>
      <c r="G1880">
        <v>-409.32350000000002</v>
      </c>
      <c r="H1880" s="1">
        <v>-6.9750710000000002E-6</v>
      </c>
      <c r="I1880">
        <v>29.786169999999998</v>
      </c>
      <c r="J1880">
        <v>-416.83420000000001</v>
      </c>
      <c r="K1880">
        <v>1.110938</v>
      </c>
      <c r="L1880">
        <v>42.638579999999997</v>
      </c>
      <c r="M1880">
        <v>0.20711099999999999</v>
      </c>
      <c r="N1880">
        <v>0</v>
      </c>
      <c r="O1880">
        <v>-0.97824520000000004</v>
      </c>
      <c r="P1880">
        <v>0.29822710000000002</v>
      </c>
      <c r="Q1880">
        <v>0.142030399999999</v>
      </c>
      <c r="R1880">
        <v>-0.9438687</v>
      </c>
      <c r="S1880">
        <v>1.5743100000000001</v>
      </c>
      <c r="T1880">
        <v>-0.23100999999999999</v>
      </c>
      <c r="U1880">
        <v>-2.7237550000000001</v>
      </c>
      <c r="V1880">
        <v>-9.8738129999999993E-2</v>
      </c>
      <c r="W1880">
        <v>0.15216499999999999</v>
      </c>
      <c r="X1880">
        <v>0.98341069999999997</v>
      </c>
      <c r="Y1880">
        <v>-0.30884810000000001</v>
      </c>
      <c r="Z1880">
        <v>7.4053670000000002E-2</v>
      </c>
      <c r="AA1880">
        <v>0.94822410000000001</v>
      </c>
      <c r="AB1880">
        <v>26</v>
      </c>
      <c r="AC1880">
        <v>7.5106999999999804</v>
      </c>
      <c r="AD1880">
        <v>-1.1109449750710001</v>
      </c>
      <c r="AE1880">
        <v>-12.8524099999999</v>
      </c>
      <c r="AF1880">
        <v>-4.6598086118453104</v>
      </c>
      <c r="AG1880">
        <v>-1.1109449750710001</v>
      </c>
      <c r="AH1880">
        <v>14.0510965219458</v>
      </c>
      <c r="AI1880">
        <v>94.291745695597001</v>
      </c>
      <c r="AJ1880">
        <v>108.347229257297</v>
      </c>
      <c r="AK1880">
        <v>14.845245990070399</v>
      </c>
      <c r="AL1880">
        <v>81.247587666066295</v>
      </c>
      <c r="AM1880">
        <v>95.733496807801401</v>
      </c>
      <c r="AN1880">
        <v>1.0000000052076901</v>
      </c>
    </row>
    <row r="1881" spans="1:40" x14ac:dyDescent="0.3">
      <c r="A1881" t="str">
        <f>"20200111150354717"</f>
        <v>20200111150354717</v>
      </c>
      <c r="B1881" t="str">
        <f>"1578726234710448"</f>
        <v>1578726234710448</v>
      </c>
      <c r="C1881" t="s">
        <v>40</v>
      </c>
      <c r="D1881">
        <v>5.1390589999999996</v>
      </c>
      <c r="E1881">
        <v>0.41143239999999998</v>
      </c>
      <c r="F1881" t="s">
        <v>72</v>
      </c>
      <c r="G1881">
        <v>-409.26249999999999</v>
      </c>
      <c r="H1881" s="1">
        <v>-6.9447029999999996E-6</v>
      </c>
      <c r="I1881">
        <v>29.803840000000001</v>
      </c>
      <c r="J1881">
        <v>-416.79820000000001</v>
      </c>
      <c r="K1881">
        <v>1.110938</v>
      </c>
      <c r="L1881">
        <v>42.496609999999997</v>
      </c>
      <c r="M1881">
        <v>0.21249309999999999</v>
      </c>
      <c r="N1881">
        <v>0</v>
      </c>
      <c r="O1881">
        <v>-0.97709020000000002</v>
      </c>
      <c r="P1881">
        <v>0.3041587</v>
      </c>
      <c r="Q1881">
        <v>0.14220050000000001</v>
      </c>
      <c r="R1881">
        <v>-0.94194820000000001</v>
      </c>
      <c r="S1881">
        <v>1.5980219999999901</v>
      </c>
      <c r="T1881">
        <v>-0.23446739999999999</v>
      </c>
      <c r="U1881">
        <v>-2.7088009999999998</v>
      </c>
      <c r="V1881">
        <v>-9.9520650000000002E-2</v>
      </c>
      <c r="W1881">
        <v>0.1523225</v>
      </c>
      <c r="X1881">
        <v>0.98330740000000005</v>
      </c>
      <c r="Y1881">
        <v>-0.31201440000000003</v>
      </c>
      <c r="Z1881">
        <v>7.5183730000000004E-2</v>
      </c>
      <c r="AA1881">
        <v>0.94709790000000005</v>
      </c>
      <c r="AB1881">
        <v>26</v>
      </c>
      <c r="AC1881">
        <v>7.5357000000000101</v>
      </c>
      <c r="AD1881">
        <v>-1.110944944703</v>
      </c>
      <c r="AE1881">
        <v>-12.6927699999999</v>
      </c>
      <c r="AF1881">
        <v>-4.6399805961171197</v>
      </c>
      <c r="AG1881">
        <v>-1.110944944703</v>
      </c>
      <c r="AH1881">
        <v>13.925379082664</v>
      </c>
      <c r="AI1881">
        <v>94.328317455420404</v>
      </c>
      <c r="AJ1881">
        <v>108.428237059225</v>
      </c>
      <c r="AK1881">
        <v>14.7200475949774</v>
      </c>
      <c r="AL1881">
        <v>81.238456864733607</v>
      </c>
      <c r="AM1881">
        <v>95.779232592534001</v>
      </c>
      <c r="AN1881">
        <v>0.99999997333871504</v>
      </c>
    </row>
    <row r="1882" spans="1:40" x14ac:dyDescent="0.3">
      <c r="A1882" t="str">
        <f>"20200111150354732"</f>
        <v>20200111150354732</v>
      </c>
      <c r="B1882" t="str">
        <f>"1578726234730944"</f>
        <v>1578726234730944</v>
      </c>
      <c r="C1882" t="s">
        <v>40</v>
      </c>
      <c r="D1882">
        <v>5.1145559999999897</v>
      </c>
      <c r="E1882">
        <v>0.41242649999999997</v>
      </c>
      <c r="F1882" t="s">
        <v>72</v>
      </c>
      <c r="G1882">
        <v>-409.17099999999999</v>
      </c>
      <c r="H1882" s="1">
        <v>-6.932581E-6</v>
      </c>
      <c r="I1882">
        <v>29.72964</v>
      </c>
      <c r="J1882">
        <v>-416.75450000000001</v>
      </c>
      <c r="K1882">
        <v>1.11094</v>
      </c>
      <c r="L1882">
        <v>42.328090000000003</v>
      </c>
      <c r="M1882">
        <v>0.21887970000000001</v>
      </c>
      <c r="N1882">
        <v>0</v>
      </c>
      <c r="O1882">
        <v>-0.97567950000000003</v>
      </c>
      <c r="P1882">
        <v>0.31150070000000002</v>
      </c>
      <c r="Q1882">
        <v>0.14231649999999901</v>
      </c>
      <c r="R1882">
        <v>-0.93952849999999999</v>
      </c>
      <c r="S1882">
        <v>1.612762</v>
      </c>
      <c r="T1882">
        <v>-0.23491010000000001</v>
      </c>
      <c r="U1882">
        <v>-2.6995849999999999</v>
      </c>
      <c r="V1882">
        <v>-0.1007714</v>
      </c>
      <c r="W1882">
        <v>0.1524172</v>
      </c>
      <c r="X1882">
        <v>0.98316539999999997</v>
      </c>
      <c r="Y1882">
        <v>-0.31103069999999999</v>
      </c>
      <c r="Z1882">
        <v>7.5297249999999996E-2</v>
      </c>
      <c r="AA1882">
        <v>0.94741240000000004</v>
      </c>
      <c r="AB1882">
        <v>26</v>
      </c>
      <c r="AC1882">
        <v>7.5835000000000097</v>
      </c>
      <c r="AD1882">
        <v>-1.110946932581</v>
      </c>
      <c r="AE1882">
        <v>-12.59845</v>
      </c>
      <c r="AF1882">
        <v>-4.6155037958139999</v>
      </c>
      <c r="AG1882">
        <v>-1.110946932581</v>
      </c>
      <c r="AH1882">
        <v>13.873720023792201</v>
      </c>
      <c r="AI1882">
        <v>94.345059358394707</v>
      </c>
      <c r="AJ1882">
        <v>108.401232293249</v>
      </c>
      <c r="AK1882">
        <v>14.663464313550101</v>
      </c>
      <c r="AL1882">
        <v>81.232967446763595</v>
      </c>
      <c r="AM1882">
        <v>95.852202890640001</v>
      </c>
      <c r="AN1882">
        <v>1.0000000408354699</v>
      </c>
    </row>
    <row r="1883" spans="1:40" x14ac:dyDescent="0.3">
      <c r="A1883" t="str">
        <f>"20200111150354749"</f>
        <v>20200111150354749</v>
      </c>
      <c r="B1883" t="str">
        <f>"1578726234740704"</f>
        <v>1578726234740704</v>
      </c>
      <c r="C1883" t="s">
        <v>40</v>
      </c>
      <c r="D1883">
        <v>5.0922159999999996</v>
      </c>
      <c r="E1883">
        <v>0.41290559999999998</v>
      </c>
      <c r="F1883" t="s">
        <v>72</v>
      </c>
      <c r="G1883">
        <v>-409.21449999999999</v>
      </c>
      <c r="H1883" s="1">
        <v>-6.9083270000000001E-6</v>
      </c>
      <c r="I1883">
        <v>29.855409999999999</v>
      </c>
      <c r="J1883">
        <v>-416.70569999999998</v>
      </c>
      <c r="K1883">
        <v>1.11094</v>
      </c>
      <c r="L1883">
        <v>42.144710000000003</v>
      </c>
      <c r="M1883">
        <v>0.2258327</v>
      </c>
      <c r="N1883">
        <v>0</v>
      </c>
      <c r="O1883">
        <v>-0.97409330000000005</v>
      </c>
      <c r="P1883">
        <v>0.31958189999999997</v>
      </c>
      <c r="Q1883">
        <v>0.14213310000000001</v>
      </c>
      <c r="R1883">
        <v>-0.93683810000000001</v>
      </c>
      <c r="S1883">
        <v>1.626282</v>
      </c>
      <c r="T1883">
        <v>-0.23961589999999999</v>
      </c>
      <c r="U1883">
        <v>-2.6901860000000002</v>
      </c>
      <c r="V1883">
        <v>-0.1022218</v>
      </c>
      <c r="W1883">
        <v>0.15221029999999999</v>
      </c>
      <c r="X1883">
        <v>0.98304769999999997</v>
      </c>
      <c r="Y1883">
        <v>-0.3091448</v>
      </c>
      <c r="Z1883">
        <v>7.6770640000000001E-2</v>
      </c>
      <c r="AA1883">
        <v>0.94791130000000001</v>
      </c>
      <c r="AB1883">
        <v>26</v>
      </c>
      <c r="AC1883">
        <v>7.4911999999999903</v>
      </c>
      <c r="AD1883">
        <v>-1.110946908327</v>
      </c>
      <c r="AE1883">
        <v>-12.2892999999999</v>
      </c>
      <c r="AF1883">
        <v>-4.4953386863955096</v>
      </c>
      <c r="AG1883">
        <v>-1.110946908327</v>
      </c>
      <c r="AH1883">
        <v>13.582723686328499</v>
      </c>
      <c r="AI1883">
        <v>94.440052326871097</v>
      </c>
      <c r="AJ1883">
        <v>108.312479755545</v>
      </c>
      <c r="AK1883">
        <v>14.3503538520022</v>
      </c>
      <c r="AL1883">
        <v>81.244961762360205</v>
      </c>
      <c r="AM1883">
        <v>95.936541923759293</v>
      </c>
      <c r="AN1883">
        <v>1.0000000261483</v>
      </c>
    </row>
    <row r="1884" spans="1:40" x14ac:dyDescent="0.3">
      <c r="A1884" t="str">
        <f>"20200111150354771"</f>
        <v>20200111150354771</v>
      </c>
      <c r="B1884" t="str">
        <f>"1578726234760224"</f>
        <v>1578726234760224</v>
      </c>
      <c r="C1884" t="s">
        <v>40</v>
      </c>
      <c r="D1884">
        <v>5.0572150000000002</v>
      </c>
      <c r="E1884">
        <v>0.41377000000000003</v>
      </c>
      <c r="F1884" t="s">
        <v>72</v>
      </c>
      <c r="G1884">
        <v>-409.14210000000003</v>
      </c>
      <c r="H1884" s="1">
        <v>-6.8857260000000003E-6</v>
      </c>
      <c r="I1884">
        <v>29.835930000000001</v>
      </c>
      <c r="J1884">
        <v>-416.6386</v>
      </c>
      <c r="K1884">
        <v>1.1109450000000001</v>
      </c>
      <c r="L1884">
        <v>41.90146</v>
      </c>
      <c r="M1884">
        <v>0.2350593</v>
      </c>
      <c r="N1884">
        <v>0</v>
      </c>
      <c r="O1884">
        <v>-0.97190840000000001</v>
      </c>
      <c r="P1884">
        <v>0.32946599999999998</v>
      </c>
      <c r="Q1884">
        <v>0.1421289</v>
      </c>
      <c r="R1884">
        <v>-0.93340889999999999</v>
      </c>
      <c r="S1884">
        <v>1.645386</v>
      </c>
      <c r="T1884">
        <v>-0.24167440000000001</v>
      </c>
      <c r="U1884">
        <v>-2.6776430000000002</v>
      </c>
      <c r="V1884">
        <v>-0.1032942</v>
      </c>
      <c r="W1884">
        <v>0.15218809999999999</v>
      </c>
      <c r="X1884">
        <v>0.98293900000000001</v>
      </c>
      <c r="Y1884">
        <v>-0.30699149999999997</v>
      </c>
      <c r="Z1884">
        <v>7.7369590000000002E-2</v>
      </c>
      <c r="AA1884">
        <v>0.94856209999999996</v>
      </c>
      <c r="AB1884">
        <v>26</v>
      </c>
      <c r="AC1884">
        <v>7.4964999999999602</v>
      </c>
      <c r="AD1884">
        <v>-1.1109518857259999</v>
      </c>
      <c r="AE1884">
        <v>-12.065530000000001</v>
      </c>
      <c r="AF1884">
        <v>-4.4230555070563096</v>
      </c>
      <c r="AG1884">
        <v>-1.1109518857259999</v>
      </c>
      <c r="AH1884">
        <v>13.407652413165399</v>
      </c>
      <c r="AI1884">
        <v>94.499239869252094</v>
      </c>
      <c r="AJ1884">
        <v>108.257225635618</v>
      </c>
      <c r="AK1884">
        <v>14.162018830066501</v>
      </c>
      <c r="AL1884">
        <v>81.246248435008397</v>
      </c>
      <c r="AM1884">
        <v>95.999028428846003</v>
      </c>
      <c r="AN1884">
        <v>0.99999999362812397</v>
      </c>
    </row>
    <row r="1885" spans="1:40" x14ac:dyDescent="0.3">
      <c r="A1885" t="str">
        <f>"20200111150354785"</f>
        <v>20200111150354785</v>
      </c>
      <c r="B1885" t="str">
        <f>"1578726234780356"</f>
        <v>1578726234780356</v>
      </c>
      <c r="C1885" t="s">
        <v>40</v>
      </c>
      <c r="D1885">
        <v>5.1276109999999999</v>
      </c>
      <c r="E1885">
        <v>0.41462270000000001</v>
      </c>
      <c r="F1885" t="s">
        <v>72</v>
      </c>
      <c r="G1885">
        <v>-409.05119999999999</v>
      </c>
      <c r="H1885" s="1">
        <v>-6.8677739999999901E-6</v>
      </c>
      <c r="I1885">
        <v>29.779910000000001</v>
      </c>
      <c r="J1885">
        <v>-416.59379999999999</v>
      </c>
      <c r="K1885">
        <v>1.110943</v>
      </c>
      <c r="L1885">
        <v>41.74362</v>
      </c>
      <c r="M1885">
        <v>0.24104780000000001</v>
      </c>
      <c r="N1885">
        <v>0</v>
      </c>
      <c r="O1885">
        <v>-0.97044039999999998</v>
      </c>
      <c r="P1885">
        <v>0.33578530000000001</v>
      </c>
      <c r="Q1885">
        <v>0.1424135</v>
      </c>
      <c r="R1885">
        <v>-0.93111060000000001</v>
      </c>
      <c r="S1885">
        <v>1.666779</v>
      </c>
      <c r="T1885">
        <v>-0.2440493</v>
      </c>
      <c r="U1885">
        <v>-2.662811</v>
      </c>
      <c r="V1885">
        <v>-0.10391259999999999</v>
      </c>
      <c r="W1885">
        <v>0.15246189999999901</v>
      </c>
      <c r="X1885">
        <v>0.98283140000000002</v>
      </c>
      <c r="Y1885">
        <v>-0.30893959999999998</v>
      </c>
      <c r="Z1885">
        <v>7.8137789999999999E-2</v>
      </c>
      <c r="AA1885">
        <v>0.9478664</v>
      </c>
      <c r="AB1885">
        <v>26</v>
      </c>
      <c r="AC1885">
        <v>7.5425999999999904</v>
      </c>
      <c r="AD1885">
        <v>-1.110949867774</v>
      </c>
      <c r="AE1885">
        <v>-11.963710000000001</v>
      </c>
      <c r="AF1885">
        <v>-4.4089265870980796</v>
      </c>
      <c r="AG1885">
        <v>-1.110949867774</v>
      </c>
      <c r="AH1885">
        <v>13.346789090008199</v>
      </c>
      <c r="AI1885">
        <v>94.519066894423403</v>
      </c>
      <c r="AJ1885">
        <v>108.28025544687</v>
      </c>
      <c r="AK1885">
        <v>14.099986605393999</v>
      </c>
      <c r="AL1885">
        <v>81.230375767627606</v>
      </c>
      <c r="AM1885">
        <v>96.035334867733098</v>
      </c>
      <c r="AN1885">
        <v>1.0000000101081601</v>
      </c>
    </row>
    <row r="1886" spans="1:40" x14ac:dyDescent="0.3">
      <c r="A1886" t="str">
        <f>"20200111150354805"</f>
        <v>20200111150354805</v>
      </c>
      <c r="B1886" t="str">
        <f>"1578726234800851"</f>
        <v>1578726234800851</v>
      </c>
      <c r="C1886" t="s">
        <v>40</v>
      </c>
      <c r="D1886">
        <v>5.1406929999999997</v>
      </c>
      <c r="E1886">
        <v>0.41502420000000001</v>
      </c>
      <c r="F1886" t="s">
        <v>72</v>
      </c>
      <c r="G1886">
        <v>-409.03399999999999</v>
      </c>
      <c r="H1886" s="1">
        <v>-6.8577469999999998E-6</v>
      </c>
      <c r="I1886">
        <v>29.78933</v>
      </c>
      <c r="J1886">
        <v>-416.53179999999998</v>
      </c>
      <c r="K1886">
        <v>1.110948</v>
      </c>
      <c r="L1886">
        <v>41.531460000000003</v>
      </c>
      <c r="M1886">
        <v>0.24909980000000001</v>
      </c>
      <c r="N1886">
        <v>0</v>
      </c>
      <c r="O1886">
        <v>-0.96840459999999995</v>
      </c>
      <c r="P1886">
        <v>0.34460540000000001</v>
      </c>
      <c r="Q1886">
        <v>0.142840299999999</v>
      </c>
      <c r="R1886">
        <v>-0.92781670000000005</v>
      </c>
      <c r="S1886">
        <v>1.6785890000000001</v>
      </c>
      <c r="T1886">
        <v>-0.2466778</v>
      </c>
      <c r="U1886">
        <v>-2.6543580000000002</v>
      </c>
      <c r="V1886">
        <v>-0.1051028</v>
      </c>
      <c r="W1886">
        <v>0.15286820000000001</v>
      </c>
      <c r="X1886">
        <v>0.98264169999999995</v>
      </c>
      <c r="Y1886">
        <v>-0.30538140000000003</v>
      </c>
      <c r="Z1886">
        <v>7.8899780000000003E-2</v>
      </c>
      <c r="AA1886">
        <v>0.94895580000000002</v>
      </c>
      <c r="AB1886">
        <v>26</v>
      </c>
      <c r="AC1886">
        <v>7.4977999999999803</v>
      </c>
      <c r="AD1886">
        <v>-1.1109548577470001</v>
      </c>
      <c r="AE1886">
        <v>-11.7421299999999</v>
      </c>
      <c r="AF1886">
        <v>-4.3088498933870403</v>
      </c>
      <c r="AG1886">
        <v>-1.1109548577470001</v>
      </c>
      <c r="AH1886">
        <v>13.1561141544768</v>
      </c>
      <c r="AI1886">
        <v>94.588127483136205</v>
      </c>
      <c r="AJ1886">
        <v>108.134496595774</v>
      </c>
      <c r="AK1886">
        <v>13.888259349008299</v>
      </c>
      <c r="AL1886">
        <v>81.206820267340504</v>
      </c>
      <c r="AM1886">
        <v>96.105113263379195</v>
      </c>
      <c r="AN1886">
        <v>0.99999999785898497</v>
      </c>
    </row>
    <row r="1887" spans="1:40" x14ac:dyDescent="0.3">
      <c r="A1887" t="str">
        <f>"20200111150354819"</f>
        <v>20200111150354819</v>
      </c>
      <c r="B1887" t="str">
        <f>"1578726234810612"</f>
        <v>1578726234810612</v>
      </c>
      <c r="C1887" t="s">
        <v>40</v>
      </c>
      <c r="D1887">
        <v>5.0521159999999998</v>
      </c>
      <c r="E1887">
        <v>0.41533300000000001</v>
      </c>
      <c r="F1887" t="s">
        <v>72</v>
      </c>
      <c r="G1887">
        <v>-408.887</v>
      </c>
      <c r="H1887" s="1">
        <v>-6.8411670000000004E-6</v>
      </c>
      <c r="I1887">
        <v>29.661359999999998</v>
      </c>
      <c r="J1887">
        <v>-416.48599999999999</v>
      </c>
      <c r="K1887">
        <v>1.110954</v>
      </c>
      <c r="L1887">
        <v>41.37885</v>
      </c>
      <c r="M1887">
        <v>0.2548937</v>
      </c>
      <c r="N1887">
        <v>0</v>
      </c>
      <c r="O1887">
        <v>-0.96689579999999997</v>
      </c>
      <c r="P1887">
        <v>0.35093390000000002</v>
      </c>
      <c r="Q1887">
        <v>0.14335300000000001</v>
      </c>
      <c r="R1887">
        <v>-0.92536260000000004</v>
      </c>
      <c r="S1887">
        <v>1.70022599999999</v>
      </c>
      <c r="T1887">
        <v>-0.24708040000000001</v>
      </c>
      <c r="U1887">
        <v>-2.6399539999999999</v>
      </c>
      <c r="V1887">
        <v>-0.1059609</v>
      </c>
      <c r="W1887">
        <v>0.15336529999999901</v>
      </c>
      <c r="X1887">
        <v>0.98247209999999996</v>
      </c>
      <c r="Y1887">
        <v>-0.30752859999999999</v>
      </c>
      <c r="Z1887">
        <v>7.9016749999999997E-2</v>
      </c>
      <c r="AA1887">
        <v>0.9482524</v>
      </c>
      <c r="AB1887">
        <v>26</v>
      </c>
      <c r="AC1887">
        <v>7.5990000000000402</v>
      </c>
      <c r="AD1887">
        <v>-1.110960841167</v>
      </c>
      <c r="AE1887">
        <v>-11.71749</v>
      </c>
      <c r="AF1887">
        <v>-4.3336128723266496</v>
      </c>
      <c r="AG1887">
        <v>-1.110960841167</v>
      </c>
      <c r="AH1887">
        <v>13.184041065703701</v>
      </c>
      <c r="AI1887">
        <v>94.576875317635597</v>
      </c>
      <c r="AJ1887">
        <v>108.19576709613401</v>
      </c>
      <c r="AK1887">
        <v>13.922405443742999</v>
      </c>
      <c r="AL1887">
        <v>81.177998936703801</v>
      </c>
      <c r="AM1887">
        <v>96.155631049012399</v>
      </c>
      <c r="AN1887">
        <v>1.00000002742565</v>
      </c>
    </row>
    <row r="1888" spans="1:40" x14ac:dyDescent="0.3">
      <c r="A1888" t="str">
        <f>"20200111150354833"</f>
        <v>20200111150354833</v>
      </c>
      <c r="B1888" t="str">
        <f>"1578726234830133"</f>
        <v>1578726234830133</v>
      </c>
      <c r="C1888" t="s">
        <v>40</v>
      </c>
      <c r="D1888">
        <v>5.0449190000000002</v>
      </c>
      <c r="E1888">
        <v>0.41602980000000001</v>
      </c>
      <c r="F1888" t="s">
        <v>72</v>
      </c>
      <c r="G1888">
        <v>-408.71850000000001</v>
      </c>
      <c r="H1888" s="1">
        <v>-3.6957329999999999E-6</v>
      </c>
      <c r="I1888">
        <v>29.477620000000002</v>
      </c>
      <c r="J1888">
        <v>-416.44130000000001</v>
      </c>
      <c r="K1888">
        <v>1.110957</v>
      </c>
      <c r="L1888">
        <v>41.232419999999998</v>
      </c>
      <c r="M1888">
        <v>0.26045220000000002</v>
      </c>
      <c r="N1888">
        <v>0</v>
      </c>
      <c r="O1888">
        <v>-0.96541350000000004</v>
      </c>
      <c r="P1888">
        <v>0.3568057</v>
      </c>
      <c r="Q1888">
        <v>0.14332710000000001</v>
      </c>
      <c r="R1888">
        <v>-0.92311840000000001</v>
      </c>
      <c r="S1888">
        <v>1.715973</v>
      </c>
      <c r="T1888">
        <v>-0.24543200000000001</v>
      </c>
      <c r="U1888">
        <v>-2.6292110000000002</v>
      </c>
      <c r="V1888">
        <v>-0.1065508</v>
      </c>
      <c r="W1888">
        <v>0.15332950000000001</v>
      </c>
      <c r="X1888">
        <v>0.98241389999999995</v>
      </c>
      <c r="Y1888">
        <v>-0.30783509999999997</v>
      </c>
      <c r="Z1888">
        <v>7.8460260000000004E-2</v>
      </c>
      <c r="AA1888">
        <v>0.94819909999999996</v>
      </c>
      <c r="AB1888">
        <v>26</v>
      </c>
      <c r="AC1888">
        <v>7.7228000000000003</v>
      </c>
      <c r="AD1888">
        <v>-1.110960695733</v>
      </c>
      <c r="AE1888">
        <v>-11.7547999999999</v>
      </c>
      <c r="AF1888">
        <v>-4.36719450081074</v>
      </c>
      <c r="AG1888">
        <v>-1.110960695733</v>
      </c>
      <c r="AH1888">
        <v>13.2777640886155</v>
      </c>
      <c r="AI1888">
        <v>94.544423380642002</v>
      </c>
      <c r="AJ1888">
        <v>108.20657236600201</v>
      </c>
      <c r="AK1888">
        <v>14.0216133404221</v>
      </c>
      <c r="AL1888">
        <v>81.180074786105394</v>
      </c>
      <c r="AM1888">
        <v>96.189998921286602</v>
      </c>
      <c r="AN1888">
        <v>1.0000000397320401</v>
      </c>
    </row>
    <row r="1889" spans="1:40" x14ac:dyDescent="0.3">
      <c r="A1889" t="str">
        <f>"20200111150354849"</f>
        <v>20200111150354849</v>
      </c>
      <c r="B1889" t="str">
        <f>"1578726234840868"</f>
        <v>1578726234840868</v>
      </c>
      <c r="C1889" t="s">
        <v>40</v>
      </c>
      <c r="D1889">
        <v>5.0860110000000001</v>
      </c>
      <c r="E1889">
        <v>0.41637730000000001</v>
      </c>
      <c r="F1889" t="s">
        <v>72</v>
      </c>
      <c r="G1889">
        <v>-408.67129999999997</v>
      </c>
      <c r="H1889" s="1">
        <v>-3.7140520000000001E-6</v>
      </c>
      <c r="I1889">
        <v>29.446999999999999</v>
      </c>
      <c r="J1889">
        <v>-416.38319999999999</v>
      </c>
      <c r="K1889">
        <v>1.1109610000000001</v>
      </c>
      <c r="L1889">
        <v>41.046599999999998</v>
      </c>
      <c r="M1889">
        <v>0.26750800000000002</v>
      </c>
      <c r="N1889">
        <v>0</v>
      </c>
      <c r="O1889">
        <v>-0.96348219999999996</v>
      </c>
      <c r="P1889">
        <v>0.36436649999999998</v>
      </c>
      <c r="Q1889">
        <v>0.14342070000000001</v>
      </c>
      <c r="R1889">
        <v>-0.92014560000000001</v>
      </c>
      <c r="S1889">
        <v>1.7276309999999999</v>
      </c>
      <c r="T1889">
        <v>-0.24701890000000001</v>
      </c>
      <c r="U1889">
        <v>-2.6204529999999999</v>
      </c>
      <c r="V1889">
        <v>-0.1074315</v>
      </c>
      <c r="W1889">
        <v>0.15340770000000001</v>
      </c>
      <c r="X1889">
        <v>0.98230569999999895</v>
      </c>
      <c r="Y1889">
        <v>-0.30525029999999997</v>
      </c>
      <c r="Z1889">
        <v>7.8895010000000002E-2</v>
      </c>
      <c r="AA1889">
        <v>0.94899829999999996</v>
      </c>
      <c r="AB1889">
        <v>26</v>
      </c>
      <c r="AC1889">
        <v>7.7119000000000097</v>
      </c>
      <c r="AD1889">
        <v>-1.110964714052</v>
      </c>
      <c r="AE1889">
        <v>-11.599600000000001</v>
      </c>
      <c r="AF1889">
        <v>-4.3002437406709797</v>
      </c>
      <c r="AG1889">
        <v>-1.110964714052</v>
      </c>
      <c r="AH1889">
        <v>13.156249323060999</v>
      </c>
      <c r="AI1889">
        <v>94.589008954344294</v>
      </c>
      <c r="AJ1889">
        <v>108.10046676393399</v>
      </c>
      <c r="AK1889">
        <v>13.8857205457834</v>
      </c>
      <c r="AL1889">
        <v>81.175539982993499</v>
      </c>
      <c r="AM1889">
        <v>96.241442523231598</v>
      </c>
      <c r="AN1889">
        <v>0.99999996893201404</v>
      </c>
    </row>
    <row r="1890" spans="1:40" x14ac:dyDescent="0.3">
      <c r="A1890" t="str">
        <f>"20200111150354863"</f>
        <v>20200111150354863</v>
      </c>
      <c r="B1890" t="str">
        <f>"1578726234860388"</f>
        <v>1578726234860388</v>
      </c>
      <c r="C1890" t="s">
        <v>40</v>
      </c>
      <c r="D1890">
        <v>5.1452119999999999</v>
      </c>
      <c r="E1890">
        <v>0.41655700000000001</v>
      </c>
      <c r="F1890" t="s">
        <v>72</v>
      </c>
      <c r="G1890">
        <v>-408.5138</v>
      </c>
      <c r="H1890" s="1">
        <v>-3.7673549999999999E-6</v>
      </c>
      <c r="I1890">
        <v>29.301210000000001</v>
      </c>
      <c r="J1890">
        <v>-416.33539999999999</v>
      </c>
      <c r="K1890">
        <v>1.1109610000000001</v>
      </c>
      <c r="L1890">
        <v>40.897979999999997</v>
      </c>
      <c r="M1890">
        <v>0.27315519999999999</v>
      </c>
      <c r="N1890">
        <v>0</v>
      </c>
      <c r="O1890">
        <v>-0.96189639999999998</v>
      </c>
      <c r="P1890">
        <v>0.3700483</v>
      </c>
      <c r="Q1890">
        <v>0.14353339999999901</v>
      </c>
      <c r="R1890">
        <v>-0.91785779999999995</v>
      </c>
      <c r="S1890">
        <v>1.7467649999999999</v>
      </c>
      <c r="T1890">
        <v>-0.24660019999999999</v>
      </c>
      <c r="U1890">
        <v>-2.6071170000000001</v>
      </c>
      <c r="V1890">
        <v>-0.107751</v>
      </c>
      <c r="W1890">
        <v>0.1535147</v>
      </c>
      <c r="X1890">
        <v>0.98225399999999996</v>
      </c>
      <c r="Y1890">
        <v>-0.30672300000000002</v>
      </c>
      <c r="Z1890">
        <v>7.8737329999999994E-2</v>
      </c>
      <c r="AA1890">
        <v>0.9485365</v>
      </c>
      <c r="AB1890">
        <v>26</v>
      </c>
      <c r="AC1890">
        <v>7.8215999999999797</v>
      </c>
      <c r="AD1890">
        <v>-1.1109647673549901</v>
      </c>
      <c r="AE1890">
        <v>-11.596769999999999</v>
      </c>
      <c r="AF1890">
        <v>-4.3288526930781899</v>
      </c>
      <c r="AG1890">
        <v>-1.1109647673549901</v>
      </c>
      <c r="AH1890">
        <v>13.2090200959088</v>
      </c>
      <c r="AI1890">
        <v>94.569596626545803</v>
      </c>
      <c r="AJ1890">
        <v>108.1449758712</v>
      </c>
      <c r="AK1890">
        <v>13.944583903680901</v>
      </c>
      <c r="AL1890">
        <v>81.1693359501309</v>
      </c>
      <c r="AM1890">
        <v>96.260184220271199</v>
      </c>
      <c r="AN1890">
        <v>0.99999998081654395</v>
      </c>
    </row>
    <row r="1891" spans="1:40" x14ac:dyDescent="0.3">
      <c r="A1891" t="str">
        <f>"20200111150354876"</f>
        <v>20200111150354876</v>
      </c>
      <c r="B1891" t="str">
        <f>"1578726234870148"</f>
        <v>1578726234870148</v>
      </c>
      <c r="C1891" t="s">
        <v>40</v>
      </c>
      <c r="D1891">
        <v>5.2239009999999997</v>
      </c>
      <c r="E1891">
        <v>0.41633150000000002</v>
      </c>
      <c r="F1891" t="s">
        <v>72</v>
      </c>
      <c r="G1891">
        <v>-408.3252</v>
      </c>
      <c r="H1891" s="1">
        <v>-3.824346E-6</v>
      </c>
      <c r="I1891">
        <v>29.088100000000001</v>
      </c>
      <c r="J1891">
        <v>-416.28769999999997</v>
      </c>
      <c r="K1891">
        <v>1.110962</v>
      </c>
      <c r="L1891">
        <v>40.752139999999997</v>
      </c>
      <c r="M1891">
        <v>0.278696</v>
      </c>
      <c r="N1891">
        <v>0</v>
      </c>
      <c r="O1891">
        <v>-0.96030559999999998</v>
      </c>
      <c r="P1891">
        <v>0.3758031</v>
      </c>
      <c r="Q1891">
        <v>0.14315700000000001</v>
      </c>
      <c r="R1891">
        <v>-0.91557540000000004</v>
      </c>
      <c r="S1891">
        <v>1.7612000000000001</v>
      </c>
      <c r="T1891">
        <v>-0.24426619999999999</v>
      </c>
      <c r="U1891">
        <v>-2.596619</v>
      </c>
      <c r="V1891">
        <v>-0.10823480000000001</v>
      </c>
      <c r="W1891">
        <v>0.15313060000000001</v>
      </c>
      <c r="X1891">
        <v>0.98226080000000004</v>
      </c>
      <c r="Y1891">
        <v>-0.306664099999999</v>
      </c>
      <c r="Z1891">
        <v>7.7955960000000005E-2</v>
      </c>
      <c r="AA1891">
        <v>0.94862009999999997</v>
      </c>
      <c r="AB1891">
        <v>26</v>
      </c>
      <c r="AC1891">
        <v>7.9624999999999702</v>
      </c>
      <c r="AD1891">
        <v>-1.1109658243459899</v>
      </c>
      <c r="AE1891">
        <v>-11.66404</v>
      </c>
      <c r="AF1891">
        <v>-4.3689873170476599</v>
      </c>
      <c r="AG1891">
        <v>-1.1109658243459899</v>
      </c>
      <c r="AH1891">
        <v>13.338568916790599</v>
      </c>
      <c r="AI1891">
        <v>94.525636675479802</v>
      </c>
      <c r="AJ1891">
        <v>108.13597230696401</v>
      </c>
      <c r="AK1891">
        <v>14.0797626395959</v>
      </c>
      <c r="AL1891">
        <v>81.191606895062606</v>
      </c>
      <c r="AM1891">
        <v>96.288024490342096</v>
      </c>
      <c r="AN1891">
        <v>1.0000000159020099</v>
      </c>
    </row>
    <row r="1892" spans="1:40" x14ac:dyDescent="0.3">
      <c r="A1892" t="str">
        <f>"20200111150354890"</f>
        <v>20200111150354890</v>
      </c>
      <c r="B1892" t="str">
        <f>"1578726234880500"</f>
        <v>1578726234880500</v>
      </c>
      <c r="C1892" t="s">
        <v>40</v>
      </c>
      <c r="D1892">
        <v>5.0066629999999996</v>
      </c>
      <c r="E1892">
        <v>0.41633150000000002</v>
      </c>
      <c r="F1892" t="s">
        <v>72</v>
      </c>
      <c r="G1892">
        <v>-408.24930000000001</v>
      </c>
      <c r="H1892" s="1">
        <v>-3.86025E-6</v>
      </c>
      <c r="I1892">
        <v>29.075279999999999</v>
      </c>
      <c r="J1892">
        <v>-416.23899999999998</v>
      </c>
      <c r="K1892">
        <v>1.110959</v>
      </c>
      <c r="L1892">
        <v>40.605440000000002</v>
      </c>
      <c r="M1892">
        <v>0.2842674</v>
      </c>
      <c r="N1892">
        <v>0</v>
      </c>
      <c r="O1892">
        <v>-0.95867089999999999</v>
      </c>
      <c r="P1892">
        <v>0.38158170000000002</v>
      </c>
      <c r="Q1892">
        <v>0.14227300000000001</v>
      </c>
      <c r="R1892">
        <v>-0.91332020000000003</v>
      </c>
      <c r="S1892">
        <v>1.779358</v>
      </c>
      <c r="T1892">
        <v>-0.24591930000000001</v>
      </c>
      <c r="U1892">
        <v>-2.5847470000000001</v>
      </c>
      <c r="V1892">
        <v>-0.1086874</v>
      </c>
      <c r="W1892">
        <v>0.1522404</v>
      </c>
      <c r="X1892">
        <v>0.98234920000000003</v>
      </c>
      <c r="Y1892">
        <v>-0.3076738</v>
      </c>
      <c r="Z1892">
        <v>7.8422850000000002E-2</v>
      </c>
      <c r="AA1892">
        <v>0.9482545</v>
      </c>
      <c r="AB1892">
        <v>26</v>
      </c>
      <c r="AC1892">
        <v>7.9897000000000196</v>
      </c>
      <c r="AD1892">
        <v>-1.1109628602499999</v>
      </c>
      <c r="AE1892">
        <v>-11.53016</v>
      </c>
      <c r="AF1892">
        <v>-4.3548414201559904</v>
      </c>
      <c r="AG1892">
        <v>-1.1109628602499999</v>
      </c>
      <c r="AH1892">
        <v>13.2427265450485</v>
      </c>
      <c r="AI1892">
        <v>94.556489554893304</v>
      </c>
      <c r="AJ1892">
        <v>108.203336221372</v>
      </c>
      <c r="AK1892">
        <v>13.984587538375701</v>
      </c>
      <c r="AL1892">
        <v>81.243216773975206</v>
      </c>
      <c r="AM1892">
        <v>96.313543263282398</v>
      </c>
      <c r="AN1892">
        <v>1.00000002052578</v>
      </c>
    </row>
    <row r="1893" spans="1:40" x14ac:dyDescent="0.3">
      <c r="A1893" t="str">
        <f>"20200111150354903"</f>
        <v>20200111150354903</v>
      </c>
      <c r="B1893" t="str">
        <f>"1578726234900996"</f>
        <v>1578726234900996</v>
      </c>
      <c r="C1893" t="s">
        <v>40</v>
      </c>
      <c r="D1893">
        <v>5.2941409999999998</v>
      </c>
      <c r="E1893">
        <v>0.40179510000000002</v>
      </c>
      <c r="F1893" t="s">
        <v>72</v>
      </c>
      <c r="G1893">
        <v>-408.2319</v>
      </c>
      <c r="H1893" s="1">
        <v>-3.877993E-6</v>
      </c>
      <c r="I1893">
        <v>29.12585</v>
      </c>
      <c r="J1893">
        <v>-416.18830000000003</v>
      </c>
      <c r="K1893">
        <v>1.110959</v>
      </c>
      <c r="L1893">
        <v>40.456420000000001</v>
      </c>
      <c r="M1893">
        <v>0.28993210000000003</v>
      </c>
      <c r="N1893">
        <v>0</v>
      </c>
      <c r="O1893">
        <v>-0.95697330000000003</v>
      </c>
      <c r="P1893">
        <v>0.38709759999999999</v>
      </c>
      <c r="Q1893">
        <v>0.14229420000000001</v>
      </c>
      <c r="R1893">
        <v>-0.91099300000000005</v>
      </c>
      <c r="S1893">
        <v>1.7950740000000001</v>
      </c>
      <c r="T1893">
        <v>-0.2490609</v>
      </c>
      <c r="U1893">
        <v>-2.573547</v>
      </c>
      <c r="V1893">
        <v>-0.1088206</v>
      </c>
      <c r="W1893">
        <v>0.15225929999999999</v>
      </c>
      <c r="X1893">
        <v>0.98233150000000002</v>
      </c>
      <c r="Y1893">
        <v>-0.30783500000000003</v>
      </c>
      <c r="Z1893">
        <v>7.9364069999999995E-2</v>
      </c>
      <c r="AA1893">
        <v>0.94812390000000002</v>
      </c>
      <c r="AB1893">
        <v>26</v>
      </c>
      <c r="AC1893">
        <v>7.9564000000000297</v>
      </c>
      <c r="AD1893">
        <v>-1.1109628779930001</v>
      </c>
      <c r="AE1893">
        <v>-11.33057</v>
      </c>
      <c r="AF1893">
        <v>-4.3015754671902497</v>
      </c>
      <c r="AG1893">
        <v>-1.1109628779930001</v>
      </c>
      <c r="AH1893">
        <v>13.066664729143399</v>
      </c>
      <c r="AI1893">
        <v>94.617136768468399</v>
      </c>
      <c r="AJ1893">
        <v>108.221661350159</v>
      </c>
      <c r="AK1893">
        <v>13.801286793631</v>
      </c>
      <c r="AL1893">
        <v>81.242120899875005</v>
      </c>
      <c r="AM1893">
        <v>96.321331099571594</v>
      </c>
      <c r="AN1893">
        <v>0.99999999665655004</v>
      </c>
    </row>
    <row r="1894" spans="1:40" x14ac:dyDescent="0.3">
      <c r="A1894" t="str">
        <f>"20200111150354917"</f>
        <v>20200111150354917</v>
      </c>
      <c r="B1894" t="str">
        <f>"1578726234910755"</f>
        <v>1578726234910755</v>
      </c>
      <c r="C1894" t="s">
        <v>40</v>
      </c>
      <c r="D1894">
        <v>5.1183310000000004</v>
      </c>
      <c r="E1894">
        <v>0.4028967</v>
      </c>
      <c r="F1894" t="s">
        <v>72</v>
      </c>
      <c r="G1894">
        <v>-405.87720000000002</v>
      </c>
      <c r="H1894" s="1">
        <v>-4.6722760000000003E-6</v>
      </c>
      <c r="I1894">
        <v>26.931319999999999</v>
      </c>
      <c r="J1894">
        <v>-416.13630000000001</v>
      </c>
      <c r="K1894">
        <v>1.110965</v>
      </c>
      <c r="L1894">
        <v>40.306579999999997</v>
      </c>
      <c r="M1894">
        <v>0.29562840000000001</v>
      </c>
      <c r="N1894">
        <v>0</v>
      </c>
      <c r="O1894">
        <v>-0.95522870000000004</v>
      </c>
      <c r="P1894">
        <v>0.3924588</v>
      </c>
      <c r="Q1894">
        <v>0.1418083</v>
      </c>
      <c r="R1894">
        <v>-0.90877200000000002</v>
      </c>
      <c r="S1894">
        <v>1.914825</v>
      </c>
      <c r="T1894">
        <v>-0.2063122</v>
      </c>
      <c r="U1894">
        <v>-2.5116879999999999</v>
      </c>
      <c r="V1894">
        <v>-0.10872709999999999</v>
      </c>
      <c r="W1894">
        <v>0.1517762</v>
      </c>
      <c r="X1894">
        <v>0.98241659999999997</v>
      </c>
      <c r="Y1894">
        <v>-0.34270469999999997</v>
      </c>
      <c r="Z1894">
        <v>6.5685930000000003E-2</v>
      </c>
      <c r="AA1894">
        <v>0.93714399999999998</v>
      </c>
      <c r="AB1894">
        <v>26</v>
      </c>
      <c r="AC1894">
        <v>10.259099999999901</v>
      </c>
      <c r="AD1894">
        <v>-1.1109696722759901</v>
      </c>
      <c r="AE1894">
        <v>-13.3752599999999</v>
      </c>
      <c r="AF1894">
        <v>-5.8208111006669103</v>
      </c>
      <c r="AG1894">
        <v>-1.1109696722759901</v>
      </c>
      <c r="AH1894">
        <v>15.7420568824082</v>
      </c>
      <c r="AI1894">
        <v>93.787065307268804</v>
      </c>
      <c r="AJ1894">
        <v>110.292467731889</v>
      </c>
      <c r="AK1894">
        <v>16.820477114854398</v>
      </c>
      <c r="AL1894">
        <v>81.270125884079604</v>
      </c>
      <c r="AM1894">
        <v>96.315400959466999</v>
      </c>
      <c r="AN1894">
        <v>0.99999998655820399</v>
      </c>
    </row>
    <row r="1895" spans="1:40" x14ac:dyDescent="0.3">
      <c r="A1895" t="str">
        <f>"20200111150354939"</f>
        <v>20200111150354939</v>
      </c>
      <c r="B1895" t="str">
        <f>"1578726234930276"</f>
        <v>1578726234930276</v>
      </c>
      <c r="C1895" t="s">
        <v>40</v>
      </c>
      <c r="D1895">
        <v>5.0887379999999904</v>
      </c>
      <c r="E1895">
        <v>0.40451989999999999</v>
      </c>
      <c r="F1895" t="s">
        <v>72</v>
      </c>
      <c r="G1895">
        <v>-406.0607</v>
      </c>
      <c r="H1895" s="1">
        <v>-4.6258970000000002E-6</v>
      </c>
      <c r="I1895">
        <v>27.189579999999999</v>
      </c>
      <c r="J1895">
        <v>-416.0539</v>
      </c>
      <c r="K1895">
        <v>1.11097</v>
      </c>
      <c r="L1895">
        <v>40.074280000000002</v>
      </c>
      <c r="M1895">
        <v>0.30446119999999999</v>
      </c>
      <c r="N1895">
        <v>0</v>
      </c>
      <c r="O1895">
        <v>-0.95245049999999998</v>
      </c>
      <c r="P1895">
        <v>0.39992440000000001</v>
      </c>
      <c r="Q1895">
        <v>0.14247850000000001</v>
      </c>
      <c r="R1895">
        <v>-0.9054063</v>
      </c>
      <c r="S1895">
        <v>1.923187</v>
      </c>
      <c r="T1895">
        <v>-0.21205750000000001</v>
      </c>
      <c r="U1895">
        <v>-2.5037229999999999</v>
      </c>
      <c r="V1895">
        <v>-0.10775849999999999</v>
      </c>
      <c r="W1895">
        <v>0.1524624</v>
      </c>
      <c r="X1895">
        <v>0.98241710000000004</v>
      </c>
      <c r="Y1895">
        <v>-0.33733619999999997</v>
      </c>
      <c r="Z1895">
        <v>6.7392889999999997E-2</v>
      </c>
      <c r="AA1895">
        <v>0.93896880000000005</v>
      </c>
      <c r="AB1895">
        <v>26</v>
      </c>
      <c r="AC1895">
        <v>9.9931999999999999</v>
      </c>
      <c r="AD1895">
        <v>-1.1109746258969999</v>
      </c>
      <c r="AE1895">
        <v>-12.8847</v>
      </c>
      <c r="AF1895">
        <v>-5.5696772679045399</v>
      </c>
      <c r="AG1895">
        <v>-1.1109746258969999</v>
      </c>
      <c r="AH1895">
        <v>15.244893883969199</v>
      </c>
      <c r="AI1895">
        <v>93.915784834720199</v>
      </c>
      <c r="AJ1895">
        <v>110.06962787048801</v>
      </c>
      <c r="AK1895">
        <v>16.268446730449799</v>
      </c>
      <c r="AL1895">
        <v>81.230346851096201</v>
      </c>
      <c r="AM1895">
        <v>96.2595853694542</v>
      </c>
      <c r="AN1895">
        <v>1.0000000180542099</v>
      </c>
    </row>
    <row r="1896" spans="1:40" x14ac:dyDescent="0.3">
      <c r="A1896" t="str">
        <f>"20200111150354961"</f>
        <v>20200111150354961</v>
      </c>
      <c r="B1896" t="str">
        <f>"1578726234950771"</f>
        <v>1578726234950771</v>
      </c>
      <c r="C1896" t="s">
        <v>40</v>
      </c>
      <c r="D1896">
        <v>5.1225019999999999</v>
      </c>
      <c r="E1896">
        <v>0.40534880000000001</v>
      </c>
      <c r="F1896" t="s">
        <v>72</v>
      </c>
      <c r="G1896">
        <v>-406.03890000000001</v>
      </c>
      <c r="H1896" s="1">
        <v>-4.630118E-6</v>
      </c>
      <c r="I1896">
        <v>27.15166</v>
      </c>
      <c r="J1896">
        <v>-415.96710000000002</v>
      </c>
      <c r="K1896">
        <v>1.1109690000000001</v>
      </c>
      <c r="L1896">
        <v>39.836820000000003</v>
      </c>
      <c r="M1896">
        <v>0.31349070000000001</v>
      </c>
      <c r="N1896">
        <v>0</v>
      </c>
      <c r="O1896">
        <v>-0.94951640000000004</v>
      </c>
      <c r="P1896">
        <v>0.40830470000000002</v>
      </c>
      <c r="Q1896">
        <v>0.14248839999999999</v>
      </c>
      <c r="R1896">
        <v>-0.90165629999999997</v>
      </c>
      <c r="S1896">
        <v>1.9324950000000001</v>
      </c>
      <c r="T1896">
        <v>-0.2143747</v>
      </c>
      <c r="U1896">
        <v>-2.4935610000000001</v>
      </c>
      <c r="V1896">
        <v>-0.10754469999999999</v>
      </c>
      <c r="W1896">
        <v>0.1524761</v>
      </c>
      <c r="X1896">
        <v>0.98243840000000004</v>
      </c>
      <c r="Y1896">
        <v>-0.33240599999999998</v>
      </c>
      <c r="Z1896">
        <v>6.8027630000000006E-2</v>
      </c>
      <c r="AA1896">
        <v>0.94067979999999995</v>
      </c>
      <c r="AB1896">
        <v>26</v>
      </c>
      <c r="AC1896">
        <v>9.9282000000000004</v>
      </c>
      <c r="AD1896">
        <v>-1.110973630118</v>
      </c>
      <c r="AE1896">
        <v>-12.68516</v>
      </c>
      <c r="AF1896">
        <v>-5.4248923426452604</v>
      </c>
      <c r="AG1896">
        <v>-1.110973630118</v>
      </c>
      <c r="AH1896">
        <v>15.086482674064101</v>
      </c>
      <c r="AI1896">
        <v>93.964053994280107</v>
      </c>
      <c r="AJ1896">
        <v>109.777889342804</v>
      </c>
      <c r="AK1896">
        <v>16.070646496359299</v>
      </c>
      <c r="AL1896">
        <v>81.229552600738401</v>
      </c>
      <c r="AM1896">
        <v>96.247129859672498</v>
      </c>
      <c r="AN1896">
        <v>1.0000000166819301</v>
      </c>
    </row>
    <row r="1897" spans="1:40" x14ac:dyDescent="0.3">
      <c r="A1897" t="str">
        <f>"20200111150354984"</f>
        <v>20200111150354984</v>
      </c>
      <c r="B1897" t="str">
        <f>"1578726234980734"</f>
        <v>1578726234980734</v>
      </c>
      <c r="C1897" t="s">
        <v>40</v>
      </c>
      <c r="D1897">
        <v>5.0661620000000003</v>
      </c>
      <c r="E1897">
        <v>0.40776829999999997</v>
      </c>
      <c r="F1897" t="s">
        <v>72</v>
      </c>
      <c r="G1897">
        <v>-405.99860000000001</v>
      </c>
      <c r="H1897" s="1">
        <v>-4.6513909999999996E-6</v>
      </c>
      <c r="I1897">
        <v>27.157039999999999</v>
      </c>
      <c r="J1897">
        <v>-415.87650000000002</v>
      </c>
      <c r="K1897">
        <v>1.110973</v>
      </c>
      <c r="L1897">
        <v>39.595950000000002</v>
      </c>
      <c r="M1897">
        <v>0.32265060000000001</v>
      </c>
      <c r="N1897">
        <v>0</v>
      </c>
      <c r="O1897">
        <v>-0.94644309999999998</v>
      </c>
      <c r="P1897">
        <v>0.41624919999999999</v>
      </c>
      <c r="Q1897">
        <v>0.1415151</v>
      </c>
      <c r="R1897">
        <v>-0.89817039999999904</v>
      </c>
      <c r="S1897">
        <v>1.948914</v>
      </c>
      <c r="T1897">
        <v>-0.21720200000000001</v>
      </c>
      <c r="U1897">
        <v>-2.4789729999999999</v>
      </c>
      <c r="V1897">
        <v>-0.10666050000000001</v>
      </c>
      <c r="W1897">
        <v>0.15152070000000001</v>
      </c>
      <c r="X1897">
        <v>0.98268250000000001</v>
      </c>
      <c r="Y1897">
        <v>-0.32979459999999999</v>
      </c>
      <c r="Z1897">
        <v>6.8816799999999997E-2</v>
      </c>
      <c r="AA1897">
        <v>0.94154119999999997</v>
      </c>
      <c r="AB1897">
        <v>26</v>
      </c>
      <c r="AC1897">
        <v>9.8779000000000092</v>
      </c>
      <c r="AD1897">
        <v>-1.1109776513909999</v>
      </c>
      <c r="AE1897">
        <v>-12.43891</v>
      </c>
      <c r="AF1897">
        <v>-5.3098512394921604</v>
      </c>
      <c r="AG1897">
        <v>-1.1109776513909999</v>
      </c>
      <c r="AH1897">
        <v>14.8880597993764</v>
      </c>
      <c r="AI1897">
        <v>94.020459205647199</v>
      </c>
      <c r="AJ1897">
        <v>109.628860301689</v>
      </c>
      <c r="AK1897">
        <v>15.845602422036</v>
      </c>
      <c r="AL1897">
        <v>81.284935839018502</v>
      </c>
      <c r="AM1897">
        <v>96.194641829086393</v>
      </c>
      <c r="AN1897">
        <v>0.99999994029749295</v>
      </c>
    </row>
    <row r="1898" spans="1:40" x14ac:dyDescent="0.3">
      <c r="A1898" t="str">
        <f>"20200111150355007"</f>
        <v>20200111150355007</v>
      </c>
      <c r="B1898" t="str">
        <f>"1578726235000256"</f>
        <v>1578726235000256</v>
      </c>
      <c r="C1898" t="s">
        <v>40</v>
      </c>
      <c r="D1898">
        <v>5.1469459999999998</v>
      </c>
      <c r="E1898">
        <v>0.40927619999999998</v>
      </c>
      <c r="F1898" t="s">
        <v>72</v>
      </c>
      <c r="G1898">
        <v>-406.56040000000002</v>
      </c>
      <c r="H1898" s="1">
        <v>-4.4857710000000002E-6</v>
      </c>
      <c r="I1898">
        <v>27.814789999999999</v>
      </c>
      <c r="J1898">
        <v>-415.78219999999999</v>
      </c>
      <c r="K1898">
        <v>1.11097</v>
      </c>
      <c r="L1898">
        <v>39.352080000000001</v>
      </c>
      <c r="M1898">
        <v>0.3319202</v>
      </c>
      <c r="N1898">
        <v>0</v>
      </c>
      <c r="O1898">
        <v>-0.94323239999999997</v>
      </c>
      <c r="P1898">
        <v>0.42375649999999998</v>
      </c>
      <c r="Q1898">
        <v>0.14093910000000001</v>
      </c>
      <c r="R1898">
        <v>-0.89474430000000005</v>
      </c>
      <c r="S1898">
        <v>1.9541630000000001</v>
      </c>
      <c r="T1898">
        <v>-0.2330392</v>
      </c>
      <c r="U1898">
        <v>-2.471222</v>
      </c>
      <c r="V1898">
        <v>-0.1052083</v>
      </c>
      <c r="W1898">
        <v>0.15097160000000001</v>
      </c>
      <c r="X1898">
        <v>0.98292360000000001</v>
      </c>
      <c r="Y1898">
        <v>-0.32296520000000001</v>
      </c>
      <c r="Z1898">
        <v>7.3665339999999996E-2</v>
      </c>
      <c r="AA1898">
        <v>0.94353960000000003</v>
      </c>
      <c r="AB1898">
        <v>26</v>
      </c>
      <c r="AC1898">
        <v>9.2217999999999698</v>
      </c>
      <c r="AD1898">
        <v>-1.110974485771</v>
      </c>
      <c r="AE1898">
        <v>-11.53729</v>
      </c>
      <c r="AF1898">
        <v>-4.84179159798245</v>
      </c>
      <c r="AG1898">
        <v>-1.110974485771</v>
      </c>
      <c r="AH1898">
        <v>13.8657842986171</v>
      </c>
      <c r="AI1898">
        <v>94.325859398440102</v>
      </c>
      <c r="AJ1898">
        <v>109.24868497176099</v>
      </c>
      <c r="AK1898">
        <v>14.728787608017999</v>
      </c>
      <c r="AL1898">
        <v>81.316763673352995</v>
      </c>
      <c r="AM1898">
        <v>96.109455681080803</v>
      </c>
      <c r="AN1898">
        <v>1.0000000069162001</v>
      </c>
    </row>
    <row r="1899" spans="1:40" x14ac:dyDescent="0.3">
      <c r="A1899" t="str">
        <f>"20200111150355028"</f>
        <v>20200111150355028</v>
      </c>
      <c r="B1899" t="str">
        <f>"1578726235020749"</f>
        <v>1578726235020749</v>
      </c>
      <c r="C1899" t="s">
        <v>40</v>
      </c>
      <c r="D1899">
        <v>5.116263</v>
      </c>
      <c r="E1899">
        <v>0.41018480000000002</v>
      </c>
      <c r="F1899" t="s">
        <v>72</v>
      </c>
      <c r="G1899">
        <v>-406.73919999999998</v>
      </c>
      <c r="H1899" s="1">
        <v>-4.4339780000000001E-6</v>
      </c>
      <c r="I1899">
        <v>28.029440000000001</v>
      </c>
      <c r="J1899">
        <v>-415.68860000000001</v>
      </c>
      <c r="K1899">
        <v>1.110968</v>
      </c>
      <c r="L1899">
        <v>39.11703</v>
      </c>
      <c r="M1899">
        <v>0.34084920000000002</v>
      </c>
      <c r="N1899">
        <v>0</v>
      </c>
      <c r="O1899">
        <v>-0.9400425</v>
      </c>
      <c r="P1899">
        <v>0.43264590000000003</v>
      </c>
      <c r="Q1899">
        <v>0.14185680000000001</v>
      </c>
      <c r="R1899">
        <v>-0.89033399999999996</v>
      </c>
      <c r="S1899">
        <v>1.964966</v>
      </c>
      <c r="T1899">
        <v>-0.2414067</v>
      </c>
      <c r="U1899">
        <v>-2.4603269999999999</v>
      </c>
      <c r="V1899">
        <v>-0.1057423</v>
      </c>
      <c r="W1899">
        <v>0.15187989999999901</v>
      </c>
      <c r="X1899">
        <v>0.98272630000000005</v>
      </c>
      <c r="Y1899">
        <v>-0.31842969999999998</v>
      </c>
      <c r="Z1899">
        <v>7.6146130000000006E-2</v>
      </c>
      <c r="AA1899">
        <v>0.94488320000000003</v>
      </c>
      <c r="AB1899">
        <v>26</v>
      </c>
      <c r="AC1899">
        <v>8.9494000000000202</v>
      </c>
      <c r="AD1899">
        <v>-1.1109724339780001</v>
      </c>
      <c r="AE1899">
        <v>-11.087590000000001</v>
      </c>
      <c r="AF1899">
        <v>-4.6059480382458204</v>
      </c>
      <c r="AG1899">
        <v>-1.1109724339780001</v>
      </c>
      <c r="AH1899">
        <v>13.392739256096499</v>
      </c>
      <c r="AI1899">
        <v>94.485319923486401</v>
      </c>
      <c r="AJ1899">
        <v>108.978801372305</v>
      </c>
      <c r="AK1899">
        <v>14.206142399042401</v>
      </c>
      <c r="AL1899">
        <v>81.264114383287094</v>
      </c>
      <c r="AM1899">
        <v>96.141452162643205</v>
      </c>
      <c r="AN1899">
        <v>0.99999995937249397</v>
      </c>
    </row>
    <row r="1900" spans="1:40" x14ac:dyDescent="0.3">
      <c r="A1900" t="str">
        <f>"20200111150355051"</f>
        <v>20200111150355051</v>
      </c>
      <c r="B1900" t="str">
        <f>"1578726235040269"</f>
        <v>1578726235040269</v>
      </c>
      <c r="C1900" t="s">
        <v>40</v>
      </c>
      <c r="D1900">
        <v>5.1830290000000003</v>
      </c>
      <c r="E1900">
        <v>0.41057690000000002</v>
      </c>
      <c r="F1900" t="s">
        <v>72</v>
      </c>
      <c r="G1900">
        <v>-406.5745</v>
      </c>
      <c r="H1900" s="1">
        <v>-4.4906930000000001E-6</v>
      </c>
      <c r="I1900">
        <v>27.882249999999999</v>
      </c>
      <c r="J1900">
        <v>-415.59109999999998</v>
      </c>
      <c r="K1900">
        <v>1.1109519999999999</v>
      </c>
      <c r="L1900">
        <v>38.879179999999998</v>
      </c>
      <c r="M1900">
        <v>0.34986889999999998</v>
      </c>
      <c r="N1900">
        <v>0</v>
      </c>
      <c r="O1900">
        <v>-0.93672310000000003</v>
      </c>
      <c r="P1900">
        <v>0.44179649999999998</v>
      </c>
      <c r="Q1900">
        <v>0.1419454</v>
      </c>
      <c r="R1900">
        <v>-0.88581460000000001</v>
      </c>
      <c r="S1900">
        <v>1.9830019999999999</v>
      </c>
      <c r="T1900">
        <v>-0.24171880000000001</v>
      </c>
      <c r="U1900">
        <v>-2.4443969999999999</v>
      </c>
      <c r="V1900">
        <v>-0.10642790000000001</v>
      </c>
      <c r="W1900">
        <v>0.1519576</v>
      </c>
      <c r="X1900">
        <v>0.98264030000000002</v>
      </c>
      <c r="Y1900">
        <v>-0.3165347</v>
      </c>
      <c r="Z1900">
        <v>7.6102569999999994E-2</v>
      </c>
      <c r="AA1900">
        <v>0.94552329999999996</v>
      </c>
      <c r="AB1900">
        <v>26</v>
      </c>
      <c r="AC1900">
        <v>9.0165999999999809</v>
      </c>
      <c r="AD1900">
        <v>-1.1109564906929901</v>
      </c>
      <c r="AE1900">
        <v>-10.996930000000001</v>
      </c>
      <c r="AF1900">
        <v>-4.5710023391572996</v>
      </c>
      <c r="AG1900">
        <v>-1.1109564906929901</v>
      </c>
      <c r="AH1900">
        <v>13.375030802533599</v>
      </c>
      <c r="AI1900">
        <v>94.494131262060506</v>
      </c>
      <c r="AJ1900">
        <v>108.868191184118</v>
      </c>
      <c r="AK1900">
        <v>14.1781428853541</v>
      </c>
      <c r="AL1900">
        <v>81.259610443734701</v>
      </c>
      <c r="AM1900">
        <v>96.181500945995296</v>
      </c>
      <c r="AN1900">
        <v>0.99999998464012896</v>
      </c>
    </row>
    <row r="1901" spans="1:40" x14ac:dyDescent="0.3">
      <c r="A1901" t="str">
        <f>"20200111150355073"</f>
        <v>20200111150355073</v>
      </c>
      <c r="B1901" t="str">
        <f>"1578726235070525"</f>
        <v>1578726235070525</v>
      </c>
      <c r="C1901" t="s">
        <v>40</v>
      </c>
      <c r="D1901">
        <v>5.1524049999999999</v>
      </c>
      <c r="E1901">
        <v>0.41130949999999999</v>
      </c>
      <c r="F1901" t="s">
        <v>72</v>
      </c>
      <c r="G1901">
        <v>-406.3571</v>
      </c>
      <c r="H1901" s="1">
        <v>-4.5696780000000003E-6</v>
      </c>
      <c r="I1901">
        <v>27.711480000000002</v>
      </c>
      <c r="J1901">
        <v>-415.49090000000001</v>
      </c>
      <c r="K1901">
        <v>1.1109340000000001</v>
      </c>
      <c r="L1901">
        <v>38.641300000000001</v>
      </c>
      <c r="M1901">
        <v>0.35887049999999998</v>
      </c>
      <c r="N1901">
        <v>0</v>
      </c>
      <c r="O1901">
        <v>-0.93331120000000001</v>
      </c>
      <c r="P1901">
        <v>0.45056160000000001</v>
      </c>
      <c r="Q1901">
        <v>0.14002609999999999</v>
      </c>
      <c r="R1901">
        <v>-0.88169549999999997</v>
      </c>
      <c r="S1901">
        <v>2.0053100000000001</v>
      </c>
      <c r="T1901">
        <v>-0.2412608</v>
      </c>
      <c r="U1901">
        <v>-2.4252319999999998</v>
      </c>
      <c r="V1901">
        <v>-0.1065701</v>
      </c>
      <c r="W1901">
        <v>0.15004110000000001</v>
      </c>
      <c r="X1901">
        <v>0.9829194</v>
      </c>
      <c r="Y1901">
        <v>-0.31625009999999998</v>
      </c>
      <c r="Z1901">
        <v>7.5823379999999996E-2</v>
      </c>
      <c r="AA1901">
        <v>0.94564090000000001</v>
      </c>
      <c r="AB1901">
        <v>26</v>
      </c>
      <c r="AC1901">
        <v>9.1338000000000008</v>
      </c>
      <c r="AD1901">
        <v>-1.1109385696780001</v>
      </c>
      <c r="AE1901">
        <v>-10.929819999999999</v>
      </c>
      <c r="AF1901">
        <v>-4.5747861511376202</v>
      </c>
      <c r="AG1901">
        <v>-1.1109385696780001</v>
      </c>
      <c r="AH1901">
        <v>13.3982301835975</v>
      </c>
      <c r="AI1901">
        <v>94.4867321108798</v>
      </c>
      <c r="AJ1901">
        <v>108.85231896668</v>
      </c>
      <c r="AK1901">
        <v>14.201247300392399</v>
      </c>
      <c r="AL1901">
        <v>81.370691911251299</v>
      </c>
      <c r="AM1901">
        <v>96.187952151788593</v>
      </c>
      <c r="AN1901">
        <v>1.00000003239978</v>
      </c>
    </row>
    <row r="1902" spans="1:40" x14ac:dyDescent="0.3">
      <c r="A1902" t="str">
        <f>"20200111150355096"</f>
        <v>20200111150355096</v>
      </c>
      <c r="B1902" t="str">
        <f>"1578726235091021"</f>
        <v>1578726235091021</v>
      </c>
      <c r="C1902" t="s">
        <v>40</v>
      </c>
      <c r="D1902">
        <v>5.162223</v>
      </c>
      <c r="E1902">
        <v>0.4120491</v>
      </c>
      <c r="F1902" t="s">
        <v>72</v>
      </c>
      <c r="G1902">
        <v>-406.52659999999997</v>
      </c>
      <c r="H1902" s="1">
        <v>-4.5327499999999999E-6</v>
      </c>
      <c r="I1902">
        <v>27.983260000000001</v>
      </c>
      <c r="J1902">
        <v>-415.3843</v>
      </c>
      <c r="K1902">
        <v>1.1109089999999999</v>
      </c>
      <c r="L1902">
        <v>38.394739999999999</v>
      </c>
      <c r="M1902">
        <v>0.36817850000000002</v>
      </c>
      <c r="N1902">
        <v>0</v>
      </c>
      <c r="O1902">
        <v>-0.92967869999999997</v>
      </c>
      <c r="P1902">
        <v>0.45980959999999899</v>
      </c>
      <c r="Q1902">
        <v>0.1371628</v>
      </c>
      <c r="R1902">
        <v>-0.87736029999999998</v>
      </c>
      <c r="S1902">
        <v>2.024994</v>
      </c>
      <c r="T1902">
        <v>-0.25095489999999998</v>
      </c>
      <c r="U1902">
        <v>-2.4075929999999999</v>
      </c>
      <c r="V1902">
        <v>-0.1068696</v>
      </c>
      <c r="W1902">
        <v>0.147178799999999</v>
      </c>
      <c r="X1902">
        <v>0.98331950000000001</v>
      </c>
      <c r="Y1902">
        <v>-0.31455699999999998</v>
      </c>
      <c r="Z1902">
        <v>7.8681829999999994E-2</v>
      </c>
      <c r="AA1902">
        <v>0.94597200000000004</v>
      </c>
      <c r="AB1902">
        <v>26</v>
      </c>
      <c r="AC1902">
        <v>8.8577000000000208</v>
      </c>
      <c r="AD1902">
        <v>-1.1109135327499999</v>
      </c>
      <c r="AE1902">
        <v>-10.411479999999999</v>
      </c>
      <c r="AF1902">
        <v>-4.3729628496077604</v>
      </c>
      <c r="AG1902">
        <v>-1.1109135327499999</v>
      </c>
      <c r="AH1902">
        <v>12.856552516567399</v>
      </c>
      <c r="AI1902">
        <v>94.676707954921298</v>
      </c>
      <c r="AJ1902">
        <v>108.784963804439</v>
      </c>
      <c r="AK1902">
        <v>13.625266073458899</v>
      </c>
      <c r="AL1902">
        <v>81.536530683091897</v>
      </c>
      <c r="AM1902">
        <v>96.202701894275094</v>
      </c>
      <c r="AN1902">
        <v>0.99999997482692404</v>
      </c>
    </row>
    <row r="1903" spans="1:40" x14ac:dyDescent="0.3">
      <c r="A1903" t="str">
        <f>"20200111150355119"</f>
        <v>20200111150355119</v>
      </c>
      <c r="B1903" t="str">
        <f>"1578726235110545"</f>
        <v>1578726235110545</v>
      </c>
      <c r="C1903" t="s">
        <v>40</v>
      </c>
      <c r="D1903">
        <v>5.1453490000000004</v>
      </c>
      <c r="E1903">
        <v>0.41260360000000001</v>
      </c>
      <c r="F1903" t="s">
        <v>72</v>
      </c>
      <c r="G1903">
        <v>-406.78730000000002</v>
      </c>
      <c r="H1903" s="1">
        <v>-4.4666669999999997E-6</v>
      </c>
      <c r="I1903">
        <v>28.349</v>
      </c>
      <c r="J1903">
        <v>-415.28</v>
      </c>
      <c r="K1903">
        <v>1.110884</v>
      </c>
      <c r="L1903">
        <v>38.159610000000001</v>
      </c>
      <c r="M1903">
        <v>0.37703179999999997</v>
      </c>
      <c r="N1903">
        <v>0</v>
      </c>
      <c r="O1903">
        <v>-0.92612349999999999</v>
      </c>
      <c r="P1903">
        <v>0.4693348</v>
      </c>
      <c r="Q1903">
        <v>0.1352401</v>
      </c>
      <c r="R1903">
        <v>-0.87260230000000005</v>
      </c>
      <c r="S1903">
        <v>2.044556</v>
      </c>
      <c r="T1903">
        <v>-0.26419949999999998</v>
      </c>
      <c r="U1903">
        <v>-2.3890989999999999</v>
      </c>
      <c r="V1903">
        <v>-0.1080463</v>
      </c>
      <c r="W1903">
        <v>0.14524100000000001</v>
      </c>
      <c r="X1903">
        <v>0.98347899999999999</v>
      </c>
      <c r="Y1903">
        <v>-0.31336190000000003</v>
      </c>
      <c r="Z1903">
        <v>8.2649500000000001E-2</v>
      </c>
      <c r="AA1903">
        <v>0.94603029999999999</v>
      </c>
      <c r="AB1903">
        <v>26</v>
      </c>
      <c r="AC1903">
        <v>8.4926999999999495</v>
      </c>
      <c r="AD1903">
        <v>-1.110888466667</v>
      </c>
      <c r="AE1903">
        <v>-9.8106100000000005</v>
      </c>
      <c r="AF1903">
        <v>-4.1363567064257403</v>
      </c>
      <c r="AG1903">
        <v>-1.110888466667</v>
      </c>
      <c r="AH1903">
        <v>12.1993155876788</v>
      </c>
      <c r="AI1903">
        <v>94.928943600192497</v>
      </c>
      <c r="AJ1903">
        <v>108.729981317658</v>
      </c>
      <c r="AK1903">
        <v>12.929300862612401</v>
      </c>
      <c r="AL1903">
        <v>81.648764345771596</v>
      </c>
      <c r="AM1903">
        <v>96.269447521922601</v>
      </c>
      <c r="AN1903">
        <v>0.99999994723284302</v>
      </c>
    </row>
    <row r="1904" spans="1:40" x14ac:dyDescent="0.3">
      <c r="A1904" t="str">
        <f>"20200111150355139"</f>
        <v>20200111150355139</v>
      </c>
      <c r="B1904" t="str">
        <f>"1578726235131037"</f>
        <v>1578726235131037</v>
      </c>
      <c r="C1904" t="s">
        <v>40</v>
      </c>
      <c r="D1904">
        <v>5.0104170000000003</v>
      </c>
      <c r="E1904">
        <v>0.4135317</v>
      </c>
      <c r="F1904" t="s">
        <v>72</v>
      </c>
      <c r="G1904">
        <v>-406.84640000000002</v>
      </c>
      <c r="H1904" s="1">
        <v>-4.4613790000000002E-6</v>
      </c>
      <c r="I1904">
        <v>28.48639</v>
      </c>
      <c r="J1904">
        <v>-415.18079999999998</v>
      </c>
      <c r="K1904">
        <v>1.1108709999999999</v>
      </c>
      <c r="L1904">
        <v>37.941249999999997</v>
      </c>
      <c r="M1904">
        <v>0.38522919999999999</v>
      </c>
      <c r="N1904">
        <v>0</v>
      </c>
      <c r="O1904">
        <v>-0.9227438</v>
      </c>
      <c r="P1904">
        <v>0.47736630000000002</v>
      </c>
      <c r="Q1904">
        <v>0.1349118</v>
      </c>
      <c r="R1904">
        <v>-0.86828559999999999</v>
      </c>
      <c r="S1904">
        <v>2.0655519999999998</v>
      </c>
      <c r="T1904">
        <v>-0.27207959999999998</v>
      </c>
      <c r="U1904">
        <v>-2.3691710000000001</v>
      </c>
      <c r="V1904">
        <v>-0.108371</v>
      </c>
      <c r="W1904">
        <v>0.14490929999999999</v>
      </c>
      <c r="X1904">
        <v>0.98349229999999999</v>
      </c>
      <c r="Y1904">
        <v>-0.31350539999999999</v>
      </c>
      <c r="Z1904">
        <v>8.4960889999999997E-2</v>
      </c>
      <c r="AA1904">
        <v>0.94577800000000001</v>
      </c>
      <c r="AB1904">
        <v>26</v>
      </c>
      <c r="AC1904">
        <v>8.3343999999999596</v>
      </c>
      <c r="AD1904">
        <v>-1.110875461379</v>
      </c>
      <c r="AE1904">
        <v>-9.4548599999999894</v>
      </c>
      <c r="AF1904">
        <v>-4.0173083024699299</v>
      </c>
      <c r="AG1904">
        <v>-1.110875461379</v>
      </c>
      <c r="AH1904">
        <v>11.8439102762493</v>
      </c>
      <c r="AI1904">
        <v>95.075838938004594</v>
      </c>
      <c r="AJ1904">
        <v>108.736302554964</v>
      </c>
      <c r="AK1904">
        <v>12.5559157738347</v>
      </c>
      <c r="AL1904">
        <v>81.667973358801902</v>
      </c>
      <c r="AM1904">
        <v>96.288053365418804</v>
      </c>
      <c r="AN1904">
        <v>1.0000000415133801</v>
      </c>
    </row>
    <row r="1905" spans="1:40" x14ac:dyDescent="0.3">
      <c r="A1905" t="str">
        <f>"20200111150355164"</f>
        <v>20200111150355164</v>
      </c>
      <c r="B1905" t="str">
        <f>"1578726235160318"</f>
        <v>1578726235160318</v>
      </c>
      <c r="C1905" t="s">
        <v>40</v>
      </c>
      <c r="D1905">
        <v>5.021909</v>
      </c>
      <c r="E1905">
        <v>0.4147112</v>
      </c>
      <c r="F1905" t="s">
        <v>72</v>
      </c>
      <c r="G1905">
        <v>-406.87349999999998</v>
      </c>
      <c r="H1905" s="1">
        <v>-4.4579140000000001E-6</v>
      </c>
      <c r="I1905">
        <v>28.54354</v>
      </c>
      <c r="J1905">
        <v>-415.07190000000003</v>
      </c>
      <c r="K1905">
        <v>1.1108659999999999</v>
      </c>
      <c r="L1905">
        <v>37.707369999999997</v>
      </c>
      <c r="M1905">
        <v>0.39398490000000003</v>
      </c>
      <c r="N1905">
        <v>0</v>
      </c>
      <c r="O1905">
        <v>-0.91903950000000001</v>
      </c>
      <c r="P1905">
        <v>0.4847088</v>
      </c>
      <c r="Q1905">
        <v>0.13607079999999999</v>
      </c>
      <c r="R1905">
        <v>-0.86402659999999998</v>
      </c>
      <c r="S1905">
        <v>2.0810240000000002</v>
      </c>
      <c r="T1905">
        <v>-0.27828160000000002</v>
      </c>
      <c r="U1905">
        <v>-2.354187</v>
      </c>
      <c r="V1905">
        <v>-0.10744099999999999</v>
      </c>
      <c r="W1905">
        <v>0.14608450000000001</v>
      </c>
      <c r="X1905">
        <v>0.98342039999999997</v>
      </c>
      <c r="Y1905">
        <v>-0.31084450000000002</v>
      </c>
      <c r="Z1905">
        <v>8.6661890000000005E-2</v>
      </c>
      <c r="AA1905">
        <v>0.9465017</v>
      </c>
      <c r="AB1905">
        <v>26</v>
      </c>
      <c r="AC1905">
        <v>8.1984000000000492</v>
      </c>
      <c r="AD1905">
        <v>-1.1108704579140001</v>
      </c>
      <c r="AE1905">
        <v>-9.1638300000000008</v>
      </c>
      <c r="AF1905">
        <v>-3.8927487857179099</v>
      </c>
      <c r="AG1905">
        <v>-1.1108704579140001</v>
      </c>
      <c r="AH1905">
        <v>11.558454696539901</v>
      </c>
      <c r="AI1905">
        <v>95.204258976838204</v>
      </c>
      <c r="AJ1905">
        <v>108.612907607818</v>
      </c>
      <c r="AK1905">
        <v>12.246852708142599</v>
      </c>
      <c r="AL1905">
        <v>81.599914494137494</v>
      </c>
      <c r="AM1905">
        <v>96.234970592219995</v>
      </c>
      <c r="AN1905">
        <v>0.99999996637870403</v>
      </c>
    </row>
    <row r="1906" spans="1:40" x14ac:dyDescent="0.3">
      <c r="A1906" t="str">
        <f>"20200111150355184"</f>
        <v>20200111150355184</v>
      </c>
      <c r="B1906" t="str">
        <f>"1578726235180814"</f>
        <v>1578726235180814</v>
      </c>
      <c r="C1906" t="s">
        <v>40</v>
      </c>
      <c r="D1906">
        <v>5.0073540000000003</v>
      </c>
      <c r="E1906">
        <v>0.41551779999999999</v>
      </c>
      <c r="F1906" t="s">
        <v>72</v>
      </c>
      <c r="G1906">
        <v>-406.61630000000002</v>
      </c>
      <c r="H1906" s="1">
        <v>-4.5360810000000002E-6</v>
      </c>
      <c r="I1906">
        <v>28.255400000000002</v>
      </c>
      <c r="J1906">
        <v>-414.96100000000001</v>
      </c>
      <c r="K1906">
        <v>1.11086</v>
      </c>
      <c r="L1906">
        <v>37.474789999999999</v>
      </c>
      <c r="M1906">
        <v>0.40267409999999998</v>
      </c>
      <c r="N1906">
        <v>0</v>
      </c>
      <c r="O1906">
        <v>-0.91526589999999997</v>
      </c>
      <c r="P1906">
        <v>0.49163839999999998</v>
      </c>
      <c r="Q1906">
        <v>0.13753889999999999</v>
      </c>
      <c r="R1906">
        <v>-0.85986940000000001</v>
      </c>
      <c r="S1906">
        <v>2.0939939999999999</v>
      </c>
      <c r="T1906">
        <v>-0.27510099999999998</v>
      </c>
      <c r="U1906">
        <v>-2.3407290000000001</v>
      </c>
      <c r="V1906">
        <v>-0.10614030000000001</v>
      </c>
      <c r="W1906">
        <v>0.1475745</v>
      </c>
      <c r="X1906">
        <v>0.98333919999999997</v>
      </c>
      <c r="Y1906">
        <v>-0.30752560000000001</v>
      </c>
      <c r="Z1906">
        <v>8.5446850000000005E-2</v>
      </c>
      <c r="AA1906">
        <v>0.94769559999999997</v>
      </c>
      <c r="AB1906">
        <v>26</v>
      </c>
      <c r="AC1906">
        <v>8.34469999999998</v>
      </c>
      <c r="AD1906">
        <v>-1.1108645360810001</v>
      </c>
      <c r="AE1906">
        <v>-9.2193900000000006</v>
      </c>
      <c r="AF1906">
        <v>-3.8944093309372398</v>
      </c>
      <c r="AG1906">
        <v>-1.1108645360810001</v>
      </c>
      <c r="AH1906">
        <v>11.7058079040614</v>
      </c>
      <c r="AI1906">
        <v>95.145381888848405</v>
      </c>
      <c r="AJ1906">
        <v>108.401786231702</v>
      </c>
      <c r="AK1906">
        <v>12.3865403862902</v>
      </c>
      <c r="AL1906">
        <v>81.513608565367505</v>
      </c>
      <c r="AM1906">
        <v>96.160577520769905</v>
      </c>
      <c r="AN1906">
        <v>0.99999998929548894</v>
      </c>
    </row>
    <row r="1907" spans="1:40" x14ac:dyDescent="0.3">
      <c r="A1907" t="str">
        <f>"20200111150355208"</f>
        <v>20200111150355208</v>
      </c>
      <c r="B1907" t="str">
        <f>"1578726235200333"</f>
        <v>1578726235200333</v>
      </c>
      <c r="C1907" t="s">
        <v>40</v>
      </c>
      <c r="D1907">
        <v>5.0878649999999999</v>
      </c>
      <c r="E1907">
        <v>0.4160566</v>
      </c>
      <c r="F1907" t="s">
        <v>72</v>
      </c>
      <c r="G1907">
        <v>-406.35509999999999</v>
      </c>
      <c r="H1907" s="1">
        <v>-4.617867E-6</v>
      </c>
      <c r="I1907">
        <v>27.976600000000001</v>
      </c>
      <c r="J1907">
        <v>-414.8458</v>
      </c>
      <c r="K1907">
        <v>1.110857</v>
      </c>
      <c r="L1907">
        <v>37.238680000000002</v>
      </c>
      <c r="M1907">
        <v>0.41148000000000001</v>
      </c>
      <c r="N1907">
        <v>0</v>
      </c>
      <c r="O1907">
        <v>-0.91134090000000001</v>
      </c>
      <c r="P1907">
        <v>0.49909480000000001</v>
      </c>
      <c r="Q1907">
        <v>0.13901450000000001</v>
      </c>
      <c r="R1907">
        <v>-0.85532410000000003</v>
      </c>
      <c r="S1907">
        <v>2.108368</v>
      </c>
      <c r="T1907">
        <v>-0.27215119999999998</v>
      </c>
      <c r="U1907">
        <v>-2.326965</v>
      </c>
      <c r="V1907">
        <v>-0.1053264</v>
      </c>
      <c r="W1907">
        <v>0.14906179999999999</v>
      </c>
      <c r="X1907">
        <v>0.98320240000000003</v>
      </c>
      <c r="Y1907">
        <v>-0.30442180000000002</v>
      </c>
      <c r="Z1907">
        <v>8.427569E-2</v>
      </c>
      <c r="AA1907">
        <v>0.94880189999999998</v>
      </c>
      <c r="AB1907">
        <v>26</v>
      </c>
      <c r="AC1907">
        <v>8.4907000000000004</v>
      </c>
      <c r="AD1907">
        <v>-1.1108616178670001</v>
      </c>
      <c r="AE1907">
        <v>-9.2620799999999992</v>
      </c>
      <c r="AF1907">
        <v>-3.8965836384095902</v>
      </c>
      <c r="AG1907">
        <v>-1.1108616178670001</v>
      </c>
      <c r="AH1907">
        <v>11.8429455246527</v>
      </c>
      <c r="AI1907">
        <v>95.0916394702232</v>
      </c>
      <c r="AJ1907">
        <v>108.212316816921</v>
      </c>
      <c r="AK1907">
        <v>12.5168980296662</v>
      </c>
      <c r="AL1907">
        <v>81.427439709505606</v>
      </c>
      <c r="AM1907">
        <v>96.114540599779801</v>
      </c>
      <c r="AN1907">
        <v>1.00000001506097</v>
      </c>
    </row>
    <row r="1908" spans="1:40" x14ac:dyDescent="0.3">
      <c r="A1908" t="str">
        <f>"20200111150355231"</f>
        <v>20200111150355231</v>
      </c>
      <c r="B1908" t="str">
        <f>"1578726235220829"</f>
        <v>1578726235220829</v>
      </c>
      <c r="C1908" t="s">
        <v>40</v>
      </c>
      <c r="D1908">
        <v>5.074757</v>
      </c>
      <c r="E1908">
        <v>0.41611700000000001</v>
      </c>
      <c r="F1908" t="s">
        <v>72</v>
      </c>
      <c r="G1908">
        <v>-406.05239999999998</v>
      </c>
      <c r="H1908" s="1">
        <v>-4.7164679999999996E-6</v>
      </c>
      <c r="I1908">
        <v>27.674869999999999</v>
      </c>
      <c r="J1908">
        <v>-414.72859999999997</v>
      </c>
      <c r="K1908">
        <v>1.1108629999999999</v>
      </c>
      <c r="L1908">
        <v>37.004579999999997</v>
      </c>
      <c r="M1908">
        <v>0.42020540000000001</v>
      </c>
      <c r="N1908">
        <v>0</v>
      </c>
      <c r="O1908">
        <v>-0.90735089999999996</v>
      </c>
      <c r="P1908">
        <v>0.50653320000000002</v>
      </c>
      <c r="Q1908">
        <v>0.13979920000000001</v>
      </c>
      <c r="R1908">
        <v>-0.85081200000000001</v>
      </c>
      <c r="S1908">
        <v>2.1249389999999999</v>
      </c>
      <c r="T1908">
        <v>-0.26844370000000001</v>
      </c>
      <c r="U1908">
        <v>-2.3111269999999999</v>
      </c>
      <c r="V1908">
        <v>-0.1045297</v>
      </c>
      <c r="W1908">
        <v>0.14985950000000001</v>
      </c>
      <c r="X1908">
        <v>0.98316619999999999</v>
      </c>
      <c r="Y1908">
        <v>-0.30228949999999999</v>
      </c>
      <c r="Z1908">
        <v>8.2884869999999999E-2</v>
      </c>
      <c r="AA1908">
        <v>0.94960580000000006</v>
      </c>
      <c r="AB1908">
        <v>26</v>
      </c>
      <c r="AC1908">
        <v>8.6761999999999908</v>
      </c>
      <c r="AD1908">
        <v>-1.1108677164680001</v>
      </c>
      <c r="AE1908">
        <v>-9.3297099999999897</v>
      </c>
      <c r="AF1908">
        <v>-3.9224235352274901</v>
      </c>
      <c r="AG1908">
        <v>-1.1108677164680001</v>
      </c>
      <c r="AH1908">
        <v>12.0205797198425</v>
      </c>
      <c r="AI1908">
        <v>95.0208195582114</v>
      </c>
      <c r="AJ1908">
        <v>108.071971383554</v>
      </c>
      <c r="AK1908">
        <v>12.6930599255769</v>
      </c>
      <c r="AL1908">
        <v>81.3812159860462</v>
      </c>
      <c r="AM1908">
        <v>96.068857785581301</v>
      </c>
      <c r="AN1908">
        <v>1.00000005237238</v>
      </c>
    </row>
    <row r="1909" spans="1:40" x14ac:dyDescent="0.3">
      <c r="A1909" t="str">
        <f>"20200111150355253"</f>
        <v>20200111150355253</v>
      </c>
      <c r="B1909" t="str">
        <f>"1578726235240350"</f>
        <v>1578726235240350</v>
      </c>
      <c r="C1909" t="s">
        <v>40</v>
      </c>
      <c r="D1909">
        <v>5.0344369999999996</v>
      </c>
      <c r="E1909">
        <v>0.40264860000000002</v>
      </c>
      <c r="F1909" t="s">
        <v>72</v>
      </c>
      <c r="G1909">
        <v>-405.76</v>
      </c>
      <c r="H1909" s="1">
        <v>-4.8181039999999998E-6</v>
      </c>
      <c r="I1909">
        <v>27.419060000000002</v>
      </c>
      <c r="J1909">
        <v>-414.61419999999998</v>
      </c>
      <c r="K1909">
        <v>1.11086</v>
      </c>
      <c r="L1909">
        <v>36.781590000000001</v>
      </c>
      <c r="M1909">
        <v>0.42851470000000003</v>
      </c>
      <c r="N1909">
        <v>0</v>
      </c>
      <c r="O1909">
        <v>-0.90345640000000005</v>
      </c>
      <c r="P1909">
        <v>0.51381129999999997</v>
      </c>
      <c r="Q1909">
        <v>0.13935600000000001</v>
      </c>
      <c r="R1909">
        <v>-0.84650949999999903</v>
      </c>
      <c r="S1909">
        <v>2.1450809999999998</v>
      </c>
      <c r="T1909">
        <v>-0.26569350000000003</v>
      </c>
      <c r="U1909">
        <v>-2.2926329999999999</v>
      </c>
      <c r="V1909">
        <v>-0.1038994</v>
      </c>
      <c r="W1909">
        <v>0.1494277</v>
      </c>
      <c r="X1909">
        <v>0.98329869999999997</v>
      </c>
      <c r="Y1909">
        <v>-0.30187530000000001</v>
      </c>
      <c r="Z1909">
        <v>8.1810540000000001E-2</v>
      </c>
      <c r="AA1909">
        <v>0.94983070000000003</v>
      </c>
      <c r="AB1909">
        <v>26</v>
      </c>
      <c r="AC1909">
        <v>8.8541999999999899</v>
      </c>
      <c r="AD1909">
        <v>-1.110864818104</v>
      </c>
      <c r="AE1909">
        <v>-9.3625299999999996</v>
      </c>
      <c r="AF1909">
        <v>-3.95826875564453</v>
      </c>
      <c r="AG1909">
        <v>-1.110864818104</v>
      </c>
      <c r="AH1909">
        <v>12.1632698895174</v>
      </c>
      <c r="AI1909">
        <v>94.963483666921505</v>
      </c>
      <c r="AJ1909">
        <v>108.026339352146</v>
      </c>
      <c r="AK1909">
        <v>12.839277494908099</v>
      </c>
      <c r="AL1909">
        <v>81.406237841037594</v>
      </c>
      <c r="AM1909">
        <v>96.031727151187994</v>
      </c>
      <c r="AN1909">
        <v>1.0000000281346599</v>
      </c>
    </row>
    <row r="1910" spans="1:40" x14ac:dyDescent="0.3">
      <c r="A1910" t="str">
        <f>"20200111150355274"</f>
        <v>20200111150355274</v>
      </c>
      <c r="B1910" t="str">
        <f>"1578726235270605"</f>
        <v>1578726235270605</v>
      </c>
      <c r="C1910" t="s">
        <v>40</v>
      </c>
      <c r="D1910">
        <v>5.1176620000000002</v>
      </c>
      <c r="E1910">
        <v>0.40006520000000001</v>
      </c>
      <c r="F1910" t="s">
        <v>72</v>
      </c>
      <c r="G1910">
        <v>-400.97120000000001</v>
      </c>
      <c r="H1910" s="1">
        <v>-6.2476589999999998E-6</v>
      </c>
      <c r="I1910">
        <v>23.394960000000001</v>
      </c>
      <c r="J1910">
        <v>-414.49579999999997</v>
      </c>
      <c r="K1910">
        <v>1.1108579999999999</v>
      </c>
      <c r="L1910">
        <v>36.555790000000002</v>
      </c>
      <c r="M1910">
        <v>0.43692730000000002</v>
      </c>
      <c r="N1910">
        <v>0</v>
      </c>
      <c r="O1910">
        <v>-0.89941789999999999</v>
      </c>
      <c r="P1910">
        <v>0.52225219999999895</v>
      </c>
      <c r="Q1910">
        <v>0.13836229999999999</v>
      </c>
      <c r="R1910">
        <v>-0.84149189999999996</v>
      </c>
      <c r="S1910">
        <v>2.2504580000000001</v>
      </c>
      <c r="T1910">
        <v>-0.1832405</v>
      </c>
      <c r="U1910">
        <v>-2.2081599999999999</v>
      </c>
      <c r="V1910">
        <v>-0.10447339999999999</v>
      </c>
      <c r="W1910">
        <v>0.14842429999999901</v>
      </c>
      <c r="X1910">
        <v>0.98338979999999998</v>
      </c>
      <c r="Y1910">
        <v>-0.33475529999999998</v>
      </c>
      <c r="Z1910">
        <v>5.6571749999999997E-2</v>
      </c>
      <c r="AA1910">
        <v>0.94060540000000004</v>
      </c>
      <c r="AB1910">
        <v>26</v>
      </c>
      <c r="AC1910">
        <v>13.5245999999999</v>
      </c>
      <c r="AD1910">
        <v>-1.1108642476589901</v>
      </c>
      <c r="AE1910">
        <v>-13.160829999999899</v>
      </c>
      <c r="AF1910">
        <v>-6.3922466372532103</v>
      </c>
      <c r="AG1910">
        <v>-1.1108642476589901</v>
      </c>
      <c r="AH1910">
        <v>17.686327058545601</v>
      </c>
      <c r="AI1910">
        <v>93.380508331536205</v>
      </c>
      <c r="AJ1910">
        <v>109.871024856205</v>
      </c>
      <c r="AK1910">
        <v>18.838816344718801</v>
      </c>
      <c r="AL1910">
        <v>81.464376371038497</v>
      </c>
      <c r="AM1910">
        <v>96.064244553866601</v>
      </c>
      <c r="AN1910">
        <v>0.99999998144104396</v>
      </c>
    </row>
    <row r="1911" spans="1:40" x14ac:dyDescent="0.3">
      <c r="A1911" t="str">
        <f>"20200111150355296"</f>
        <v>20200111150355296</v>
      </c>
      <c r="B1911" t="str">
        <f>"1578726235290958"</f>
        <v>1578726235290958</v>
      </c>
      <c r="C1911" t="s">
        <v>40</v>
      </c>
      <c r="D1911">
        <v>5.012664</v>
      </c>
      <c r="E1911">
        <v>0.40060780000000001</v>
      </c>
      <c r="F1911" t="s">
        <v>72</v>
      </c>
      <c r="G1911">
        <v>-400.42880000000002</v>
      </c>
      <c r="H1911" s="1">
        <v>-6.406555E-6</v>
      </c>
      <c r="I1911">
        <v>23.193639999999998</v>
      </c>
      <c r="J1911">
        <v>-414.37099999999998</v>
      </c>
      <c r="K1911">
        <v>1.110862</v>
      </c>
      <c r="L1911">
        <v>36.323210000000003</v>
      </c>
      <c r="M1911">
        <v>0.4455964</v>
      </c>
      <c r="N1911">
        <v>0</v>
      </c>
      <c r="O1911">
        <v>-0.89515469999999897</v>
      </c>
      <c r="P1911">
        <v>0.53098710000000005</v>
      </c>
      <c r="Q1911">
        <v>0.13784540000000001</v>
      </c>
      <c r="R1911">
        <v>-0.83609290000000003</v>
      </c>
      <c r="S1911">
        <v>2.2889400000000002</v>
      </c>
      <c r="T1911">
        <v>-0.18075720000000001</v>
      </c>
      <c r="U1911">
        <v>-2.174255</v>
      </c>
      <c r="V1911">
        <v>-0.1051706</v>
      </c>
      <c r="W1911">
        <v>0.1478971</v>
      </c>
      <c r="X1911">
        <v>0.98339489999999996</v>
      </c>
      <c r="Y1911">
        <v>-0.34092600000000001</v>
      </c>
      <c r="Z1911">
        <v>5.56626E-2</v>
      </c>
      <c r="AA1911">
        <v>0.93844079999999996</v>
      </c>
      <c r="AB1911">
        <v>26</v>
      </c>
      <c r="AC1911">
        <v>13.9421999999999</v>
      </c>
      <c r="AD1911">
        <v>-1.1108684065549901</v>
      </c>
      <c r="AE1911">
        <v>-13.1295699999999</v>
      </c>
      <c r="AF1911">
        <v>-6.6081734905086904</v>
      </c>
      <c r="AG1911">
        <v>-1.1108684065549901</v>
      </c>
      <c r="AH1911">
        <v>17.906617084971199</v>
      </c>
      <c r="AI1911">
        <v>93.330865896947003</v>
      </c>
      <c r="AJ1911">
        <v>110.255840056636</v>
      </c>
      <c r="AK1911">
        <v>19.119333694591099</v>
      </c>
      <c r="AL1911">
        <v>81.494919693277694</v>
      </c>
      <c r="AM1911">
        <v>96.104378126006793</v>
      </c>
      <c r="AN1911">
        <v>0.99999996831938898</v>
      </c>
    </row>
    <row r="1912" spans="1:40" x14ac:dyDescent="0.3">
      <c r="A1912" t="str">
        <f>"20200111150355319"</f>
        <v>20200111150355319</v>
      </c>
      <c r="B1912" t="str">
        <f>"1578726235310481"</f>
        <v>1578726235310481</v>
      </c>
      <c r="C1912" t="s">
        <v>40</v>
      </c>
      <c r="D1912">
        <v>5.0874709999999999</v>
      </c>
      <c r="E1912">
        <v>0.4000398</v>
      </c>
      <c r="F1912" t="s">
        <v>72</v>
      </c>
      <c r="G1912">
        <v>-400.9264</v>
      </c>
      <c r="H1912" s="1">
        <v>-6.3058389999999999E-6</v>
      </c>
      <c r="I1912">
        <v>23.778890000000001</v>
      </c>
      <c r="J1912">
        <v>-414.24930000000001</v>
      </c>
      <c r="K1912">
        <v>1.11086</v>
      </c>
      <c r="L1912">
        <v>36.101410000000001</v>
      </c>
      <c r="M1912">
        <v>0.45386579999999899</v>
      </c>
      <c r="N1912">
        <v>0</v>
      </c>
      <c r="O1912">
        <v>-0.89099039999999996</v>
      </c>
      <c r="P1912">
        <v>0.53934989999999905</v>
      </c>
      <c r="Q1912">
        <v>0.13709399999999999</v>
      </c>
      <c r="R1912">
        <v>-0.83084740000000001</v>
      </c>
      <c r="S1912">
        <v>2.3082280000000002</v>
      </c>
      <c r="T1912">
        <v>-0.1907181</v>
      </c>
      <c r="U1912">
        <v>-2.1536559999999998</v>
      </c>
      <c r="V1912">
        <v>-0.10586719999999999</v>
      </c>
      <c r="W1912">
        <v>0.14714099999999999</v>
      </c>
      <c r="X1912">
        <v>0.98343360000000002</v>
      </c>
      <c r="Y1912">
        <v>-0.34047559999999999</v>
      </c>
      <c r="Z1912">
        <v>5.855229E-2</v>
      </c>
      <c r="AA1912">
        <v>0.9384285</v>
      </c>
      <c r="AB1912">
        <v>26</v>
      </c>
      <c r="AC1912">
        <v>13.322900000000001</v>
      </c>
      <c r="AD1912">
        <v>-1.110866305839</v>
      </c>
      <c r="AE1912">
        <v>-12.3225199999999</v>
      </c>
      <c r="AF1912">
        <v>-6.25481494627026</v>
      </c>
      <c r="AG1912">
        <v>-1.110866305839</v>
      </c>
      <c r="AH1912">
        <v>16.963702662281602</v>
      </c>
      <c r="AI1912">
        <v>93.515912527928506</v>
      </c>
      <c r="AJ1912">
        <v>110.239815944743</v>
      </c>
      <c r="AK1912">
        <v>18.114191728471798</v>
      </c>
      <c r="AL1912">
        <v>81.538720446975205</v>
      </c>
      <c r="AM1912">
        <v>96.144262386390807</v>
      </c>
      <c r="AN1912">
        <v>0.9999999917629</v>
      </c>
    </row>
    <row r="1913" spans="1:40" x14ac:dyDescent="0.3">
      <c r="A1913" t="str">
        <f>"20200111150355345"</f>
        <v>20200111150355345</v>
      </c>
      <c r="B1913" t="str">
        <f>"1578726235340735"</f>
        <v>1578726235340735</v>
      </c>
      <c r="C1913" t="s">
        <v>40</v>
      </c>
      <c r="D1913">
        <v>5.0793059999999999</v>
      </c>
      <c r="E1913">
        <v>0.40013470000000001</v>
      </c>
      <c r="F1913" t="s">
        <v>72</v>
      </c>
      <c r="G1913">
        <v>-400.77229999999997</v>
      </c>
      <c r="H1913" s="1">
        <v>-6.3614169999999996E-6</v>
      </c>
      <c r="I1913">
        <v>23.814530000000001</v>
      </c>
      <c r="J1913">
        <v>-414.10109999999997</v>
      </c>
      <c r="K1913">
        <v>1.110862</v>
      </c>
      <c r="L1913">
        <v>35.837429999999998</v>
      </c>
      <c r="M1913">
        <v>0.4637134</v>
      </c>
      <c r="N1913">
        <v>0</v>
      </c>
      <c r="O1913">
        <v>-0.88590480000000005</v>
      </c>
      <c r="P1913">
        <v>0.54889639999999995</v>
      </c>
      <c r="Q1913">
        <v>0.13619479999999901</v>
      </c>
      <c r="R1913">
        <v>-0.82472049999999997</v>
      </c>
      <c r="S1913">
        <v>2.3336790000000001</v>
      </c>
      <c r="T1913">
        <v>-0.19235740000000001</v>
      </c>
      <c r="U1913">
        <v>-2.1275940000000002</v>
      </c>
      <c r="V1913">
        <v>-0.1062285</v>
      </c>
      <c r="W1913">
        <v>0.14624770000000001</v>
      </c>
      <c r="X1913">
        <v>0.98352790000000001</v>
      </c>
      <c r="Y1913">
        <v>-0.34086129999999998</v>
      </c>
      <c r="Z1913">
        <v>5.8837029999999998E-2</v>
      </c>
      <c r="AA1913">
        <v>0.93827059999999995</v>
      </c>
      <c r="AB1913">
        <v>26</v>
      </c>
      <c r="AC1913">
        <v>13.328799999999999</v>
      </c>
      <c r="AD1913">
        <v>-1.1108683614170001</v>
      </c>
      <c r="AE1913">
        <v>-12.0229</v>
      </c>
      <c r="AF1913">
        <v>-6.2095303819706302</v>
      </c>
      <c r="AG1913">
        <v>-1.1108683614170001</v>
      </c>
      <c r="AH1913">
        <v>16.768864478555798</v>
      </c>
      <c r="AI1913">
        <v>93.554840328217196</v>
      </c>
      <c r="AJ1913">
        <v>110.319650874787</v>
      </c>
      <c r="AK1913">
        <v>17.916113194026799</v>
      </c>
      <c r="AL1913">
        <v>81.590462650961001</v>
      </c>
      <c r="AM1913">
        <v>96.164483560208495</v>
      </c>
      <c r="AN1913">
        <v>1.00000000702297</v>
      </c>
    </row>
    <row r="1914" spans="1:40" x14ac:dyDescent="0.3">
      <c r="A1914" t="str">
        <f>"20200111150355364"</f>
        <v>20200111150355364</v>
      </c>
      <c r="B1914" t="str">
        <f>"1578726235360254"</f>
        <v>1578726235360254</v>
      </c>
      <c r="C1914" t="s">
        <v>40</v>
      </c>
      <c r="D1914">
        <v>5.0517890000000003</v>
      </c>
      <c r="E1914">
        <v>0.4003681</v>
      </c>
      <c r="F1914" t="s">
        <v>72</v>
      </c>
      <c r="G1914">
        <v>-400.87049999999999</v>
      </c>
      <c r="H1914" s="1">
        <v>-6.3542920000000001E-6</v>
      </c>
      <c r="I1914">
        <v>24.043559999999999</v>
      </c>
      <c r="J1914">
        <v>-413.99419999999998</v>
      </c>
      <c r="K1914">
        <v>1.1108659999999999</v>
      </c>
      <c r="L1914">
        <v>35.651209999999999</v>
      </c>
      <c r="M1914">
        <v>0.47066750000000002</v>
      </c>
      <c r="N1914">
        <v>0</v>
      </c>
      <c r="O1914">
        <v>-0.88222969999999901</v>
      </c>
      <c r="P1914">
        <v>0.55535279999999998</v>
      </c>
      <c r="Q1914">
        <v>0.13545679999999999</v>
      </c>
      <c r="R1914">
        <v>-0.82050900000000004</v>
      </c>
      <c r="S1914">
        <v>2.3573</v>
      </c>
      <c r="T1914">
        <v>-0.19792390000000001</v>
      </c>
      <c r="U1914">
        <v>-2.101318</v>
      </c>
      <c r="V1914">
        <v>-0.1061443</v>
      </c>
      <c r="W1914">
        <v>0.14552029999999999</v>
      </c>
      <c r="X1914">
        <v>0.98364479999999999</v>
      </c>
      <c r="Y1914">
        <v>-0.34388239999999998</v>
      </c>
      <c r="Z1914">
        <v>6.0430949999999997E-2</v>
      </c>
      <c r="AA1914">
        <v>0.93706619999999996</v>
      </c>
      <c r="AB1914">
        <v>26</v>
      </c>
      <c r="AC1914">
        <v>13.1236999999999</v>
      </c>
      <c r="AD1914">
        <v>-1.11087235429199</v>
      </c>
      <c r="AE1914">
        <v>-11.60765</v>
      </c>
      <c r="AF1914">
        <v>-6.0907259834357603</v>
      </c>
      <c r="AG1914">
        <v>-1.11087235429199</v>
      </c>
      <c r="AH1914">
        <v>16.3529454781841</v>
      </c>
      <c r="AI1914">
        <v>93.642472420561603</v>
      </c>
      <c r="AJ1914">
        <v>110.42806638269801</v>
      </c>
      <c r="AK1914">
        <v>17.485702908527699</v>
      </c>
      <c r="AL1914">
        <v>81.632589658037205</v>
      </c>
      <c r="AM1914">
        <v>96.158908567714306</v>
      </c>
      <c r="AN1914">
        <v>0.999999931350807</v>
      </c>
    </row>
    <row r="1915" spans="1:40" x14ac:dyDescent="0.3">
      <c r="A1915" t="str">
        <f>"20200111150355387"</f>
        <v>20200111150355387</v>
      </c>
      <c r="B1915" t="str">
        <f>"1578726235380586"</f>
        <v>1578726235380586</v>
      </c>
      <c r="C1915" t="s">
        <v>40</v>
      </c>
      <c r="D1915">
        <v>5.056978</v>
      </c>
      <c r="E1915">
        <v>0.4008158</v>
      </c>
      <c r="F1915" t="s">
        <v>72</v>
      </c>
      <c r="G1915">
        <v>-400.95940000000002</v>
      </c>
      <c r="H1915" s="1">
        <v>-6.3422389999999899E-6</v>
      </c>
      <c r="I1915">
        <v>24.200849999999999</v>
      </c>
      <c r="J1915">
        <v>-413.85750000000002</v>
      </c>
      <c r="K1915">
        <v>1.1108720000000001</v>
      </c>
      <c r="L1915">
        <v>35.417759999999902</v>
      </c>
      <c r="M1915">
        <v>0.47938510000000001</v>
      </c>
      <c r="N1915">
        <v>0</v>
      </c>
      <c r="O1915">
        <v>-0.87752299999999905</v>
      </c>
      <c r="P1915">
        <v>0.56331819999999999</v>
      </c>
      <c r="Q1915">
        <v>0.13491700000000001</v>
      </c>
      <c r="R1915">
        <v>-0.81515009999999999</v>
      </c>
      <c r="S1915">
        <v>2.3723139999999998</v>
      </c>
      <c r="T1915">
        <v>-0.20217760000000001</v>
      </c>
      <c r="U1915">
        <v>-2.0839539999999999</v>
      </c>
      <c r="V1915">
        <v>-0.1059298</v>
      </c>
      <c r="W1915">
        <v>0.14499329999999999</v>
      </c>
      <c r="X1915">
        <v>0.9837458</v>
      </c>
      <c r="Y1915">
        <v>-0.34133289999999999</v>
      </c>
      <c r="Z1915">
        <v>6.1486100000000002E-2</v>
      </c>
      <c r="AA1915">
        <v>0.93792929999999997</v>
      </c>
      <c r="AB1915">
        <v>26</v>
      </c>
      <c r="AC1915">
        <v>12.898099999999999</v>
      </c>
      <c r="AD1915">
        <v>-1.1108783422389901</v>
      </c>
      <c r="AE1915">
        <v>-11.216909999999899</v>
      </c>
      <c r="AF1915">
        <v>-5.9165963285803302</v>
      </c>
      <c r="AG1915">
        <v>-1.1108783422389901</v>
      </c>
      <c r="AH1915">
        <v>15.9599933854632</v>
      </c>
      <c r="AI1915">
        <v>93.734038600260703</v>
      </c>
      <c r="AJ1915">
        <v>110.340458989876</v>
      </c>
      <c r="AK1915">
        <v>17.057595131514098</v>
      </c>
      <c r="AL1915">
        <v>81.663108703073405</v>
      </c>
      <c r="AM1915">
        <v>96.1459315731842</v>
      </c>
      <c r="AN1915">
        <v>0.999999989295284</v>
      </c>
    </row>
    <row r="1916" spans="1:40" x14ac:dyDescent="0.3">
      <c r="A1916" t="str">
        <f>"20200111150355408"</f>
        <v>20200111150355408</v>
      </c>
      <c r="B1916" t="str">
        <f>"1578726235401066"</f>
        <v>1578726235401066</v>
      </c>
      <c r="C1916" t="s">
        <v>40</v>
      </c>
      <c r="D1916">
        <v>5.0528259999999996</v>
      </c>
      <c r="E1916">
        <v>0.40120129999999998</v>
      </c>
      <c r="F1916" t="s">
        <v>72</v>
      </c>
      <c r="G1916">
        <v>-400.95819999999998</v>
      </c>
      <c r="H1916" s="1">
        <v>-6.3515549999999997E-6</v>
      </c>
      <c r="I1916">
        <v>24.280139999999999</v>
      </c>
      <c r="J1916">
        <v>-413.73050000000001</v>
      </c>
      <c r="K1916">
        <v>1.1108750000000001</v>
      </c>
      <c r="L1916">
        <v>35.205750000000002</v>
      </c>
      <c r="M1916">
        <v>0.4873055</v>
      </c>
      <c r="N1916">
        <v>0</v>
      </c>
      <c r="O1916">
        <v>-0.87314959999999997</v>
      </c>
      <c r="P1916">
        <v>0.57071309999999997</v>
      </c>
      <c r="Q1916">
        <v>0.13477049999999999</v>
      </c>
      <c r="R1916">
        <v>-0.81001449999999997</v>
      </c>
      <c r="S1916">
        <v>2.389465</v>
      </c>
      <c r="T1916">
        <v>-0.20577999999999999</v>
      </c>
      <c r="U1916">
        <v>-2.0631409999999999</v>
      </c>
      <c r="V1916">
        <v>-0.10596949999999999</v>
      </c>
      <c r="W1916">
        <v>0.14485410000000001</v>
      </c>
      <c r="X1916">
        <v>0.98376200000000003</v>
      </c>
      <c r="Y1916">
        <v>-0.34078709999999901</v>
      </c>
      <c r="Z1916">
        <v>6.2389550000000002E-2</v>
      </c>
      <c r="AA1916">
        <v>0.93806800000000001</v>
      </c>
      <c r="AB1916">
        <v>26</v>
      </c>
      <c r="AC1916">
        <v>12.7723</v>
      </c>
      <c r="AD1916">
        <v>-1.110881351555</v>
      </c>
      <c r="AE1916">
        <v>-10.925610000000001</v>
      </c>
      <c r="AF1916">
        <v>-5.80308608023768</v>
      </c>
      <c r="AG1916">
        <v>-1.110881351555</v>
      </c>
      <c r="AH1916">
        <v>15.6962657023687</v>
      </c>
      <c r="AI1916">
        <v>93.797842318139502</v>
      </c>
      <c r="AJ1916">
        <v>110.28992056904499</v>
      </c>
      <c r="AK1916">
        <v>16.771482416030999</v>
      </c>
      <c r="AL1916">
        <v>81.671169118814603</v>
      </c>
      <c r="AM1916">
        <v>96.148116816509599</v>
      </c>
      <c r="AN1916">
        <v>0.99999995893052895</v>
      </c>
    </row>
    <row r="1917" spans="1:40" x14ac:dyDescent="0.3">
      <c r="A1917" t="str">
        <f>"20200111150355431"</f>
        <v>20200111150355431</v>
      </c>
      <c r="B1917" t="str">
        <f>"1578726235420586"</f>
        <v>1578726235420586</v>
      </c>
      <c r="C1917" t="s">
        <v>40</v>
      </c>
      <c r="D1917">
        <v>5.040025</v>
      </c>
      <c r="E1917">
        <v>0.40149439999999997</v>
      </c>
      <c r="F1917" t="s">
        <v>72</v>
      </c>
      <c r="G1917">
        <v>-400.86779999999999</v>
      </c>
      <c r="H1917" s="1">
        <v>-6.3819800000000003E-6</v>
      </c>
      <c r="I1917">
        <v>24.28162</v>
      </c>
      <c r="J1917">
        <v>-413.59870000000001</v>
      </c>
      <c r="K1917">
        <v>1.110878</v>
      </c>
      <c r="L1917">
        <v>34.99033</v>
      </c>
      <c r="M1917">
        <v>0.49536140000000001</v>
      </c>
      <c r="N1917">
        <v>0</v>
      </c>
      <c r="O1917">
        <v>-0.8686045</v>
      </c>
      <c r="P1917">
        <v>0.57803530000000003</v>
      </c>
      <c r="Q1917">
        <v>0.13464670000000001</v>
      </c>
      <c r="R1917">
        <v>-0.8048265</v>
      </c>
      <c r="S1917">
        <v>2.4057620000000002</v>
      </c>
      <c r="T1917">
        <v>-0.20777229999999999</v>
      </c>
      <c r="U1917">
        <v>-2.0431819999999998</v>
      </c>
      <c r="V1917">
        <v>-0.10578029999999999</v>
      </c>
      <c r="W1917">
        <v>0.14474139999999999</v>
      </c>
      <c r="X1917">
        <v>0.98379899999999998</v>
      </c>
      <c r="Y1917">
        <v>-0.33972210000000003</v>
      </c>
      <c r="Z1917">
        <v>6.2779399999999999E-2</v>
      </c>
      <c r="AA1917">
        <v>0.93842829999999999</v>
      </c>
      <c r="AB1917">
        <v>26</v>
      </c>
      <c r="AC1917">
        <v>12.7309</v>
      </c>
      <c r="AD1917">
        <v>-1.1108843819800001</v>
      </c>
      <c r="AE1917">
        <v>-10.70871</v>
      </c>
      <c r="AF1917">
        <v>-5.7283047043337998</v>
      </c>
      <c r="AG1917">
        <v>-1.1108843819800001</v>
      </c>
      <c r="AH1917">
        <v>15.5398549697625</v>
      </c>
      <c r="AI1917">
        <v>93.837320884505104</v>
      </c>
      <c r="AJ1917">
        <v>110.234906250886</v>
      </c>
      <c r="AK1917">
        <v>16.599235867264301</v>
      </c>
      <c r="AL1917">
        <v>81.677695545337897</v>
      </c>
      <c r="AM1917">
        <v>96.136994639067694</v>
      </c>
      <c r="AN1917">
        <v>1.0000000085715199</v>
      </c>
    </row>
    <row r="1918" spans="1:40" x14ac:dyDescent="0.3">
      <c r="A1918" t="str">
        <f>"20200111150355453"</f>
        <v>20200111150355453</v>
      </c>
      <c r="B1918" t="str">
        <f>"1578726235450842"</f>
        <v>1578726235450842</v>
      </c>
      <c r="C1918" t="s">
        <v>40</v>
      </c>
      <c r="D1918">
        <v>5.0322630000000004</v>
      </c>
      <c r="E1918">
        <v>0.40215260000000003</v>
      </c>
      <c r="F1918" t="s">
        <v>72</v>
      </c>
      <c r="G1918">
        <v>-400.72719999999998</v>
      </c>
      <c r="H1918" s="1">
        <v>-6.4246859999999997E-6</v>
      </c>
      <c r="I1918">
        <v>24.242740000000001</v>
      </c>
      <c r="J1918">
        <v>-413.4597</v>
      </c>
      <c r="K1918">
        <v>1.1108830000000001</v>
      </c>
      <c r="L1918">
        <v>34.76782</v>
      </c>
      <c r="M1918">
        <v>0.50368489999999999</v>
      </c>
      <c r="N1918">
        <v>0</v>
      </c>
      <c r="O1918">
        <v>-0.86380440000000003</v>
      </c>
      <c r="P1918">
        <v>0.58603380000000005</v>
      </c>
      <c r="Q1918">
        <v>0.1344147</v>
      </c>
      <c r="R1918">
        <v>-0.7990602</v>
      </c>
      <c r="S1918">
        <v>2.4223940000000002</v>
      </c>
      <c r="T1918">
        <v>-0.20906620000000001</v>
      </c>
      <c r="U1918">
        <v>-2.022675</v>
      </c>
      <c r="V1918">
        <v>-0.1061184</v>
      </c>
      <c r="W1918">
        <v>0.14451059999999999</v>
      </c>
      <c r="X1918">
        <v>0.98379649999999996</v>
      </c>
      <c r="Y1918">
        <v>-0.33852259999999901</v>
      </c>
      <c r="Z1918">
        <v>6.2936370000000005E-2</v>
      </c>
      <c r="AA1918">
        <v>0.93885110000000005</v>
      </c>
      <c r="AB1918">
        <v>26</v>
      </c>
      <c r="AC1918">
        <v>12.7325</v>
      </c>
      <c r="AD1918">
        <v>-1.1108894246859999</v>
      </c>
      <c r="AE1918">
        <v>-10.525080000000001</v>
      </c>
      <c r="AF1918">
        <v>-5.67182538920465</v>
      </c>
      <c r="AG1918">
        <v>-1.1108894246859999</v>
      </c>
      <c r="AH1918">
        <v>15.436086069226199</v>
      </c>
      <c r="AI1918">
        <v>93.864531261470205</v>
      </c>
      <c r="AJ1918">
        <v>110.17531836241101</v>
      </c>
      <c r="AK1918">
        <v>16.4826099782791</v>
      </c>
      <c r="AL1918">
        <v>81.691059770842401</v>
      </c>
      <c r="AM1918">
        <v>96.156475120719094</v>
      </c>
      <c r="AN1918">
        <v>0.99999999087158398</v>
      </c>
    </row>
    <row r="1919" spans="1:40" x14ac:dyDescent="0.3">
      <c r="A1919" t="str">
        <f>"20200111150355465"</f>
        <v>20200111150355465</v>
      </c>
      <c r="B1919" t="str">
        <f>"1578726235460604"</f>
        <v>1578726235460604</v>
      </c>
      <c r="C1919" t="s">
        <v>40</v>
      </c>
      <c r="D1919">
        <v>4.982456</v>
      </c>
      <c r="E1919">
        <v>0.40238059999999998</v>
      </c>
      <c r="F1919" t="s">
        <v>72</v>
      </c>
      <c r="G1919">
        <v>-400.67140000000001</v>
      </c>
      <c r="H1919" s="1">
        <v>-6.4463189999999999E-6</v>
      </c>
      <c r="I1919">
        <v>24.268979999999999</v>
      </c>
      <c r="J1919">
        <v>-413.38470000000001</v>
      </c>
      <c r="K1919">
        <v>1.1108849999999999</v>
      </c>
      <c r="L1919">
        <v>34.649809999999903</v>
      </c>
      <c r="M1919">
        <v>0.50809959999999998</v>
      </c>
      <c r="N1919">
        <v>0</v>
      </c>
      <c r="O1919">
        <v>-0.86121499999999995</v>
      </c>
      <c r="P1919">
        <v>0.58995839999999999</v>
      </c>
      <c r="Q1919">
        <v>0.13433580000000001</v>
      </c>
      <c r="R1919">
        <v>-0.79618049999999996</v>
      </c>
      <c r="S1919">
        <v>2.4382929999999998</v>
      </c>
      <c r="T1919">
        <v>-0.21180850000000001</v>
      </c>
      <c r="U1919">
        <v>-2.00177</v>
      </c>
      <c r="V1919">
        <v>-0.105916</v>
      </c>
      <c r="W1919">
        <v>0.14443889999999901</v>
      </c>
      <c r="X1919">
        <v>0.98382879999999995</v>
      </c>
      <c r="Y1919">
        <v>-0.34146860000000001</v>
      </c>
      <c r="Z1919">
        <v>6.371425E-2</v>
      </c>
      <c r="AA1919">
        <v>0.93773110000000004</v>
      </c>
      <c r="AB1919">
        <v>26</v>
      </c>
      <c r="AC1919">
        <v>12.7133</v>
      </c>
      <c r="AD1919">
        <v>-1.1108914463190001</v>
      </c>
      <c r="AE1919">
        <v>-10.3808299999999</v>
      </c>
      <c r="AF1919">
        <v>-5.6489185077733302</v>
      </c>
      <c r="AG1919">
        <v>-1.1108914463190001</v>
      </c>
      <c r="AH1919">
        <v>15.330624432750801</v>
      </c>
      <c r="AI1919">
        <v>93.889742617744702</v>
      </c>
      <c r="AJ1919">
        <v>110.227471258064</v>
      </c>
      <c r="AK1919">
        <v>16.375970371584799</v>
      </c>
      <c r="AL1919">
        <v>81.695211104554701</v>
      </c>
      <c r="AM1919">
        <v>96.144622574687304</v>
      </c>
      <c r="AN1919">
        <v>0.99999995129932295</v>
      </c>
    </row>
    <row r="1920" spans="1:40" x14ac:dyDescent="0.3">
      <c r="A1920" t="str">
        <f>"20200111150355476"</f>
        <v>20200111150355476</v>
      </c>
      <c r="B1920" t="str">
        <f>"1578726235470362"</f>
        <v>1578726235470362</v>
      </c>
      <c r="C1920" t="s">
        <v>40</v>
      </c>
      <c r="D1920">
        <v>4.930301</v>
      </c>
      <c r="E1920">
        <v>0.40262179999999997</v>
      </c>
      <c r="F1920" t="s">
        <v>72</v>
      </c>
      <c r="G1920">
        <v>-400.59129999999999</v>
      </c>
      <c r="H1920" s="1">
        <v>-6.4698759999999999E-6</v>
      </c>
      <c r="I1920">
        <v>24.240020000000001</v>
      </c>
      <c r="J1920">
        <v>-413.31689999999998</v>
      </c>
      <c r="K1920">
        <v>1.110887</v>
      </c>
      <c r="L1920">
        <v>34.5441</v>
      </c>
      <c r="M1920">
        <v>0.51205730000000005</v>
      </c>
      <c r="N1920">
        <v>0</v>
      </c>
      <c r="O1920">
        <v>-0.85886759999999995</v>
      </c>
      <c r="P1920">
        <v>0.59370639999999997</v>
      </c>
      <c r="Q1920">
        <v>0.13412260000000001</v>
      </c>
      <c r="R1920">
        <v>-0.79342539999999995</v>
      </c>
      <c r="S1920">
        <v>2.4467159999999999</v>
      </c>
      <c r="T1920">
        <v>-0.21245510000000001</v>
      </c>
      <c r="U1920">
        <v>-1.990845</v>
      </c>
      <c r="V1920">
        <v>-0.1060074</v>
      </c>
      <c r="W1920">
        <v>0.14422750000000001</v>
      </c>
      <c r="X1920">
        <v>0.98385</v>
      </c>
      <c r="Y1920">
        <v>-0.34123619999999999</v>
      </c>
      <c r="Z1920">
        <v>6.3800949999999995E-2</v>
      </c>
      <c r="AA1920">
        <v>0.93780980000000003</v>
      </c>
      <c r="AB1920">
        <v>26</v>
      </c>
      <c r="AC1920">
        <v>12.725599999999901</v>
      </c>
      <c r="AD1920">
        <v>-1.110893469876</v>
      </c>
      <c r="AE1920">
        <v>-10.304080000000001</v>
      </c>
      <c r="AF1920">
        <v>-5.6278287020606603</v>
      </c>
      <c r="AG1920">
        <v>-1.110893469876</v>
      </c>
      <c r="AH1920">
        <v>15.296773264867999</v>
      </c>
      <c r="AI1920">
        <v>93.899040895776096</v>
      </c>
      <c r="AJ1920">
        <v>110.199049867103</v>
      </c>
      <c r="AK1920">
        <v>16.337007452955699</v>
      </c>
      <c r="AL1920">
        <v>81.707451854115206</v>
      </c>
      <c r="AM1920">
        <v>96.149752946690498</v>
      </c>
      <c r="AN1920">
        <v>0.99999998155550396</v>
      </c>
    </row>
    <row r="1921" spans="1:40" x14ac:dyDescent="0.3">
      <c r="A1921" t="str">
        <f>"20200111150355488"</f>
        <v>20200111150355488</v>
      </c>
      <c r="B1921" t="str">
        <f>"1578726235480787"</f>
        <v>1578726235480787</v>
      </c>
      <c r="C1921" t="s">
        <v>40</v>
      </c>
      <c r="D1921">
        <v>4.9616740000000004</v>
      </c>
      <c r="E1921">
        <v>0.40287190000000001</v>
      </c>
      <c r="F1921" t="s">
        <v>72</v>
      </c>
      <c r="G1921">
        <v>-400.47809999999998</v>
      </c>
      <c r="H1921" s="1">
        <v>-6.5016809999999996E-6</v>
      </c>
      <c r="I1921">
        <v>24.185880000000001</v>
      </c>
      <c r="J1921">
        <v>-413.2364</v>
      </c>
      <c r="K1921">
        <v>1.110889</v>
      </c>
      <c r="L1921">
        <v>34.41968</v>
      </c>
      <c r="M1921">
        <v>0.51670909999999903</v>
      </c>
      <c r="N1921">
        <v>0</v>
      </c>
      <c r="O1921">
        <v>-0.85607710000000004</v>
      </c>
      <c r="P1921">
        <v>0.5978116</v>
      </c>
      <c r="Q1921">
        <v>0.13398090000000001</v>
      </c>
      <c r="R1921">
        <v>-0.79036119999999899</v>
      </c>
      <c r="S1921">
        <v>2.454529</v>
      </c>
      <c r="T1921">
        <v>-0.21238080000000001</v>
      </c>
      <c r="U1921">
        <v>-1.980286</v>
      </c>
      <c r="V1921">
        <v>-0.10575619999999999</v>
      </c>
      <c r="W1921">
        <v>0.14409350000000001</v>
      </c>
      <c r="X1921">
        <v>0.98389669999999896</v>
      </c>
      <c r="Y1921">
        <v>-0.34004570000000001</v>
      </c>
      <c r="Z1921">
        <v>6.3635440000000001E-2</v>
      </c>
      <c r="AA1921">
        <v>0.93825340000000002</v>
      </c>
      <c r="AB1921">
        <v>26</v>
      </c>
      <c r="AC1921">
        <v>12.7583</v>
      </c>
      <c r="AD1921">
        <v>-1.110895501681</v>
      </c>
      <c r="AE1921">
        <v>-10.2338</v>
      </c>
      <c r="AF1921">
        <v>-5.6087208600772698</v>
      </c>
      <c r="AG1921">
        <v>-1.110895501681</v>
      </c>
      <c r="AH1921">
        <v>15.2838453714828</v>
      </c>
      <c r="AI1921">
        <v>93.903518606817798</v>
      </c>
      <c r="AJ1921">
        <v>110.151648794167</v>
      </c>
      <c r="AK1921">
        <v>16.3183261347884</v>
      </c>
      <c r="AL1921">
        <v>81.715210799304003</v>
      </c>
      <c r="AM1921">
        <v>96.135002495752701</v>
      </c>
      <c r="AN1921">
        <v>1.00000001342578</v>
      </c>
    </row>
    <row r="1922" spans="1:40" x14ac:dyDescent="0.3">
      <c r="A1922" t="str">
        <f>"20200111150355500"</f>
        <v>20200111150355500</v>
      </c>
      <c r="B1922" t="str">
        <f>"1578726235490547"</f>
        <v>1578726235490547</v>
      </c>
      <c r="C1922" t="s">
        <v>40</v>
      </c>
      <c r="D1922">
        <v>4.908671</v>
      </c>
      <c r="E1922">
        <v>0.40287190000000001</v>
      </c>
      <c r="F1922" t="s">
        <v>72</v>
      </c>
      <c r="G1922">
        <v>-400.33879999999999</v>
      </c>
      <c r="H1922" s="1">
        <v>-6.5398410000000001E-6</v>
      </c>
      <c r="I1922">
        <v>24.110589999999998</v>
      </c>
      <c r="J1922">
        <v>-413.1671</v>
      </c>
      <c r="K1922">
        <v>1.1108880000000001</v>
      </c>
      <c r="L1922">
        <v>34.314540000000001</v>
      </c>
      <c r="M1922">
        <v>0.52065090000000003</v>
      </c>
      <c r="N1922">
        <v>0</v>
      </c>
      <c r="O1922">
        <v>-0.85368569999999999</v>
      </c>
      <c r="P1922">
        <v>0.60156500000000002</v>
      </c>
      <c r="Q1922">
        <v>0.1338366</v>
      </c>
      <c r="R1922">
        <v>-0.78753269999999997</v>
      </c>
      <c r="S1922">
        <v>2.4630130000000001</v>
      </c>
      <c r="T1922">
        <v>-0.21214379999999999</v>
      </c>
      <c r="U1922">
        <v>-1.9686889999999999</v>
      </c>
      <c r="V1922">
        <v>-0.10588649999999999</v>
      </c>
      <c r="W1922">
        <v>0.14394960000000001</v>
      </c>
      <c r="X1922">
        <v>0.98390370000000005</v>
      </c>
      <c r="Y1922">
        <v>-0.33998879999999998</v>
      </c>
      <c r="Z1922">
        <v>6.3462699999999997E-2</v>
      </c>
      <c r="AA1922">
        <v>0.9382857</v>
      </c>
      <c r="AB1922">
        <v>26</v>
      </c>
      <c r="AC1922">
        <v>12.8283</v>
      </c>
      <c r="AD1922">
        <v>-1.110894539841</v>
      </c>
      <c r="AE1922">
        <v>-10.203950000000001</v>
      </c>
      <c r="AF1922">
        <v>-5.6132627762455396</v>
      </c>
      <c r="AG1922">
        <v>-1.110894539841</v>
      </c>
      <c r="AH1922">
        <v>15.320766470674799</v>
      </c>
      <c r="AI1922">
        <v>93.894874995010198</v>
      </c>
      <c r="AJ1922">
        <v>110.121956881708</v>
      </c>
      <c r="AK1922">
        <v>16.354470059368701</v>
      </c>
      <c r="AL1922">
        <v>81.723542116463094</v>
      </c>
      <c r="AM1922">
        <v>96.142460187912704</v>
      </c>
      <c r="AN1922">
        <v>0.99999996454804896</v>
      </c>
    </row>
    <row r="1923" spans="1:40" x14ac:dyDescent="0.3">
      <c r="A1923" t="str">
        <f>"20200111150355512"</f>
        <v>20200111150355512</v>
      </c>
      <c r="B1923" t="str">
        <f>"1578726235510068"</f>
        <v>1578726235510068</v>
      </c>
      <c r="C1923" t="s">
        <v>40</v>
      </c>
      <c r="D1923">
        <v>4.9992239999999999</v>
      </c>
      <c r="E1923">
        <v>0.40339829999999999</v>
      </c>
      <c r="F1923" t="s">
        <v>72</v>
      </c>
      <c r="G1923">
        <v>-400.2149</v>
      </c>
      <c r="H1923" s="1">
        <v>-6.5762599999999998E-6</v>
      </c>
      <c r="I1923">
        <v>24.065770000000001</v>
      </c>
      <c r="J1923">
        <v>-413.08550000000002</v>
      </c>
      <c r="K1923">
        <v>1.1108880000000001</v>
      </c>
      <c r="L1923">
        <v>34.191249999999997</v>
      </c>
      <c r="M1923">
        <v>0.52526519999999899</v>
      </c>
      <c r="N1923">
        <v>0</v>
      </c>
      <c r="O1923">
        <v>-0.85085409999999995</v>
      </c>
      <c r="P1923">
        <v>0.60588330000000001</v>
      </c>
      <c r="Q1923">
        <v>0.13369220000000001</v>
      </c>
      <c r="R1923">
        <v>-0.78423989999999999</v>
      </c>
      <c r="S1923">
        <v>2.4727169999999998</v>
      </c>
      <c r="T1923">
        <v>-0.21208199999999999</v>
      </c>
      <c r="U1923">
        <v>-1.956604</v>
      </c>
      <c r="V1923">
        <v>-0.10595160000000001</v>
      </c>
      <c r="W1923">
        <v>0.14380760000000001</v>
      </c>
      <c r="X1923">
        <v>0.9839175</v>
      </c>
      <c r="Y1923">
        <v>-0.3395165</v>
      </c>
      <c r="Z1923">
        <v>6.3298259999999995E-2</v>
      </c>
      <c r="AA1923">
        <v>0.93846790000000002</v>
      </c>
      <c r="AB1923">
        <v>26</v>
      </c>
      <c r="AC1923">
        <v>12.8706</v>
      </c>
      <c r="AD1923">
        <v>-1.11089457625999</v>
      </c>
      <c r="AE1923">
        <v>-10.1254799999999</v>
      </c>
      <c r="AF1923">
        <v>-5.6070432215816997</v>
      </c>
      <c r="AG1923">
        <v>-1.11089457625999</v>
      </c>
      <c r="AH1923">
        <v>15.306453388204</v>
      </c>
      <c r="AI1923">
        <v>93.898586003097094</v>
      </c>
      <c r="AJ1923">
        <v>110.118737472237</v>
      </c>
      <c r="AK1923">
        <v>16.338927008023202</v>
      </c>
      <c r="AL1923">
        <v>81.731764013924007</v>
      </c>
      <c r="AM1923">
        <v>96.146122189567095</v>
      </c>
      <c r="AN1923">
        <v>1.00000000708328</v>
      </c>
    </row>
    <row r="1924" spans="1:40" x14ac:dyDescent="0.3">
      <c r="A1924" t="str">
        <f>"20200111150355525"</f>
        <v>20200111150355525</v>
      </c>
      <c r="B1924" t="str">
        <f>"1578726235520803"</f>
        <v>1578726235520803</v>
      </c>
      <c r="C1924" t="s">
        <v>40</v>
      </c>
      <c r="D1924">
        <v>4.9963369999999996</v>
      </c>
      <c r="E1924">
        <v>0.40361849999999999</v>
      </c>
      <c r="F1924" t="s">
        <v>72</v>
      </c>
      <c r="G1924">
        <v>-400.16930000000002</v>
      </c>
      <c r="H1924" s="1">
        <v>-6.590451E-6</v>
      </c>
      <c r="I1924">
        <v>24.056039999999999</v>
      </c>
      <c r="J1924">
        <v>-412.99770000000001</v>
      </c>
      <c r="K1924">
        <v>1.1108849999999999</v>
      </c>
      <c r="L1924">
        <v>34.060389999999998</v>
      </c>
      <c r="M1924">
        <v>0.53016540000000001</v>
      </c>
      <c r="N1924">
        <v>0</v>
      </c>
      <c r="O1924">
        <v>-0.84780929999999999</v>
      </c>
      <c r="P1924">
        <v>0.61093069999999905</v>
      </c>
      <c r="Q1924">
        <v>0.13351250000000001</v>
      </c>
      <c r="R1924">
        <v>-0.78034490000000001</v>
      </c>
      <c r="S1924">
        <v>2.479797</v>
      </c>
      <c r="T1924">
        <v>-0.2132809</v>
      </c>
      <c r="U1924">
        <v>-1.945862</v>
      </c>
      <c r="V1924">
        <v>-0.1066067</v>
      </c>
      <c r="W1924">
        <v>0.14361979999999999</v>
      </c>
      <c r="X1924">
        <v>0.98387409999999997</v>
      </c>
      <c r="Y1924">
        <v>-0.33789130000000001</v>
      </c>
      <c r="Z1924">
        <v>6.3497449999999997E-2</v>
      </c>
      <c r="AA1924">
        <v>0.93904069999999995</v>
      </c>
      <c r="AB1924">
        <v>26</v>
      </c>
      <c r="AC1924">
        <v>12.828399999999901</v>
      </c>
      <c r="AD1924">
        <v>-1.1108915904509999</v>
      </c>
      <c r="AE1924">
        <v>-10.004350000000001</v>
      </c>
      <c r="AF1924">
        <v>-5.5466142009866104</v>
      </c>
      <c r="AG1924">
        <v>-1.1108915904509999</v>
      </c>
      <c r="AH1924">
        <v>15.213117132792901</v>
      </c>
      <c r="AI1924">
        <v>93.924594670015097</v>
      </c>
      <c r="AJ1924">
        <v>110.031562013125</v>
      </c>
      <c r="AK1924">
        <v>16.230771457832699</v>
      </c>
      <c r="AL1924">
        <v>81.742636473273606</v>
      </c>
      <c r="AM1924">
        <v>96.184100872494398</v>
      </c>
      <c r="AN1924">
        <v>0.99999994004386805</v>
      </c>
    </row>
    <row r="1925" spans="1:40" x14ac:dyDescent="0.3">
      <c r="A1925" t="str">
        <f>"20200111150355538"</f>
        <v>20200111150355538</v>
      </c>
      <c r="B1925" t="str">
        <f>"1578726235530563"</f>
        <v>1578726235530563</v>
      </c>
      <c r="C1925" t="s">
        <v>40</v>
      </c>
      <c r="D1925">
        <v>5.0430989999999998</v>
      </c>
      <c r="E1925">
        <v>0.40382509999999999</v>
      </c>
      <c r="F1925" t="s">
        <v>72</v>
      </c>
      <c r="G1925">
        <v>-400.1354</v>
      </c>
      <c r="H1925" s="1">
        <v>-6.6051279999999996E-6</v>
      </c>
      <c r="I1925">
        <v>24.08588</v>
      </c>
      <c r="J1925">
        <v>-412.91640000000001</v>
      </c>
      <c r="K1925">
        <v>1.1108830000000001</v>
      </c>
      <c r="L1925">
        <v>33.940800000000003</v>
      </c>
      <c r="M1925">
        <v>0.53464860000000003</v>
      </c>
      <c r="N1925">
        <v>0</v>
      </c>
      <c r="O1925">
        <v>-0.8449894</v>
      </c>
      <c r="P1925">
        <v>0.61570440000000004</v>
      </c>
      <c r="Q1925">
        <v>0.13317470000000001</v>
      </c>
      <c r="R1925">
        <v>-0.77664230000000001</v>
      </c>
      <c r="S1925">
        <v>2.49057</v>
      </c>
      <c r="T1925">
        <v>-0.2151054</v>
      </c>
      <c r="U1925">
        <v>-1.9313959999999999</v>
      </c>
      <c r="V1925">
        <v>-0.10739369999999999</v>
      </c>
      <c r="W1925">
        <v>0.1432706</v>
      </c>
      <c r="X1925">
        <v>0.98383949999999998</v>
      </c>
      <c r="Y1925">
        <v>-0.33825189999999999</v>
      </c>
      <c r="Z1925">
        <v>6.3915420000000001E-2</v>
      </c>
      <c r="AA1925">
        <v>0.93888260000000001</v>
      </c>
      <c r="AB1925">
        <v>26</v>
      </c>
      <c r="AC1925">
        <v>12.781000000000001</v>
      </c>
      <c r="AD1925">
        <v>-1.1108896051279999</v>
      </c>
      <c r="AE1925">
        <v>-9.8549199999999999</v>
      </c>
      <c r="AF1925">
        <v>-5.5052053587992402</v>
      </c>
      <c r="AG1925">
        <v>-1.1108896051279999</v>
      </c>
      <c r="AH1925">
        <v>15.090241948422101</v>
      </c>
      <c r="AI1925">
        <v>93.956158059798895</v>
      </c>
      <c r="AJ1925">
        <v>110.042924841154</v>
      </c>
      <c r="AK1925">
        <v>16.1014522270276</v>
      </c>
      <c r="AL1925">
        <v>81.762853873050304</v>
      </c>
      <c r="AM1925">
        <v>96.229613342808605</v>
      </c>
      <c r="AN1925">
        <v>1.0000000166921399</v>
      </c>
    </row>
    <row r="1926" spans="1:40" x14ac:dyDescent="0.3">
      <c r="A1926" t="str">
        <f>"20200111150355552"</f>
        <v>20200111150355552</v>
      </c>
      <c r="B1926" t="str">
        <f>"1578726235540323"</f>
        <v>1578726235540323</v>
      </c>
      <c r="C1926" t="s">
        <v>40</v>
      </c>
      <c r="D1926">
        <v>5.046735</v>
      </c>
      <c r="E1926">
        <v>0.4040241</v>
      </c>
      <c r="F1926" t="s">
        <v>72</v>
      </c>
      <c r="G1926">
        <v>-400.10169999999999</v>
      </c>
      <c r="H1926" s="1">
        <v>-6.619865E-6</v>
      </c>
      <c r="I1926">
        <v>24.116420000000002</v>
      </c>
      <c r="J1926">
        <v>-412.83150000000001</v>
      </c>
      <c r="K1926">
        <v>1.1108830000000001</v>
      </c>
      <c r="L1926">
        <v>33.816959999999902</v>
      </c>
      <c r="M1926">
        <v>0.53928640000000005</v>
      </c>
      <c r="N1926">
        <v>0</v>
      </c>
      <c r="O1926">
        <v>-0.84203680000000003</v>
      </c>
      <c r="P1926">
        <v>0.62040439999999997</v>
      </c>
      <c r="Q1926">
        <v>0.13290589999999999</v>
      </c>
      <c r="R1926">
        <v>-0.77293900000000004</v>
      </c>
      <c r="S1926">
        <v>2.5008849999999998</v>
      </c>
      <c r="T1926">
        <v>-0.2167982</v>
      </c>
      <c r="U1926">
        <v>-1.917297</v>
      </c>
      <c r="V1926">
        <v>-0.1079253</v>
      </c>
      <c r="W1926">
        <v>0.14299539999999999</v>
      </c>
      <c r="X1926">
        <v>0.98382130000000001</v>
      </c>
      <c r="Y1926">
        <v>-0.33825670000000002</v>
      </c>
      <c r="Z1926">
        <v>6.4278810000000006E-2</v>
      </c>
      <c r="AA1926">
        <v>0.93885609999999997</v>
      </c>
      <c r="AB1926">
        <v>26</v>
      </c>
      <c r="AC1926">
        <v>12.729799999999999</v>
      </c>
      <c r="AD1926">
        <v>-1.110889619865</v>
      </c>
      <c r="AE1926">
        <v>-9.7005399999999895</v>
      </c>
      <c r="AF1926">
        <v>-5.4616731314597304</v>
      </c>
      <c r="AG1926">
        <v>-1.110889619865</v>
      </c>
      <c r="AH1926">
        <v>14.962218492103</v>
      </c>
      <c r="AI1926">
        <v>93.989628299662002</v>
      </c>
      <c r="AJ1926">
        <v>110.053647978128</v>
      </c>
      <c r="AK1926">
        <v>15.9665879682499</v>
      </c>
      <c r="AL1926">
        <v>81.778785183321105</v>
      </c>
      <c r="AM1926">
        <v>96.260320649268294</v>
      </c>
      <c r="AN1926">
        <v>0.99999995256746799</v>
      </c>
    </row>
    <row r="1927" spans="1:40" x14ac:dyDescent="0.3">
      <c r="A1927" t="str">
        <f>"20200111150355565"</f>
        <v>20200111150355565</v>
      </c>
      <c r="B1927" t="str">
        <f>"1578726235560820"</f>
        <v>1578726235560820</v>
      </c>
      <c r="C1927" t="s">
        <v>40</v>
      </c>
      <c r="D1927">
        <v>5.0726620000000002</v>
      </c>
      <c r="E1927">
        <v>0.40442040000000001</v>
      </c>
      <c r="F1927" t="s">
        <v>72</v>
      </c>
      <c r="G1927">
        <v>-400.0573</v>
      </c>
      <c r="H1927" s="1">
        <v>-6.636433E-6</v>
      </c>
      <c r="I1927">
        <v>24.131589999999999</v>
      </c>
      <c r="J1927">
        <v>-412.73570000000001</v>
      </c>
      <c r="K1927">
        <v>1.1108849999999999</v>
      </c>
      <c r="L1927">
        <v>33.679409999999997</v>
      </c>
      <c r="M1927">
        <v>0.54444199999999998</v>
      </c>
      <c r="N1927">
        <v>0</v>
      </c>
      <c r="O1927">
        <v>-0.83871229999999997</v>
      </c>
      <c r="P1927">
        <v>0.62500389999999995</v>
      </c>
      <c r="Q1927">
        <v>0.13205749999999999</v>
      </c>
      <c r="R1927">
        <v>-0.76937069999999996</v>
      </c>
      <c r="S1927">
        <v>2.5106809999999999</v>
      </c>
      <c r="T1927">
        <v>-0.218338</v>
      </c>
      <c r="U1927">
        <v>-1.9035949999999999</v>
      </c>
      <c r="V1927">
        <v>-0.107665899999999</v>
      </c>
      <c r="W1927">
        <v>0.14215529999999901</v>
      </c>
      <c r="X1927">
        <v>0.9839715</v>
      </c>
      <c r="Y1927">
        <v>-0.33748</v>
      </c>
      <c r="Z1927">
        <v>6.4560880000000001E-2</v>
      </c>
      <c r="AA1927">
        <v>0.93911619999999996</v>
      </c>
      <c r="AB1927">
        <v>26</v>
      </c>
      <c r="AC1927">
        <v>12.6784</v>
      </c>
      <c r="AD1927">
        <v>-1.1108916364329999</v>
      </c>
      <c r="AE1927">
        <v>-9.5478199999999909</v>
      </c>
      <c r="AF1927">
        <v>-5.4091889769705901</v>
      </c>
      <c r="AG1927">
        <v>-1.1108916364329999</v>
      </c>
      <c r="AH1927">
        <v>14.8389092295658</v>
      </c>
      <c r="AI1927">
        <v>94.023330505929493</v>
      </c>
      <c r="AJ1927">
        <v>110.02818380612101</v>
      </c>
      <c r="AK1927">
        <v>15.833086646000799</v>
      </c>
      <c r="AL1927">
        <v>81.827416529843305</v>
      </c>
      <c r="AM1927">
        <v>96.244447117193502</v>
      </c>
      <c r="AN1927">
        <v>0.99999999407657503</v>
      </c>
    </row>
    <row r="1928" spans="1:40" x14ac:dyDescent="0.3">
      <c r="A1928" t="str">
        <f>"20200111150355579"</f>
        <v>20200111150355579</v>
      </c>
      <c r="B1928" t="str">
        <f>"1578726235570581"</f>
        <v>1578726235570581</v>
      </c>
      <c r="C1928" t="s">
        <v>40</v>
      </c>
      <c r="D1928">
        <v>5.0842199999999904</v>
      </c>
      <c r="E1928">
        <v>0.40442040000000001</v>
      </c>
      <c r="F1928" t="s">
        <v>72</v>
      </c>
      <c r="G1928">
        <v>-400.02890000000002</v>
      </c>
      <c r="H1928" s="1">
        <v>-6.6479439999999999E-6</v>
      </c>
      <c r="I1928">
        <v>24.149640000000002</v>
      </c>
      <c r="J1928">
        <v>-412.65199999999999</v>
      </c>
      <c r="K1928">
        <v>1.1108880000000001</v>
      </c>
      <c r="L1928">
        <v>33.56082</v>
      </c>
      <c r="M1928">
        <v>0.54889049999999995</v>
      </c>
      <c r="N1928">
        <v>0</v>
      </c>
      <c r="O1928">
        <v>-0.835808</v>
      </c>
      <c r="P1928">
        <v>0.62888639999999996</v>
      </c>
      <c r="Q1928">
        <v>0.13146920000000001</v>
      </c>
      <c r="R1928">
        <v>-0.76630149999999997</v>
      </c>
      <c r="S1928">
        <v>2.5200200000000001</v>
      </c>
      <c r="T1928">
        <v>-0.22031310000000001</v>
      </c>
      <c r="U1928">
        <v>-1.8899539999999999</v>
      </c>
      <c r="V1928">
        <v>-0.1073489</v>
      </c>
      <c r="W1928">
        <v>0.1415757</v>
      </c>
      <c r="X1928">
        <v>0.98408969999999996</v>
      </c>
      <c r="Y1928">
        <v>-0.3373719</v>
      </c>
      <c r="Z1928">
        <v>6.5007670000000004E-2</v>
      </c>
      <c r="AA1928">
        <v>0.93912419999999996</v>
      </c>
      <c r="AB1928">
        <v>26</v>
      </c>
      <c r="AC1928">
        <v>12.6230999999999</v>
      </c>
      <c r="AD1928">
        <v>-1.1108946479439901</v>
      </c>
      <c r="AE1928">
        <v>-9.4111799999999999</v>
      </c>
      <c r="AF1928">
        <v>-5.3584948972592903</v>
      </c>
      <c r="AG1928">
        <v>-1.1108946479439901</v>
      </c>
      <c r="AH1928">
        <v>14.7224192691117</v>
      </c>
      <c r="AI1928">
        <v>94.055796587849898</v>
      </c>
      <c r="AJ1928">
        <v>109.999905520233</v>
      </c>
      <c r="AK1928">
        <v>15.7065968184803</v>
      </c>
      <c r="AL1928">
        <v>81.860964530179601</v>
      </c>
      <c r="AM1928">
        <v>96.225464277255895</v>
      </c>
      <c r="AN1928">
        <v>1.0000000014038899</v>
      </c>
    </row>
    <row r="1929" spans="1:40" x14ac:dyDescent="0.3">
      <c r="A1929" t="str">
        <f>"20200111150355591"</f>
        <v>20200111150355591</v>
      </c>
      <c r="B1929" t="str">
        <f>"1578726235580848"</f>
        <v>1578726235580848</v>
      </c>
      <c r="C1929" t="s">
        <v>40</v>
      </c>
      <c r="D1929">
        <v>5.0765169999999999</v>
      </c>
      <c r="E1929">
        <v>0.4118327</v>
      </c>
      <c r="F1929" t="s">
        <v>72</v>
      </c>
      <c r="G1929">
        <v>-399.98739999999998</v>
      </c>
      <c r="H1929" s="1">
        <v>-6.663384E-6</v>
      </c>
      <c r="I1929">
        <v>24.163160000000001</v>
      </c>
      <c r="J1929">
        <v>-412.56670000000003</v>
      </c>
      <c r="K1929">
        <v>1.1108880000000001</v>
      </c>
      <c r="L1929">
        <v>33.440800000000003</v>
      </c>
      <c r="M1929">
        <v>0.5533884</v>
      </c>
      <c r="N1929">
        <v>0</v>
      </c>
      <c r="O1929">
        <v>-0.83283669999999999</v>
      </c>
      <c r="P1929">
        <v>0.63267479999999998</v>
      </c>
      <c r="Q1929">
        <v>0.1312895</v>
      </c>
      <c r="R1929">
        <v>-0.76320769999999905</v>
      </c>
      <c r="S1929">
        <v>2.529541</v>
      </c>
      <c r="T1929">
        <v>-0.2218813</v>
      </c>
      <c r="U1929">
        <v>-1.877014</v>
      </c>
      <c r="V1929">
        <v>-0.1068986</v>
      </c>
      <c r="W1929">
        <v>0.14140620000000001</v>
      </c>
      <c r="X1929">
        <v>0.98416309999999996</v>
      </c>
      <c r="Y1929">
        <v>-0.33706520000000001</v>
      </c>
      <c r="Z1929">
        <v>6.5310729999999997E-2</v>
      </c>
      <c r="AA1929">
        <v>0.93921330000000003</v>
      </c>
      <c r="AB1929">
        <v>26</v>
      </c>
      <c r="AC1929">
        <v>12.5793</v>
      </c>
      <c r="AD1929">
        <v>-1.11089466338399</v>
      </c>
      <c r="AE1929">
        <v>-9.2776399999999999</v>
      </c>
      <c r="AF1929">
        <v>-5.3158979583660297</v>
      </c>
      <c r="AG1929">
        <v>-1.11089466338399</v>
      </c>
      <c r="AH1929">
        <v>14.6152325782953</v>
      </c>
      <c r="AI1929">
        <v>94.085761965862105</v>
      </c>
      <c r="AJ1929">
        <v>109.987496525184</v>
      </c>
      <c r="AK1929">
        <v>15.5915964985809</v>
      </c>
      <c r="AL1929">
        <v>81.870774978495902</v>
      </c>
      <c r="AM1929">
        <v>96.199095118172195</v>
      </c>
      <c r="AN1929">
        <v>1.0000000157410001</v>
      </c>
    </row>
    <row r="1930" spans="1:40" x14ac:dyDescent="0.3">
      <c r="A1930" t="str">
        <f>"20200111150355605"</f>
        <v>20200111150355605</v>
      </c>
      <c r="B1930" t="str">
        <f>"1578726235600369"</f>
        <v>1578726235600369</v>
      </c>
      <c r="C1930" t="s">
        <v>40</v>
      </c>
      <c r="D1930">
        <v>5.0104369999999996</v>
      </c>
      <c r="E1930">
        <v>0.41220950000000001</v>
      </c>
      <c r="F1930" t="s">
        <v>72</v>
      </c>
      <c r="G1930">
        <v>-401.5181</v>
      </c>
      <c r="H1930" s="1">
        <v>-6.245809E-6</v>
      </c>
      <c r="I1930">
        <v>25.006229999999999</v>
      </c>
      <c r="J1930">
        <v>-412.47140000000002</v>
      </c>
      <c r="K1930">
        <v>1.110887</v>
      </c>
      <c r="L1930">
        <v>33.308590000000002</v>
      </c>
      <c r="M1930">
        <v>0.55834629999999996</v>
      </c>
      <c r="N1930">
        <v>0</v>
      </c>
      <c r="O1930">
        <v>-0.82952079999999995</v>
      </c>
      <c r="P1930">
        <v>0.63728580000000001</v>
      </c>
      <c r="Q1930">
        <v>0.1313936</v>
      </c>
      <c r="R1930">
        <v>-0.7593434</v>
      </c>
      <c r="S1930">
        <v>2.4956049999999999</v>
      </c>
      <c r="T1930">
        <v>-0.25092219999999998</v>
      </c>
      <c r="U1930">
        <v>-1.905151</v>
      </c>
      <c r="V1930">
        <v>-0.1070026</v>
      </c>
      <c r="W1930">
        <v>0.1415101</v>
      </c>
      <c r="X1930">
        <v>0.98413680000000003</v>
      </c>
      <c r="Y1930">
        <v>-0.31804060000000001</v>
      </c>
      <c r="Z1930">
        <v>7.3400350000000003E-2</v>
      </c>
      <c r="AA1930">
        <v>0.9452315</v>
      </c>
      <c r="AB1930">
        <v>26</v>
      </c>
      <c r="AC1930">
        <v>10.9533</v>
      </c>
      <c r="AD1930">
        <v>-1.110893245809</v>
      </c>
      <c r="AE1930">
        <v>-8.3023600000000002</v>
      </c>
      <c r="AF1930">
        <v>-4.4218328743629698</v>
      </c>
      <c r="AG1930">
        <v>-1.110893245809</v>
      </c>
      <c r="AH1930">
        <v>12.9192556372015</v>
      </c>
      <c r="AI1930">
        <v>94.6510070200938</v>
      </c>
      <c r="AJ1930">
        <v>108.894374956978</v>
      </c>
      <c r="AK1930">
        <v>13.7001407289029</v>
      </c>
      <c r="AL1930">
        <v>81.864760962560794</v>
      </c>
      <c r="AM1930">
        <v>96.205243628619201</v>
      </c>
      <c r="AN1930">
        <v>0.99999995296150401</v>
      </c>
    </row>
    <row r="1931" spans="1:40" x14ac:dyDescent="0.3">
      <c r="A1931" t="str">
        <f>"20200111150355621"</f>
        <v>20200111150355621</v>
      </c>
      <c r="B1931" t="str">
        <f>"1578726235611103"</f>
        <v>1578726235611103</v>
      </c>
      <c r="C1931" t="s">
        <v>40</v>
      </c>
      <c r="D1931">
        <v>5.1229100000000001</v>
      </c>
      <c r="E1931">
        <v>0.41255760000000002</v>
      </c>
      <c r="F1931" t="s">
        <v>72</v>
      </c>
      <c r="G1931">
        <v>-401.5616</v>
      </c>
      <c r="H1931" s="1">
        <v>-6.2375979999999997E-6</v>
      </c>
      <c r="I1931">
        <v>25.0627</v>
      </c>
      <c r="J1931">
        <v>-412.36130000000003</v>
      </c>
      <c r="K1931">
        <v>1.1108830000000001</v>
      </c>
      <c r="L1931">
        <v>33.157960000000003</v>
      </c>
      <c r="M1931">
        <v>0.56400059999999996</v>
      </c>
      <c r="N1931">
        <v>0</v>
      </c>
      <c r="O1931">
        <v>-0.8256869</v>
      </c>
      <c r="P1931">
        <v>0.642845</v>
      </c>
      <c r="Q1931">
        <v>0.1307007</v>
      </c>
      <c r="R1931">
        <v>-0.75476330000000003</v>
      </c>
      <c r="S1931">
        <v>2.504486</v>
      </c>
      <c r="T1931">
        <v>-0.255019</v>
      </c>
      <c r="U1931">
        <v>-1.892944</v>
      </c>
      <c r="V1931">
        <v>-0.1074287</v>
      </c>
      <c r="W1931">
        <v>0.1408124</v>
      </c>
      <c r="X1931">
        <v>0.98419049999999997</v>
      </c>
      <c r="Y1931">
        <v>-0.31603690000000001</v>
      </c>
      <c r="Z1931">
        <v>7.4315350000000002E-2</v>
      </c>
      <c r="AA1931">
        <v>0.94583189999999995</v>
      </c>
      <c r="AB1931">
        <v>26</v>
      </c>
      <c r="AC1931">
        <v>10.7997</v>
      </c>
      <c r="AD1931">
        <v>-1.110889237598</v>
      </c>
      <c r="AE1931">
        <v>-8.0952599999999908</v>
      </c>
      <c r="AF1931">
        <v>-4.32247141354632</v>
      </c>
      <c r="AG1931">
        <v>-1.110889237598</v>
      </c>
      <c r="AH1931">
        <v>12.690141900054799</v>
      </c>
      <c r="AI1931">
        <v>94.736962211175296</v>
      </c>
      <c r="AJ1931">
        <v>108.809688683697</v>
      </c>
      <c r="AK1931">
        <v>13.452045772397</v>
      </c>
      <c r="AL1931">
        <v>81.905140941812505</v>
      </c>
      <c r="AM1931">
        <v>96.229422665003696</v>
      </c>
      <c r="AN1931">
        <v>0.99999999893385005</v>
      </c>
    </row>
    <row r="1932" spans="1:40" x14ac:dyDescent="0.3">
      <c r="A1932" t="str">
        <f>"20200111150355635"</f>
        <v>20200111150355635</v>
      </c>
      <c r="B1932" t="str">
        <f>"1578726235630623"</f>
        <v>1578726235630623</v>
      </c>
      <c r="C1932" t="s">
        <v>40</v>
      </c>
      <c r="D1932">
        <v>5.1398109999999999</v>
      </c>
      <c r="E1932">
        <v>0.41339930000000003</v>
      </c>
      <c r="F1932" t="s">
        <v>72</v>
      </c>
      <c r="G1932">
        <v>-401.5924</v>
      </c>
      <c r="H1932" s="1">
        <v>-6.2342149999999997E-6</v>
      </c>
      <c r="I1932">
        <v>25.12424</v>
      </c>
      <c r="J1932">
        <v>-412.26909999999998</v>
      </c>
      <c r="K1932">
        <v>1.110881</v>
      </c>
      <c r="L1932">
        <v>33.033329999999999</v>
      </c>
      <c r="M1932">
        <v>0.56867699999999999</v>
      </c>
      <c r="N1932">
        <v>0</v>
      </c>
      <c r="O1932">
        <v>-0.82247300000000001</v>
      </c>
      <c r="P1932">
        <v>0.64752200000000004</v>
      </c>
      <c r="Q1932">
        <v>0.12998209999999999</v>
      </c>
      <c r="R1932">
        <v>-0.75087969999999904</v>
      </c>
      <c r="S1932">
        <v>2.5158689999999999</v>
      </c>
      <c r="T1932">
        <v>-0.25952960000000003</v>
      </c>
      <c r="U1932">
        <v>-1.876862</v>
      </c>
      <c r="V1932">
        <v>-0.10787770000000001</v>
      </c>
      <c r="W1932">
        <v>0.14008860000000001</v>
      </c>
      <c r="X1932">
        <v>0.98424460000000003</v>
      </c>
      <c r="Y1932">
        <v>-0.31650209999999901</v>
      </c>
      <c r="Z1932">
        <v>7.5446230000000003E-2</v>
      </c>
      <c r="AA1932">
        <v>0.9455867</v>
      </c>
      <c r="AB1932">
        <v>26</v>
      </c>
      <c r="AC1932">
        <v>10.676699999999901</v>
      </c>
      <c r="AD1932">
        <v>-1.110887234215</v>
      </c>
      <c r="AE1932">
        <v>-7.9090899999999902</v>
      </c>
      <c r="AF1932">
        <v>-4.2541527884553201</v>
      </c>
      <c r="AG1932">
        <v>-1.110887234215</v>
      </c>
      <c r="AH1932">
        <v>12.490208580166</v>
      </c>
      <c r="AI1932">
        <v>94.812451279701506</v>
      </c>
      <c r="AJ1932">
        <v>108.808792444202</v>
      </c>
      <c r="AK1932">
        <v>13.2414952618923</v>
      </c>
      <c r="AL1932">
        <v>81.947026200328807</v>
      </c>
      <c r="AM1932">
        <v>96.254911570132194</v>
      </c>
      <c r="AN1932">
        <v>0.99999992331820198</v>
      </c>
    </row>
    <row r="1933" spans="1:40" x14ac:dyDescent="0.3">
      <c r="A1933" t="str">
        <f>"20200111150355647"</f>
        <v>20200111150355647</v>
      </c>
      <c r="B1933" t="str">
        <f>"1578726235640383"</f>
        <v>1578726235640383</v>
      </c>
      <c r="C1933" t="s">
        <v>40</v>
      </c>
      <c r="D1933">
        <v>5.1525650000000001</v>
      </c>
      <c r="E1933">
        <v>0.41367549999999997</v>
      </c>
      <c r="F1933" t="s">
        <v>72</v>
      </c>
      <c r="G1933">
        <v>-401.79820000000001</v>
      </c>
      <c r="H1933" s="1">
        <v>-6.1836270000000001E-6</v>
      </c>
      <c r="I1933">
        <v>25.286860000000001</v>
      </c>
      <c r="J1933">
        <v>-412.17899999999997</v>
      </c>
      <c r="K1933">
        <v>1.1108800000000001</v>
      </c>
      <c r="L1933">
        <v>32.9129</v>
      </c>
      <c r="M1933">
        <v>0.5731946</v>
      </c>
      <c r="N1933">
        <v>0</v>
      </c>
      <c r="O1933">
        <v>-0.81933089999999997</v>
      </c>
      <c r="P1933">
        <v>0.6517522</v>
      </c>
      <c r="Q1933">
        <v>0.1295075</v>
      </c>
      <c r="R1933">
        <v>-0.74729319999999999</v>
      </c>
      <c r="S1933">
        <v>2.5226139999999999</v>
      </c>
      <c r="T1933">
        <v>-0.26762970000000003</v>
      </c>
      <c r="U1933">
        <v>-1.866241</v>
      </c>
      <c r="V1933">
        <v>-0.1079658</v>
      </c>
      <c r="W1933">
        <v>0.13961460000000001</v>
      </c>
      <c r="X1933">
        <v>0.98430240000000002</v>
      </c>
      <c r="Y1933">
        <v>-0.31490059999999997</v>
      </c>
      <c r="Z1933">
        <v>7.7564190000000005E-2</v>
      </c>
      <c r="AA1933">
        <v>0.94594999999999996</v>
      </c>
      <c r="AB1933">
        <v>26</v>
      </c>
      <c r="AC1933">
        <v>10.380800000000001</v>
      </c>
      <c r="AD1933">
        <v>-1.1108861836270001</v>
      </c>
      <c r="AE1933">
        <v>-7.6260399999999997</v>
      </c>
      <c r="AF1933">
        <v>-4.1038806407024602</v>
      </c>
      <c r="AG1933">
        <v>-1.1108861836270001</v>
      </c>
      <c r="AH1933">
        <v>12.1092851988872</v>
      </c>
      <c r="AI1933">
        <v>94.965638627896297</v>
      </c>
      <c r="AJ1933">
        <v>108.721705971375</v>
      </c>
      <c r="AK1933">
        <v>12.8339663570579</v>
      </c>
      <c r="AL1933">
        <v>81.974454831727101</v>
      </c>
      <c r="AM1933">
        <v>96.259614523769699</v>
      </c>
      <c r="AN1933">
        <v>1.0000000325742699</v>
      </c>
    </row>
    <row r="1934" spans="1:40" x14ac:dyDescent="0.3">
      <c r="A1934" t="str">
        <f>"20200111150355658"</f>
        <v>20200111150355658</v>
      </c>
      <c r="B1934" t="str">
        <f>"1578726235650143"</f>
        <v>1578726235650143</v>
      </c>
      <c r="C1934" t="s">
        <v>40</v>
      </c>
      <c r="D1934">
        <v>5.1527349999999998</v>
      </c>
      <c r="E1934">
        <v>0.41380080000000002</v>
      </c>
      <c r="F1934" t="s">
        <v>72</v>
      </c>
      <c r="G1934">
        <v>-401.791</v>
      </c>
      <c r="H1934" s="1">
        <v>-6.1884629999999997E-6</v>
      </c>
      <c r="I1934">
        <v>25.30847</v>
      </c>
      <c r="J1934">
        <v>-412.0976</v>
      </c>
      <c r="K1934">
        <v>1.110878</v>
      </c>
      <c r="L1934">
        <v>32.805570000000003</v>
      </c>
      <c r="M1934">
        <v>0.5772294</v>
      </c>
      <c r="N1934">
        <v>0</v>
      </c>
      <c r="O1934">
        <v>-0.81649329999999998</v>
      </c>
      <c r="P1934">
        <v>0.65602680000000002</v>
      </c>
      <c r="Q1934">
        <v>0.12913640000000001</v>
      </c>
      <c r="R1934">
        <v>-0.74360809999999999</v>
      </c>
      <c r="S1934">
        <v>2.5317989999999999</v>
      </c>
      <c r="T1934">
        <v>-0.2707466</v>
      </c>
      <c r="U1934">
        <v>-1.8533630000000001</v>
      </c>
      <c r="V1934">
        <v>-0.1087137</v>
      </c>
      <c r="W1934">
        <v>0.13923170000000001</v>
      </c>
      <c r="X1934">
        <v>0.98427430000000005</v>
      </c>
      <c r="Y1934">
        <v>-0.31492819999999999</v>
      </c>
      <c r="Z1934">
        <v>7.8281619999999996E-2</v>
      </c>
      <c r="AA1934">
        <v>0.94588170000000005</v>
      </c>
      <c r="AB1934">
        <v>26</v>
      </c>
      <c r="AC1934">
        <v>10.3066</v>
      </c>
      <c r="AD1934">
        <v>-1.1108841884630001</v>
      </c>
      <c r="AE1934">
        <v>-7.4970999999999997</v>
      </c>
      <c r="AF1934">
        <v>-4.0571954116358802</v>
      </c>
      <c r="AG1934">
        <v>-1.1108841884630001</v>
      </c>
      <c r="AH1934">
        <v>11.980458871085</v>
      </c>
      <c r="AI1934">
        <v>95.019137308464494</v>
      </c>
      <c r="AJ1934">
        <v>108.708726295416</v>
      </c>
      <c r="AK1934">
        <v>12.6974916046491</v>
      </c>
      <c r="AL1934">
        <v>81.9966096432521</v>
      </c>
      <c r="AM1934">
        <v>96.302806807876706</v>
      </c>
      <c r="AN1934">
        <v>1.0000000162465299</v>
      </c>
    </row>
    <row r="1935" spans="1:40" x14ac:dyDescent="0.3">
      <c r="A1935" t="str">
        <f>"20200111150355670"</f>
        <v>20200111150355670</v>
      </c>
      <c r="B1935" t="str">
        <f>"1578726235660879"</f>
        <v>1578726235660879</v>
      </c>
      <c r="C1935" t="s">
        <v>40</v>
      </c>
      <c r="D1935">
        <v>5.168749</v>
      </c>
      <c r="E1935">
        <v>0.41410580000000002</v>
      </c>
      <c r="F1935" t="s">
        <v>72</v>
      </c>
      <c r="G1935">
        <v>-401.73099999999999</v>
      </c>
      <c r="H1935" s="1">
        <v>-6.2079229999999999E-6</v>
      </c>
      <c r="I1935">
        <v>25.30312</v>
      </c>
      <c r="J1935">
        <v>-412.0127</v>
      </c>
      <c r="K1935">
        <v>1.110878</v>
      </c>
      <c r="L1935">
        <v>32.694309999999902</v>
      </c>
      <c r="M1935">
        <v>0.58140389999999997</v>
      </c>
      <c r="N1935">
        <v>0</v>
      </c>
      <c r="O1935">
        <v>-0.81352599999999997</v>
      </c>
      <c r="P1935">
        <v>0.66017789999999998</v>
      </c>
      <c r="Q1935">
        <v>0.1289333</v>
      </c>
      <c r="R1935">
        <v>-0.73996039999999996</v>
      </c>
      <c r="S1935">
        <v>2.5416259999999999</v>
      </c>
      <c r="T1935">
        <v>-0.27236129999999997</v>
      </c>
      <c r="U1935">
        <v>-1.8394170000000001</v>
      </c>
      <c r="V1935">
        <v>-0.10915809999999999</v>
      </c>
      <c r="W1935">
        <v>0.13902249999999999</v>
      </c>
      <c r="X1935">
        <v>0.98425469999999904</v>
      </c>
      <c r="Y1935">
        <v>-0.3151832</v>
      </c>
      <c r="Z1935">
        <v>7.8561599999999995E-2</v>
      </c>
      <c r="AA1935">
        <v>0.94577350000000004</v>
      </c>
      <c r="AB1935">
        <v>26</v>
      </c>
      <c r="AC1935">
        <v>10.281700000000001</v>
      </c>
      <c r="AD1935">
        <v>-1.1108842079229999</v>
      </c>
      <c r="AE1935">
        <v>-7.3911899999999902</v>
      </c>
      <c r="AF1935">
        <v>-4.0363927065130198</v>
      </c>
      <c r="AG1935">
        <v>-1.1108842079229999</v>
      </c>
      <c r="AH1935">
        <v>11.900027516840201</v>
      </c>
      <c r="AI1935">
        <v>95.052059979676699</v>
      </c>
      <c r="AJ1935">
        <v>108.73651900697</v>
      </c>
      <c r="AK1935">
        <v>12.6149587675171</v>
      </c>
      <c r="AL1935">
        <v>82.008713750887296</v>
      </c>
      <c r="AM1935">
        <v>96.328487816390293</v>
      </c>
      <c r="AN1935">
        <v>1.0000000303869701</v>
      </c>
    </row>
    <row r="1936" spans="1:40" x14ac:dyDescent="0.3">
      <c r="A1936" t="str">
        <f>"20200111150355682"</f>
        <v>20200111150355682</v>
      </c>
      <c r="B1936" t="str">
        <f>"1578726235680399"</f>
        <v>1578726235680399</v>
      </c>
      <c r="C1936" t="s">
        <v>40</v>
      </c>
      <c r="D1936">
        <v>5.179513</v>
      </c>
      <c r="E1936">
        <v>0.41466779999999998</v>
      </c>
      <c r="F1936" t="s">
        <v>72</v>
      </c>
      <c r="G1936">
        <v>-401.73390000000001</v>
      </c>
      <c r="H1936" s="1">
        <v>-6.2101360000000002E-6</v>
      </c>
      <c r="I1936">
        <v>25.331510000000002</v>
      </c>
      <c r="J1936">
        <v>-411.9273</v>
      </c>
      <c r="K1936">
        <v>1.110878</v>
      </c>
      <c r="L1936">
        <v>32.584049999999998</v>
      </c>
      <c r="M1936">
        <v>0.58554849999999903</v>
      </c>
      <c r="N1936">
        <v>0</v>
      </c>
      <c r="O1936">
        <v>-0.81054820000000005</v>
      </c>
      <c r="P1936">
        <v>0.66418949999999999</v>
      </c>
      <c r="Q1936">
        <v>0.1286931</v>
      </c>
      <c r="R1936">
        <v>-0.73640419999999995</v>
      </c>
      <c r="S1936">
        <v>2.5503849999999999</v>
      </c>
      <c r="T1936">
        <v>-0.27563500000000002</v>
      </c>
      <c r="U1936">
        <v>-1.8268740000000001</v>
      </c>
      <c r="V1936">
        <v>-0.1094562</v>
      </c>
      <c r="W1936">
        <v>0.1387774</v>
      </c>
      <c r="X1936">
        <v>0.98425609999999997</v>
      </c>
      <c r="Y1936">
        <v>-0.31488840000000001</v>
      </c>
      <c r="Z1936">
        <v>7.9296370000000005E-2</v>
      </c>
      <c r="AA1936">
        <v>0.94581040000000005</v>
      </c>
      <c r="AB1936">
        <v>26</v>
      </c>
      <c r="AC1936">
        <v>10.193399999999899</v>
      </c>
      <c r="AD1936">
        <v>-1.1108842101359999</v>
      </c>
      <c r="AE1936">
        <v>-7.25253999999999</v>
      </c>
      <c r="AF1936">
        <v>-3.98440078936301</v>
      </c>
      <c r="AG1936">
        <v>-1.1108842101359999</v>
      </c>
      <c r="AH1936">
        <v>11.7554264630591</v>
      </c>
      <c r="AI1936">
        <v>95.114264272386706</v>
      </c>
      <c r="AJ1936">
        <v>108.723647737071</v>
      </c>
      <c r="AK1936">
        <v>12.461924598832899</v>
      </c>
      <c r="AL1936">
        <v>82.0228937493373</v>
      </c>
      <c r="AM1936">
        <v>96.345620550620893</v>
      </c>
      <c r="AN1936">
        <v>0.99999994842820294</v>
      </c>
    </row>
    <row r="1937" spans="1:40" x14ac:dyDescent="0.3">
      <c r="A1937" t="str">
        <f>"20200111150355699"</f>
        <v>20200111150355699</v>
      </c>
      <c r="B1937" t="str">
        <f>"1578726235690162"</f>
        <v>1578726235690162</v>
      </c>
      <c r="C1937" t="s">
        <v>40</v>
      </c>
      <c r="D1937">
        <v>5.1539960000000002</v>
      </c>
      <c r="E1937">
        <v>0.41466779999999998</v>
      </c>
      <c r="F1937" t="s">
        <v>72</v>
      </c>
      <c r="G1937">
        <v>-401.74619999999999</v>
      </c>
      <c r="H1937" s="1">
        <v>-6.2083649999999998E-6</v>
      </c>
      <c r="I1937">
        <v>25.352039999999999</v>
      </c>
      <c r="J1937">
        <v>-411.80869999999999</v>
      </c>
      <c r="K1937">
        <v>1.1108750000000001</v>
      </c>
      <c r="L1937">
        <v>32.43262</v>
      </c>
      <c r="M1937">
        <v>0.5912425</v>
      </c>
      <c r="N1937">
        <v>0</v>
      </c>
      <c r="O1937">
        <v>-0.80640409999999996</v>
      </c>
      <c r="P1937">
        <v>0.66971309999999995</v>
      </c>
      <c r="Q1937">
        <v>0.12802049999999901</v>
      </c>
      <c r="R1937">
        <v>-0.7315024</v>
      </c>
      <c r="S1937">
        <v>2.5570369999999998</v>
      </c>
      <c r="T1937">
        <v>-0.2790028</v>
      </c>
      <c r="U1937">
        <v>-1.8163450000000001</v>
      </c>
      <c r="V1937">
        <v>-0.1098534</v>
      </c>
      <c r="W1937">
        <v>0.13810020000000001</v>
      </c>
      <c r="X1937">
        <v>0.98430720000000005</v>
      </c>
      <c r="Y1937">
        <v>-0.31189489999999997</v>
      </c>
      <c r="Z1937">
        <v>7.9907389999999995E-2</v>
      </c>
      <c r="AA1937">
        <v>0.94675039999999999</v>
      </c>
      <c r="AB1937">
        <v>26</v>
      </c>
      <c r="AC1937">
        <v>10.0625</v>
      </c>
      <c r="AD1937">
        <v>-1.1108812083649999</v>
      </c>
      <c r="AE1937">
        <v>-7.0805800000000003</v>
      </c>
      <c r="AF1937">
        <v>-3.8966220674051302</v>
      </c>
      <c r="AG1937">
        <v>-1.1108812083649999</v>
      </c>
      <c r="AH1937">
        <v>11.565750975049401</v>
      </c>
      <c r="AI1937">
        <v>95.200852352922297</v>
      </c>
      <c r="AJ1937">
        <v>108.61920744364799</v>
      </c>
      <c r="AK1937">
        <v>12.254971081652601</v>
      </c>
      <c r="AL1937">
        <v>82.062072505204796</v>
      </c>
      <c r="AM1937">
        <v>96.368131093608</v>
      </c>
      <c r="AN1937">
        <v>1.0000000493517101</v>
      </c>
    </row>
    <row r="1938" spans="1:40" x14ac:dyDescent="0.3">
      <c r="A1938" t="str">
        <f>"20200111150355711"</f>
        <v>20200111150355711</v>
      </c>
      <c r="B1938" t="str">
        <f>"1578726235700896"</f>
        <v>1578726235700896</v>
      </c>
      <c r="C1938" t="s">
        <v>40</v>
      </c>
      <c r="D1938">
        <v>5.2148649999999996</v>
      </c>
      <c r="E1938">
        <v>0.41480430000000001</v>
      </c>
      <c r="F1938" t="s">
        <v>72</v>
      </c>
      <c r="G1938">
        <v>-401.64580000000001</v>
      </c>
      <c r="H1938" s="1">
        <v>-6.2391959999999901E-6</v>
      </c>
      <c r="I1938">
        <v>25.32733</v>
      </c>
      <c r="J1938">
        <v>-411.7242</v>
      </c>
      <c r="K1938">
        <v>1.1108750000000001</v>
      </c>
      <c r="L1938">
        <v>32.325809999999997</v>
      </c>
      <c r="M1938">
        <v>0.59525530000000004</v>
      </c>
      <c r="N1938">
        <v>0</v>
      </c>
      <c r="O1938">
        <v>-0.80344640000000001</v>
      </c>
      <c r="P1938">
        <v>0.67354449999999999</v>
      </c>
      <c r="Q1938">
        <v>0.12757309999999999</v>
      </c>
      <c r="R1938">
        <v>-0.72805430000000004</v>
      </c>
      <c r="S1938">
        <v>2.5704039999999999</v>
      </c>
      <c r="T1938">
        <v>-0.2809623</v>
      </c>
      <c r="U1938">
        <v>-1.797058</v>
      </c>
      <c r="V1938">
        <v>-0.1100617</v>
      </c>
      <c r="W1938">
        <v>0.1376501</v>
      </c>
      <c r="X1938">
        <v>0.98434690000000002</v>
      </c>
      <c r="Y1938">
        <v>-0.31420209999999998</v>
      </c>
      <c r="Z1938">
        <v>8.0330319999999997E-2</v>
      </c>
      <c r="AA1938">
        <v>0.9459514</v>
      </c>
      <c r="AB1938">
        <v>26</v>
      </c>
      <c r="AC1938">
        <v>10.078399999999901</v>
      </c>
      <c r="AD1938">
        <v>-1.1108812391959999</v>
      </c>
      <c r="AE1938">
        <v>-6.99847999999999</v>
      </c>
      <c r="AF1938">
        <v>-3.899890216452</v>
      </c>
      <c r="AG1938">
        <v>-1.1108812391959999</v>
      </c>
      <c r="AH1938">
        <v>11.528470354495401</v>
      </c>
      <c r="AI1938">
        <v>95.215419703513902</v>
      </c>
      <c r="AJ1938">
        <v>108.689825082645</v>
      </c>
      <c r="AK1938">
        <v>12.220835877404401</v>
      </c>
      <c r="AL1938">
        <v>82.088109400108607</v>
      </c>
      <c r="AM1938">
        <v>96.379851437209496</v>
      </c>
      <c r="AN1938">
        <v>0.999999973688254</v>
      </c>
    </row>
    <row r="1939" spans="1:40" x14ac:dyDescent="0.3">
      <c r="A1939" t="str">
        <f>"20200111150355723"</f>
        <v>20200111150355723</v>
      </c>
      <c r="B1939" t="str">
        <f>"1578726235720415"</f>
        <v>1578726235720415</v>
      </c>
      <c r="C1939" t="s">
        <v>40</v>
      </c>
      <c r="D1939">
        <v>5.1661010000000003</v>
      </c>
      <c r="E1939">
        <v>0.41556539999999997</v>
      </c>
      <c r="F1939" t="s">
        <v>72</v>
      </c>
      <c r="G1939">
        <v>-401.60809999999998</v>
      </c>
      <c r="H1939" s="1">
        <v>-6.2515549999999998E-6</v>
      </c>
      <c r="I1939">
        <v>25.325199999999999</v>
      </c>
      <c r="J1939">
        <v>-411.63600000000002</v>
      </c>
      <c r="K1939">
        <v>1.110868</v>
      </c>
      <c r="L1939">
        <v>32.215760000000003</v>
      </c>
      <c r="M1939">
        <v>0.59939739999999997</v>
      </c>
      <c r="N1939">
        <v>0</v>
      </c>
      <c r="O1939">
        <v>-0.80036090000000004</v>
      </c>
      <c r="P1939">
        <v>0.67788990000000005</v>
      </c>
      <c r="Q1939">
        <v>0.1268917</v>
      </c>
      <c r="R1939">
        <v>-0.72412969999999999</v>
      </c>
      <c r="S1939">
        <v>2.578735</v>
      </c>
      <c r="T1939">
        <v>-0.28317799999999999</v>
      </c>
      <c r="U1939">
        <v>-1.784546</v>
      </c>
      <c r="V1939">
        <v>-0.1107887</v>
      </c>
      <c r="W1939">
        <v>0.13695769999999999</v>
      </c>
      <c r="X1939">
        <v>0.98436190000000001</v>
      </c>
      <c r="Y1939">
        <v>-0.31379210000000002</v>
      </c>
      <c r="Z1939">
        <v>8.0738980000000002E-2</v>
      </c>
      <c r="AA1939">
        <v>0.94605269999999997</v>
      </c>
      <c r="AB1939">
        <v>26</v>
      </c>
      <c r="AC1939">
        <v>10.027899999999899</v>
      </c>
      <c r="AD1939">
        <v>-1.1108742515550001</v>
      </c>
      <c r="AE1939">
        <v>-6.89055999999999</v>
      </c>
      <c r="AF1939">
        <v>-3.86382948672698</v>
      </c>
      <c r="AG1939">
        <v>-1.1108742515550001</v>
      </c>
      <c r="AH1939">
        <v>11.431179084377099</v>
      </c>
      <c r="AI1939">
        <v>95.259964737744994</v>
      </c>
      <c r="AJ1939">
        <v>108.675662409694</v>
      </c>
      <c r="AK1939">
        <v>12.1175523586395</v>
      </c>
      <c r="AL1939">
        <v>82.128160126951897</v>
      </c>
      <c r="AM1939">
        <v>96.421544895276099</v>
      </c>
      <c r="AN1939">
        <v>0.999999948904293</v>
      </c>
    </row>
    <row r="1940" spans="1:40" x14ac:dyDescent="0.3">
      <c r="A1940" t="str">
        <f>"20200111150355736"</f>
        <v>20200111150355736</v>
      </c>
      <c r="B1940" t="str">
        <f>"1578726235730174"</f>
        <v>1578726235730174</v>
      </c>
      <c r="C1940" t="s">
        <v>40</v>
      </c>
      <c r="D1940">
        <v>5.2092299999999998</v>
      </c>
      <c r="E1940">
        <v>0.41598069999999998</v>
      </c>
      <c r="F1940" t="s">
        <v>72</v>
      </c>
      <c r="G1940">
        <v>-401.66180000000003</v>
      </c>
      <c r="H1940" s="1">
        <v>-6.2384180000000003E-6</v>
      </c>
      <c r="I1940">
        <v>25.368200000000002</v>
      </c>
      <c r="J1940">
        <v>-411.54469999999998</v>
      </c>
      <c r="K1940">
        <v>1.1108720000000001</v>
      </c>
      <c r="L1940">
        <v>32.103029999999997</v>
      </c>
      <c r="M1940">
        <v>0.60364390000000001</v>
      </c>
      <c r="N1940">
        <v>0</v>
      </c>
      <c r="O1940">
        <v>-0.79716319999999996</v>
      </c>
      <c r="P1940">
        <v>0.68201000000000001</v>
      </c>
      <c r="Q1940">
        <v>0.1265589</v>
      </c>
      <c r="R1940">
        <v>-0.72030950000000005</v>
      </c>
      <c r="S1940">
        <v>2.5842290000000001</v>
      </c>
      <c r="T1940">
        <v>-0.28781709999999999</v>
      </c>
      <c r="U1940">
        <v>-1.7741389999999999</v>
      </c>
      <c r="V1940">
        <v>-0.1111328</v>
      </c>
      <c r="W1940">
        <v>0.13661989999999999</v>
      </c>
      <c r="X1940">
        <v>0.98437010000000003</v>
      </c>
      <c r="Y1940">
        <v>-0.31217460000000002</v>
      </c>
      <c r="Z1940">
        <v>8.1811729999999999E-2</v>
      </c>
      <c r="AA1940">
        <v>0.94649559999999999</v>
      </c>
      <c r="AB1940">
        <v>26</v>
      </c>
      <c r="AC1940">
        <v>9.8828999999999496</v>
      </c>
      <c r="AD1940">
        <v>-1.11087823841799</v>
      </c>
      <c r="AE1940">
        <v>-6.7348299999999899</v>
      </c>
      <c r="AF1940">
        <v>-3.78050342763947</v>
      </c>
      <c r="AG1940">
        <v>-1.11087823841799</v>
      </c>
      <c r="AH1940">
        <v>11.2383681572118</v>
      </c>
      <c r="AI1940">
        <v>95.352309137144999</v>
      </c>
      <c r="AJ1940">
        <v>108.592556444682</v>
      </c>
      <c r="AK1940">
        <v>11.9091215236061</v>
      </c>
      <c r="AL1940">
        <v>82.147698661175099</v>
      </c>
      <c r="AM1940">
        <v>96.441269073691799</v>
      </c>
      <c r="AN1940">
        <v>0.99999999504292902</v>
      </c>
    </row>
    <row r="1941" spans="1:40" x14ac:dyDescent="0.3">
      <c r="A1941" t="str">
        <f>"20200111150355748"</f>
        <v>20200111150355748</v>
      </c>
      <c r="B1941" t="str">
        <f>"1578726235740911"</f>
        <v>1578726235740911</v>
      </c>
      <c r="C1941" t="s">
        <v>40</v>
      </c>
      <c r="D1941">
        <v>5.2377479999999998</v>
      </c>
      <c r="E1941">
        <v>0.41598069999999998</v>
      </c>
      <c r="F1941" t="s">
        <v>72</v>
      </c>
      <c r="G1941">
        <v>-401.63490000000002</v>
      </c>
      <c r="H1941" s="1">
        <v>-6.2469679999999996E-6</v>
      </c>
      <c r="I1941">
        <v>25.3643</v>
      </c>
      <c r="J1941">
        <v>-411.44959999999998</v>
      </c>
      <c r="K1941">
        <v>1.110876</v>
      </c>
      <c r="L1941">
        <v>31.98648</v>
      </c>
      <c r="M1941">
        <v>0.60803119999999999</v>
      </c>
      <c r="N1941">
        <v>0</v>
      </c>
      <c r="O1941">
        <v>-0.79382209999999997</v>
      </c>
      <c r="P1941">
        <v>0.68619819999999998</v>
      </c>
      <c r="Q1941">
        <v>0.12634699999999999</v>
      </c>
      <c r="R1941">
        <v>-0.71635799999999905</v>
      </c>
      <c r="S1941">
        <v>2.5914920000000001</v>
      </c>
      <c r="T1941">
        <v>-0.29050429999999999</v>
      </c>
      <c r="U1941">
        <v>-1.762238</v>
      </c>
      <c r="V1941">
        <v>-0.111419699999999</v>
      </c>
      <c r="W1941">
        <v>0.1364031</v>
      </c>
      <c r="X1941">
        <v>0.98436769999999996</v>
      </c>
      <c r="Y1941">
        <v>-0.31109039999999999</v>
      </c>
      <c r="Z1941">
        <v>8.2313670000000005E-2</v>
      </c>
      <c r="AA1941">
        <v>0.94680900000000001</v>
      </c>
      <c r="AB1941">
        <v>26</v>
      </c>
      <c r="AC1941">
        <v>9.8146999999999593</v>
      </c>
      <c r="AD1941">
        <v>-1.110882246968</v>
      </c>
      <c r="AE1941">
        <v>-6.6221800000000002</v>
      </c>
      <c r="AF1941">
        <v>-3.7320514671757001</v>
      </c>
      <c r="AG1941">
        <v>-1.110882246968</v>
      </c>
      <c r="AH1941">
        <v>11.127330772552501</v>
      </c>
      <c r="AI1941">
        <v>95.4070414680818</v>
      </c>
      <c r="AJ1941">
        <v>108.541196985312</v>
      </c>
      <c r="AK1941">
        <v>11.788967624099699</v>
      </c>
      <c r="AL1941">
        <v>82.160237510799007</v>
      </c>
      <c r="AM1941">
        <v>96.457773148913702</v>
      </c>
      <c r="AN1941">
        <v>0.99999996202049402</v>
      </c>
    </row>
    <row r="1942" spans="1:40" x14ac:dyDescent="0.3">
      <c r="A1942" t="str">
        <f>"20200111150355761"</f>
        <v>20200111150355761</v>
      </c>
      <c r="B1942" t="str">
        <f>"1578726235750672"</f>
        <v>1578726235750672</v>
      </c>
      <c r="C1942" t="s">
        <v>40</v>
      </c>
      <c r="D1942">
        <v>5.1424059999999896</v>
      </c>
      <c r="E1942">
        <v>0.4170662</v>
      </c>
      <c r="F1942" t="s">
        <v>72</v>
      </c>
      <c r="G1942">
        <v>-401.5453</v>
      </c>
      <c r="H1942" s="1">
        <v>-6.2734339999999996E-6</v>
      </c>
      <c r="I1942">
        <v>25.33278</v>
      </c>
      <c r="J1942">
        <v>-411.35610000000003</v>
      </c>
      <c r="K1942">
        <v>1.1108880000000001</v>
      </c>
      <c r="L1942">
        <v>31.873840000000001</v>
      </c>
      <c r="M1942">
        <v>0.61229089999999997</v>
      </c>
      <c r="N1942">
        <v>0</v>
      </c>
      <c r="O1942">
        <v>-0.79054089999999999</v>
      </c>
      <c r="P1942">
        <v>0.68993169999999904</v>
      </c>
      <c r="Q1942">
        <v>0.1262694</v>
      </c>
      <c r="R1942">
        <v>-0.71277679999999999</v>
      </c>
      <c r="S1942">
        <v>2.601318</v>
      </c>
      <c r="T1942">
        <v>-0.2917671</v>
      </c>
      <c r="U1942">
        <v>-1.7475590000000001</v>
      </c>
      <c r="V1942">
        <v>-0.1112626</v>
      </c>
      <c r="W1942">
        <v>0.136328</v>
      </c>
      <c r="X1942">
        <v>0.98439589999999999</v>
      </c>
      <c r="Y1942">
        <v>-0.3112992</v>
      </c>
      <c r="Z1942">
        <v>8.2437189999999994E-2</v>
      </c>
      <c r="AA1942">
        <v>0.94672959999999995</v>
      </c>
      <c r="AB1942">
        <v>26</v>
      </c>
      <c r="AC1942">
        <v>9.8108000000000199</v>
      </c>
      <c r="AD1942">
        <v>-1.1108942734339999</v>
      </c>
      <c r="AE1942">
        <v>-6.5410599999999999</v>
      </c>
      <c r="AF1942">
        <v>-3.7180775713649399</v>
      </c>
      <c r="AG1942">
        <v>-1.1108942734339999</v>
      </c>
      <c r="AH1942">
        <v>11.080499354727699</v>
      </c>
      <c r="AI1942">
        <v>95.429561757299098</v>
      </c>
      <c r="AJ1942">
        <v>108.549252210444</v>
      </c>
      <c r="AK1942">
        <v>11.740342961922201</v>
      </c>
      <c r="AL1942">
        <v>82.164581209777396</v>
      </c>
      <c r="AM1942">
        <v>96.448561366736001</v>
      </c>
      <c r="AN1942">
        <v>0.99999998883978403</v>
      </c>
    </row>
    <row r="1943" spans="1:40" x14ac:dyDescent="0.3">
      <c r="A1943" t="str">
        <f>"20200111150355778"</f>
        <v>20200111150355778</v>
      </c>
      <c r="B1943" t="str">
        <f>"1578726235770191"</f>
        <v>1578726235770191</v>
      </c>
      <c r="C1943" t="s">
        <v>40</v>
      </c>
      <c r="D1943">
        <v>5.2644929999999999</v>
      </c>
      <c r="E1943">
        <v>0.41798930000000001</v>
      </c>
      <c r="F1943" t="s">
        <v>72</v>
      </c>
      <c r="G1943">
        <v>-401.79419999999999</v>
      </c>
      <c r="H1943" s="1">
        <v>-6.2072240000000003E-6</v>
      </c>
      <c r="I1943">
        <v>25.484780000000001</v>
      </c>
      <c r="J1943">
        <v>-411.22739999999999</v>
      </c>
      <c r="K1943">
        <v>1.1109020000000001</v>
      </c>
      <c r="L1943">
        <v>31.720369999999999</v>
      </c>
      <c r="M1943">
        <v>0.61809919999999996</v>
      </c>
      <c r="N1943">
        <v>0</v>
      </c>
      <c r="O1943">
        <v>-0.78600760000000003</v>
      </c>
      <c r="P1943">
        <v>0.69485379999999997</v>
      </c>
      <c r="Q1943">
        <v>0.12550639999999999</v>
      </c>
      <c r="R1943">
        <v>-0.70811469999999999</v>
      </c>
      <c r="S1943">
        <v>2.6052249999999999</v>
      </c>
      <c r="T1943">
        <v>-0.302672099999999</v>
      </c>
      <c r="U1943">
        <v>-1.74075299999999</v>
      </c>
      <c r="V1943">
        <v>-0.11073810000000001</v>
      </c>
      <c r="W1943">
        <v>0.135575</v>
      </c>
      <c r="X1943">
        <v>0.98455910000000002</v>
      </c>
      <c r="Y1943">
        <v>-0.30642180000000002</v>
      </c>
      <c r="Z1943">
        <v>8.5009479999999998E-2</v>
      </c>
      <c r="AA1943">
        <v>0.9480923</v>
      </c>
      <c r="AB1943">
        <v>26</v>
      </c>
      <c r="AC1943">
        <v>9.4331999999999994</v>
      </c>
      <c r="AD1943">
        <v>-1.110908207224</v>
      </c>
      <c r="AE1943">
        <v>-6.2355900000000002</v>
      </c>
      <c r="AF1943">
        <v>-3.5265758623555601</v>
      </c>
      <c r="AG1943">
        <v>-1.110908207224</v>
      </c>
      <c r="AH1943">
        <v>10.6300589080007</v>
      </c>
      <c r="AI1943">
        <v>95.664653750935003</v>
      </c>
      <c r="AJ1943">
        <v>108.35352491714499</v>
      </c>
      <c r="AK1943">
        <v>11.2547326376681</v>
      </c>
      <c r="AL1943">
        <v>82.208129847887406</v>
      </c>
      <c r="AM1943">
        <v>96.417361615604094</v>
      </c>
      <c r="AN1943">
        <v>1.0000000644047</v>
      </c>
    </row>
    <row r="1944" spans="1:40" x14ac:dyDescent="0.3">
      <c r="A1944" t="str">
        <f>"20200111150355791"</f>
        <v>20200111150355791</v>
      </c>
      <c r="B1944" t="str">
        <f>"1578726235780926"</f>
        <v>1578726235780926</v>
      </c>
      <c r="C1944" t="s">
        <v>40</v>
      </c>
      <c r="D1944">
        <v>5.2784630000000003</v>
      </c>
      <c r="E1944">
        <v>0.41815400000000003</v>
      </c>
      <c r="F1944" t="s">
        <v>72</v>
      </c>
      <c r="G1944">
        <v>-401.9101</v>
      </c>
      <c r="H1944" s="1">
        <v>-6.1767420000000004E-6</v>
      </c>
      <c r="I1944">
        <v>25.558759999999999</v>
      </c>
      <c r="J1944">
        <v>-411.12860000000001</v>
      </c>
      <c r="K1944">
        <v>1.110914</v>
      </c>
      <c r="L1944">
        <v>31.603940000000001</v>
      </c>
      <c r="M1944">
        <v>0.62251009999999996</v>
      </c>
      <c r="N1944">
        <v>0</v>
      </c>
      <c r="O1944">
        <v>-0.78251899999999996</v>
      </c>
      <c r="P1944">
        <v>0.69834149999999995</v>
      </c>
      <c r="Q1944">
        <v>0.12572910000000001</v>
      </c>
      <c r="R1944">
        <v>-0.70463560000000003</v>
      </c>
      <c r="S1944">
        <v>2.612854</v>
      </c>
      <c r="T1944">
        <v>-0.311533</v>
      </c>
      <c r="U1944">
        <v>-1.727905</v>
      </c>
      <c r="V1944">
        <v>-0.1100937</v>
      </c>
      <c r="W1944">
        <v>0.13580789999999901</v>
      </c>
      <c r="X1944">
        <v>0.98459920000000001</v>
      </c>
      <c r="Y1944">
        <v>-0.305378599999999</v>
      </c>
      <c r="Z1944">
        <v>8.7190610000000002E-2</v>
      </c>
      <c r="AA1944">
        <v>0.94823089999999999</v>
      </c>
      <c r="AB1944">
        <v>26</v>
      </c>
      <c r="AC1944">
        <v>9.2185000000000006</v>
      </c>
      <c r="AD1944">
        <v>-1.1109201767420001</v>
      </c>
      <c r="AE1944">
        <v>-6.0451800000000002</v>
      </c>
      <c r="AF1944">
        <v>-3.4160249499158701</v>
      </c>
      <c r="AG1944">
        <v>-1.1109201767420001</v>
      </c>
      <c r="AH1944">
        <v>10.364580404043799</v>
      </c>
      <c r="AI1944">
        <v>95.812560978540404</v>
      </c>
      <c r="AJ1944">
        <v>108.241518036999</v>
      </c>
      <c r="AK1944">
        <v>10.9694073244377</v>
      </c>
      <c r="AL1944">
        <v>82.194660558256501</v>
      </c>
      <c r="AM1944">
        <v>96.380069253287303</v>
      </c>
      <c r="AN1944">
        <v>0.99999999656136995</v>
      </c>
    </row>
    <row r="1945" spans="1:40" x14ac:dyDescent="0.3">
      <c r="A1945" t="str">
        <f>"20200111150355805"</f>
        <v>20200111150355805</v>
      </c>
      <c r="B1945" t="str">
        <f>"1578726235800447"</f>
        <v>1578726235800447</v>
      </c>
      <c r="C1945" t="s">
        <v>40</v>
      </c>
      <c r="D1945">
        <v>5.3466659999999999</v>
      </c>
      <c r="E1945">
        <v>0.41893590000000003</v>
      </c>
      <c r="F1945" t="s">
        <v>72</v>
      </c>
      <c r="G1945">
        <v>-401.73320000000001</v>
      </c>
      <c r="H1945" s="1">
        <v>-6.2241369999999998E-6</v>
      </c>
      <c r="I1945">
        <v>25.45374</v>
      </c>
      <c r="J1945">
        <v>-411.02640000000002</v>
      </c>
      <c r="K1945">
        <v>1.110932</v>
      </c>
      <c r="L1945">
        <v>31.485050000000001</v>
      </c>
      <c r="M1945">
        <v>0.62703589999999998</v>
      </c>
      <c r="N1945">
        <v>0</v>
      </c>
      <c r="O1945">
        <v>-0.77889719999999996</v>
      </c>
      <c r="P1945">
        <v>0.7022564</v>
      </c>
      <c r="Q1945">
        <v>0.1257356</v>
      </c>
      <c r="R1945">
        <v>-0.7007331</v>
      </c>
      <c r="S1945">
        <v>2.6207280000000002</v>
      </c>
      <c r="T1945">
        <v>-0.30987599999999998</v>
      </c>
      <c r="U1945">
        <v>-1.7155149999999999</v>
      </c>
      <c r="V1945">
        <v>-0.10987810000000001</v>
      </c>
      <c r="W1945">
        <v>0.13581689999999999</v>
      </c>
      <c r="X1945">
        <v>0.98462209999999994</v>
      </c>
      <c r="Y1945">
        <v>-0.30436229999999997</v>
      </c>
      <c r="Z1945">
        <v>8.6416809999999997E-2</v>
      </c>
      <c r="AA1945">
        <v>0.94862840000000004</v>
      </c>
      <c r="AB1945">
        <v>26</v>
      </c>
      <c r="AC1945">
        <v>9.2932000000000095</v>
      </c>
      <c r="AD1945">
        <v>-1.1109382241370001</v>
      </c>
      <c r="AE1945">
        <v>-6.0313100000000004</v>
      </c>
      <c r="AF1945">
        <v>-3.4224369735748201</v>
      </c>
      <c r="AG1945">
        <v>-1.1109382241370001</v>
      </c>
      <c r="AH1945">
        <v>10.4209194107847</v>
      </c>
      <c r="AI1945">
        <v>95.783432000914203</v>
      </c>
      <c r="AJ1945">
        <v>108.181207692513</v>
      </c>
      <c r="AK1945">
        <v>11.024646023433601</v>
      </c>
      <c r="AL1945">
        <v>82.194140520927405</v>
      </c>
      <c r="AM1945">
        <v>96.367530806615804</v>
      </c>
      <c r="AN1945">
        <v>1.0000000534968101</v>
      </c>
    </row>
    <row r="1946" spans="1:40" x14ac:dyDescent="0.3">
      <c r="A1946" t="str">
        <f>"20200111150355817"</f>
        <v>20200111150355817</v>
      </c>
      <c r="B1946" t="str">
        <f>"1578726235810207"</f>
        <v>1578726235810207</v>
      </c>
      <c r="C1946" t="s">
        <v>40</v>
      </c>
      <c r="D1946">
        <v>5.388528</v>
      </c>
      <c r="E1946">
        <v>0.41951929999999998</v>
      </c>
      <c r="F1946" t="s">
        <v>72</v>
      </c>
      <c r="G1946">
        <v>-401.59289999999999</v>
      </c>
      <c r="H1946" s="1">
        <v>-6.2606179999999999E-6</v>
      </c>
      <c r="I1946">
        <v>25.360410000000002</v>
      </c>
      <c r="J1946">
        <v>-410.93299999999999</v>
      </c>
      <c r="K1946">
        <v>1.1109519999999999</v>
      </c>
      <c r="L1946">
        <v>31.37781</v>
      </c>
      <c r="M1946">
        <v>0.63113450000000004</v>
      </c>
      <c r="N1946">
        <v>0</v>
      </c>
      <c r="O1946">
        <v>-0.77557980000000004</v>
      </c>
      <c r="P1946">
        <v>0.70596919999999996</v>
      </c>
      <c r="Q1946">
        <v>0.12625910000000001</v>
      </c>
      <c r="R1946">
        <v>-0.69689780000000001</v>
      </c>
      <c r="S1946">
        <v>2.6260680000000001</v>
      </c>
      <c r="T1946">
        <v>-0.30925940000000002</v>
      </c>
      <c r="U1946">
        <v>-1.7049559999999999</v>
      </c>
      <c r="V1946">
        <v>-0.1099918</v>
      </c>
      <c r="W1946">
        <v>0.13633599999999901</v>
      </c>
      <c r="X1946">
        <v>0.98453760000000001</v>
      </c>
      <c r="Y1946">
        <v>-0.3029328</v>
      </c>
      <c r="Z1946">
        <v>8.5971130000000007E-2</v>
      </c>
      <c r="AA1946">
        <v>0.94912620000000003</v>
      </c>
      <c r="AB1946">
        <v>26</v>
      </c>
      <c r="AC1946">
        <v>9.34010000000006</v>
      </c>
      <c r="AD1946">
        <v>-1.110958260618</v>
      </c>
      <c r="AE1946">
        <v>-6.0173999999999896</v>
      </c>
      <c r="AF1946">
        <v>-3.4123375879944602</v>
      </c>
      <c r="AG1946">
        <v>-1.110958260618</v>
      </c>
      <c r="AH1946">
        <v>10.4580399100634</v>
      </c>
      <c r="AI1946">
        <v>95.766754126053797</v>
      </c>
      <c r="AJ1946">
        <v>108.07090622733401</v>
      </c>
      <c r="AK1946">
        <v>11.056621311763999</v>
      </c>
      <c r="AL1946">
        <v>82.164118559396499</v>
      </c>
      <c r="AM1946">
        <v>96.374608181564994</v>
      </c>
      <c r="AN1946">
        <v>0.99999999338849999</v>
      </c>
    </row>
    <row r="1947" spans="1:40" x14ac:dyDescent="0.3">
      <c r="A1947" t="str">
        <f>"20200111150355828"</f>
        <v>20200111150355828</v>
      </c>
      <c r="B1947" t="str">
        <f>"1578726235820943"</f>
        <v>1578726235820943</v>
      </c>
      <c r="C1947" t="s">
        <v>40</v>
      </c>
      <c r="D1947">
        <v>5.3015679999999996</v>
      </c>
      <c r="E1947">
        <v>0.42016019999999998</v>
      </c>
      <c r="F1947" t="s">
        <v>72</v>
      </c>
      <c r="G1947">
        <v>-401.46480000000003</v>
      </c>
      <c r="H1947" s="1">
        <v>-6.2947330000000003E-6</v>
      </c>
      <c r="I1947">
        <v>25.282730000000001</v>
      </c>
      <c r="J1947">
        <v>-410.84449999999998</v>
      </c>
      <c r="K1947">
        <v>1.110978</v>
      </c>
      <c r="L1947">
        <v>31.276759999999999</v>
      </c>
      <c r="M1947">
        <v>0.63499490000000003</v>
      </c>
      <c r="N1947">
        <v>0</v>
      </c>
      <c r="O1947">
        <v>-0.77242219999999995</v>
      </c>
      <c r="P1947">
        <v>0.70946450000000005</v>
      </c>
      <c r="Q1947">
        <v>0.12642809999999999</v>
      </c>
      <c r="R1947">
        <v>-0.69330819999999904</v>
      </c>
      <c r="S1947">
        <v>2.6320800000000002</v>
      </c>
      <c r="T1947">
        <v>-0.30884020000000001</v>
      </c>
      <c r="U1947">
        <v>-1.6943969999999999</v>
      </c>
      <c r="V1947">
        <v>-0.11006100000000001</v>
      </c>
      <c r="W1947">
        <v>0.13650179999999901</v>
      </c>
      <c r="X1947">
        <v>0.98450689999999996</v>
      </c>
      <c r="Y1947">
        <v>-0.30188310000000002</v>
      </c>
      <c r="Z1947">
        <v>8.5588310000000001E-2</v>
      </c>
      <c r="AA1947">
        <v>0.94949530000000004</v>
      </c>
      <c r="AB1947">
        <v>26</v>
      </c>
      <c r="AC1947">
        <v>9.37969999999995</v>
      </c>
      <c r="AD1947">
        <v>-1.110984294733</v>
      </c>
      <c r="AE1947">
        <v>-5.9940299999999898</v>
      </c>
      <c r="AF1947">
        <v>-3.4052392283520398</v>
      </c>
      <c r="AG1947">
        <v>-1.110984294733</v>
      </c>
      <c r="AH1947">
        <v>10.482334807315</v>
      </c>
      <c r="AI1947">
        <v>95.756024180281898</v>
      </c>
      <c r="AJ1947">
        <v>107.99664883789001</v>
      </c>
      <c r="AK1947">
        <v>11.0774222325457</v>
      </c>
      <c r="AL1947">
        <v>82.154529328361903</v>
      </c>
      <c r="AM1947">
        <v>96.378782908774099</v>
      </c>
      <c r="AN1947">
        <v>1.00000000063592</v>
      </c>
    </row>
    <row r="1948" spans="1:40" x14ac:dyDescent="0.3">
      <c r="A1948" t="str">
        <f>"20200111150355844"</f>
        <v>20200111150355844</v>
      </c>
      <c r="B1948" t="str">
        <f>"1578726235840463"</f>
        <v>1578726235840463</v>
      </c>
      <c r="C1948" t="s">
        <v>40</v>
      </c>
      <c r="D1948">
        <v>5.3033029999999997</v>
      </c>
      <c r="E1948">
        <v>0.42133619999999999</v>
      </c>
      <c r="F1948" t="s">
        <v>72</v>
      </c>
      <c r="G1948">
        <v>-401.27769999999998</v>
      </c>
      <c r="H1948" s="1">
        <v>-6.3442519999999999E-6</v>
      </c>
      <c r="I1948">
        <v>25.166049999999998</v>
      </c>
      <c r="J1948">
        <v>-410.72329999999999</v>
      </c>
      <c r="K1948">
        <v>1.1110199999999999</v>
      </c>
      <c r="L1948">
        <v>31.140779999999999</v>
      </c>
      <c r="M1948">
        <v>0.64024190000000003</v>
      </c>
      <c r="N1948">
        <v>0</v>
      </c>
      <c r="O1948">
        <v>-0.76807859999999994</v>
      </c>
      <c r="P1948">
        <v>0.71389360000000002</v>
      </c>
      <c r="Q1948">
        <v>0.12679699999999999</v>
      </c>
      <c r="R1948">
        <v>-0.68867909999999999</v>
      </c>
      <c r="S1948">
        <v>2.6370239999999998</v>
      </c>
      <c r="T1948">
        <v>-0.30623729999999999</v>
      </c>
      <c r="U1948">
        <v>-1.6843870000000001</v>
      </c>
      <c r="V1948">
        <v>-0.1097263</v>
      </c>
      <c r="W1948">
        <v>0.1368722</v>
      </c>
      <c r="X1948">
        <v>0.98449279999999995</v>
      </c>
      <c r="Y1948">
        <v>-0.29884280000000002</v>
      </c>
      <c r="Z1948">
        <v>8.4460259999999995E-2</v>
      </c>
      <c r="AA1948">
        <v>0.9505574</v>
      </c>
      <c r="AB1948">
        <v>26</v>
      </c>
      <c r="AC1948">
        <v>9.4456000000000095</v>
      </c>
      <c r="AD1948">
        <v>-1.1110263442520001</v>
      </c>
      <c r="AE1948">
        <v>-5.9747300000000001</v>
      </c>
      <c r="AF1948">
        <v>-3.3963786878230202</v>
      </c>
      <c r="AG1948">
        <v>-1.1110263442520001</v>
      </c>
      <c r="AH1948">
        <v>10.5332201827477</v>
      </c>
      <c r="AI1948">
        <v>95.7326379494382</v>
      </c>
      <c r="AJ1948">
        <v>107.87162985795899</v>
      </c>
      <c r="AK1948">
        <v>11.1228816026677</v>
      </c>
      <c r="AL1948">
        <v>82.133105628250107</v>
      </c>
      <c r="AM1948">
        <v>96.359634273958605</v>
      </c>
      <c r="AN1948">
        <v>0.99999996664818402</v>
      </c>
    </row>
    <row r="1949" spans="1:40" x14ac:dyDescent="0.3">
      <c r="A1949" t="str">
        <f>"20200111150355857"</f>
        <v>20200111150355857</v>
      </c>
      <c r="B1949" t="str">
        <f>"1578726235850223"</f>
        <v>1578726235850223</v>
      </c>
      <c r="C1949" t="s">
        <v>40</v>
      </c>
      <c r="D1949">
        <v>5.2946</v>
      </c>
      <c r="E1949">
        <v>0.42189710000000002</v>
      </c>
      <c r="F1949" t="s">
        <v>72</v>
      </c>
      <c r="G1949">
        <v>-401.0043</v>
      </c>
      <c r="H1949" s="1">
        <v>-6.4149519999999999E-6</v>
      </c>
      <c r="I1949">
        <v>24.980799999999999</v>
      </c>
      <c r="J1949">
        <v>-410.62990000000002</v>
      </c>
      <c r="K1949">
        <v>1.1110580000000001</v>
      </c>
      <c r="L1949">
        <v>31.03726</v>
      </c>
      <c r="M1949">
        <v>0.64425769999999905</v>
      </c>
      <c r="N1949">
        <v>0</v>
      </c>
      <c r="O1949">
        <v>-0.76471299999999998</v>
      </c>
      <c r="P1949">
        <v>0.7173235</v>
      </c>
      <c r="Q1949">
        <v>0.12671740000000001</v>
      </c>
      <c r="R1949">
        <v>-0.68511999999999995</v>
      </c>
      <c r="S1949">
        <v>2.6411129999999998</v>
      </c>
      <c r="T1949">
        <v>-0.3019174</v>
      </c>
      <c r="U1949">
        <v>-1.67395</v>
      </c>
      <c r="V1949">
        <v>-0.10948289999999999</v>
      </c>
      <c r="W1949">
        <v>0.13679469999999999</v>
      </c>
      <c r="X1949">
        <v>0.98453069999999998</v>
      </c>
      <c r="Y1949">
        <v>-0.297305599999999</v>
      </c>
      <c r="Z1949">
        <v>8.3019060000000006E-2</v>
      </c>
      <c r="AA1949">
        <v>0.95116630000000002</v>
      </c>
      <c r="AB1949">
        <v>26</v>
      </c>
      <c r="AC1949">
        <v>9.6256000000000199</v>
      </c>
      <c r="AD1949">
        <v>-1.1110644149519999</v>
      </c>
      <c r="AE1949">
        <v>-6.0564599999999897</v>
      </c>
      <c r="AF1949">
        <v>-3.4264481018723298</v>
      </c>
      <c r="AG1949">
        <v>-1.1110644149519999</v>
      </c>
      <c r="AH1949">
        <v>10.731184092780699</v>
      </c>
      <c r="AI1949">
        <v>95.632881965267302</v>
      </c>
      <c r="AJ1949">
        <v>107.708190706388</v>
      </c>
      <c r="AK1949">
        <v>11.3195990548317</v>
      </c>
      <c r="AL1949">
        <v>82.137588456668695</v>
      </c>
      <c r="AM1949">
        <v>96.345399954217399</v>
      </c>
      <c r="AN1949">
        <v>0.99999999729149502</v>
      </c>
    </row>
    <row r="1950" spans="1:40" x14ac:dyDescent="0.3">
      <c r="A1950" t="str">
        <f>"20200111150355867"</f>
        <v>20200111150355867</v>
      </c>
      <c r="B1950" t="str">
        <f>"1578726235860960"</f>
        <v>1578726235860960</v>
      </c>
      <c r="C1950" t="s">
        <v>40</v>
      </c>
      <c r="D1950">
        <v>5.2915039999999998</v>
      </c>
      <c r="E1950">
        <v>0.42189710000000002</v>
      </c>
      <c r="F1950" t="s">
        <v>72</v>
      </c>
      <c r="G1950">
        <v>-400.87270000000001</v>
      </c>
      <c r="H1950" s="1">
        <v>-6.4502760000000001E-6</v>
      </c>
      <c r="I1950">
        <v>24.903189999999999</v>
      </c>
      <c r="J1950">
        <v>-410.53949999999998</v>
      </c>
      <c r="K1950">
        <v>1.1110910000000001</v>
      </c>
      <c r="L1950">
        <v>30.937560000000001</v>
      </c>
      <c r="M1950">
        <v>0.648128699999999</v>
      </c>
      <c r="N1950">
        <v>0</v>
      </c>
      <c r="O1950">
        <v>-0.76143499999999997</v>
      </c>
      <c r="P1950">
        <v>0.72040950000000004</v>
      </c>
      <c r="Q1950">
        <v>0.12691450000000001</v>
      </c>
      <c r="R1950">
        <v>-0.68183780000000005</v>
      </c>
      <c r="S1950">
        <v>2.6463930000000002</v>
      </c>
      <c r="T1950">
        <v>-0.30134519999999998</v>
      </c>
      <c r="U1950">
        <v>-1.6636959999999901</v>
      </c>
      <c r="V1950">
        <v>-0.1089705</v>
      </c>
      <c r="W1950">
        <v>0.1369969</v>
      </c>
      <c r="X1950">
        <v>0.98455939999999997</v>
      </c>
      <c r="Y1950">
        <v>-0.29598639999999998</v>
      </c>
      <c r="Z1950">
        <v>8.2587869999999994E-2</v>
      </c>
      <c r="AA1950">
        <v>0.95161510000000005</v>
      </c>
      <c r="AB1950">
        <v>26</v>
      </c>
      <c r="AC1950">
        <v>9.6667999999999594</v>
      </c>
      <c r="AD1950">
        <v>-1.111097450276</v>
      </c>
      <c r="AE1950">
        <v>-6.0343699999999902</v>
      </c>
      <c r="AF1950">
        <v>-3.4173556521488102</v>
      </c>
      <c r="AG1950">
        <v>-1.111097450276</v>
      </c>
      <c r="AH1950">
        <v>10.758625220558001</v>
      </c>
      <c r="AI1950">
        <v>95.621452189861898</v>
      </c>
      <c r="AJ1950">
        <v>107.62186182575201</v>
      </c>
      <c r="AK1950">
        <v>11.3428776698733</v>
      </c>
      <c r="AL1950">
        <v>82.125892898382105</v>
      </c>
      <c r="AM1950">
        <v>96.315760253248001</v>
      </c>
      <c r="AN1950">
        <v>0.99999996630410903</v>
      </c>
    </row>
    <row r="1951" spans="1:40" x14ac:dyDescent="0.3">
      <c r="A1951" t="str">
        <f>"20200111150355879"</f>
        <v>20200111150355879</v>
      </c>
      <c r="B1951" t="str">
        <f>"1578726235870719"</f>
        <v>1578726235870719</v>
      </c>
      <c r="C1951" t="s">
        <v>40</v>
      </c>
      <c r="D1951">
        <v>5.3049860000000004</v>
      </c>
      <c r="E1951">
        <v>0.43865140000000002</v>
      </c>
      <c r="F1951" t="s">
        <v>72</v>
      </c>
      <c r="G1951">
        <v>-400.72340000000003</v>
      </c>
      <c r="H1951" s="1">
        <v>-6.4920909999999996E-6</v>
      </c>
      <c r="I1951">
        <v>24.830909999999999</v>
      </c>
      <c r="J1951">
        <v>-410.45069999999998</v>
      </c>
      <c r="K1951">
        <v>1.1111310000000001</v>
      </c>
      <c r="L1951">
        <v>30.84149</v>
      </c>
      <c r="M1951">
        <v>0.65190700000000001</v>
      </c>
      <c r="N1951">
        <v>0</v>
      </c>
      <c r="O1951">
        <v>-0.7582025</v>
      </c>
      <c r="P1951">
        <v>0.72337510000000005</v>
      </c>
      <c r="Q1951">
        <v>0.1271148</v>
      </c>
      <c r="R1951">
        <v>-0.67865310000000001</v>
      </c>
      <c r="S1951">
        <v>2.6543580000000002</v>
      </c>
      <c r="T1951">
        <v>-0.30045319999999998</v>
      </c>
      <c r="U1951">
        <v>-1.6513059999999999</v>
      </c>
      <c r="V1951">
        <v>-0.1084063</v>
      </c>
      <c r="W1951">
        <v>0.1372042</v>
      </c>
      <c r="X1951">
        <v>0.98459289999999999</v>
      </c>
      <c r="Y1951">
        <v>-0.29575709999999999</v>
      </c>
      <c r="Z1951">
        <v>8.2078730000000003E-2</v>
      </c>
      <c r="AA1951">
        <v>0.95173039999999998</v>
      </c>
      <c r="AB1951">
        <v>26</v>
      </c>
      <c r="AC1951">
        <v>9.7272999999999499</v>
      </c>
      <c r="AD1951">
        <v>-1.11113749209099</v>
      </c>
      <c r="AE1951">
        <v>-6.01058</v>
      </c>
      <c r="AF1951">
        <v>-3.4248366185665899</v>
      </c>
      <c r="AG1951">
        <v>-1.11113749209099</v>
      </c>
      <c r="AH1951">
        <v>10.7973708939723</v>
      </c>
      <c r="AI1951">
        <v>95.602326513279607</v>
      </c>
      <c r="AJ1951">
        <v>107.598596102603</v>
      </c>
      <c r="AK1951">
        <v>11.381886953058601</v>
      </c>
      <c r="AL1951">
        <v>82.113902909614893</v>
      </c>
      <c r="AM1951">
        <v>96.283110243157907</v>
      </c>
      <c r="AN1951">
        <v>1.00000004855386</v>
      </c>
    </row>
    <row r="1952" spans="1:40" x14ac:dyDescent="0.3">
      <c r="A1952" t="str">
        <f>"20200111150355891"</f>
        <v>20200111150355891</v>
      </c>
      <c r="B1952" t="str">
        <f>"1578726235880479"</f>
        <v>1578726235880479</v>
      </c>
      <c r="C1952" t="s">
        <v>40</v>
      </c>
      <c r="D1952">
        <v>5.3232609999999996</v>
      </c>
      <c r="E1952">
        <v>0.43878010000000001</v>
      </c>
      <c r="F1952" t="s">
        <v>72</v>
      </c>
      <c r="G1952">
        <v>-401.97250000000003</v>
      </c>
      <c r="H1952" s="1">
        <v>-6.1053480000000003E-6</v>
      </c>
      <c r="I1952">
        <v>25.109780000000001</v>
      </c>
      <c r="J1952">
        <v>-410.35480000000001</v>
      </c>
      <c r="K1952">
        <v>1.1111789999999999</v>
      </c>
      <c r="L1952">
        <v>30.738099999999999</v>
      </c>
      <c r="M1952">
        <v>0.65597519999999998</v>
      </c>
      <c r="N1952">
        <v>0</v>
      </c>
      <c r="O1952">
        <v>-0.75468539999999995</v>
      </c>
      <c r="P1952">
        <v>0.72672530000000002</v>
      </c>
      <c r="Q1952">
        <v>0.1274729</v>
      </c>
      <c r="R1952">
        <v>-0.67499679999999995</v>
      </c>
      <c r="S1952">
        <v>2.573944</v>
      </c>
      <c r="T1952">
        <v>-0.33733419999999997</v>
      </c>
      <c r="U1952">
        <v>-1.7401120000000001</v>
      </c>
      <c r="V1952">
        <v>-0.1080487</v>
      </c>
      <c r="W1952">
        <v>0.13756409999999999</v>
      </c>
      <c r="X1952">
        <v>0.98458190000000001</v>
      </c>
      <c r="Y1952">
        <v>-0.25339390000000001</v>
      </c>
      <c r="Z1952">
        <v>9.0724680000000002E-2</v>
      </c>
      <c r="AA1952">
        <v>0.96309940000000005</v>
      </c>
      <c r="AB1952">
        <v>26</v>
      </c>
      <c r="AC1952">
        <v>8.3822999999999794</v>
      </c>
      <c r="AD1952">
        <v>-1.111185105348</v>
      </c>
      <c r="AE1952">
        <v>-5.6283200000000004</v>
      </c>
      <c r="AF1952">
        <v>-2.6026303649621099</v>
      </c>
      <c r="AG1952">
        <v>-1.111185105348</v>
      </c>
      <c r="AH1952">
        <v>9.6302617905959007</v>
      </c>
      <c r="AI1952">
        <v>96.355896669718504</v>
      </c>
      <c r="AJ1952">
        <v>105.123213925044</v>
      </c>
      <c r="AK1952">
        <v>10.037447848451301</v>
      </c>
      <c r="AL1952">
        <v>82.093084057734799</v>
      </c>
      <c r="AM1952">
        <v>96.262618501119405</v>
      </c>
      <c r="AN1952">
        <v>0.99999996049405404</v>
      </c>
    </row>
    <row r="1953" spans="1:40" x14ac:dyDescent="0.3">
      <c r="A1953" t="str">
        <f>"20200111150355903"</f>
        <v>20200111150355903</v>
      </c>
      <c r="B1953" t="str">
        <f>"1578726235900976"</f>
        <v>1578726235900976</v>
      </c>
      <c r="C1953" t="s">
        <v>40</v>
      </c>
      <c r="D1953">
        <v>5.3816569999999997</v>
      </c>
      <c r="E1953">
        <v>0.43885649999999998</v>
      </c>
      <c r="F1953" t="s">
        <v>72</v>
      </c>
      <c r="G1953">
        <v>-401.44040000000001</v>
      </c>
      <c r="H1953" s="1">
        <v>-6.2458789999999998E-6</v>
      </c>
      <c r="I1953">
        <v>24.775510000000001</v>
      </c>
      <c r="J1953">
        <v>-410.2543</v>
      </c>
      <c r="K1953">
        <v>1.1112299999999999</v>
      </c>
      <c r="L1953">
        <v>30.63138</v>
      </c>
      <c r="M1953">
        <v>0.66021929999999995</v>
      </c>
      <c r="N1953">
        <v>0</v>
      </c>
      <c r="O1953">
        <v>-0.75097550000000002</v>
      </c>
      <c r="P1953">
        <v>0.73005880000000001</v>
      </c>
      <c r="Q1953">
        <v>0.12773880000000001</v>
      </c>
      <c r="R1953">
        <v>-0.67133969999999998</v>
      </c>
      <c r="S1953">
        <v>2.5810550000000001</v>
      </c>
      <c r="T1953">
        <v>-0.3217275</v>
      </c>
      <c r="U1953">
        <v>-1.7263790000000001</v>
      </c>
      <c r="V1953">
        <v>-0.1074262</v>
      </c>
      <c r="W1953">
        <v>0.1378376</v>
      </c>
      <c r="X1953">
        <v>0.98461180000000004</v>
      </c>
      <c r="Y1953">
        <v>-0.25312020000000002</v>
      </c>
      <c r="Z1953">
        <v>8.6274879999999998E-2</v>
      </c>
      <c r="AA1953">
        <v>0.9635802</v>
      </c>
      <c r="AB1953">
        <v>26</v>
      </c>
      <c r="AC1953">
        <v>8.8138999999999896</v>
      </c>
      <c r="AD1953">
        <v>-1.1112362458789999</v>
      </c>
      <c r="AE1953">
        <v>-5.8558700000000004</v>
      </c>
      <c r="AF1953">
        <v>-2.7230369035402999</v>
      </c>
      <c r="AG1953">
        <v>-1.1112362458789999</v>
      </c>
      <c r="AH1953">
        <v>10.106022213290901</v>
      </c>
      <c r="AI1953">
        <v>96.060460553922695</v>
      </c>
      <c r="AJ1953">
        <v>105.08003685849</v>
      </c>
      <c r="AK1953">
        <v>10.5252772385209</v>
      </c>
      <c r="AL1953">
        <v>82.077263218936494</v>
      </c>
      <c r="AM1953">
        <v>96.226634368329599</v>
      </c>
      <c r="AN1953">
        <v>0.99999999455972</v>
      </c>
    </row>
    <row r="1954" spans="1:40" x14ac:dyDescent="0.3">
      <c r="A1954" t="str">
        <f>"20200111150355916"</f>
        <v>20200111150355916</v>
      </c>
      <c r="B1954" t="str">
        <f>"1578726235910735"</f>
        <v>1578726235910735</v>
      </c>
      <c r="C1954" t="s">
        <v>40</v>
      </c>
      <c r="D1954">
        <v>5.3293699999999999</v>
      </c>
      <c r="E1954">
        <v>0.43903609999999998</v>
      </c>
      <c r="F1954" t="s">
        <v>72</v>
      </c>
      <c r="G1954">
        <v>-400.8861</v>
      </c>
      <c r="H1954" s="1">
        <v>-6.3929339999999999E-6</v>
      </c>
      <c r="I1954">
        <v>24.43338</v>
      </c>
      <c r="J1954">
        <v>-410.15719999999999</v>
      </c>
      <c r="K1954">
        <v>1.1112799999999901</v>
      </c>
      <c r="L1954">
        <v>30.529450000000001</v>
      </c>
      <c r="M1954">
        <v>0.66429819999999995</v>
      </c>
      <c r="N1954">
        <v>0</v>
      </c>
      <c r="O1954">
        <v>-0.74736939999999996</v>
      </c>
      <c r="P1954">
        <v>0.73346369999999905</v>
      </c>
      <c r="Q1954">
        <v>0.1282539</v>
      </c>
      <c r="R1954">
        <v>-0.66751949999999904</v>
      </c>
      <c r="S1954">
        <v>2.5882869999999998</v>
      </c>
      <c r="T1954">
        <v>-0.30701590000000001</v>
      </c>
      <c r="U1954">
        <v>-1.712402</v>
      </c>
      <c r="V1954">
        <v>-0.1071626</v>
      </c>
      <c r="W1954">
        <v>0.1383529</v>
      </c>
      <c r="X1954">
        <v>0.9845682</v>
      </c>
      <c r="Y1954">
        <v>-0.25308269999999999</v>
      </c>
      <c r="Z1954">
        <v>8.2100060000000002E-2</v>
      </c>
      <c r="AA1954">
        <v>0.96395469999999905</v>
      </c>
      <c r="AB1954">
        <v>26</v>
      </c>
      <c r="AC1954">
        <v>9.2710999999999899</v>
      </c>
      <c r="AD1954">
        <v>-1.11128639293399</v>
      </c>
      <c r="AE1954">
        <v>-6.0960700000000001</v>
      </c>
      <c r="AF1954">
        <v>-2.85094209515223</v>
      </c>
      <c r="AG1954">
        <v>-1.11128639293399</v>
      </c>
      <c r="AH1954">
        <v>10.6091588374696</v>
      </c>
      <c r="AI1954">
        <v>95.776333891184805</v>
      </c>
      <c r="AJ1954">
        <v>105.041444112243</v>
      </c>
      <c r="AK1954">
        <v>11.041606745201999</v>
      </c>
      <c r="AL1954">
        <v>82.0474526872258</v>
      </c>
      <c r="AM1954">
        <v>96.211748084395097</v>
      </c>
      <c r="AN1954">
        <v>0.99999994411420301</v>
      </c>
    </row>
    <row r="1955" spans="1:40" x14ac:dyDescent="0.3">
      <c r="A1955" t="str">
        <f>"20200111150355928"</f>
        <v>20200111150355928</v>
      </c>
      <c r="B1955" t="str">
        <f>"1578726235920495"</f>
        <v>1578726235920495</v>
      </c>
      <c r="C1955" t="s">
        <v>40</v>
      </c>
      <c r="D1955">
        <v>5.3628159999999996</v>
      </c>
      <c r="E1955">
        <v>0.43926150000000003</v>
      </c>
      <c r="F1955" t="s">
        <v>72</v>
      </c>
      <c r="G1955">
        <v>-400.62799999999999</v>
      </c>
      <c r="H1955" s="1">
        <v>-6.4632389999999901E-6</v>
      </c>
      <c r="I1955">
        <v>24.290379999999999</v>
      </c>
      <c r="J1955">
        <v>-410.05759999999998</v>
      </c>
      <c r="K1955">
        <v>1.111326</v>
      </c>
      <c r="L1955">
        <v>30.425599999999999</v>
      </c>
      <c r="M1955">
        <v>0.668466</v>
      </c>
      <c r="N1955">
        <v>0</v>
      </c>
      <c r="O1955">
        <v>-0.74364390000000002</v>
      </c>
      <c r="P1955">
        <v>0.73692080000000004</v>
      </c>
      <c r="Q1955">
        <v>0.1289653</v>
      </c>
      <c r="R1955">
        <v>-0.66356300000000001</v>
      </c>
      <c r="S1955">
        <v>2.59613</v>
      </c>
      <c r="T1955">
        <v>-0.30275819999999998</v>
      </c>
      <c r="U1955">
        <v>-1.6997679999999999</v>
      </c>
      <c r="V1955">
        <v>-0.10689220000000001</v>
      </c>
      <c r="W1955">
        <v>0.13906450000000001</v>
      </c>
      <c r="X1955">
        <v>0.98449739999999997</v>
      </c>
      <c r="Y1955">
        <v>-0.25241029999999998</v>
      </c>
      <c r="Z1955">
        <v>8.0647629999999998E-2</v>
      </c>
      <c r="AA1955">
        <v>0.96425360000000004</v>
      </c>
      <c r="AB1955">
        <v>26</v>
      </c>
      <c r="AC1955">
        <v>9.4295999999999296</v>
      </c>
      <c r="AD1955">
        <v>-1.111332463239</v>
      </c>
      <c r="AE1955">
        <v>-6.1352199999999897</v>
      </c>
      <c r="AF1955">
        <v>-2.8831562606764898</v>
      </c>
      <c r="AG1955">
        <v>-1.111332463239</v>
      </c>
      <c r="AH1955">
        <v>10.7615642115301</v>
      </c>
      <c r="AI1955">
        <v>95.696455877575303</v>
      </c>
      <c r="AJ1955">
        <v>104.99803197621</v>
      </c>
      <c r="AK1955">
        <v>11.196379510637</v>
      </c>
      <c r="AL1955">
        <v>82.006283512050103</v>
      </c>
      <c r="AM1955">
        <v>96.196638381388198</v>
      </c>
      <c r="AN1955">
        <v>1.0000000040939201</v>
      </c>
    </row>
    <row r="1956" spans="1:40" x14ac:dyDescent="0.3">
      <c r="A1956" t="str">
        <f>"20200111150355940"</f>
        <v>20200111150355940</v>
      </c>
      <c r="B1956" t="str">
        <f>"1578726235930256"</f>
        <v>1578726235930256</v>
      </c>
      <c r="C1956" t="s">
        <v>40</v>
      </c>
      <c r="D1956">
        <v>5.3096509999999997</v>
      </c>
      <c r="E1956">
        <v>0.43965470000000001</v>
      </c>
      <c r="F1956" t="s">
        <v>72</v>
      </c>
      <c r="G1956">
        <v>-400.31880000000001</v>
      </c>
      <c r="H1956" s="1">
        <v>-6.5471950000000003E-6</v>
      </c>
      <c r="I1956">
        <v>24.116689999999998</v>
      </c>
      <c r="J1956">
        <v>-409.96499999999997</v>
      </c>
      <c r="K1956">
        <v>1.11137</v>
      </c>
      <c r="L1956">
        <v>30.330870000000001</v>
      </c>
      <c r="M1956">
        <v>0.67231869999999905</v>
      </c>
      <c r="N1956">
        <v>0</v>
      </c>
      <c r="O1956">
        <v>-0.7401626</v>
      </c>
      <c r="P1956">
        <v>0.74029929999999999</v>
      </c>
      <c r="Q1956">
        <v>0.129660199999999</v>
      </c>
      <c r="R1956">
        <v>-0.65965569999999996</v>
      </c>
      <c r="S1956">
        <v>2.6040040000000002</v>
      </c>
      <c r="T1956">
        <v>-0.29715589999999997</v>
      </c>
      <c r="U1956">
        <v>-1.68692</v>
      </c>
      <c r="V1956">
        <v>-0.1069244</v>
      </c>
      <c r="W1956">
        <v>0.13975479999999901</v>
      </c>
      <c r="X1956">
        <v>0.98439620000000005</v>
      </c>
      <c r="Y1956">
        <v>-0.2522123</v>
      </c>
      <c r="Z1956">
        <v>7.8884949999999995E-2</v>
      </c>
      <c r="AA1956">
        <v>0.96445119999999895</v>
      </c>
      <c r="AB1956">
        <v>26</v>
      </c>
      <c r="AC1956">
        <v>9.6461999999999595</v>
      </c>
      <c r="AD1956">
        <v>-1.1113765471949999</v>
      </c>
      <c r="AE1956">
        <v>-6.2141799999999998</v>
      </c>
      <c r="AF1956">
        <v>-2.9345355879216002</v>
      </c>
      <c r="AG1956">
        <v>-1.1113765471949999</v>
      </c>
      <c r="AH1956">
        <v>10.9826100819687</v>
      </c>
      <c r="AI1956">
        <v>95.583744596471405</v>
      </c>
      <c r="AJ1956">
        <v>104.959855606845</v>
      </c>
      <c r="AK1956">
        <v>11.4221005580845</v>
      </c>
      <c r="AL1956">
        <v>81.966342611385897</v>
      </c>
      <c r="AM1956">
        <v>96.199122785609902</v>
      </c>
      <c r="AN1956">
        <v>1.0000000550064101</v>
      </c>
    </row>
    <row r="1957" spans="1:40" x14ac:dyDescent="0.3">
      <c r="A1957" t="str">
        <f>"20200111150355953"</f>
        <v>20200111150355953</v>
      </c>
      <c r="B1957" t="str">
        <f>"1578726235950751"</f>
        <v>1578726235950751</v>
      </c>
      <c r="C1957" t="s">
        <v>40</v>
      </c>
      <c r="D1957">
        <v>5.4016739999999999</v>
      </c>
      <c r="E1957">
        <v>0.4403282</v>
      </c>
      <c r="F1957" t="s">
        <v>41</v>
      </c>
      <c r="G1957">
        <v>-399.88159999999999</v>
      </c>
      <c r="H1957" s="1">
        <v>-1.165719E-6</v>
      </c>
      <c r="I1957">
        <v>23.860479999999999</v>
      </c>
      <c r="J1957">
        <v>-409.8571</v>
      </c>
      <c r="K1957">
        <v>1.1114200000000001</v>
      </c>
      <c r="L1957">
        <v>30.221219999999999</v>
      </c>
      <c r="M1957">
        <v>0.67678389999999999</v>
      </c>
      <c r="N1957">
        <v>0</v>
      </c>
      <c r="O1957">
        <v>-0.73608189999999996</v>
      </c>
      <c r="P1957">
        <v>0.74463639999999998</v>
      </c>
      <c r="Q1957">
        <v>0.13005519999999901</v>
      </c>
      <c r="R1957">
        <v>-0.65467779999999998</v>
      </c>
      <c r="S1957">
        <v>2.6102910000000001</v>
      </c>
      <c r="T1957">
        <v>-0.28770030000000002</v>
      </c>
      <c r="U1957">
        <v>-1.6749879999999999</v>
      </c>
      <c r="V1957">
        <v>-0.1075434</v>
      </c>
      <c r="W1957">
        <v>0.14013390000000001</v>
      </c>
      <c r="X1957">
        <v>0.98427480000000001</v>
      </c>
      <c r="Y1957">
        <v>-0.25076939999999998</v>
      </c>
      <c r="Z1957">
        <v>7.6048669999999999E-2</v>
      </c>
      <c r="AA1957">
        <v>0.965055</v>
      </c>
      <c r="AB1957">
        <v>26</v>
      </c>
      <c r="AC1957">
        <v>9.9755000000000091</v>
      </c>
      <c r="AD1957">
        <v>-1.1114211657189901</v>
      </c>
      <c r="AE1957">
        <v>-6.3607399999999998</v>
      </c>
      <c r="AF1957">
        <v>-3.01158409490712</v>
      </c>
      <c r="AG1957">
        <v>-1.1114211657189901</v>
      </c>
      <c r="AH1957">
        <v>11.3340983007893</v>
      </c>
      <c r="AI1957">
        <v>95.413836493656405</v>
      </c>
      <c r="AJ1957">
        <v>104.880235017598</v>
      </c>
      <c r="AK1957">
        <v>11.779926997238199</v>
      </c>
      <c r="AL1957">
        <v>81.944405362994004</v>
      </c>
      <c r="AM1957">
        <v>96.235491463981703</v>
      </c>
      <c r="AN1957">
        <v>0.99999998736390405</v>
      </c>
    </row>
    <row r="1958" spans="1:40" x14ac:dyDescent="0.3">
      <c r="A1958" t="str">
        <f>"20200111150355967"</f>
        <v>20200111150355967</v>
      </c>
      <c r="B1958" t="str">
        <f>"1578726235960510"</f>
        <v>1578726235960510</v>
      </c>
      <c r="C1958" t="s">
        <v>40</v>
      </c>
      <c r="D1958">
        <v>5.3889579999999997</v>
      </c>
      <c r="E1958">
        <v>0.44061349999999999</v>
      </c>
      <c r="F1958" t="s">
        <v>41</v>
      </c>
      <c r="G1958">
        <v>-399.75229999999999</v>
      </c>
      <c r="H1958" s="1">
        <v>-1.212346E-6</v>
      </c>
      <c r="I1958">
        <v>23.806039999999999</v>
      </c>
      <c r="J1958">
        <v>-409.73430000000002</v>
      </c>
      <c r="K1958">
        <v>1.1114710000000001</v>
      </c>
      <c r="L1958">
        <v>30.09796</v>
      </c>
      <c r="M1958">
        <v>0.68183899999999997</v>
      </c>
      <c r="N1958">
        <v>0</v>
      </c>
      <c r="O1958">
        <v>-0.73140130000000003</v>
      </c>
      <c r="P1958">
        <v>0.74997250000000004</v>
      </c>
      <c r="Q1958">
        <v>0.13067780000000001</v>
      </c>
      <c r="R1958">
        <v>-0.64843209999999996</v>
      </c>
      <c r="S1958">
        <v>2.6179199999999998</v>
      </c>
      <c r="T1958">
        <v>-0.28794209999999998</v>
      </c>
      <c r="U1958">
        <v>-1.662018</v>
      </c>
      <c r="V1958">
        <v>-0.1089387</v>
      </c>
      <c r="W1958">
        <v>0.14072599999999999</v>
      </c>
      <c r="X1958">
        <v>0.98403689999999999</v>
      </c>
      <c r="Y1958">
        <v>-0.24879509999999999</v>
      </c>
      <c r="Z1958">
        <v>7.568751E-2</v>
      </c>
      <c r="AA1958">
        <v>0.96559439999999996</v>
      </c>
      <c r="AB1958">
        <v>26</v>
      </c>
      <c r="AC1958">
        <v>9.9820000000000206</v>
      </c>
      <c r="AD1958">
        <v>-1.1114722123459999</v>
      </c>
      <c r="AE1958">
        <v>-6.2919199999999904</v>
      </c>
      <c r="AF1958">
        <v>-2.9845122545728202</v>
      </c>
      <c r="AG1958">
        <v>-1.1114722123459999</v>
      </c>
      <c r="AH1958">
        <v>11.3085377640546</v>
      </c>
      <c r="AI1958">
        <v>95.428642307653007</v>
      </c>
      <c r="AJ1958">
        <v>104.784217106558</v>
      </c>
      <c r="AK1958">
        <v>11.748434373888299</v>
      </c>
      <c r="AL1958">
        <v>81.910141371972301</v>
      </c>
      <c r="AM1958">
        <v>96.317257511354498</v>
      </c>
      <c r="AN1958">
        <v>1.00000003399764</v>
      </c>
    </row>
    <row r="1959" spans="1:40" x14ac:dyDescent="0.3">
      <c r="A1959" t="str">
        <f>"20200111150355979"</f>
        <v>20200111150355979</v>
      </c>
      <c r="B1959" t="str">
        <f>"1578726235970271"</f>
        <v>1578726235970271</v>
      </c>
      <c r="C1959" t="s">
        <v>40</v>
      </c>
      <c r="D1959">
        <v>5.4853529999999999</v>
      </c>
      <c r="E1959">
        <v>0.44061349999999999</v>
      </c>
      <c r="F1959" t="s">
        <v>41</v>
      </c>
      <c r="G1959">
        <v>-399.47070000000002</v>
      </c>
      <c r="H1959" s="1">
        <v>-1.3143399999999999E-6</v>
      </c>
      <c r="I1959">
        <v>23.689129999999999</v>
      </c>
      <c r="J1959">
        <v>-409.6429</v>
      </c>
      <c r="K1959">
        <v>1.1114999999999999</v>
      </c>
      <c r="L1959">
        <v>30.007930000000002</v>
      </c>
      <c r="M1959">
        <v>0.68556949999999905</v>
      </c>
      <c r="N1959">
        <v>0</v>
      </c>
      <c r="O1959">
        <v>-0.72790580000000005</v>
      </c>
      <c r="P1959">
        <v>0.75368310000000005</v>
      </c>
      <c r="Q1959">
        <v>0.13052339999999901</v>
      </c>
      <c r="R1959">
        <v>-0.64414749999999998</v>
      </c>
      <c r="S1959">
        <v>2.6299130000000002</v>
      </c>
      <c r="T1959">
        <v>-0.28480040000000001</v>
      </c>
      <c r="U1959">
        <v>-1.6421809999999999</v>
      </c>
      <c r="V1959">
        <v>-0.1095452</v>
      </c>
      <c r="W1959">
        <v>0.1405593</v>
      </c>
      <c r="X1959">
        <v>0.98399340000000002</v>
      </c>
      <c r="Y1959">
        <v>-0.25113770000000002</v>
      </c>
      <c r="Z1959">
        <v>7.4678060000000004E-2</v>
      </c>
      <c r="AA1959">
        <v>0.96506639999999999</v>
      </c>
      <c r="AB1959">
        <v>26</v>
      </c>
      <c r="AC1959">
        <v>10.172199999999901</v>
      </c>
      <c r="AD1959">
        <v>-1.1115013143400001</v>
      </c>
      <c r="AE1959">
        <v>-6.3188000000000004</v>
      </c>
      <c r="AF1959">
        <v>-3.0464080218242802</v>
      </c>
      <c r="AG1959">
        <v>-1.1115013143400001</v>
      </c>
      <c r="AH1959">
        <v>11.4752334175807</v>
      </c>
      <c r="AI1959">
        <v>95.348330694408304</v>
      </c>
      <c r="AJ1959">
        <v>104.867749052986</v>
      </c>
      <c r="AK1959">
        <v>11.924639155763799</v>
      </c>
      <c r="AL1959">
        <v>81.919788510477503</v>
      </c>
      <c r="AM1959">
        <v>96.352419721649397</v>
      </c>
      <c r="AN1959">
        <v>1.00000003945154</v>
      </c>
    </row>
    <row r="1960" spans="1:40" x14ac:dyDescent="0.3">
      <c r="A1960" t="str">
        <f>"20200111150355990"</f>
        <v>20200111150355990</v>
      </c>
      <c r="B1960" t="str">
        <f>"1578726235981007"</f>
        <v>1578726235981007</v>
      </c>
      <c r="C1960" t="s">
        <v>40</v>
      </c>
      <c r="D1960">
        <v>5.3243260000000001</v>
      </c>
      <c r="E1960">
        <v>0.44683420000000001</v>
      </c>
      <c r="F1960" t="s">
        <v>41</v>
      </c>
      <c r="G1960">
        <v>-399.36599999999999</v>
      </c>
      <c r="H1960" s="1">
        <v>-1.35910599999999E-6</v>
      </c>
      <c r="I1960">
        <v>23.67126</v>
      </c>
      <c r="J1960">
        <v>-409.5478</v>
      </c>
      <c r="K1960">
        <v>1.111531</v>
      </c>
      <c r="L1960">
        <v>29.91452</v>
      </c>
      <c r="M1960">
        <v>0.68943359999999998</v>
      </c>
      <c r="N1960">
        <v>0</v>
      </c>
      <c r="O1960">
        <v>-0.72424669999999902</v>
      </c>
      <c r="P1960">
        <v>0.75775360000000003</v>
      </c>
      <c r="Q1960">
        <v>0.1300318</v>
      </c>
      <c r="R1960">
        <v>-0.63945410000000003</v>
      </c>
      <c r="S1960">
        <v>2.6391300000000002</v>
      </c>
      <c r="T1960">
        <v>-0.28543380000000002</v>
      </c>
      <c r="U1960">
        <v>-1.6272580000000001</v>
      </c>
      <c r="V1960">
        <v>-0.1104841</v>
      </c>
      <c r="W1960">
        <v>0.14004849999999999</v>
      </c>
      <c r="X1960">
        <v>0.98396119999999998</v>
      </c>
      <c r="Y1960">
        <v>-0.25144480000000002</v>
      </c>
      <c r="Z1960">
        <v>7.4564549999999993E-2</v>
      </c>
      <c r="AA1960">
        <v>0.96499509999999999</v>
      </c>
      <c r="AB1960">
        <v>26</v>
      </c>
      <c r="AC1960">
        <v>10.181800000000001</v>
      </c>
      <c r="AD1960">
        <v>-1.111532359106</v>
      </c>
      <c r="AE1960">
        <v>-6.2432599999999896</v>
      </c>
      <c r="AF1960">
        <v>-3.0436869382869198</v>
      </c>
      <c r="AG1960">
        <v>-1.111532359106</v>
      </c>
      <c r="AH1960">
        <v>11.443078448685901</v>
      </c>
      <c r="AI1960">
        <v>95.362748341016697</v>
      </c>
      <c r="AJ1960">
        <v>104.894946018738</v>
      </c>
      <c r="AK1960">
        <v>11.8930054547375</v>
      </c>
      <c r="AL1960">
        <v>81.949347103260294</v>
      </c>
      <c r="AM1960">
        <v>96.406622763826206</v>
      </c>
      <c r="AN1960">
        <v>0.999999980905249</v>
      </c>
    </row>
    <row r="1961" spans="1:40" x14ac:dyDescent="0.3">
      <c r="A1961" t="str">
        <f>"20200111150356001"</f>
        <v>20200111150356001</v>
      </c>
      <c r="B1961" t="str">
        <f>"1578726235990766"</f>
        <v>1578726235990766</v>
      </c>
      <c r="C1961" t="s">
        <v>40</v>
      </c>
      <c r="D1961">
        <v>5.3656959999999998</v>
      </c>
      <c r="E1961">
        <v>0.44656050000000003</v>
      </c>
      <c r="F1961" t="s">
        <v>72</v>
      </c>
      <c r="G1961">
        <v>-402.03089999999997</v>
      </c>
      <c r="H1961" s="1">
        <v>-6.09311E-6</v>
      </c>
      <c r="I1961">
        <v>25.174659999999999</v>
      </c>
      <c r="J1961">
        <v>-409.44760000000002</v>
      </c>
      <c r="K1961">
        <v>1.111553</v>
      </c>
      <c r="L1961">
        <v>29.817779999999999</v>
      </c>
      <c r="M1961">
        <v>0.69346960000000002</v>
      </c>
      <c r="N1961">
        <v>0</v>
      </c>
      <c r="O1961">
        <v>-0.720383</v>
      </c>
      <c r="P1961">
        <v>0.76172720000000005</v>
      </c>
      <c r="Q1961">
        <v>0.12894239999999901</v>
      </c>
      <c r="R1961">
        <v>-0.6349378</v>
      </c>
      <c r="S1961">
        <v>2.6275629999999999</v>
      </c>
      <c r="T1961">
        <v>-0.38854050000000001</v>
      </c>
      <c r="U1961">
        <v>-1.65683</v>
      </c>
      <c r="V1961">
        <v>-0.1109599</v>
      </c>
      <c r="W1961">
        <v>0.1389512</v>
      </c>
      <c r="X1961">
        <v>0.98406329999999997</v>
      </c>
      <c r="Y1961">
        <v>-0.23372309999999999</v>
      </c>
      <c r="Z1961">
        <v>9.983446E-2</v>
      </c>
      <c r="AA1961">
        <v>0.96716420000000003</v>
      </c>
      <c r="AB1961">
        <v>26</v>
      </c>
      <c r="AC1961">
        <v>7.4167000000000396</v>
      </c>
      <c r="AD1961">
        <v>-1.1115590931099999</v>
      </c>
      <c r="AE1961">
        <v>-4.6431199999999997</v>
      </c>
      <c r="AF1961">
        <v>-2.0894415976352301</v>
      </c>
      <c r="AG1961">
        <v>-1.1115590931099999</v>
      </c>
      <c r="AH1961">
        <v>8.3539010645587393</v>
      </c>
      <c r="AI1961">
        <v>97.355203613800498</v>
      </c>
      <c r="AJ1961">
        <v>104.04248108455199</v>
      </c>
      <c r="AK1961">
        <v>8.6826835024570403</v>
      </c>
      <c r="AL1961">
        <v>82.012839191495004</v>
      </c>
      <c r="AM1961">
        <v>96.433320079445394</v>
      </c>
      <c r="AN1961">
        <v>1.00000005689816</v>
      </c>
    </row>
    <row r="1962" spans="1:40" x14ac:dyDescent="0.3">
      <c r="A1962" t="str">
        <f>"20200111150356015"</f>
        <v>20200111150356015</v>
      </c>
      <c r="B1962" t="str">
        <f>"1578726236010287"</f>
        <v>1578726236010287</v>
      </c>
      <c r="C1962" t="s">
        <v>40</v>
      </c>
      <c r="D1962">
        <v>5.4137089999999999</v>
      </c>
      <c r="E1962">
        <v>0.44710699999999998</v>
      </c>
      <c r="F1962" t="s">
        <v>72</v>
      </c>
      <c r="G1962">
        <v>-401.44209999999998</v>
      </c>
      <c r="H1962" s="1">
        <v>-6.2530979999999998E-6</v>
      </c>
      <c r="I1962">
        <v>24.844840000000001</v>
      </c>
      <c r="J1962">
        <v>-409.33920000000001</v>
      </c>
      <c r="K1962">
        <v>1.111572</v>
      </c>
      <c r="L1962">
        <v>29.71405</v>
      </c>
      <c r="M1962">
        <v>0.69780050000000005</v>
      </c>
      <c r="N1962">
        <v>0</v>
      </c>
      <c r="O1962">
        <v>-0.71618870000000001</v>
      </c>
      <c r="P1962">
        <v>0.766046</v>
      </c>
      <c r="Q1962">
        <v>0.1281979</v>
      </c>
      <c r="R1962">
        <v>-0.6298724</v>
      </c>
      <c r="S1962">
        <v>2.6356510000000002</v>
      </c>
      <c r="T1962">
        <v>-0.36595800000000001</v>
      </c>
      <c r="U1962">
        <v>-1.637238</v>
      </c>
      <c r="V1962">
        <v>-0.1116381</v>
      </c>
      <c r="W1962">
        <v>0.1381946</v>
      </c>
      <c r="X1962">
        <v>0.98409310000000005</v>
      </c>
      <c r="Y1962">
        <v>-0.23503160000000001</v>
      </c>
      <c r="Z1962">
        <v>9.3823080000000003E-2</v>
      </c>
      <c r="AA1962">
        <v>0.96744889999999995</v>
      </c>
      <c r="AB1962">
        <v>26</v>
      </c>
      <c r="AC1962">
        <v>7.8971000000000204</v>
      </c>
      <c r="AD1962">
        <v>-1.1115782530980001</v>
      </c>
      <c r="AE1962">
        <v>-4.8692099999999998</v>
      </c>
      <c r="AF1962">
        <v>-2.2262850540716799</v>
      </c>
      <c r="AG1962">
        <v>-1.1115782530980001</v>
      </c>
      <c r="AH1962">
        <v>8.8711920668121405</v>
      </c>
      <c r="AI1962">
        <v>96.929368046138194</v>
      </c>
      <c r="AJ1962">
        <v>104.087822116371</v>
      </c>
      <c r="AK1962">
        <v>9.2135769406357095</v>
      </c>
      <c r="AL1962">
        <v>82.0566111958383</v>
      </c>
      <c r="AM1962">
        <v>96.472114304101495</v>
      </c>
      <c r="AN1962">
        <v>1.00000002115418</v>
      </c>
    </row>
    <row r="1963" spans="1:40" x14ac:dyDescent="0.3">
      <c r="A1963" t="str">
        <f>"20200111150356026"</f>
        <v>20200111150356026</v>
      </c>
      <c r="B1963" t="str">
        <f>"1578726236020049"</f>
        <v>1578726236020049</v>
      </c>
      <c r="C1963" t="s">
        <v>40</v>
      </c>
      <c r="D1963">
        <v>5.4379299999999997</v>
      </c>
      <c r="E1963">
        <v>0.44728069999999998</v>
      </c>
      <c r="F1963" t="s">
        <v>72</v>
      </c>
      <c r="G1963">
        <v>-400.69970000000001</v>
      </c>
      <c r="H1963" s="1">
        <v>-6.4528859999999997E-6</v>
      </c>
      <c r="I1963">
        <v>24.411719999999999</v>
      </c>
      <c r="J1963">
        <v>-409.23200000000003</v>
      </c>
      <c r="K1963">
        <v>1.111586</v>
      </c>
      <c r="L1963">
        <v>29.612490000000001</v>
      </c>
      <c r="M1963">
        <v>0.70204669999999902</v>
      </c>
      <c r="N1963">
        <v>0</v>
      </c>
      <c r="O1963">
        <v>-0.71202699999999997</v>
      </c>
      <c r="P1963">
        <v>0.77023390000000003</v>
      </c>
      <c r="Q1963">
        <v>0.12741169999999999</v>
      </c>
      <c r="R1963">
        <v>-0.62490519999999905</v>
      </c>
      <c r="S1963">
        <v>2.6405639999999999</v>
      </c>
      <c r="T1963">
        <v>-0.33974280000000001</v>
      </c>
      <c r="U1963">
        <v>-1.6206050000000001</v>
      </c>
      <c r="V1963">
        <v>-0.1122372</v>
      </c>
      <c r="W1963">
        <v>0.13739879999999999</v>
      </c>
      <c r="X1963">
        <v>0.98413629999999996</v>
      </c>
      <c r="Y1963">
        <v>-0.2351925</v>
      </c>
      <c r="Z1963">
        <v>8.6897180000000004E-2</v>
      </c>
      <c r="AA1963">
        <v>0.96805649999999999</v>
      </c>
      <c r="AB1963">
        <v>26</v>
      </c>
      <c r="AC1963">
        <v>8.5322999999999602</v>
      </c>
      <c r="AD1963">
        <v>-1.1115924528859999</v>
      </c>
      <c r="AE1963">
        <v>-5.2007699999999897</v>
      </c>
      <c r="AF1963">
        <v>-2.3945904714544</v>
      </c>
      <c r="AG1963">
        <v>-1.1115924528859999</v>
      </c>
      <c r="AH1963">
        <v>9.5753820334121293</v>
      </c>
      <c r="AI1963">
        <v>96.425598733789997</v>
      </c>
      <c r="AJ1963">
        <v>104.040438781188</v>
      </c>
      <c r="AK1963">
        <v>9.9326553545909899</v>
      </c>
      <c r="AL1963">
        <v>82.102645668302401</v>
      </c>
      <c r="AM1963">
        <v>96.506266348427602</v>
      </c>
      <c r="AN1963">
        <v>0.99999993814148302</v>
      </c>
    </row>
    <row r="1964" spans="1:40" x14ac:dyDescent="0.3">
      <c r="A1964" t="str">
        <f>"20200111150356038"</f>
        <v>20200111150356038</v>
      </c>
      <c r="B1964" t="str">
        <f>"1578726236030783"</f>
        <v>1578726236030783</v>
      </c>
      <c r="C1964" t="s">
        <v>40</v>
      </c>
      <c r="D1964">
        <v>5.2623569999999997</v>
      </c>
      <c r="E1964">
        <v>0.44811909999999999</v>
      </c>
      <c r="F1964" t="s">
        <v>72</v>
      </c>
      <c r="G1964">
        <v>-400.95429999999999</v>
      </c>
      <c r="H1964" s="1">
        <v>-6.3887719999999998E-6</v>
      </c>
      <c r="I1964">
        <v>24.59947</v>
      </c>
      <c r="J1964">
        <v>-409.137</v>
      </c>
      <c r="K1964">
        <v>1.1115950000000001</v>
      </c>
      <c r="L1964">
        <v>29.52402</v>
      </c>
      <c r="M1964">
        <v>0.70576949999999905</v>
      </c>
      <c r="N1964">
        <v>0</v>
      </c>
      <c r="O1964">
        <v>-0.70833669999999904</v>
      </c>
      <c r="P1964">
        <v>0.77367649999999999</v>
      </c>
      <c r="Q1964">
        <v>0.12675919999999999</v>
      </c>
      <c r="R1964">
        <v>-0.62077119999999997</v>
      </c>
      <c r="S1964">
        <v>2.6512150000000001</v>
      </c>
      <c r="T1964">
        <v>-0.3560256</v>
      </c>
      <c r="U1964">
        <v>-1.605591</v>
      </c>
      <c r="V1964">
        <v>-0.1124173</v>
      </c>
      <c r="W1964">
        <v>0.13674420000000001</v>
      </c>
      <c r="X1964">
        <v>0.98420700000000005</v>
      </c>
      <c r="Y1964">
        <v>-0.23542279999999999</v>
      </c>
      <c r="Z1964">
        <v>9.0627150000000004E-2</v>
      </c>
      <c r="AA1964">
        <v>0.96765840000000003</v>
      </c>
      <c r="AB1964">
        <v>26</v>
      </c>
      <c r="AC1964">
        <v>8.1826999999999508</v>
      </c>
      <c r="AD1964">
        <v>-1.111601388772</v>
      </c>
      <c r="AE1964">
        <v>-4.92455</v>
      </c>
      <c r="AF1964">
        <v>-2.28966216911655</v>
      </c>
      <c r="AG1964">
        <v>-1.111601388772</v>
      </c>
      <c r="AH1964">
        <v>9.1401987305797796</v>
      </c>
      <c r="AI1964">
        <v>96.728175412738594</v>
      </c>
      <c r="AJ1964">
        <v>104.063453030727</v>
      </c>
      <c r="AK1964">
        <v>9.4879630759555305</v>
      </c>
      <c r="AL1964">
        <v>82.140509538462396</v>
      </c>
      <c r="AM1964">
        <v>96.516152722144895</v>
      </c>
      <c r="AN1964">
        <v>1.00000002221096</v>
      </c>
    </row>
    <row r="1965" spans="1:40" x14ac:dyDescent="0.3">
      <c r="A1965" t="str">
        <f>"20200111150356051"</f>
        <v>20200111150356051</v>
      </c>
      <c r="B1965" t="str">
        <f>"1578726236040543"</f>
        <v>1578726236040543</v>
      </c>
      <c r="C1965" t="s">
        <v>40</v>
      </c>
      <c r="D1965">
        <v>5.3052239999999999</v>
      </c>
      <c r="E1965">
        <v>0.44849719999999998</v>
      </c>
      <c r="F1965" t="s">
        <v>72</v>
      </c>
      <c r="G1965">
        <v>-401.05500000000001</v>
      </c>
      <c r="H1965" s="1">
        <v>-6.3625550000000001E-6</v>
      </c>
      <c r="I1965">
        <v>24.665990000000001</v>
      </c>
      <c r="J1965">
        <v>-409.03250000000003</v>
      </c>
      <c r="K1965">
        <v>1.111602</v>
      </c>
      <c r="L1965">
        <v>29.42728</v>
      </c>
      <c r="M1965">
        <v>0.70983099999999999</v>
      </c>
      <c r="N1965">
        <v>0</v>
      </c>
      <c r="O1965">
        <v>-0.70426650000000002</v>
      </c>
      <c r="P1965">
        <v>0.77722500000000005</v>
      </c>
      <c r="Q1965">
        <v>0.12626399999999999</v>
      </c>
      <c r="R1965">
        <v>-0.61642439999999998</v>
      </c>
      <c r="S1965">
        <v>2.656342</v>
      </c>
      <c r="T1965">
        <v>-0.36535489999999998</v>
      </c>
      <c r="U1965">
        <v>-1.5967100000000001</v>
      </c>
      <c r="V1965">
        <v>-0.1123265</v>
      </c>
      <c r="W1965">
        <v>0.13625290000000001</v>
      </c>
      <c r="X1965">
        <v>0.98428550000000004</v>
      </c>
      <c r="Y1965">
        <v>-0.2328113</v>
      </c>
      <c r="Z1965">
        <v>9.2452500000000007E-2</v>
      </c>
      <c r="AA1965">
        <v>0.96811749999999996</v>
      </c>
      <c r="AB1965">
        <v>27</v>
      </c>
      <c r="AC1965">
        <v>7.9775000000000098</v>
      </c>
      <c r="AD1965">
        <v>-1.111608362555</v>
      </c>
      <c r="AE1965">
        <v>-4.76128999999999</v>
      </c>
      <c r="AF1965">
        <v>-2.2071423395214298</v>
      </c>
      <c r="AG1965">
        <v>-1.111608362555</v>
      </c>
      <c r="AH1965">
        <v>8.8892992884102195</v>
      </c>
      <c r="AI1965">
        <v>96.919864977410299</v>
      </c>
      <c r="AJ1965">
        <v>103.944104541496</v>
      </c>
      <c r="AK1965">
        <v>9.2264181727006491</v>
      </c>
      <c r="AL1965">
        <v>82.168924900845596</v>
      </c>
      <c r="AM1965">
        <v>96.510419994911899</v>
      </c>
      <c r="AN1965">
        <v>1.00000002043545</v>
      </c>
    </row>
    <row r="1966" spans="1:40" x14ac:dyDescent="0.3">
      <c r="A1966" t="str">
        <f>"20200111150356062"</f>
        <v>20200111150356062</v>
      </c>
      <c r="B1966" t="str">
        <f>"1578726236060066"</f>
        <v>1578726236060066</v>
      </c>
      <c r="C1966" t="s">
        <v>40</v>
      </c>
      <c r="D1966">
        <v>5.3111280000000001</v>
      </c>
      <c r="E1966">
        <v>0.44991500000000001</v>
      </c>
      <c r="F1966" t="s">
        <v>72</v>
      </c>
      <c r="G1966">
        <v>-400.84910000000002</v>
      </c>
      <c r="H1966" s="1">
        <v>-6.4195330000000004E-6</v>
      </c>
      <c r="I1966">
        <v>24.559740000000001</v>
      </c>
      <c r="J1966">
        <v>-408.92840000000001</v>
      </c>
      <c r="K1966">
        <v>1.1116109999999999</v>
      </c>
      <c r="L1966">
        <v>29.332280000000001</v>
      </c>
      <c r="M1966">
        <v>0.7138312</v>
      </c>
      <c r="N1966">
        <v>0</v>
      </c>
      <c r="O1966">
        <v>-0.70021149999999999</v>
      </c>
      <c r="P1966">
        <v>0.78060649999999998</v>
      </c>
      <c r="Q1966">
        <v>0.12585389999999999</v>
      </c>
      <c r="R1966">
        <v>-0.61222109999999996</v>
      </c>
      <c r="S1966">
        <v>2.6626280000000002</v>
      </c>
      <c r="T1966">
        <v>-0.36168149999999999</v>
      </c>
      <c r="U1966">
        <v>-1.5837399999999999</v>
      </c>
      <c r="V1966">
        <v>-0.112072699999999</v>
      </c>
      <c r="W1966">
        <v>0.13585039999999901</v>
      </c>
      <c r="X1966">
        <v>0.98437010000000003</v>
      </c>
      <c r="Y1966">
        <v>-0.23188420000000001</v>
      </c>
      <c r="Z1966">
        <v>9.1114029999999999E-2</v>
      </c>
      <c r="AA1966">
        <v>0.96846679999999996</v>
      </c>
      <c r="AB1966">
        <v>27</v>
      </c>
      <c r="AC1966">
        <v>8.0792999999999893</v>
      </c>
      <c r="AD1966">
        <v>-1.111617419533</v>
      </c>
      <c r="AE1966">
        <v>-4.7725399999999896</v>
      </c>
      <c r="AF1966">
        <v>-2.2194513673299499</v>
      </c>
      <c r="AG1966">
        <v>-1.111617419533</v>
      </c>
      <c r="AH1966">
        <v>8.9836486334400707</v>
      </c>
      <c r="AI1966">
        <v>96.849898208849396</v>
      </c>
      <c r="AJ1966">
        <v>103.87729961558</v>
      </c>
      <c r="AK1966">
        <v>9.3202789887675408</v>
      </c>
      <c r="AL1966">
        <v>82.192203187867307</v>
      </c>
      <c r="AM1966">
        <v>96.495282167952894</v>
      </c>
      <c r="AN1966">
        <v>1.0000000575197201</v>
      </c>
    </row>
    <row r="1967" spans="1:40" x14ac:dyDescent="0.3">
      <c r="A1967" t="str">
        <f>"20200111150356079"</f>
        <v>20200111150356079</v>
      </c>
      <c r="B1967" t="str">
        <f>"1578726236070802"</f>
        <v>1578726236070802</v>
      </c>
      <c r="C1967" t="s">
        <v>40</v>
      </c>
      <c r="D1967">
        <v>5.3269830000000002</v>
      </c>
      <c r="E1967">
        <v>0.45056109999999999</v>
      </c>
      <c r="F1967" t="s">
        <v>72</v>
      </c>
      <c r="G1967">
        <v>-400.76010000000002</v>
      </c>
      <c r="H1967" s="1">
        <v>-6.441804E-6</v>
      </c>
      <c r="I1967">
        <v>24.492899999999999</v>
      </c>
      <c r="J1967">
        <v>-408.79090000000002</v>
      </c>
      <c r="K1967">
        <v>1.1116239999999999</v>
      </c>
      <c r="L1967">
        <v>29.208369999999999</v>
      </c>
      <c r="M1967">
        <v>0.71905240000000004</v>
      </c>
      <c r="N1967">
        <v>0</v>
      </c>
      <c r="O1967">
        <v>-0.69484880000000004</v>
      </c>
      <c r="P1967">
        <v>0.78466320000000001</v>
      </c>
      <c r="Q1967">
        <v>0.12642619999999999</v>
      </c>
      <c r="R1967">
        <v>-0.60689389999999999</v>
      </c>
      <c r="S1967">
        <v>2.6638489999999999</v>
      </c>
      <c r="T1967">
        <v>-0.36252079999999998</v>
      </c>
      <c r="U1967">
        <v>-1.578217</v>
      </c>
      <c r="V1967">
        <v>-0.1113524</v>
      </c>
      <c r="W1967">
        <v>0.13643949999999999</v>
      </c>
      <c r="X1967">
        <v>0.98437030000000003</v>
      </c>
      <c r="Y1967">
        <v>-0.22630649999999999</v>
      </c>
      <c r="Z1967">
        <v>9.0579969999999996E-2</v>
      </c>
      <c r="AA1967">
        <v>0.96983529999999996</v>
      </c>
      <c r="AB1967">
        <v>27</v>
      </c>
      <c r="AC1967">
        <v>8.0307999999999993</v>
      </c>
      <c r="AD1967">
        <v>-1.1116304418039999</v>
      </c>
      <c r="AE1967">
        <v>-4.7154699999999998</v>
      </c>
      <c r="AF1967">
        <v>-2.15892423743436</v>
      </c>
      <c r="AG1967">
        <v>-1.1116304418039999</v>
      </c>
      <c r="AH1967">
        <v>8.9246199659372092</v>
      </c>
      <c r="AI1967">
        <v>96.902963793920193</v>
      </c>
      <c r="AJ1967">
        <v>103.598977669161</v>
      </c>
      <c r="AK1967">
        <v>9.2490819889614908</v>
      </c>
      <c r="AL1967">
        <v>82.158132489562405</v>
      </c>
      <c r="AM1967">
        <v>96.453888527115694</v>
      </c>
      <c r="AN1967">
        <v>0.99999999083405</v>
      </c>
    </row>
    <row r="1968" spans="1:40" x14ac:dyDescent="0.3">
      <c r="A1968" t="str">
        <f>"20200111150356091"</f>
        <v>20200111150356091</v>
      </c>
      <c r="B1968" t="str">
        <f>"1578726236080559"</f>
        <v>1578726236080559</v>
      </c>
      <c r="C1968" t="s">
        <v>40</v>
      </c>
      <c r="D1968">
        <v>5.2875839999999998</v>
      </c>
      <c r="E1968">
        <v>0.45114530000000003</v>
      </c>
      <c r="F1968" t="s">
        <v>72</v>
      </c>
      <c r="G1968">
        <v>-400.529</v>
      </c>
      <c r="H1968" s="1">
        <v>-6.5054840000000002E-6</v>
      </c>
      <c r="I1968">
        <v>24.37115</v>
      </c>
      <c r="J1968">
        <v>-408.6857</v>
      </c>
      <c r="K1968">
        <v>1.111632</v>
      </c>
      <c r="L1968">
        <v>29.11459</v>
      </c>
      <c r="M1968">
        <v>0.72299859999999905</v>
      </c>
      <c r="N1968">
        <v>0</v>
      </c>
      <c r="O1968">
        <v>-0.69074179999999996</v>
      </c>
      <c r="P1968">
        <v>0.78776599999999997</v>
      </c>
      <c r="Q1968">
        <v>0.12703110000000001</v>
      </c>
      <c r="R1968">
        <v>-0.60273399999999999</v>
      </c>
      <c r="S1968">
        <v>2.6714479999999998</v>
      </c>
      <c r="T1968">
        <v>-0.35943900000000001</v>
      </c>
      <c r="U1968">
        <v>-1.564087</v>
      </c>
      <c r="V1968">
        <v>-0.11089839999999999</v>
      </c>
      <c r="W1968">
        <v>0.13705400000000001</v>
      </c>
      <c r="X1968">
        <v>0.98433619999999999</v>
      </c>
      <c r="Y1968">
        <v>-0.2258897</v>
      </c>
      <c r="Z1968">
        <v>8.9396290000000003E-2</v>
      </c>
      <c r="AA1968">
        <v>0.97004230000000002</v>
      </c>
      <c r="AB1968">
        <v>27</v>
      </c>
      <c r="AC1968">
        <v>8.1567000000000007</v>
      </c>
      <c r="AD1968">
        <v>-1.1116385054839999</v>
      </c>
      <c r="AE1968">
        <v>-4.7434399999999997</v>
      </c>
      <c r="AF1968">
        <v>-2.1746535828162301</v>
      </c>
      <c r="AG1968">
        <v>-1.1116385054839999</v>
      </c>
      <c r="AH1968">
        <v>9.0488617307708701</v>
      </c>
      <c r="AI1968">
        <v>96.811564031610004</v>
      </c>
      <c r="AJ1968">
        <v>103.513254469339</v>
      </c>
      <c r="AK1968">
        <v>9.3726600810410101</v>
      </c>
      <c r="AL1968">
        <v>82.122590457716797</v>
      </c>
      <c r="AM1968">
        <v>96.428016565416399</v>
      </c>
      <c r="AN1968">
        <v>1.0000000043344901</v>
      </c>
    </row>
    <row r="1969" spans="1:40" x14ac:dyDescent="0.3">
      <c r="A1969" t="str">
        <f>"20200111150356103"</f>
        <v>20200111150356103</v>
      </c>
      <c r="B1969" t="str">
        <f>"1578726236100079"</f>
        <v>1578726236100079</v>
      </c>
      <c r="C1969" t="s">
        <v>40</v>
      </c>
      <c r="D1969">
        <v>5.3822510000000001</v>
      </c>
      <c r="E1969">
        <v>0.45173770000000002</v>
      </c>
      <c r="F1969" t="s">
        <v>72</v>
      </c>
      <c r="G1969">
        <v>-400.34089999999998</v>
      </c>
      <c r="H1969" s="1">
        <v>-6.5571950000000002E-6</v>
      </c>
      <c r="I1969">
        <v>24.27122</v>
      </c>
      <c r="J1969">
        <v>-408.5754</v>
      </c>
      <c r="K1969">
        <v>1.1116360000000001</v>
      </c>
      <c r="L1969">
        <v>29.017700000000001</v>
      </c>
      <c r="M1969">
        <v>0.72708390000000001</v>
      </c>
      <c r="N1969">
        <v>0</v>
      </c>
      <c r="O1969">
        <v>-0.68643999999999905</v>
      </c>
      <c r="P1969">
        <v>0.79117179999999998</v>
      </c>
      <c r="Q1969">
        <v>0.1277866</v>
      </c>
      <c r="R1969">
        <v>-0.59809509999999999</v>
      </c>
      <c r="S1969">
        <v>2.6770019999999999</v>
      </c>
      <c r="T1969">
        <v>-0.35661090000000001</v>
      </c>
      <c r="U1969">
        <v>-1.553741</v>
      </c>
      <c r="V1969">
        <v>-0.1107726</v>
      </c>
      <c r="W1969">
        <v>0.13781399999999999</v>
      </c>
      <c r="X1969">
        <v>0.98424420000000001</v>
      </c>
      <c r="Y1969">
        <v>-0.2238967</v>
      </c>
      <c r="Z1969">
        <v>8.8186390000000003E-2</v>
      </c>
      <c r="AA1969">
        <v>0.97061500000000001</v>
      </c>
      <c r="AB1969">
        <v>27</v>
      </c>
      <c r="AC1969">
        <v>8.2345000000000201</v>
      </c>
      <c r="AD1969">
        <v>-1.1116425571949999</v>
      </c>
      <c r="AE1969">
        <v>-4.74648</v>
      </c>
      <c r="AF1969">
        <v>-2.1718553317592502</v>
      </c>
      <c r="AG1969">
        <v>-1.1116425571949999</v>
      </c>
      <c r="AH1969">
        <v>9.1212615611392796</v>
      </c>
      <c r="AI1969">
        <v>96.761379321912997</v>
      </c>
      <c r="AJ1969">
        <v>103.39324907738199</v>
      </c>
      <c r="AK1969">
        <v>9.4419339768807493</v>
      </c>
      <c r="AL1969">
        <v>82.078628123780206</v>
      </c>
      <c r="AM1969">
        <v>96.421380890385706</v>
      </c>
      <c r="AN1969">
        <v>0.99999995637019901</v>
      </c>
    </row>
    <row r="1970" spans="1:40" x14ac:dyDescent="0.3">
      <c r="A1970" t="str">
        <f>"20200111150356116"</f>
        <v>20200111150356116</v>
      </c>
      <c r="B1970" t="str">
        <f>"1578726236110816"</f>
        <v>1578726236110816</v>
      </c>
      <c r="C1970" t="s">
        <v>40</v>
      </c>
      <c r="D1970">
        <v>5.3704049999999999</v>
      </c>
      <c r="E1970">
        <v>0.45216339999999999</v>
      </c>
      <c r="F1970" t="s">
        <v>72</v>
      </c>
      <c r="G1970">
        <v>-400.16059999999999</v>
      </c>
      <c r="H1970" s="1">
        <v>-6.6075160000000003E-6</v>
      </c>
      <c r="I1970">
        <v>24.182030000000001</v>
      </c>
      <c r="J1970">
        <v>-408.4658</v>
      </c>
      <c r="K1970">
        <v>1.111639</v>
      </c>
      <c r="L1970">
        <v>28.922550000000001</v>
      </c>
      <c r="M1970">
        <v>0.73109429999999997</v>
      </c>
      <c r="N1970">
        <v>0</v>
      </c>
      <c r="O1970">
        <v>-0.68216739999999998</v>
      </c>
      <c r="P1970">
        <v>0.79457900000000004</v>
      </c>
      <c r="Q1970">
        <v>0.12887670000000001</v>
      </c>
      <c r="R1970">
        <v>-0.59332569999999996</v>
      </c>
      <c r="S1970">
        <v>2.683411</v>
      </c>
      <c r="T1970">
        <v>-0.35449350000000002</v>
      </c>
      <c r="U1970">
        <v>-1.5420529999999999</v>
      </c>
      <c r="V1970">
        <v>-0.11082500000000001</v>
      </c>
      <c r="W1970">
        <v>0.138903</v>
      </c>
      <c r="X1970">
        <v>0.98408530000000005</v>
      </c>
      <c r="Y1970">
        <v>-0.2224515</v>
      </c>
      <c r="Z1970">
        <v>8.7179370000000006E-2</v>
      </c>
      <c r="AA1970">
        <v>0.97103819999999996</v>
      </c>
      <c r="AB1970">
        <v>27</v>
      </c>
      <c r="AC1970">
        <v>8.3052000000000099</v>
      </c>
      <c r="AD1970">
        <v>-1.1116456075159999</v>
      </c>
      <c r="AE1970">
        <v>-4.7405200000000001</v>
      </c>
      <c r="AF1970">
        <v>-2.17060166654568</v>
      </c>
      <c r="AG1970">
        <v>-1.1116456075159999</v>
      </c>
      <c r="AH1970">
        <v>9.1823233660404</v>
      </c>
      <c r="AI1970">
        <v>96.719418617715903</v>
      </c>
      <c r="AJ1970">
        <v>103.299955100199</v>
      </c>
      <c r="AK1970">
        <v>9.5006489225763993</v>
      </c>
      <c r="AL1970">
        <v>82.015627842446904</v>
      </c>
      <c r="AM1970">
        <v>96.425421748184604</v>
      </c>
      <c r="AN1970">
        <v>1.00000005085504</v>
      </c>
    </row>
    <row r="1971" spans="1:40" x14ac:dyDescent="0.3">
      <c r="A1971" t="str">
        <f>"20200111150356130"</f>
        <v>20200111150356130</v>
      </c>
      <c r="B1971" t="str">
        <f>"1578726236120575"</f>
        <v>1578726236120575</v>
      </c>
      <c r="C1971" t="s">
        <v>40</v>
      </c>
      <c r="D1971">
        <v>5.3376729999999997</v>
      </c>
      <c r="E1971">
        <v>0.45235959999999997</v>
      </c>
      <c r="F1971" t="s">
        <v>72</v>
      </c>
      <c r="G1971">
        <v>-400.00080000000003</v>
      </c>
      <c r="H1971" s="1">
        <v>-6.65320399999999E-6</v>
      </c>
      <c r="I1971">
        <v>24.112670000000001</v>
      </c>
      <c r="J1971">
        <v>-408.34440000000001</v>
      </c>
      <c r="K1971">
        <v>1.1116440000000001</v>
      </c>
      <c r="L1971">
        <v>28.818049999999999</v>
      </c>
      <c r="M1971">
        <v>0.73548800000000003</v>
      </c>
      <c r="N1971">
        <v>0</v>
      </c>
      <c r="O1971">
        <v>-0.67742789999999997</v>
      </c>
      <c r="P1971">
        <v>0.79860929999999997</v>
      </c>
      <c r="Q1971">
        <v>0.1299942</v>
      </c>
      <c r="R1971">
        <v>-0.58764369999999999</v>
      </c>
      <c r="S1971">
        <v>2.691071</v>
      </c>
      <c r="T1971">
        <v>-0.35339809999999999</v>
      </c>
      <c r="U1971">
        <v>-1.529083</v>
      </c>
      <c r="V1971">
        <v>-0.1113823</v>
      </c>
      <c r="W1971">
        <v>0.14001069999999999</v>
      </c>
      <c r="X1971">
        <v>0.98386530000000005</v>
      </c>
      <c r="Y1971">
        <v>-0.22093960000000001</v>
      </c>
      <c r="Z1971">
        <v>8.6359889999999995E-2</v>
      </c>
      <c r="AA1971">
        <v>0.97145649999999995</v>
      </c>
      <c r="AB1971">
        <v>27</v>
      </c>
      <c r="AC1971">
        <v>8.3435999999999808</v>
      </c>
      <c r="AD1971">
        <v>-1.111650653204</v>
      </c>
      <c r="AE1971">
        <v>-4.7053799999999901</v>
      </c>
      <c r="AF1971">
        <v>-2.1624759277018102</v>
      </c>
      <c r="AG1971">
        <v>-1.111650653204</v>
      </c>
      <c r="AH1971">
        <v>9.2009495900922502</v>
      </c>
      <c r="AI1971">
        <v>96.707990914247205</v>
      </c>
      <c r="AJ1971">
        <v>103.226042868909</v>
      </c>
      <c r="AK1971">
        <v>9.5168031750203603</v>
      </c>
      <c r="AL1971">
        <v>81.951534352217905</v>
      </c>
      <c r="AM1971">
        <v>96.458892428599896</v>
      </c>
      <c r="AN1971">
        <v>0.99999997070593405</v>
      </c>
    </row>
    <row r="1972" spans="1:40" x14ac:dyDescent="0.3">
      <c r="A1972" t="str">
        <f>"20200111150356143"</f>
        <v>20200111150356143</v>
      </c>
      <c r="B1972" t="str">
        <f>"1578726236140095"</f>
        <v>1578726236140095</v>
      </c>
      <c r="C1972" t="s">
        <v>40</v>
      </c>
      <c r="D1972">
        <v>5.3635910000000004</v>
      </c>
      <c r="E1972">
        <v>0.4531944</v>
      </c>
      <c r="F1972" t="s">
        <v>41</v>
      </c>
      <c r="G1972">
        <v>-399.7765</v>
      </c>
      <c r="H1972" s="1">
        <v>-1.2587929999999999E-6</v>
      </c>
      <c r="I1972">
        <v>24.023510000000002</v>
      </c>
      <c r="J1972">
        <v>-408.22390000000001</v>
      </c>
      <c r="K1972">
        <v>1.1116429999999999</v>
      </c>
      <c r="L1972">
        <v>28.71613</v>
      </c>
      <c r="M1972">
        <v>0.73978269999999902</v>
      </c>
      <c r="N1972">
        <v>0</v>
      </c>
      <c r="O1972">
        <v>-0.67273499999999997</v>
      </c>
      <c r="P1972">
        <v>0.80241640000000003</v>
      </c>
      <c r="Q1972">
        <v>0.13049669999999999</v>
      </c>
      <c r="R1972">
        <v>-0.58232159999999999</v>
      </c>
      <c r="S1972">
        <v>2.701263</v>
      </c>
      <c r="T1972">
        <v>-0.3504736</v>
      </c>
      <c r="U1972">
        <v>-1.5115970000000001</v>
      </c>
      <c r="V1972">
        <v>-0.1116182</v>
      </c>
      <c r="W1972">
        <v>0.1405102</v>
      </c>
      <c r="X1972">
        <v>0.98376739999999996</v>
      </c>
      <c r="Y1972">
        <v>-0.2211919</v>
      </c>
      <c r="Z1972">
        <v>8.5181399999999893E-2</v>
      </c>
      <c r="AA1972">
        <v>0.97150309999999995</v>
      </c>
      <c r="AB1972">
        <v>27</v>
      </c>
      <c r="AC1972">
        <v>8.4474000000000107</v>
      </c>
      <c r="AD1972">
        <v>-1.111644258793</v>
      </c>
      <c r="AE1972">
        <v>-4.69261999999999</v>
      </c>
      <c r="AF1972">
        <v>-2.1826233220461999</v>
      </c>
      <c r="AG1972">
        <v>-1.111644258793</v>
      </c>
      <c r="AH1972">
        <v>9.2839704822869091</v>
      </c>
      <c r="AI1972">
        <v>96.648406528146495</v>
      </c>
      <c r="AJ1972">
        <v>103.22975775086201</v>
      </c>
      <c r="AK1972">
        <v>9.6016511830008699</v>
      </c>
      <c r="AL1972">
        <v>81.922629758421706</v>
      </c>
      <c r="AM1972">
        <v>96.473094597511405</v>
      </c>
      <c r="AN1972">
        <v>1.0000000180890101</v>
      </c>
    </row>
    <row r="1973" spans="1:40" x14ac:dyDescent="0.3">
      <c r="A1973" t="str">
        <f>"20200111150356159"</f>
        <v>20200111150356159</v>
      </c>
      <c r="B1973" t="str">
        <f>"1578726236150831"</f>
        <v>1578726236150831</v>
      </c>
      <c r="C1973" t="s">
        <v>40</v>
      </c>
      <c r="D1973">
        <v>5.4705700000000004</v>
      </c>
      <c r="E1973">
        <v>0.4534185</v>
      </c>
      <c r="F1973" t="s">
        <v>41</v>
      </c>
      <c r="G1973">
        <v>-399.74590000000001</v>
      </c>
      <c r="H1973" s="1">
        <v>-1.272825E-6</v>
      </c>
      <c r="I1973">
        <v>24.02197</v>
      </c>
      <c r="J1973">
        <v>-408.08429999999998</v>
      </c>
      <c r="K1973">
        <v>1.1116360000000001</v>
      </c>
      <c r="L1973">
        <v>28.599550000000001</v>
      </c>
      <c r="M1973">
        <v>0.74468959999999995</v>
      </c>
      <c r="N1973">
        <v>0</v>
      </c>
      <c r="O1973">
        <v>-0.66729930000000004</v>
      </c>
      <c r="P1973">
        <v>0.80723140000000004</v>
      </c>
      <c r="Q1973">
        <v>0.13122890000000001</v>
      </c>
      <c r="R1973">
        <v>-0.57546229999999998</v>
      </c>
      <c r="S1973">
        <v>2.708221</v>
      </c>
      <c r="T1973">
        <v>-0.35510560000000002</v>
      </c>
      <c r="U1973">
        <v>-1.499512</v>
      </c>
      <c r="V1973">
        <v>-0.1127329</v>
      </c>
      <c r="W1973">
        <v>0.14122170000000001</v>
      </c>
      <c r="X1973">
        <v>0.98353840000000003</v>
      </c>
      <c r="Y1973">
        <v>-0.21834700000000001</v>
      </c>
      <c r="Z1973">
        <v>8.5609770000000002E-2</v>
      </c>
      <c r="AA1973">
        <v>0.9721088</v>
      </c>
      <c r="AB1973">
        <v>27</v>
      </c>
      <c r="AC1973">
        <v>8.3383999999999698</v>
      </c>
      <c r="AD1973">
        <v>-1.1116372728249999</v>
      </c>
      <c r="AE1973">
        <v>-4.5775800000000002</v>
      </c>
      <c r="AF1973">
        <v>-2.1264517384718902</v>
      </c>
      <c r="AG1973">
        <v>-1.1116372728249999</v>
      </c>
      <c r="AH1973">
        <v>9.14000025593689</v>
      </c>
      <c r="AI1973">
        <v>96.755752720261995</v>
      </c>
      <c r="AJ1973">
        <v>103.097068574597</v>
      </c>
      <c r="AK1973">
        <v>9.4497163502885293</v>
      </c>
      <c r="AL1973">
        <v>81.881453322267404</v>
      </c>
      <c r="AM1973">
        <v>96.538691654403607</v>
      </c>
      <c r="AN1973">
        <v>1.00000002978392</v>
      </c>
    </row>
    <row r="1974" spans="1:40" x14ac:dyDescent="0.3">
      <c r="A1974" t="str">
        <f>"20200111150356180"</f>
        <v>20200111150356180</v>
      </c>
      <c r="B1974" t="str">
        <f>"1578726236170350"</f>
        <v>1578726236170350</v>
      </c>
      <c r="C1974" t="s">
        <v>40</v>
      </c>
      <c r="D1974">
        <v>5.3435600000000001</v>
      </c>
      <c r="E1974">
        <v>0.45424720000000002</v>
      </c>
      <c r="F1974" t="s">
        <v>41</v>
      </c>
      <c r="G1974">
        <v>-399.69630000000001</v>
      </c>
      <c r="H1974" s="1">
        <v>-1.300673E-6</v>
      </c>
      <c r="I1974">
        <v>24.038440000000001</v>
      </c>
      <c r="J1974">
        <v>-407.89049999999997</v>
      </c>
      <c r="K1974">
        <v>1.111629</v>
      </c>
      <c r="L1974">
        <v>28.44049</v>
      </c>
      <c r="M1974">
        <v>0.75137529999999997</v>
      </c>
      <c r="N1974">
        <v>0</v>
      </c>
      <c r="O1974">
        <v>-0.65976199999999996</v>
      </c>
      <c r="P1974">
        <v>0.8130946</v>
      </c>
      <c r="Q1974">
        <v>0.1302035</v>
      </c>
      <c r="R1974">
        <v>-0.56738379999999999</v>
      </c>
      <c r="S1974">
        <v>2.7204899999999999</v>
      </c>
      <c r="T1974">
        <v>-0.36053839999999998</v>
      </c>
      <c r="U1974">
        <v>-1.479309</v>
      </c>
      <c r="V1974">
        <v>-0.1127204</v>
      </c>
      <c r="W1974">
        <v>0.14020099999999999</v>
      </c>
      <c r="X1974">
        <v>0.98368580000000005</v>
      </c>
      <c r="Y1974">
        <v>-0.2158427</v>
      </c>
      <c r="Z1974">
        <v>8.598037E-2</v>
      </c>
      <c r="AA1974">
        <v>0.97263529999999998</v>
      </c>
      <c r="AB1974">
        <v>27</v>
      </c>
      <c r="AC1974">
        <v>8.1941999999999595</v>
      </c>
      <c r="AD1974">
        <v>-1.1116303006729999</v>
      </c>
      <c r="AE1974">
        <v>-4.40205</v>
      </c>
      <c r="AF1974">
        <v>-2.0692339570560101</v>
      </c>
      <c r="AG1974">
        <v>-1.1116303006729999</v>
      </c>
      <c r="AH1974">
        <v>8.9343013199219694</v>
      </c>
      <c r="AI1974">
        <v>96.911343260261901</v>
      </c>
      <c r="AJ1974">
        <v>103.04010434368401</v>
      </c>
      <c r="AK1974">
        <v>9.2379213662797302</v>
      </c>
      <c r="AL1974">
        <v>81.940522432397003</v>
      </c>
      <c r="AM1974">
        <v>96.537001711948804</v>
      </c>
      <c r="AN1974">
        <v>0.99999998104939902</v>
      </c>
    </row>
    <row r="1975" spans="1:40" x14ac:dyDescent="0.3">
      <c r="A1975" t="str">
        <f>"20200111150356192"</f>
        <v>20200111150356192</v>
      </c>
      <c r="B1975" t="str">
        <f>"1578726236180113"</f>
        <v>1578726236180113</v>
      </c>
      <c r="C1975" t="s">
        <v>40</v>
      </c>
      <c r="D1975">
        <v>5.3282040000000004</v>
      </c>
      <c r="E1975">
        <v>0.4548181</v>
      </c>
      <c r="F1975" t="s">
        <v>41</v>
      </c>
      <c r="G1975">
        <v>-399.67959999999999</v>
      </c>
      <c r="H1975" s="1">
        <v>-1.3146289999999901E-6</v>
      </c>
      <c r="I1975">
        <v>24.061240000000002</v>
      </c>
      <c r="J1975">
        <v>-407.78019999999998</v>
      </c>
      <c r="K1975">
        <v>1.111626</v>
      </c>
      <c r="L1975">
        <v>28.351199999999999</v>
      </c>
      <c r="M1975">
        <v>0.7551234</v>
      </c>
      <c r="N1975">
        <v>0</v>
      </c>
      <c r="O1975">
        <v>-0.65546859999999996</v>
      </c>
      <c r="P1975">
        <v>0.81614149999999996</v>
      </c>
      <c r="Q1975">
        <v>0.12956419999999999</v>
      </c>
      <c r="R1975">
        <v>-0.56313959999999996</v>
      </c>
      <c r="S1975">
        <v>2.732056</v>
      </c>
      <c r="T1975">
        <v>-0.36987730000000002</v>
      </c>
      <c r="U1975">
        <v>-1.4571229999999999</v>
      </c>
      <c r="V1975">
        <v>-0.1122928</v>
      </c>
      <c r="W1975">
        <v>0.139573</v>
      </c>
      <c r="X1975">
        <v>0.98382400000000003</v>
      </c>
      <c r="Y1975">
        <v>-0.21789839999999999</v>
      </c>
      <c r="Z1975">
        <v>8.7831989999999999E-2</v>
      </c>
      <c r="AA1975">
        <v>0.97201119999999996</v>
      </c>
      <c r="AB1975">
        <v>27</v>
      </c>
      <c r="AC1975">
        <v>8.1005999999999805</v>
      </c>
      <c r="AD1975">
        <v>-1.1116273146289899</v>
      </c>
      <c r="AE1975">
        <v>-4.2899599999999998</v>
      </c>
      <c r="AF1975">
        <v>-2.04038705978336</v>
      </c>
      <c r="AG1975">
        <v>-1.1116273146289899</v>
      </c>
      <c r="AH1975">
        <v>8.8001328204935891</v>
      </c>
      <c r="AI1975">
        <v>97.015267336522001</v>
      </c>
      <c r="AJ1975">
        <v>103.053866620382</v>
      </c>
      <c r="AK1975">
        <v>9.1017158985923707</v>
      </c>
      <c r="AL1975">
        <v>81.976861472367801</v>
      </c>
      <c r="AM1975">
        <v>96.511510348965103</v>
      </c>
      <c r="AN1975">
        <v>0.99999997911841898</v>
      </c>
    </row>
    <row r="1976" spans="1:40" x14ac:dyDescent="0.3">
      <c r="A1976" t="str">
        <f>"20200111150356205"</f>
        <v>20200111150356205</v>
      </c>
      <c r="B1976" t="str">
        <f>"1578726236200608"</f>
        <v>1578726236200608</v>
      </c>
      <c r="C1976" t="s">
        <v>40</v>
      </c>
      <c r="D1976">
        <v>5.3049720000000002</v>
      </c>
      <c r="E1976">
        <v>0.45371479999999997</v>
      </c>
      <c r="F1976" t="s">
        <v>41</v>
      </c>
      <c r="G1976">
        <v>-399.61279999999999</v>
      </c>
      <c r="H1976" s="1">
        <v>-1.3396879999999999E-6</v>
      </c>
      <c r="I1976">
        <v>24.036819999999999</v>
      </c>
      <c r="J1976">
        <v>-407.66039999999998</v>
      </c>
      <c r="K1976">
        <v>1.111623</v>
      </c>
      <c r="L1976">
        <v>28.255579999999998</v>
      </c>
      <c r="M1976">
        <v>0.75913710000000001</v>
      </c>
      <c r="N1976">
        <v>0</v>
      </c>
      <c r="O1976">
        <v>-0.65081639999999996</v>
      </c>
      <c r="P1976">
        <v>0.81943509999999997</v>
      </c>
      <c r="Q1976">
        <v>0.12866730000000001</v>
      </c>
      <c r="R1976">
        <v>-0.55854369999999998</v>
      </c>
      <c r="S1976">
        <v>2.7372740000000002</v>
      </c>
      <c r="T1976">
        <v>-0.37255899999999997</v>
      </c>
      <c r="U1976">
        <v>-1.445953</v>
      </c>
      <c r="V1976">
        <v>-0.1118504</v>
      </c>
      <c r="W1976">
        <v>0.1386877</v>
      </c>
      <c r="X1976">
        <v>0.98399959999999997</v>
      </c>
      <c r="Y1976">
        <v>-0.21573139999999999</v>
      </c>
      <c r="Z1976">
        <v>8.7875670000000003E-2</v>
      </c>
      <c r="AA1976">
        <v>0.97249050000000004</v>
      </c>
      <c r="AB1976">
        <v>27</v>
      </c>
      <c r="AC1976">
        <v>8.0475999999999797</v>
      </c>
      <c r="AD1976">
        <v>-1.1116243396879999</v>
      </c>
      <c r="AE1976">
        <v>-4.2187599999999899</v>
      </c>
      <c r="AF1976">
        <v>-2.0050348135252598</v>
      </c>
      <c r="AG1976">
        <v>-1.1116243396879999</v>
      </c>
      <c r="AH1976">
        <v>8.7249422732129407</v>
      </c>
      <c r="AI1976">
        <v>97.078248030916697</v>
      </c>
      <c r="AJ1976">
        <v>102.942149321215</v>
      </c>
      <c r="AK1976">
        <v>9.0211136201099507</v>
      </c>
      <c r="AL1976">
        <v>82.028083790698901</v>
      </c>
      <c r="AM1976">
        <v>96.484928365199906</v>
      </c>
      <c r="AN1976">
        <v>1.0000000014557999</v>
      </c>
    </row>
    <row r="1977" spans="1:40" x14ac:dyDescent="0.3">
      <c r="A1977" t="str">
        <f>"20200111150356218"</f>
        <v>20200111150356218</v>
      </c>
      <c r="B1977" t="str">
        <f>"1578726236210367"</f>
        <v>1578726236210367</v>
      </c>
      <c r="C1977" t="s">
        <v>40</v>
      </c>
      <c r="D1977">
        <v>5.3113989999999998</v>
      </c>
      <c r="E1977">
        <v>0.45371479999999997</v>
      </c>
      <c r="F1977" t="s">
        <v>41</v>
      </c>
      <c r="G1977">
        <v>-399.59739999999999</v>
      </c>
      <c r="H1977" s="1">
        <v>-1.359683E-6</v>
      </c>
      <c r="I1977">
        <v>24.084579999999999</v>
      </c>
      <c r="J1977">
        <v>-407.54169999999999</v>
      </c>
      <c r="K1977">
        <v>1.1116189999999999</v>
      </c>
      <c r="L1977">
        <v>28.162109999999998</v>
      </c>
      <c r="M1977">
        <v>0.76306490000000005</v>
      </c>
      <c r="N1977">
        <v>0</v>
      </c>
      <c r="O1977">
        <v>-0.64620630000000001</v>
      </c>
      <c r="P1977">
        <v>0.82266289999999997</v>
      </c>
      <c r="Q1977">
        <v>0.1280464</v>
      </c>
      <c r="R1977">
        <v>-0.55392219999999903</v>
      </c>
      <c r="S1977">
        <v>2.750702</v>
      </c>
      <c r="T1977">
        <v>-0.3792316</v>
      </c>
      <c r="U1977">
        <v>-1.4229430000000001</v>
      </c>
      <c r="V1977">
        <v>-0.11147899999999999</v>
      </c>
      <c r="W1977">
        <v>0.13807510000000001</v>
      </c>
      <c r="X1977">
        <v>0.98412790000000006</v>
      </c>
      <c r="Y1977">
        <v>-0.2180134</v>
      </c>
      <c r="Z1977">
        <v>8.9001479999999994E-2</v>
      </c>
      <c r="AA1977">
        <v>0.9718791</v>
      </c>
      <c r="AB1977">
        <v>27</v>
      </c>
      <c r="AC1977">
        <v>7.9442999999999904</v>
      </c>
      <c r="AD1977">
        <v>-1.1116203596830001</v>
      </c>
      <c r="AE1977">
        <v>-4.0775299999999897</v>
      </c>
      <c r="AF1977">
        <v>-1.9915251347665299</v>
      </c>
      <c r="AG1977">
        <v>-1.1116203596830001</v>
      </c>
      <c r="AH1977">
        <v>8.5648622711167199</v>
      </c>
      <c r="AI1977">
        <v>97.204884924016895</v>
      </c>
      <c r="AJ1977">
        <v>103.08996818433</v>
      </c>
      <c r="AK1977">
        <v>8.8633367255039701</v>
      </c>
      <c r="AL1977">
        <v>82.063524242275093</v>
      </c>
      <c r="AM1977">
        <v>96.462742122010297</v>
      </c>
      <c r="AN1977">
        <v>1.0000000121197099</v>
      </c>
    </row>
    <row r="1978" spans="1:40" x14ac:dyDescent="0.3">
      <c r="A1978" t="str">
        <f>"20200111150356231"</f>
        <v>20200111150356231</v>
      </c>
      <c r="B1978" t="str">
        <f>"1578726236220127"</f>
        <v>1578726236220127</v>
      </c>
      <c r="C1978" t="s">
        <v>40</v>
      </c>
      <c r="D1978">
        <v>5.1630580000000004</v>
      </c>
      <c r="E1978">
        <v>0.4167148</v>
      </c>
      <c r="F1978" t="s">
        <v>41</v>
      </c>
      <c r="G1978">
        <v>-399.50240000000002</v>
      </c>
      <c r="H1978" s="1">
        <v>-1.3978599999999999E-6</v>
      </c>
      <c r="I1978">
        <v>24.05939</v>
      </c>
      <c r="J1978">
        <v>-407.42009999999999</v>
      </c>
      <c r="K1978">
        <v>1.111613</v>
      </c>
      <c r="L1978">
        <v>28.067260000000001</v>
      </c>
      <c r="M1978">
        <v>0.76704059999999996</v>
      </c>
      <c r="N1978">
        <v>0</v>
      </c>
      <c r="O1978">
        <v>-0.64148240000000001</v>
      </c>
      <c r="P1978">
        <v>0.82599259999999997</v>
      </c>
      <c r="Q1978">
        <v>0.12801290000000001</v>
      </c>
      <c r="R1978">
        <v>-0.54895289999999997</v>
      </c>
      <c r="S1978">
        <v>2.75827</v>
      </c>
      <c r="T1978">
        <v>-0.3813994</v>
      </c>
      <c r="U1978">
        <v>-1.407654</v>
      </c>
      <c r="V1978">
        <v>-0.1113369</v>
      </c>
      <c r="W1978">
        <v>0.1380421</v>
      </c>
      <c r="X1978">
        <v>0.98414860000000004</v>
      </c>
      <c r="Y1978">
        <v>-0.21731529999999999</v>
      </c>
      <c r="Z1978">
        <v>8.8955220000000002E-2</v>
      </c>
      <c r="AA1978">
        <v>0.9720396</v>
      </c>
      <c r="AB1978">
        <v>27</v>
      </c>
      <c r="AC1978">
        <v>7.91769999999996</v>
      </c>
      <c r="AD1978">
        <v>-1.1116143978599999</v>
      </c>
      <c r="AE1978">
        <v>-4.0078699999999898</v>
      </c>
      <c r="AF1978">
        <v>-1.9740415987584901</v>
      </c>
      <c r="AG1978">
        <v>-1.1116143978599999</v>
      </c>
      <c r="AH1978">
        <v>8.5112722086444794</v>
      </c>
      <c r="AI1978">
        <v>97.250662559143507</v>
      </c>
      <c r="AJ1978">
        <v>103.057887209116</v>
      </c>
      <c r="AK1978">
        <v>8.8076263211379793</v>
      </c>
      <c r="AL1978">
        <v>82.065433161324904</v>
      </c>
      <c r="AM1978">
        <v>96.454439145318403</v>
      </c>
      <c r="AN1978">
        <v>0.99999999677799001</v>
      </c>
    </row>
    <row r="1979" spans="1:40" x14ac:dyDescent="0.3">
      <c r="A1979" t="str">
        <f>"20200111150356248"</f>
        <v>20200111150356248</v>
      </c>
      <c r="B1979" t="str">
        <f>"1578726236240623"</f>
        <v>1578726236240623</v>
      </c>
      <c r="C1979" t="s">
        <v>40</v>
      </c>
      <c r="D1979">
        <v>5.2768100000000002</v>
      </c>
      <c r="E1979">
        <v>0.41248580000000001</v>
      </c>
      <c r="F1979" t="s">
        <v>41</v>
      </c>
      <c r="G1979">
        <v>-397.25420000000003</v>
      </c>
      <c r="H1979" s="1">
        <v>-2.4706940000000002E-6</v>
      </c>
      <c r="I1979">
        <v>24.09723</v>
      </c>
      <c r="J1979">
        <v>-407.26159999999999</v>
      </c>
      <c r="K1979">
        <v>1.1116060000000001</v>
      </c>
      <c r="L1979">
        <v>27.945430000000002</v>
      </c>
      <c r="M1979">
        <v>0.77214649999999996</v>
      </c>
      <c r="N1979">
        <v>0</v>
      </c>
      <c r="O1979">
        <v>-0.63532719999999998</v>
      </c>
      <c r="P1979">
        <v>0.82990929999999996</v>
      </c>
      <c r="Q1979">
        <v>0.12725330000000001</v>
      </c>
      <c r="R1979">
        <v>-0.54319169999999894</v>
      </c>
      <c r="S1979">
        <v>2.9229430000000001</v>
      </c>
      <c r="T1979">
        <v>-0.31961620000000002</v>
      </c>
      <c r="U1979">
        <v>-1.1414789999999999</v>
      </c>
      <c r="V1979">
        <v>-0.11037180000000001</v>
      </c>
      <c r="W1979">
        <v>0.13729729999999901</v>
      </c>
      <c r="X1979">
        <v>0.9843615</v>
      </c>
      <c r="Y1979">
        <v>-0.30675079999999999</v>
      </c>
      <c r="Z1979">
        <v>7.6825089999999999E-2</v>
      </c>
      <c r="AA1979">
        <v>0.94868430000000004</v>
      </c>
      <c r="AB1979">
        <v>27</v>
      </c>
      <c r="AC1979">
        <v>10.007399999999899</v>
      </c>
      <c r="AD1979">
        <v>-1.1116084706939999</v>
      </c>
      <c r="AE1979">
        <v>-3.8481999999999998</v>
      </c>
      <c r="AF1979">
        <v>-3.3508335901579001</v>
      </c>
      <c r="AG1979">
        <v>-1.1116084706939999</v>
      </c>
      <c r="AH1979">
        <v>10.064618663364</v>
      </c>
      <c r="AI1979">
        <v>95.982303937393993</v>
      </c>
      <c r="AJ1979">
        <v>108.414250939063</v>
      </c>
      <c r="AK1979">
        <v>10.6658477384587</v>
      </c>
      <c r="AL1979">
        <v>82.108517504162805</v>
      </c>
      <c r="AM1979">
        <v>96.397583799736097</v>
      </c>
      <c r="AN1979">
        <v>1.00000002275238</v>
      </c>
    </row>
    <row r="1980" spans="1:40" x14ac:dyDescent="0.3">
      <c r="A1980" t="str">
        <f>"20200111150356262"</f>
        <v>20200111150356262</v>
      </c>
      <c r="B1980" t="str">
        <f>"1578726236250383"</f>
        <v>1578726236250383</v>
      </c>
      <c r="C1980" t="s">
        <v>40</v>
      </c>
      <c r="D1980">
        <v>5.2302400000000002</v>
      </c>
      <c r="E1980">
        <v>0.4107227</v>
      </c>
      <c r="F1980" t="s">
        <v>41</v>
      </c>
      <c r="G1980">
        <v>-396.1703</v>
      </c>
      <c r="H1980" s="1">
        <v>-2.914547E-6</v>
      </c>
      <c r="I1980">
        <v>23.839680000000001</v>
      </c>
      <c r="J1980">
        <v>-407.14010000000002</v>
      </c>
      <c r="K1980">
        <v>1.111602</v>
      </c>
      <c r="L1980">
        <v>27.85388</v>
      </c>
      <c r="M1980">
        <v>0.77599390000000001</v>
      </c>
      <c r="N1980">
        <v>0</v>
      </c>
      <c r="O1980">
        <v>-0.63062240000000003</v>
      </c>
      <c r="P1980">
        <v>0.83291680000000001</v>
      </c>
      <c r="Q1980">
        <v>0.12695519999999999</v>
      </c>
      <c r="R1980">
        <v>-0.53863950000000005</v>
      </c>
      <c r="S1980">
        <v>2.946259</v>
      </c>
      <c r="T1980">
        <v>-0.29528359999999998</v>
      </c>
      <c r="U1980">
        <v>-1.0906370000000001</v>
      </c>
      <c r="V1980">
        <v>-0.1098003</v>
      </c>
      <c r="W1980">
        <v>0.13700680000000001</v>
      </c>
      <c r="X1980">
        <v>0.98446579999999995</v>
      </c>
      <c r="Y1980">
        <v>-0.31841720000000001</v>
      </c>
      <c r="Z1980">
        <v>7.1002770000000007E-2</v>
      </c>
      <c r="AA1980">
        <v>0.94528780000000001</v>
      </c>
      <c r="AB1980">
        <v>27</v>
      </c>
      <c r="AC1980">
        <v>10.969799999999999</v>
      </c>
      <c r="AD1980">
        <v>-1.1116049145469999</v>
      </c>
      <c r="AE1980">
        <v>-4.0141999999999998</v>
      </c>
      <c r="AF1980">
        <v>-3.7689590521821001</v>
      </c>
      <c r="AG1980">
        <v>-1.1116049145469999</v>
      </c>
      <c r="AH1980">
        <v>10.9456429395175</v>
      </c>
      <c r="AI1980">
        <v>95.484935094953997</v>
      </c>
      <c r="AJ1980">
        <v>109.00033667318699</v>
      </c>
      <c r="AK1980">
        <v>11.6296095025792</v>
      </c>
      <c r="AL1980">
        <v>82.125320064234401</v>
      </c>
      <c r="AM1980">
        <v>96.364061173456903</v>
      </c>
      <c r="AN1980">
        <v>0.999999940247983</v>
      </c>
    </row>
    <row r="1981" spans="1:40" x14ac:dyDescent="0.3">
      <c r="A1981" t="str">
        <f>"20200111150356276"</f>
        <v>20200111150356276</v>
      </c>
      <c r="B1981" t="str">
        <f>"1578726236270878"</f>
        <v>1578726236270878</v>
      </c>
      <c r="C1981" t="s">
        <v>40</v>
      </c>
      <c r="D1981">
        <v>5.253247</v>
      </c>
      <c r="E1981">
        <v>0.40985149999999998</v>
      </c>
      <c r="F1981" t="s">
        <v>41</v>
      </c>
      <c r="G1981">
        <v>-395.46589999999998</v>
      </c>
      <c r="H1981" s="1">
        <v>-3.2013609999999999E-6</v>
      </c>
      <c r="I1981">
        <v>23.66629</v>
      </c>
      <c r="J1981">
        <v>-407.0052</v>
      </c>
      <c r="K1981">
        <v>1.11159599999999</v>
      </c>
      <c r="L1981">
        <v>27.753170000000001</v>
      </c>
      <c r="M1981">
        <v>0.78021580000000001</v>
      </c>
      <c r="N1981">
        <v>0</v>
      </c>
      <c r="O1981">
        <v>-0.62539149999999999</v>
      </c>
      <c r="P1981">
        <v>0.83623189999999903</v>
      </c>
      <c r="Q1981">
        <v>0.12696740000000001</v>
      </c>
      <c r="R1981">
        <v>-0.53347519999999904</v>
      </c>
      <c r="S1981">
        <v>2.958466</v>
      </c>
      <c r="T1981">
        <v>-0.28170220000000001</v>
      </c>
      <c r="U1981">
        <v>-1.061218</v>
      </c>
      <c r="V1981">
        <v>-0.10927149999999999</v>
      </c>
      <c r="W1981">
        <v>0.13702239999999999</v>
      </c>
      <c r="X1981">
        <v>0.98452249999999997</v>
      </c>
      <c r="Y1981">
        <v>-0.32195580000000001</v>
      </c>
      <c r="Z1981">
        <v>6.7452999999999999E-2</v>
      </c>
      <c r="AA1981">
        <v>0.94434879999999999</v>
      </c>
      <c r="AB1981">
        <v>27</v>
      </c>
      <c r="AC1981">
        <v>11.539300000000001</v>
      </c>
      <c r="AD1981">
        <v>-1.1115992013610001</v>
      </c>
      <c r="AE1981">
        <v>-4.0868799999999998</v>
      </c>
      <c r="AF1981">
        <v>-3.99528834603325</v>
      </c>
      <c r="AG1981">
        <v>-1.1115992013610001</v>
      </c>
      <c r="AH1981">
        <v>11.465366595243401</v>
      </c>
      <c r="AI1981">
        <v>95.231040652800402</v>
      </c>
      <c r="AJ1981">
        <v>109.211699507029</v>
      </c>
      <c r="AK1981">
        <v>12.1923177827572</v>
      </c>
      <c r="AL1981">
        <v>82.124418022869705</v>
      </c>
      <c r="AM1981">
        <v>96.333299624952105</v>
      </c>
      <c r="AN1981">
        <v>0.99999997591012901</v>
      </c>
    </row>
    <row r="1982" spans="1:40" x14ac:dyDescent="0.3">
      <c r="A1982" t="str">
        <f>"20200111150356292"</f>
        <v>20200111150356292</v>
      </c>
      <c r="B1982" t="str">
        <f>"1578726236280640"</f>
        <v>1578726236280640</v>
      </c>
      <c r="C1982" t="s">
        <v>40</v>
      </c>
      <c r="D1982">
        <v>5.3136720000000004</v>
      </c>
      <c r="E1982">
        <v>0.40974339999999998</v>
      </c>
      <c r="F1982" t="s">
        <v>41</v>
      </c>
      <c r="G1982">
        <v>-394.87290000000002</v>
      </c>
      <c r="H1982" s="1">
        <v>-3.442137E-6</v>
      </c>
      <c r="I1982">
        <v>23.51765</v>
      </c>
      <c r="J1982">
        <v>-406.85300000000001</v>
      </c>
      <c r="K1982">
        <v>1.1115870000000001</v>
      </c>
      <c r="L1982">
        <v>27.64114</v>
      </c>
      <c r="M1982">
        <v>0.78491350000000004</v>
      </c>
      <c r="N1982">
        <v>0</v>
      </c>
      <c r="O1982">
        <v>-0.61948530000000002</v>
      </c>
      <c r="P1982">
        <v>0.83944490000000005</v>
      </c>
      <c r="Q1982">
        <v>0.12690370000000001</v>
      </c>
      <c r="R1982">
        <v>-0.52841990000000005</v>
      </c>
      <c r="S1982">
        <v>2.9678339999999999</v>
      </c>
      <c r="T1982">
        <v>-0.271922</v>
      </c>
      <c r="U1982">
        <v>-1.0361020000000001</v>
      </c>
      <c r="V1982">
        <v>-0.1077824</v>
      </c>
      <c r="W1982">
        <v>0.1369785</v>
      </c>
      <c r="X1982">
        <v>0.98469280000000003</v>
      </c>
      <c r="Y1982">
        <v>-0.3231098</v>
      </c>
      <c r="Z1982">
        <v>6.4713629999999994E-2</v>
      </c>
      <c r="AA1982">
        <v>0.94414629999999999</v>
      </c>
      <c r="AB1982">
        <v>27</v>
      </c>
      <c r="AC1982">
        <v>11.980099999999901</v>
      </c>
      <c r="AD1982">
        <v>-1.111590442137</v>
      </c>
      <c r="AE1982">
        <v>-4.1234900000000003</v>
      </c>
      <c r="AF1982">
        <v>-4.1532549007568198</v>
      </c>
      <c r="AG1982">
        <v>-1.111590442137</v>
      </c>
      <c r="AH1982">
        <v>11.867325577088801</v>
      </c>
      <c r="AI1982">
        <v>95.052394001020602</v>
      </c>
      <c r="AJ1982">
        <v>109.28871693628101</v>
      </c>
      <c r="AK1982">
        <v>12.6221462491264</v>
      </c>
      <c r="AL1982">
        <v>82.1269577007359</v>
      </c>
      <c r="AM1982">
        <v>96.246607628717598</v>
      </c>
      <c r="AN1982">
        <v>1.0000000327919201</v>
      </c>
    </row>
    <row r="1983" spans="1:40" x14ac:dyDescent="0.3">
      <c r="A1983" t="str">
        <f>"20200111150356305"</f>
        <v>20200111150356305</v>
      </c>
      <c r="B1983" t="str">
        <f>"1578726236300160"</f>
        <v>1578726236300160</v>
      </c>
      <c r="C1983" t="s">
        <v>40</v>
      </c>
      <c r="D1983">
        <v>5.2753430000000003</v>
      </c>
      <c r="E1983">
        <v>0.41081820000000002</v>
      </c>
      <c r="F1983" t="s">
        <v>41</v>
      </c>
      <c r="G1983">
        <v>-394.70010000000002</v>
      </c>
      <c r="H1983" s="1">
        <v>-3.515714E-6</v>
      </c>
      <c r="I1983">
        <v>23.48714</v>
      </c>
      <c r="J1983">
        <v>-406.72980000000001</v>
      </c>
      <c r="K1983">
        <v>1.1115839999999999</v>
      </c>
      <c r="L1983">
        <v>27.55179</v>
      </c>
      <c r="M1983">
        <v>0.78866199999999997</v>
      </c>
      <c r="N1983">
        <v>0</v>
      </c>
      <c r="O1983">
        <v>-0.61470630000000004</v>
      </c>
      <c r="P1983">
        <v>0.84244519999999901</v>
      </c>
      <c r="Q1983">
        <v>0.1271525</v>
      </c>
      <c r="R1983">
        <v>-0.52356320000000001</v>
      </c>
      <c r="S1983">
        <v>2.9748839999999999</v>
      </c>
      <c r="T1983">
        <v>-0.27210279999999998</v>
      </c>
      <c r="U1983">
        <v>-1.0168459999999999</v>
      </c>
      <c r="V1983">
        <v>-0.1074693</v>
      </c>
      <c r="W1983">
        <v>0.13722309999999999</v>
      </c>
      <c r="X1983">
        <v>0.98469289999999998</v>
      </c>
      <c r="Y1983">
        <v>-0.32353349999999997</v>
      </c>
      <c r="Z1983">
        <v>6.4406240000000003E-2</v>
      </c>
      <c r="AA1983">
        <v>0.94402220000000003</v>
      </c>
      <c r="AB1983">
        <v>27</v>
      </c>
      <c r="AC1983">
        <v>12.029699999999901</v>
      </c>
      <c r="AD1983">
        <v>-1.1115875157139901</v>
      </c>
      <c r="AE1983">
        <v>-4.0646500000000003</v>
      </c>
      <c r="AF1983">
        <v>-4.1575468651623702</v>
      </c>
      <c r="AG1983">
        <v>-1.1115875157139901</v>
      </c>
      <c r="AH1983">
        <v>11.8956602327479</v>
      </c>
      <c r="AI1983">
        <v>95.041147282596697</v>
      </c>
      <c r="AJ1983">
        <v>109.264579169676</v>
      </c>
      <c r="AK1983">
        <v>12.650199805303201</v>
      </c>
      <c r="AL1983">
        <v>82.112809043377197</v>
      </c>
      <c r="AM1983">
        <v>96.228603893095098</v>
      </c>
      <c r="AN1983">
        <v>0.99999996846325401</v>
      </c>
    </row>
    <row r="1984" spans="1:40" x14ac:dyDescent="0.3">
      <c r="A1984" t="str">
        <f>"20200111150356317"</f>
        <v>20200111150356317</v>
      </c>
      <c r="B1984" t="str">
        <f>"1578726236310895"</f>
        <v>1578726236310895</v>
      </c>
      <c r="C1984" t="s">
        <v>40</v>
      </c>
      <c r="D1984">
        <v>5.2820729999999996</v>
      </c>
      <c r="E1984">
        <v>0.41070780000000001</v>
      </c>
      <c r="F1984" t="s">
        <v>41</v>
      </c>
      <c r="G1984">
        <v>-394.91820000000001</v>
      </c>
      <c r="H1984" s="1">
        <v>-3.430477E-6</v>
      </c>
      <c r="I1984">
        <v>23.55425</v>
      </c>
      <c r="J1984">
        <v>-406.6078</v>
      </c>
      <c r="K1984">
        <v>1.1115870000000001</v>
      </c>
      <c r="L1984">
        <v>27.46463</v>
      </c>
      <c r="M1984">
        <v>0.79232320000000001</v>
      </c>
      <c r="N1984">
        <v>0</v>
      </c>
      <c r="O1984">
        <v>-0.60998009999999903</v>
      </c>
      <c r="P1984">
        <v>0.84522240000000004</v>
      </c>
      <c r="Q1984">
        <v>0.12757449999999901</v>
      </c>
      <c r="R1984">
        <v>-0.51896419999999999</v>
      </c>
      <c r="S1984">
        <v>2.9771730000000001</v>
      </c>
      <c r="T1984">
        <v>-0.28018130000000002</v>
      </c>
      <c r="U1984">
        <v>-1.0075989999999999</v>
      </c>
      <c r="V1984">
        <v>-0.10691639999999999</v>
      </c>
      <c r="W1984">
        <v>0.1376454</v>
      </c>
      <c r="X1984">
        <v>0.98469419999999996</v>
      </c>
      <c r="Y1984">
        <v>-0.3205672</v>
      </c>
      <c r="Z1984">
        <v>6.5847139999999998E-2</v>
      </c>
      <c r="AA1984">
        <v>0.9449343</v>
      </c>
      <c r="AB1984">
        <v>27</v>
      </c>
      <c r="AC1984">
        <v>11.689599999999899</v>
      </c>
      <c r="AD1984">
        <v>-1.1115904304769999</v>
      </c>
      <c r="AE1984">
        <v>-3.91038</v>
      </c>
      <c r="AF1984">
        <v>-3.9999082195782898</v>
      </c>
      <c r="AG1984">
        <v>-1.1115904304769999</v>
      </c>
      <c r="AH1984">
        <v>11.554094958553501</v>
      </c>
      <c r="AI1984">
        <v>95.194692415833899</v>
      </c>
      <c r="AJ1984">
        <v>109.095324460808</v>
      </c>
      <c r="AK1984">
        <v>12.2772965005106</v>
      </c>
      <c r="AL1984">
        <v>82.088381647938604</v>
      </c>
      <c r="AM1984">
        <v>96.196801265958698</v>
      </c>
      <c r="AN1984">
        <v>1.0000000201218699</v>
      </c>
    </row>
    <row r="1985" spans="1:40" x14ac:dyDescent="0.3">
      <c r="A1985" t="str">
        <f>"20200111150356330"</f>
        <v>20200111150356330</v>
      </c>
      <c r="B1985" t="str">
        <f>"1578726236320656"</f>
        <v>1578726236320656</v>
      </c>
      <c r="C1985" t="s">
        <v>40</v>
      </c>
      <c r="D1985">
        <v>5.2962369999999996</v>
      </c>
      <c r="E1985">
        <v>0.4106919</v>
      </c>
      <c r="F1985" t="s">
        <v>41</v>
      </c>
      <c r="G1985">
        <v>-394.61869999999999</v>
      </c>
      <c r="H1985" s="1">
        <v>-3.5530410000000002E-6</v>
      </c>
      <c r="I1985">
        <v>23.482790000000001</v>
      </c>
      <c r="J1985">
        <v>-406.48719999999997</v>
      </c>
      <c r="K1985">
        <v>1.111585</v>
      </c>
      <c r="L1985">
        <v>27.379059999999999</v>
      </c>
      <c r="M1985">
        <v>0.79590950000000005</v>
      </c>
      <c r="N1985">
        <v>0</v>
      </c>
      <c r="O1985">
        <v>-0.60529350000000004</v>
      </c>
      <c r="P1985">
        <v>0.84791030000000001</v>
      </c>
      <c r="Q1985">
        <v>0.12800419999999901</v>
      </c>
      <c r="R1985">
        <v>-0.51445419999999997</v>
      </c>
      <c r="S1985">
        <v>2.9828489999999999</v>
      </c>
      <c r="T1985">
        <v>-0.27655809999999997</v>
      </c>
      <c r="U1985">
        <v>-0.99066160000000003</v>
      </c>
      <c r="V1985">
        <v>-0.1063183</v>
      </c>
      <c r="W1985">
        <v>0.13807659999999999</v>
      </c>
      <c r="X1985">
        <v>0.98469859999999998</v>
      </c>
      <c r="Y1985">
        <v>-0.32045030000000002</v>
      </c>
      <c r="Z1985">
        <v>6.4636440000000003E-2</v>
      </c>
      <c r="AA1985">
        <v>0.94505749999999999</v>
      </c>
      <c r="AB1985">
        <v>27</v>
      </c>
      <c r="AC1985">
        <v>11.8684999999999</v>
      </c>
      <c r="AD1985">
        <v>-1.1115885530409999</v>
      </c>
      <c r="AE1985">
        <v>-3.8962699999999999</v>
      </c>
      <c r="AF1985">
        <v>-4.0510708142508296</v>
      </c>
      <c r="AG1985">
        <v>-1.1115885530409999</v>
      </c>
      <c r="AH1985">
        <v>11.7127633597469</v>
      </c>
      <c r="AI1985">
        <v>95.125197135757304</v>
      </c>
      <c r="AJ1985">
        <v>109.078868766882</v>
      </c>
      <c r="AK1985">
        <v>12.4432965638032</v>
      </c>
      <c r="AL1985">
        <v>82.063437615160595</v>
      </c>
      <c r="AM1985">
        <v>96.162375936996</v>
      </c>
      <c r="AN1985">
        <v>1.0000000306122001</v>
      </c>
    </row>
    <row r="1986" spans="1:40" x14ac:dyDescent="0.3">
      <c r="A1986" t="str">
        <f>"20200111150356343"</f>
        <v>20200111150356343</v>
      </c>
      <c r="B1986" t="str">
        <f>"1578726236340175"</f>
        <v>1578726236340175</v>
      </c>
      <c r="C1986" t="s">
        <v>40</v>
      </c>
      <c r="D1986">
        <v>5.1940770000000001</v>
      </c>
      <c r="E1986">
        <v>0.41131620000000002</v>
      </c>
      <c r="F1986" t="s">
        <v>41</v>
      </c>
      <c r="G1986">
        <v>-394.3476</v>
      </c>
      <c r="H1986" s="1">
        <v>-3.6642879999999999E-6</v>
      </c>
      <c r="I1986">
        <v>23.419280000000001</v>
      </c>
      <c r="J1986">
        <v>-406.36500000000001</v>
      </c>
      <c r="K1986">
        <v>1.111588</v>
      </c>
      <c r="L1986">
        <v>27.293980000000001</v>
      </c>
      <c r="M1986">
        <v>0.79948599999999903</v>
      </c>
      <c r="N1986">
        <v>0</v>
      </c>
      <c r="O1986">
        <v>-0.60056189999999998</v>
      </c>
      <c r="P1986">
        <v>0.85072269999999905</v>
      </c>
      <c r="Q1986">
        <v>0.12850880000000001</v>
      </c>
      <c r="R1986">
        <v>-0.50966299999999998</v>
      </c>
      <c r="S1986">
        <v>2.9880680000000002</v>
      </c>
      <c r="T1986">
        <v>-0.2736092</v>
      </c>
      <c r="U1986">
        <v>-0.97467040000000005</v>
      </c>
      <c r="V1986">
        <v>-0.1059958</v>
      </c>
      <c r="W1986">
        <v>0.13857710000000001</v>
      </c>
      <c r="X1986">
        <v>0.98466299999999995</v>
      </c>
      <c r="Y1986">
        <v>-0.3199765</v>
      </c>
      <c r="Z1986">
        <v>6.3574240000000004E-2</v>
      </c>
      <c r="AA1986">
        <v>0.94529010000000002</v>
      </c>
      <c r="AB1986">
        <v>27</v>
      </c>
      <c r="AC1986">
        <v>12.0174</v>
      </c>
      <c r="AD1986">
        <v>-1.1115916642879999</v>
      </c>
      <c r="AE1986">
        <v>-3.87469999999999</v>
      </c>
      <c r="AF1986">
        <v>-4.08804461727168</v>
      </c>
      <c r="AG1986">
        <v>-1.1115916642879999</v>
      </c>
      <c r="AH1986">
        <v>11.843827824368899</v>
      </c>
      <c r="AI1986">
        <v>95.069890976420098</v>
      </c>
      <c r="AJ1986">
        <v>109.04275157321101</v>
      </c>
      <c r="AK1986">
        <v>12.5787122693149</v>
      </c>
      <c r="AL1986">
        <v>82.034482261520296</v>
      </c>
      <c r="AM1986">
        <v>96.144046931834097</v>
      </c>
      <c r="AN1986">
        <v>0.999999972915524</v>
      </c>
    </row>
    <row r="1987" spans="1:40" x14ac:dyDescent="0.3">
      <c r="A1987" t="str">
        <f>"20200111150356359"</f>
        <v>20200111150356359</v>
      </c>
      <c r="B1987" t="str">
        <f>"1578726236350911"</f>
        <v>1578726236350911</v>
      </c>
      <c r="C1987" t="s">
        <v>40</v>
      </c>
      <c r="D1987">
        <v>5.1976589999999998</v>
      </c>
      <c r="E1987">
        <v>0.41201949999999998</v>
      </c>
      <c r="F1987" t="s">
        <v>41</v>
      </c>
      <c r="G1987">
        <v>-394.4076</v>
      </c>
      <c r="H1987" s="1">
        <v>-3.6430959999999998E-6</v>
      </c>
      <c r="I1987">
        <v>23.44624</v>
      </c>
      <c r="J1987">
        <v>-406.20339999999999</v>
      </c>
      <c r="K1987">
        <v>1.1115900000000001</v>
      </c>
      <c r="L1987">
        <v>27.182829999999999</v>
      </c>
      <c r="M1987">
        <v>0.80415959999999997</v>
      </c>
      <c r="N1987">
        <v>0</v>
      </c>
      <c r="O1987">
        <v>-0.59428939999999997</v>
      </c>
      <c r="P1987">
        <v>0.85453729999999894</v>
      </c>
      <c r="Q1987">
        <v>0.1287809</v>
      </c>
      <c r="R1987">
        <v>-0.5031717</v>
      </c>
      <c r="S1987">
        <v>2.9916689999999999</v>
      </c>
      <c r="T1987">
        <v>-0.27811239999999998</v>
      </c>
      <c r="U1987">
        <v>-0.962677</v>
      </c>
      <c r="V1987">
        <v>-0.105770699999999</v>
      </c>
      <c r="W1987">
        <v>0.13884160000000001</v>
      </c>
      <c r="X1987">
        <v>0.98465000000000003</v>
      </c>
      <c r="Y1987">
        <v>-0.31626300000000002</v>
      </c>
      <c r="Z1987">
        <v>6.3993079999999994E-2</v>
      </c>
      <c r="AA1987">
        <v>0.94651070000000004</v>
      </c>
      <c r="AB1987">
        <v>27</v>
      </c>
      <c r="AC1987">
        <v>11.7957999999999</v>
      </c>
      <c r="AD1987">
        <v>-1.1115936430959901</v>
      </c>
      <c r="AE1987">
        <v>-3.7365900000000001</v>
      </c>
      <c r="AF1987">
        <v>-3.97353053607852</v>
      </c>
      <c r="AG1987">
        <v>-1.1115936430959901</v>
      </c>
      <c r="AH1987">
        <v>11.613456644333599</v>
      </c>
      <c r="AI1987">
        <v>95.174694560804298</v>
      </c>
      <c r="AJ1987">
        <v>108.88832170425999</v>
      </c>
      <c r="AK1987">
        <v>12.324648497151401</v>
      </c>
      <c r="AL1987">
        <v>82.019180030498006</v>
      </c>
      <c r="AM1987">
        <v>96.131178821464104</v>
      </c>
      <c r="AN1987">
        <v>1.0000000266845199</v>
      </c>
    </row>
    <row r="1988" spans="1:40" x14ac:dyDescent="0.3">
      <c r="A1988" t="str">
        <f>"20200111150356373"</f>
        <v>20200111150356373</v>
      </c>
      <c r="B1988" t="str">
        <f>"1578726236370431"</f>
        <v>1578726236370431</v>
      </c>
      <c r="C1988" t="s">
        <v>40</v>
      </c>
      <c r="D1988">
        <v>5.2726499999999996</v>
      </c>
      <c r="E1988">
        <v>0.4122381</v>
      </c>
      <c r="F1988" t="s">
        <v>41</v>
      </c>
      <c r="G1988">
        <v>-394.45609999999999</v>
      </c>
      <c r="H1988" s="1">
        <v>-3.6286950000000002E-6</v>
      </c>
      <c r="I1988">
        <v>23.478380000000001</v>
      </c>
      <c r="J1988">
        <v>-406.0779</v>
      </c>
      <c r="K1988">
        <v>1.1115900000000001</v>
      </c>
      <c r="L1988">
        <v>27.09769</v>
      </c>
      <c r="M1988">
        <v>0.80773629999999996</v>
      </c>
      <c r="N1988">
        <v>0</v>
      </c>
      <c r="O1988">
        <v>-0.58941940000000004</v>
      </c>
      <c r="P1988">
        <v>0.85753380000000001</v>
      </c>
      <c r="Q1988">
        <v>0.12876879999999999</v>
      </c>
      <c r="R1988">
        <v>-0.49805110000000002</v>
      </c>
      <c r="S1988">
        <v>2.996918</v>
      </c>
      <c r="T1988">
        <v>-0.28358640000000002</v>
      </c>
      <c r="U1988">
        <v>-0.94506840000000003</v>
      </c>
      <c r="V1988">
        <v>-0.1057123</v>
      </c>
      <c r="W1988">
        <v>0.1388218</v>
      </c>
      <c r="X1988">
        <v>0.98465899999999995</v>
      </c>
      <c r="Y1988">
        <v>-0.3159595</v>
      </c>
      <c r="Z1988">
        <v>6.4856220000000006E-2</v>
      </c>
      <c r="AA1988">
        <v>0.94655330000000004</v>
      </c>
      <c r="AB1988">
        <v>27</v>
      </c>
      <c r="AC1988">
        <v>11.6218</v>
      </c>
      <c r="AD1988">
        <v>-1.1115936286949999</v>
      </c>
      <c r="AE1988">
        <v>-3.61931</v>
      </c>
      <c r="AF1988">
        <v>-3.8944763156973701</v>
      </c>
      <c r="AG1988">
        <v>-1.1115936286949999</v>
      </c>
      <c r="AH1988">
        <v>11.426197422867499</v>
      </c>
      <c r="AI1988">
        <v>95.261126402894803</v>
      </c>
      <c r="AJ1988">
        <v>108.821034043965</v>
      </c>
      <c r="AK1988">
        <v>12.1227296313672</v>
      </c>
      <c r="AL1988">
        <v>82.020325080200394</v>
      </c>
      <c r="AM1988">
        <v>96.127763745201307</v>
      </c>
      <c r="AN1988">
        <v>0.99999996440376404</v>
      </c>
    </row>
    <row r="1989" spans="1:40" x14ac:dyDescent="0.3">
      <c r="A1989" t="str">
        <f>"20200111150356385"</f>
        <v>20200111150356385</v>
      </c>
      <c r="B1989" t="str">
        <f>"1578726236380191"</f>
        <v>1578726236380191</v>
      </c>
      <c r="C1989" t="s">
        <v>40</v>
      </c>
      <c r="D1989">
        <v>5.2011799999999999</v>
      </c>
      <c r="E1989">
        <v>0.41289819999999999</v>
      </c>
      <c r="F1989" t="s">
        <v>41</v>
      </c>
      <c r="G1989">
        <v>-394.27109999999999</v>
      </c>
      <c r="H1989" s="1">
        <v>-3.7072490000000001E-6</v>
      </c>
      <c r="I1989">
        <v>23.44481</v>
      </c>
      <c r="J1989">
        <v>-405.9554</v>
      </c>
      <c r="K1989">
        <v>1.1115969999999999</v>
      </c>
      <c r="L1989">
        <v>27.015630000000002</v>
      </c>
      <c r="M1989">
        <v>0.81118809999999997</v>
      </c>
      <c r="N1989">
        <v>0</v>
      </c>
      <c r="O1989">
        <v>-0.58465940000000005</v>
      </c>
      <c r="P1989">
        <v>0.860488699999999</v>
      </c>
      <c r="Q1989">
        <v>0.12885089999999999</v>
      </c>
      <c r="R1989">
        <v>-0.49290640000000002</v>
      </c>
      <c r="S1989">
        <v>3.0014949999999998</v>
      </c>
      <c r="T1989">
        <v>-0.28258460000000002</v>
      </c>
      <c r="U1989">
        <v>-0.92861939999999998</v>
      </c>
      <c r="V1989">
        <v>-0.10581500000000001</v>
      </c>
      <c r="W1989">
        <v>0.13889360000000001</v>
      </c>
      <c r="X1989">
        <v>0.98463789999999995</v>
      </c>
      <c r="Y1989">
        <v>-0.31556499999999998</v>
      </c>
      <c r="Z1989">
        <v>6.4247470000000001E-2</v>
      </c>
      <c r="AA1989">
        <v>0.94672639999999997</v>
      </c>
      <c r="AB1989">
        <v>27</v>
      </c>
      <c r="AC1989">
        <v>11.6843</v>
      </c>
      <c r="AD1989">
        <v>-1.111600707249</v>
      </c>
      <c r="AE1989">
        <v>-3.5708199999999901</v>
      </c>
      <c r="AF1989">
        <v>-3.90271301713328</v>
      </c>
      <c r="AG1989">
        <v>-1.111600707249</v>
      </c>
      <c r="AH1989">
        <v>11.471769310462401</v>
      </c>
      <c r="AI1989">
        <v>95.241387623879803</v>
      </c>
      <c r="AJ1989">
        <v>108.788380875248</v>
      </c>
      <c r="AK1989">
        <v>12.168332512671</v>
      </c>
      <c r="AL1989">
        <v>82.016171448403895</v>
      </c>
      <c r="AM1989">
        <v>96.133801977041401</v>
      </c>
      <c r="AN1989">
        <v>1.0000000202311801</v>
      </c>
    </row>
    <row r="1990" spans="1:40" x14ac:dyDescent="0.3">
      <c r="A1990" t="str">
        <f>"20200111150356397"</f>
        <v>20200111150356397</v>
      </c>
      <c r="B1990" t="str">
        <f>"1578726236390927"</f>
        <v>1578726236390927</v>
      </c>
      <c r="C1990" t="s">
        <v>40</v>
      </c>
      <c r="D1990">
        <v>5.2816910000000004</v>
      </c>
      <c r="E1990">
        <v>0.4131495</v>
      </c>
      <c r="F1990" t="s">
        <v>41</v>
      </c>
      <c r="G1990">
        <v>-394.37810000000002</v>
      </c>
      <c r="H1990" s="1">
        <v>-3.6681180000000002E-6</v>
      </c>
      <c r="I1990">
        <v>23.487939999999998</v>
      </c>
      <c r="J1990">
        <v>-405.84</v>
      </c>
      <c r="K1990">
        <v>1.1115980000000001</v>
      </c>
      <c r="L1990">
        <v>26.93948</v>
      </c>
      <c r="M1990">
        <v>0.81439830000000002</v>
      </c>
      <c r="N1990">
        <v>0</v>
      </c>
      <c r="O1990">
        <v>-0.58017980000000002</v>
      </c>
      <c r="P1990">
        <v>0.86348849999999999</v>
      </c>
      <c r="Q1990">
        <v>0.12853059999999999</v>
      </c>
      <c r="R1990">
        <v>-0.48771680000000001</v>
      </c>
      <c r="S1990">
        <v>3.005096</v>
      </c>
      <c r="T1990">
        <v>-0.2885375</v>
      </c>
      <c r="U1990">
        <v>-0.91567989999999999</v>
      </c>
      <c r="V1990">
        <v>-0.1063398</v>
      </c>
      <c r="W1990">
        <v>0.13855590000000001</v>
      </c>
      <c r="X1990">
        <v>0.98462890000000003</v>
      </c>
      <c r="Y1990">
        <v>-0.31426670000000001</v>
      </c>
      <c r="Z1990">
        <v>6.5186969999999997E-2</v>
      </c>
      <c r="AA1990">
        <v>0.94709399999999999</v>
      </c>
      <c r="AB1990">
        <v>27</v>
      </c>
      <c r="AC1990">
        <v>11.461899999999901</v>
      </c>
      <c r="AD1990">
        <v>-1.1116016681180001</v>
      </c>
      <c r="AE1990">
        <v>-3.4515400000000001</v>
      </c>
      <c r="AF1990">
        <v>-3.8064907875604601</v>
      </c>
      <c r="AG1990">
        <v>-1.1116016681180001</v>
      </c>
      <c r="AH1990">
        <v>11.240960594526999</v>
      </c>
      <c r="AI1990">
        <v>95.350943833219503</v>
      </c>
      <c r="AJ1990">
        <v>108.707479192406</v>
      </c>
      <c r="AK1990">
        <v>11.919908786230501</v>
      </c>
      <c r="AL1990">
        <v>82.035708825602498</v>
      </c>
      <c r="AM1990">
        <v>96.164045471486901</v>
      </c>
      <c r="AN1990">
        <v>0.99999998060202899</v>
      </c>
    </row>
    <row r="1991" spans="1:40" x14ac:dyDescent="0.3">
      <c r="A1991" t="str">
        <f>"20200111150356409"</f>
        <v>20200111150356409</v>
      </c>
      <c r="B1991" t="str">
        <f>"1578726236400689"</f>
        <v>1578726236400689</v>
      </c>
      <c r="C1991" t="s">
        <v>40</v>
      </c>
      <c r="D1991">
        <v>5.265898</v>
      </c>
      <c r="E1991">
        <v>0.4133908</v>
      </c>
      <c r="F1991" t="s">
        <v>41</v>
      </c>
      <c r="G1991">
        <v>-394.28120000000001</v>
      </c>
      <c r="H1991" s="1">
        <v>-3.71319E-6</v>
      </c>
      <c r="I1991">
        <v>23.48518</v>
      </c>
      <c r="J1991">
        <v>-405.71620000000001</v>
      </c>
      <c r="K1991">
        <v>1.1116010000000001</v>
      </c>
      <c r="L1991">
        <v>26.858370000000001</v>
      </c>
      <c r="M1991">
        <v>0.81780710000000001</v>
      </c>
      <c r="N1991">
        <v>0</v>
      </c>
      <c r="O1991">
        <v>-0.57536509999999996</v>
      </c>
      <c r="P1991">
        <v>0.86665210000000004</v>
      </c>
      <c r="Q1991">
        <v>0.12834229999999999</v>
      </c>
      <c r="R1991">
        <v>-0.48212290000000002</v>
      </c>
      <c r="S1991">
        <v>3.0093990000000002</v>
      </c>
      <c r="T1991">
        <v>-0.28941309999999998</v>
      </c>
      <c r="U1991">
        <v>-0.89935299999999996</v>
      </c>
      <c r="V1991">
        <v>-0.1069119</v>
      </c>
      <c r="W1991">
        <v>0.1383491</v>
      </c>
      <c r="X1991">
        <v>0.98459609999999997</v>
      </c>
      <c r="Y1991">
        <v>-0.31375530000000001</v>
      </c>
      <c r="Z1991">
        <v>6.4984070000000005E-2</v>
      </c>
      <c r="AA1991">
        <v>0.94727749999999999</v>
      </c>
      <c r="AB1991">
        <v>27</v>
      </c>
      <c r="AC1991">
        <v>11.435</v>
      </c>
      <c r="AD1991">
        <v>-1.11160471319</v>
      </c>
      <c r="AE1991">
        <v>-3.3731900000000001</v>
      </c>
      <c r="AF1991">
        <v>-3.7880301621885901</v>
      </c>
      <c r="AG1991">
        <v>-1.11160471319</v>
      </c>
      <c r="AH1991">
        <v>11.195936325354801</v>
      </c>
      <c r="AI1991">
        <v>95.372817207196903</v>
      </c>
      <c r="AJ1991">
        <v>108.692721195758</v>
      </c>
      <c r="AK1991">
        <v>11.8715554056507</v>
      </c>
      <c r="AL1991">
        <v>82.047673404699296</v>
      </c>
      <c r="AM1991">
        <v>96.197155065486697</v>
      </c>
      <c r="AN1991">
        <v>1.0000000539838101</v>
      </c>
    </row>
    <row r="1992" spans="1:40" x14ac:dyDescent="0.3">
      <c r="A1992" t="str">
        <f>"20200111150356420"</f>
        <v>20200111150356420</v>
      </c>
      <c r="B1992" t="str">
        <f>"1578726236410447"</f>
        <v>1578726236410447</v>
      </c>
      <c r="C1992" t="s">
        <v>40</v>
      </c>
      <c r="D1992">
        <v>5.2889569999999999</v>
      </c>
      <c r="E1992">
        <v>0.41361179999999997</v>
      </c>
      <c r="F1992" t="s">
        <v>41</v>
      </c>
      <c r="G1992">
        <v>-394.17610000000002</v>
      </c>
      <c r="H1992" s="1">
        <v>-3.762638E-6</v>
      </c>
      <c r="I1992">
        <v>23.484179999999999</v>
      </c>
      <c r="J1992">
        <v>-405.60169999999999</v>
      </c>
      <c r="K1992">
        <v>1.111602</v>
      </c>
      <c r="L1992">
        <v>26.784849999999999</v>
      </c>
      <c r="M1992">
        <v>0.82091519999999996</v>
      </c>
      <c r="N1992">
        <v>0</v>
      </c>
      <c r="O1992">
        <v>-0.57092189999999998</v>
      </c>
      <c r="P1992">
        <v>0.86930479999999999</v>
      </c>
      <c r="Q1992">
        <v>0.12827939999999999</v>
      </c>
      <c r="R1992">
        <v>-0.4773405</v>
      </c>
      <c r="S1992">
        <v>3.014313</v>
      </c>
      <c r="T1992">
        <v>-0.29035480000000002</v>
      </c>
      <c r="U1992">
        <v>-0.88134769999999896</v>
      </c>
      <c r="V1992">
        <v>-0.10700320000000001</v>
      </c>
      <c r="W1992">
        <v>0.13827819999999999</v>
      </c>
      <c r="X1992">
        <v>0.98459609999999997</v>
      </c>
      <c r="Y1992">
        <v>-0.31423000000000001</v>
      </c>
      <c r="Z1992">
        <v>6.485908E-2</v>
      </c>
      <c r="AA1992">
        <v>0.94712870000000005</v>
      </c>
      <c r="AB1992">
        <v>27</v>
      </c>
      <c r="AC1992">
        <v>11.4255999999999</v>
      </c>
      <c r="AD1992">
        <v>-1.111605762638</v>
      </c>
      <c r="AE1992">
        <v>-3.30066999999999</v>
      </c>
      <c r="AF1992">
        <v>-3.7808036443608302</v>
      </c>
      <c r="AG1992">
        <v>-1.111605762638</v>
      </c>
      <c r="AH1992">
        <v>11.167137484489199</v>
      </c>
      <c r="AI1992">
        <v>95.386230238533201</v>
      </c>
      <c r="AJ1992">
        <v>108.704309282994</v>
      </c>
      <c r="AK1992">
        <v>11.842090320810099</v>
      </c>
      <c r="AL1992">
        <v>82.051774769082002</v>
      </c>
      <c r="AM1992">
        <v>96.202406045143405</v>
      </c>
      <c r="AN1992">
        <v>1.0000000127703399</v>
      </c>
    </row>
    <row r="1993" spans="1:40" x14ac:dyDescent="0.3">
      <c r="A1993" t="str">
        <f>"20200111150356437"</f>
        <v>20200111150356437</v>
      </c>
      <c r="B1993" t="str">
        <f>"1578726236430942"</f>
        <v>1578726236430942</v>
      </c>
      <c r="C1993" t="s">
        <v>40</v>
      </c>
      <c r="D1993">
        <v>5.2479009999999997</v>
      </c>
      <c r="E1993">
        <v>0.41462830000000001</v>
      </c>
      <c r="F1993" t="s">
        <v>41</v>
      </c>
      <c r="G1993">
        <v>-394.09300000000002</v>
      </c>
      <c r="H1993" s="1">
        <v>-3.8012699999999999E-6</v>
      </c>
      <c r="I1993">
        <v>23.481829999999999</v>
      </c>
      <c r="J1993">
        <v>-405.43520000000001</v>
      </c>
      <c r="K1993">
        <v>1.1116060000000001</v>
      </c>
      <c r="L1993">
        <v>26.67905</v>
      </c>
      <c r="M1993">
        <v>0.82537759999999905</v>
      </c>
      <c r="N1993">
        <v>0</v>
      </c>
      <c r="O1993">
        <v>-0.56445149999999999</v>
      </c>
      <c r="P1993">
        <v>0.8729789</v>
      </c>
      <c r="Q1993">
        <v>0.12824430000000001</v>
      </c>
      <c r="R1993">
        <v>-0.47059679999999998</v>
      </c>
      <c r="S1993">
        <v>3.0183409999999999</v>
      </c>
      <c r="T1993">
        <v>-0.29153689999999999</v>
      </c>
      <c r="U1993">
        <v>-0.86627199999999904</v>
      </c>
      <c r="V1993">
        <v>-0.1068892</v>
      </c>
      <c r="W1993">
        <v>0.13823569999999999</v>
      </c>
      <c r="X1993">
        <v>0.9846144</v>
      </c>
      <c r="Y1993">
        <v>-0.311482599999999</v>
      </c>
      <c r="Z1993">
        <v>6.4483260000000001E-2</v>
      </c>
      <c r="AA1993">
        <v>0.94806140000000005</v>
      </c>
      <c r="AB1993">
        <v>27</v>
      </c>
      <c r="AC1993">
        <v>11.342199999999901</v>
      </c>
      <c r="AD1993">
        <v>-1.11160980127</v>
      </c>
      <c r="AE1993">
        <v>-3.1972200000000002</v>
      </c>
      <c r="AF1993">
        <v>-3.73029041468756</v>
      </c>
      <c r="AG1993">
        <v>-1.11160980127</v>
      </c>
      <c r="AH1993">
        <v>11.068599560205</v>
      </c>
      <c r="AI1993">
        <v>95.436453180135601</v>
      </c>
      <c r="AJ1993">
        <v>108.624617681221</v>
      </c>
      <c r="AK1993">
        <v>11.7330575363951</v>
      </c>
      <c r="AL1993">
        <v>82.054233055957496</v>
      </c>
      <c r="AM1993">
        <v>96.1957352333622</v>
      </c>
      <c r="AN1993">
        <v>0.99999996325924401</v>
      </c>
    </row>
    <row r="1994" spans="1:40" x14ac:dyDescent="0.3">
      <c r="A1994" t="str">
        <f>"20200111150356450"</f>
        <v>20200111150356450</v>
      </c>
      <c r="B1994" t="str">
        <f>"1578726236440703"</f>
        <v>1578726236440703</v>
      </c>
      <c r="C1994" t="s">
        <v>40</v>
      </c>
      <c r="D1994">
        <v>5.3681469999999996</v>
      </c>
      <c r="E1994">
        <v>0.41455049999999999</v>
      </c>
      <c r="F1994" t="s">
        <v>41</v>
      </c>
      <c r="G1994">
        <v>-394.20460000000003</v>
      </c>
      <c r="H1994" s="1">
        <v>-3.7592060000000001E-6</v>
      </c>
      <c r="I1994">
        <v>23.52206</v>
      </c>
      <c r="J1994">
        <v>-405.31319999999999</v>
      </c>
      <c r="K1994">
        <v>1.1116109999999999</v>
      </c>
      <c r="L1994">
        <v>26.60239</v>
      </c>
      <c r="M1994">
        <v>0.82860679999999998</v>
      </c>
      <c r="N1994">
        <v>0</v>
      </c>
      <c r="O1994">
        <v>-0.55970030000000004</v>
      </c>
      <c r="P1994">
        <v>0.87542379999999997</v>
      </c>
      <c r="Q1994">
        <v>0.1283685</v>
      </c>
      <c r="R1994">
        <v>-0.46599829999999998</v>
      </c>
      <c r="S1994">
        <v>3.022491</v>
      </c>
      <c r="T1994">
        <v>-0.29916730000000002</v>
      </c>
      <c r="U1994">
        <v>-0.849639899999999</v>
      </c>
      <c r="V1994">
        <v>-0.1064042</v>
      </c>
      <c r="W1994">
        <v>0.13836370000000001</v>
      </c>
      <c r="X1994">
        <v>0.984649</v>
      </c>
      <c r="Y1994">
        <v>-0.31103979999999998</v>
      </c>
      <c r="Z1994">
        <v>6.575309E-2</v>
      </c>
      <c r="AA1994">
        <v>0.94811959999999995</v>
      </c>
      <c r="AB1994">
        <v>27</v>
      </c>
      <c r="AC1994">
        <v>11.1085999999999</v>
      </c>
      <c r="AD1994">
        <v>-1.1116147592059999</v>
      </c>
      <c r="AE1994">
        <v>-3.08033</v>
      </c>
      <c r="AF1994">
        <v>-3.6316037049571399</v>
      </c>
      <c r="AG1994">
        <v>-1.1116147592059999</v>
      </c>
      <c r="AH1994">
        <v>10.828829795114199</v>
      </c>
      <c r="AI1994">
        <v>95.558859952808803</v>
      </c>
      <c r="AJ1994">
        <v>108.539617885429</v>
      </c>
      <c r="AK1994">
        <v>11.4755299474271</v>
      </c>
      <c r="AL1994">
        <v>82.046828412779007</v>
      </c>
      <c r="AM1994">
        <v>96.167624755891694</v>
      </c>
      <c r="AN1994">
        <v>1.0000000102281601</v>
      </c>
    </row>
    <row r="1995" spans="1:40" x14ac:dyDescent="0.3">
      <c r="A1995" t="str">
        <f>"20200111150356462"</f>
        <v>20200111150356462</v>
      </c>
      <c r="B1995" t="str">
        <f>"1578726236450465"</f>
        <v>1578726236450465</v>
      </c>
      <c r="C1995" t="s">
        <v>40</v>
      </c>
      <c r="D1995">
        <v>5.3375690000000002</v>
      </c>
      <c r="E1995">
        <v>0.41458669999999997</v>
      </c>
      <c r="F1995" t="s">
        <v>41</v>
      </c>
      <c r="G1995">
        <v>-393.983</v>
      </c>
      <c r="H1995" s="1">
        <v>-3.8538549999999999E-6</v>
      </c>
      <c r="I1995">
        <v>23.484000000000002</v>
      </c>
      <c r="J1995">
        <v>-405.19279999999998</v>
      </c>
      <c r="K1995">
        <v>1.1116189999999999</v>
      </c>
      <c r="L1995">
        <v>26.528169999999999</v>
      </c>
      <c r="M1995">
        <v>0.83174869999999901</v>
      </c>
      <c r="N1995">
        <v>0</v>
      </c>
      <c r="O1995">
        <v>-0.55502069999999903</v>
      </c>
      <c r="P1995">
        <v>0.87788569999999999</v>
      </c>
      <c r="Q1995">
        <v>0.1283823</v>
      </c>
      <c r="R1995">
        <v>-0.46134019999999998</v>
      </c>
      <c r="S1995">
        <v>3.0269469999999998</v>
      </c>
      <c r="T1995">
        <v>-0.29697630000000003</v>
      </c>
      <c r="U1995">
        <v>-0.83309940000000005</v>
      </c>
      <c r="V1995">
        <v>-0.1060856</v>
      </c>
      <c r="W1995">
        <v>0.1383807</v>
      </c>
      <c r="X1995">
        <v>0.98468100000000003</v>
      </c>
      <c r="Y1995">
        <v>-0.31092999999999998</v>
      </c>
      <c r="Z1995">
        <v>6.4878809999999995E-2</v>
      </c>
      <c r="AA1995">
        <v>0.94821580000000005</v>
      </c>
      <c r="AB1995">
        <v>27</v>
      </c>
      <c r="AC1995">
        <v>11.2097999999999</v>
      </c>
      <c r="AD1995">
        <v>-1.1116228538549999</v>
      </c>
      <c r="AE1995">
        <v>-3.0441699999999998</v>
      </c>
      <c r="AF1995">
        <v>-3.6564689705771598</v>
      </c>
      <c r="AG1995">
        <v>-1.1116228538549999</v>
      </c>
      <c r="AH1995">
        <v>10.914162915694799</v>
      </c>
      <c r="AI1995">
        <v>95.516274561858694</v>
      </c>
      <c r="AJ1995">
        <v>108.521908603762</v>
      </c>
      <c r="AK1995">
        <v>11.5639276568273</v>
      </c>
      <c r="AL1995">
        <v>82.0458450195908</v>
      </c>
      <c r="AM1995">
        <v>96.149100780213104</v>
      </c>
      <c r="AN1995">
        <v>1.0000000222104199</v>
      </c>
    </row>
    <row r="1996" spans="1:40" x14ac:dyDescent="0.3">
      <c r="A1996" t="str">
        <f>"20200111150356475"</f>
        <v>20200111150356475</v>
      </c>
      <c r="B1996" t="str">
        <f>"1578726236470959"</f>
        <v>1578726236470959</v>
      </c>
      <c r="C1996" t="s">
        <v>40</v>
      </c>
      <c r="D1996">
        <v>5.4008459999999996</v>
      </c>
      <c r="E1996">
        <v>0.41495890000000002</v>
      </c>
      <c r="F1996" t="s">
        <v>41</v>
      </c>
      <c r="G1996">
        <v>-393.80279999999999</v>
      </c>
      <c r="H1996" s="1">
        <v>-3.9319460000000004E-6</v>
      </c>
      <c r="I1996">
        <v>23.4574</v>
      </c>
      <c r="J1996">
        <v>-405.06810000000002</v>
      </c>
      <c r="K1996">
        <v>1.1116239999999999</v>
      </c>
      <c r="L1996">
        <v>26.452089999999998</v>
      </c>
      <c r="M1996">
        <v>0.83496479999999995</v>
      </c>
      <c r="N1996">
        <v>0</v>
      </c>
      <c r="O1996">
        <v>-0.55017050000000001</v>
      </c>
      <c r="P1996">
        <v>0.88026019999999905</v>
      </c>
      <c r="Q1996">
        <v>0.1285142</v>
      </c>
      <c r="R1996">
        <v>-0.456756</v>
      </c>
      <c r="S1996">
        <v>3.0311279999999998</v>
      </c>
      <c r="T1996">
        <v>-0.29582700000000001</v>
      </c>
      <c r="U1996">
        <v>-0.81719969999999997</v>
      </c>
      <c r="V1996">
        <v>-0.10548200000000001</v>
      </c>
      <c r="W1996">
        <v>0.138522799999999</v>
      </c>
      <c r="X1996">
        <v>0.98472579999999998</v>
      </c>
      <c r="Y1996">
        <v>-0.31041540000000001</v>
      </c>
      <c r="Z1996">
        <v>6.420323E-2</v>
      </c>
      <c r="AA1996">
        <v>0.94843040000000001</v>
      </c>
      <c r="AB1996">
        <v>27</v>
      </c>
      <c r="AC1996">
        <v>11.2653</v>
      </c>
      <c r="AD1996">
        <v>-1.1116279319459901</v>
      </c>
      <c r="AE1996">
        <v>-2.9946899999999999</v>
      </c>
      <c r="AF1996">
        <v>-3.6643201493799098</v>
      </c>
      <c r="AG1996">
        <v>-1.1116279319459901</v>
      </c>
      <c r="AH1996">
        <v>10.954897866332599</v>
      </c>
      <c r="AI1996">
        <v>95.496783481934102</v>
      </c>
      <c r="AJ1996">
        <v>108.494649983229</v>
      </c>
      <c r="AK1996">
        <v>11.604858727188899</v>
      </c>
      <c r="AL1996">
        <v>82.037623615410794</v>
      </c>
      <c r="AM1996">
        <v>96.1141036714032</v>
      </c>
      <c r="AN1996">
        <v>0.99999995981473899</v>
      </c>
    </row>
    <row r="1997" spans="1:40" x14ac:dyDescent="0.3">
      <c r="A1997" t="str">
        <f>"20200111150356487"</f>
        <v>20200111150356487</v>
      </c>
      <c r="B1997" t="str">
        <f>"1578726236480719"</f>
        <v>1578726236480719</v>
      </c>
      <c r="C1997" t="s">
        <v>40</v>
      </c>
      <c r="D1997">
        <v>5.3259840000000001</v>
      </c>
      <c r="E1997">
        <v>0.41508020000000001</v>
      </c>
      <c r="F1997" t="s">
        <v>41</v>
      </c>
      <c r="G1997">
        <v>-393.78489999999999</v>
      </c>
      <c r="H1997" s="1">
        <v>-3.9398790000000002E-6</v>
      </c>
      <c r="I1997">
        <v>23.461349999999999</v>
      </c>
      <c r="J1997">
        <v>-404.9357</v>
      </c>
      <c r="K1997">
        <v>1.111631</v>
      </c>
      <c r="L1997">
        <v>26.372160000000001</v>
      </c>
      <c r="M1997">
        <v>0.8383389</v>
      </c>
      <c r="N1997">
        <v>0</v>
      </c>
      <c r="O1997">
        <v>-0.54501560000000004</v>
      </c>
      <c r="P1997">
        <v>0.88276089999999996</v>
      </c>
      <c r="Q1997">
        <v>0.12844720000000001</v>
      </c>
      <c r="R1997">
        <v>-0.45192329999999997</v>
      </c>
      <c r="S1997">
        <v>3.0343629999999999</v>
      </c>
      <c r="T1997">
        <v>-0.29894660000000001</v>
      </c>
      <c r="U1997">
        <v>-0.80429079999999997</v>
      </c>
      <c r="V1997">
        <v>-0.10481790000000001</v>
      </c>
      <c r="W1997">
        <v>0.13846849999999999</v>
      </c>
      <c r="X1997">
        <v>0.98480440000000002</v>
      </c>
      <c r="Y1997">
        <v>-0.30853619999999998</v>
      </c>
      <c r="Z1997">
        <v>6.4362329999999995E-2</v>
      </c>
      <c r="AA1997">
        <v>0.9490326</v>
      </c>
      <c r="AB1997">
        <v>27</v>
      </c>
      <c r="AC1997">
        <v>11.1508</v>
      </c>
      <c r="AD1997">
        <v>-1.111634939879</v>
      </c>
      <c r="AE1997">
        <v>-2.9108099999999899</v>
      </c>
      <c r="AF1997">
        <v>-3.60384876987457</v>
      </c>
      <c r="AG1997">
        <v>-1.111634939879</v>
      </c>
      <c r="AH1997">
        <v>10.834575898988501</v>
      </c>
      <c r="AI1997">
        <v>95.560577280978194</v>
      </c>
      <c r="AJ1997">
        <v>108.398405298689</v>
      </c>
      <c r="AK1997">
        <v>11.4722052416538</v>
      </c>
      <c r="AL1997">
        <v>82.040765467936694</v>
      </c>
      <c r="AM1997">
        <v>96.075417654512407</v>
      </c>
      <c r="AN1997">
        <v>1.00000001195601</v>
      </c>
    </row>
    <row r="1998" spans="1:40" x14ac:dyDescent="0.3">
      <c r="A1998" t="str">
        <f>"20200111150356500"</f>
        <v>20200111150356500</v>
      </c>
      <c r="B1998" t="str">
        <f>"1578726236490479"</f>
        <v>1578726236490479</v>
      </c>
      <c r="C1998" t="s">
        <v>40</v>
      </c>
      <c r="D1998">
        <v>5.3405420000000001</v>
      </c>
      <c r="E1998">
        <v>0.41521720000000001</v>
      </c>
      <c r="F1998" t="s">
        <v>41</v>
      </c>
      <c r="G1998">
        <v>-393.61989999999997</v>
      </c>
      <c r="H1998" s="1">
        <v>-3.9987240000000002E-6</v>
      </c>
      <c r="I1998">
        <v>23.435949999999998</v>
      </c>
      <c r="J1998">
        <v>-404.81240000000003</v>
      </c>
      <c r="K1998">
        <v>1.1116360000000001</v>
      </c>
      <c r="L1998">
        <v>26.299130000000002</v>
      </c>
      <c r="M1998">
        <v>0.84143809999999997</v>
      </c>
      <c r="N1998">
        <v>0</v>
      </c>
      <c r="O1998">
        <v>-0.54021850000000005</v>
      </c>
      <c r="P1998">
        <v>0.88503019999999999</v>
      </c>
      <c r="Q1998">
        <v>0.12855639999999999</v>
      </c>
      <c r="R1998">
        <v>-0.447432</v>
      </c>
      <c r="S1998">
        <v>3.0382389999999999</v>
      </c>
      <c r="T1998">
        <v>-0.29846909999999999</v>
      </c>
      <c r="U1998">
        <v>-0.78836059999999997</v>
      </c>
      <c r="V1998">
        <v>-0.10419059999999999</v>
      </c>
      <c r="W1998">
        <v>0.13859079999999999</v>
      </c>
      <c r="X1998">
        <v>0.98485370000000005</v>
      </c>
      <c r="Y1998">
        <v>-0.3080946</v>
      </c>
      <c r="Z1998">
        <v>6.3839229999999997E-2</v>
      </c>
      <c r="AA1998">
        <v>0.94921140000000004</v>
      </c>
      <c r="AB1998">
        <v>27</v>
      </c>
      <c r="AC1998">
        <v>11.192500000000001</v>
      </c>
      <c r="AD1998">
        <v>-1.111639998724</v>
      </c>
      <c r="AE1998">
        <v>-2.8631799999999998</v>
      </c>
      <c r="AF1998">
        <v>-3.6041032421294799</v>
      </c>
      <c r="AG1998">
        <v>-1.111639998724</v>
      </c>
      <c r="AH1998">
        <v>10.864746370194901</v>
      </c>
      <c r="AI1998">
        <v>95.546741839267995</v>
      </c>
      <c r="AJ1998">
        <v>108.351950649934</v>
      </c>
      <c r="AK1998">
        <v>11.5007833365973</v>
      </c>
      <c r="AL1998">
        <v>82.033689483055099</v>
      </c>
      <c r="AM1998">
        <v>96.039027746500906</v>
      </c>
      <c r="AN1998">
        <v>0.99999995068834302</v>
      </c>
    </row>
    <row r="1999" spans="1:40" x14ac:dyDescent="0.3">
      <c r="A1999" t="str">
        <f>"20200111150356515"</f>
        <v>20200111150356515</v>
      </c>
      <c r="B1999" t="str">
        <f>"1578726236510975"</f>
        <v>1578726236510975</v>
      </c>
      <c r="C1999" t="s">
        <v>40</v>
      </c>
      <c r="D1999">
        <v>5.3249170000000001</v>
      </c>
      <c r="E1999">
        <v>0.41545199999999999</v>
      </c>
      <c r="F1999" t="s">
        <v>41</v>
      </c>
      <c r="G1999">
        <v>-393.43400000000003</v>
      </c>
      <c r="H1999" s="1">
        <v>-4.0645099999999996E-6</v>
      </c>
      <c r="I1999">
        <v>23.40427</v>
      </c>
      <c r="J1999">
        <v>-404.6533</v>
      </c>
      <c r="K1999">
        <v>1.1116440000000001</v>
      </c>
      <c r="L1999">
        <v>26.20599</v>
      </c>
      <c r="M1999">
        <v>0.84538480000000005</v>
      </c>
      <c r="N1999">
        <v>0</v>
      </c>
      <c r="O1999">
        <v>-0.53402059999999996</v>
      </c>
      <c r="P1999">
        <v>0.887791</v>
      </c>
      <c r="Q1999">
        <v>0.12840260000000001</v>
      </c>
      <c r="R1999">
        <v>-0.4419728</v>
      </c>
      <c r="S1999">
        <v>3.041595</v>
      </c>
      <c r="T1999">
        <v>-0.29715570000000002</v>
      </c>
      <c r="U1999">
        <v>-0.77383419999999903</v>
      </c>
      <c r="V1999">
        <v>-0.1030287</v>
      </c>
      <c r="W1999">
        <v>0.13846149999999999</v>
      </c>
      <c r="X1999">
        <v>0.98499420000000004</v>
      </c>
      <c r="Y1999">
        <v>-0.30567909999999998</v>
      </c>
      <c r="Z1999">
        <v>6.2937480000000004E-2</v>
      </c>
      <c r="AA1999">
        <v>0.95005220000000001</v>
      </c>
      <c r="AB1999">
        <v>27</v>
      </c>
      <c r="AC1999">
        <v>11.219299999999899</v>
      </c>
      <c r="AD1999">
        <v>-1.11164806451</v>
      </c>
      <c r="AE1999">
        <v>-2.8017199999999902</v>
      </c>
      <c r="AF1999">
        <v>-3.5898961587119298</v>
      </c>
      <c r="AG1999">
        <v>-1.11164806451</v>
      </c>
      <c r="AH1999">
        <v>10.881052008068799</v>
      </c>
      <c r="AI1999">
        <v>95.541481093731903</v>
      </c>
      <c r="AJ1999">
        <v>108.25884882871</v>
      </c>
      <c r="AK1999">
        <v>11.511750894280199</v>
      </c>
      <c r="AL1999">
        <v>82.041170640116604</v>
      </c>
      <c r="AM1999">
        <v>95.971326183657297</v>
      </c>
      <c r="AN1999">
        <v>1.0000000370197799</v>
      </c>
    </row>
    <row r="2000" spans="1:40" x14ac:dyDescent="0.3">
      <c r="A2000" t="str">
        <f>"20200111150356527"</f>
        <v>20200111150356527</v>
      </c>
      <c r="B2000" t="str">
        <f>"1578726236520735"</f>
        <v>1578726236520735</v>
      </c>
      <c r="C2000" t="s">
        <v>40</v>
      </c>
      <c r="D2000">
        <v>5.4483079999999999</v>
      </c>
      <c r="E2000">
        <v>0.41600039999999999</v>
      </c>
      <c r="F2000" t="s">
        <v>41</v>
      </c>
      <c r="G2000">
        <v>-393.16460000000001</v>
      </c>
      <c r="H2000" s="1">
        <v>-4.1590969999999998E-6</v>
      </c>
      <c r="I2000">
        <v>23.354389999999999</v>
      </c>
      <c r="J2000">
        <v>-404.53030000000001</v>
      </c>
      <c r="K2000">
        <v>1.11165</v>
      </c>
      <c r="L2000">
        <v>26.134889999999999</v>
      </c>
      <c r="M2000">
        <v>0.84839390000000003</v>
      </c>
      <c r="N2000">
        <v>0</v>
      </c>
      <c r="O2000">
        <v>-0.52922729999999996</v>
      </c>
      <c r="P2000">
        <v>0.8900382</v>
      </c>
      <c r="Q2000">
        <v>0.1287287</v>
      </c>
      <c r="R2000">
        <v>-0.43733420000000001</v>
      </c>
      <c r="S2000">
        <v>3.045471</v>
      </c>
      <c r="T2000">
        <v>-0.29468179999999999</v>
      </c>
      <c r="U2000">
        <v>-0.75592040000000005</v>
      </c>
      <c r="V2000">
        <v>-0.10257520000000001</v>
      </c>
      <c r="W2000">
        <v>0.13879720000000001</v>
      </c>
      <c r="X2000">
        <v>0.98499420000000004</v>
      </c>
      <c r="Y2000">
        <v>-0.3059134</v>
      </c>
      <c r="Z2000">
        <v>6.2034020000000002E-2</v>
      </c>
      <c r="AA2000">
        <v>0.9500362</v>
      </c>
      <c r="AB2000">
        <v>27</v>
      </c>
      <c r="AC2000">
        <v>11.3657</v>
      </c>
      <c r="AD2000">
        <v>-1.1116541590969999</v>
      </c>
      <c r="AE2000">
        <v>-2.7805</v>
      </c>
      <c r="AF2000">
        <v>-3.6236393119991899</v>
      </c>
      <c r="AG2000">
        <v>-1.1116541590969999</v>
      </c>
      <c r="AH2000">
        <v>11.0154922555857</v>
      </c>
      <c r="AI2000">
        <v>95.475850363700403</v>
      </c>
      <c r="AJ2000">
        <v>108.209057653068</v>
      </c>
      <c r="AK2000">
        <v>11.649360774985499</v>
      </c>
      <c r="AL2000">
        <v>82.021748252938906</v>
      </c>
      <c r="AM2000">
        <v>95.945230950297898</v>
      </c>
      <c r="AN2000">
        <v>0.99999995420825805</v>
      </c>
    </row>
    <row r="2001" spans="1:40" x14ac:dyDescent="0.3">
      <c r="A2001" t="str">
        <f>"20200111150356539"</f>
        <v>20200111150356539</v>
      </c>
      <c r="B2001" t="str">
        <f>"1578726236530494"</f>
        <v>1578726236530494</v>
      </c>
      <c r="C2001" t="s">
        <v>40</v>
      </c>
      <c r="D2001">
        <v>5.2802610000000003</v>
      </c>
      <c r="E2001">
        <v>0.41600039999999999</v>
      </c>
      <c r="F2001" t="s">
        <v>41</v>
      </c>
      <c r="G2001">
        <v>-393.10160000000002</v>
      </c>
      <c r="H2001" s="1">
        <v>-4.1815130000000003E-6</v>
      </c>
      <c r="I2001">
        <v>23.34432</v>
      </c>
      <c r="J2001">
        <v>-404.40980000000002</v>
      </c>
      <c r="K2001">
        <v>1.1116569999999999</v>
      </c>
      <c r="L2001">
        <v>26.066559999999999</v>
      </c>
      <c r="M2001">
        <v>0.85130280000000003</v>
      </c>
      <c r="N2001">
        <v>0</v>
      </c>
      <c r="O2001">
        <v>-0.52453539999999998</v>
      </c>
      <c r="P2001">
        <v>0.89235810000000004</v>
      </c>
      <c r="Q2001">
        <v>0.1294315</v>
      </c>
      <c r="R2001">
        <v>-0.43237110000000001</v>
      </c>
      <c r="S2001">
        <v>3.0478519999999998</v>
      </c>
      <c r="T2001">
        <v>-0.29646109999999998</v>
      </c>
      <c r="U2001">
        <v>-0.74420169999999997</v>
      </c>
      <c r="V2001">
        <v>-0.1025829</v>
      </c>
      <c r="W2001">
        <v>0.13949990000000001</v>
      </c>
      <c r="X2001">
        <v>0.98489420000000005</v>
      </c>
      <c r="Y2001">
        <v>-0.30426120000000001</v>
      </c>
      <c r="Z2001">
        <v>6.1946300000000003E-2</v>
      </c>
      <c r="AA2001">
        <v>0.95057239999999998</v>
      </c>
      <c r="AB2001">
        <v>27</v>
      </c>
      <c r="AC2001">
        <v>11.308199999999999</v>
      </c>
      <c r="AD2001">
        <v>-1.111661181513</v>
      </c>
      <c r="AE2001">
        <v>-2.7222400000000002</v>
      </c>
      <c r="AF2001">
        <v>-3.5816477056548299</v>
      </c>
      <c r="AG2001">
        <v>-1.111661181513</v>
      </c>
      <c r="AH2001">
        <v>10.9553481986954</v>
      </c>
      <c r="AI2001">
        <v>95.509047949934399</v>
      </c>
      <c r="AJ2001">
        <v>108.104195666894</v>
      </c>
      <c r="AK2001">
        <v>11.5794492539397</v>
      </c>
      <c r="AL2001">
        <v>81.981091578694901</v>
      </c>
      <c r="AM2001">
        <v>95.946273404668005</v>
      </c>
      <c r="AN2001">
        <v>1.00000002933302</v>
      </c>
    </row>
    <row r="2002" spans="1:40" x14ac:dyDescent="0.3">
      <c r="A2002" t="str">
        <f>"20200111150356550"</f>
        <v>20200111150356550</v>
      </c>
      <c r="B2002" t="str">
        <f>"1578726236540257"</f>
        <v>1578726236540257</v>
      </c>
      <c r="C2002" t="s">
        <v>40</v>
      </c>
      <c r="D2002">
        <v>5.3296219999999996</v>
      </c>
      <c r="E2002">
        <v>0.44690400000000002</v>
      </c>
      <c r="F2002" t="s">
        <v>41</v>
      </c>
      <c r="G2002">
        <v>-392.87119999999999</v>
      </c>
      <c r="H2002" s="1">
        <v>-4.2651949999999999E-6</v>
      </c>
      <c r="I2002">
        <v>23.31728</v>
      </c>
      <c r="J2002">
        <v>-404.29360000000003</v>
      </c>
      <c r="K2002">
        <v>1.111664</v>
      </c>
      <c r="L2002">
        <v>26.001069999999999</v>
      </c>
      <c r="M2002">
        <v>0.85407849999999996</v>
      </c>
      <c r="N2002">
        <v>0</v>
      </c>
      <c r="O2002">
        <v>-0.5200034</v>
      </c>
      <c r="P2002">
        <v>0.89458609999999905</v>
      </c>
      <c r="Q2002">
        <v>0.12985099999999999</v>
      </c>
      <c r="R2002">
        <v>-0.42761510000000003</v>
      </c>
      <c r="S2002">
        <v>3.052155</v>
      </c>
      <c r="T2002">
        <v>-0.29405389999999998</v>
      </c>
      <c r="U2002">
        <v>-0.72723389999999999</v>
      </c>
      <c r="V2002">
        <v>-0.1025683</v>
      </c>
      <c r="W2002">
        <v>0.13992060000000001</v>
      </c>
      <c r="X2002">
        <v>0.98483600000000004</v>
      </c>
      <c r="Y2002">
        <v>-0.30457709999999999</v>
      </c>
      <c r="Z2002">
        <v>6.1072809999999998E-2</v>
      </c>
      <c r="AA2002">
        <v>0.95052769999999998</v>
      </c>
      <c r="AB2002">
        <v>27</v>
      </c>
      <c r="AC2002">
        <v>11.4224</v>
      </c>
      <c r="AD2002">
        <v>-1.1116682651950001</v>
      </c>
      <c r="AE2002">
        <v>-2.6837900000000001</v>
      </c>
      <c r="AF2002">
        <v>-3.6153340705318202</v>
      </c>
      <c r="AG2002">
        <v>-1.1116682651950001</v>
      </c>
      <c r="AH2002">
        <v>11.0528088079955</v>
      </c>
      <c r="AI2002">
        <v>95.460535681228194</v>
      </c>
      <c r="AJ2002">
        <v>108.112734829136</v>
      </c>
      <c r="AK2002">
        <v>11.6820815490859</v>
      </c>
      <c r="AL2002">
        <v>81.956748169161997</v>
      </c>
      <c r="AM2002">
        <v>95.945782005364606</v>
      </c>
      <c r="AN2002">
        <v>0.99999998868262496</v>
      </c>
    </row>
    <row r="2003" spans="1:40" x14ac:dyDescent="0.3">
      <c r="A2003" t="str">
        <f>"20200111150356562"</f>
        <v>20200111150356562</v>
      </c>
      <c r="B2003" t="str">
        <f>"1578726236560752"</f>
        <v>1578726236560752</v>
      </c>
      <c r="C2003" t="s">
        <v>40</v>
      </c>
      <c r="D2003">
        <v>5.4064129999999997</v>
      </c>
      <c r="E2003">
        <v>0.44693149999999998</v>
      </c>
      <c r="F2003" t="s">
        <v>41</v>
      </c>
      <c r="G2003">
        <v>-390.98500000000001</v>
      </c>
      <c r="H2003" s="1">
        <v>-4.7190470000000003E-6</v>
      </c>
      <c r="I2003">
        <v>21.792480000000001</v>
      </c>
      <c r="J2003">
        <v>-404.16399999999999</v>
      </c>
      <c r="K2003">
        <v>1.1116710000000001</v>
      </c>
      <c r="L2003">
        <v>25.929320000000001</v>
      </c>
      <c r="M2003">
        <v>0.85713209999999995</v>
      </c>
      <c r="N2003">
        <v>0</v>
      </c>
      <c r="O2003">
        <v>-0.51495440000000003</v>
      </c>
      <c r="P2003">
        <v>0.89695939999999996</v>
      </c>
      <c r="Q2003">
        <v>0.13047600000000001</v>
      </c>
      <c r="R2003">
        <v>-0.42242150000000001</v>
      </c>
      <c r="S2003">
        <v>2.944153</v>
      </c>
      <c r="T2003">
        <v>-0.24592520000000001</v>
      </c>
      <c r="U2003">
        <v>-0.93103029999999998</v>
      </c>
      <c r="V2003">
        <v>-0.1024327</v>
      </c>
      <c r="W2003">
        <v>0.14054849999999999</v>
      </c>
      <c r="X2003">
        <v>0.98476070000000004</v>
      </c>
      <c r="Y2003">
        <v>-0.23042260000000001</v>
      </c>
      <c r="Z2003">
        <v>4.8896670000000003E-2</v>
      </c>
      <c r="AA2003">
        <v>0.97186139999999999</v>
      </c>
      <c r="AB2003">
        <v>27</v>
      </c>
      <c r="AC2003">
        <v>13.178999999999901</v>
      </c>
      <c r="AD2003">
        <v>-1.1116757190469999</v>
      </c>
      <c r="AE2003">
        <v>-4.1368400000000003</v>
      </c>
      <c r="AF2003">
        <v>-3.2201460076805999</v>
      </c>
      <c r="AG2003">
        <v>-1.1116757190469999</v>
      </c>
      <c r="AH2003">
        <v>13.341001008466399</v>
      </c>
      <c r="AI2003">
        <v>94.630937193758598</v>
      </c>
      <c r="AJ2003">
        <v>103.570046353482</v>
      </c>
      <c r="AK2003">
        <v>13.7690766256492</v>
      </c>
      <c r="AL2003">
        <v>81.920413087258396</v>
      </c>
      <c r="AM2003">
        <v>95.938428414594796</v>
      </c>
      <c r="AN2003">
        <v>0.999999987573015</v>
      </c>
    </row>
    <row r="2004" spans="1:40" x14ac:dyDescent="0.3">
      <c r="A2004" t="str">
        <f>"20200111150356576"</f>
        <v>20200111150356576</v>
      </c>
      <c r="B2004" t="str">
        <f>"1578726236570511"</f>
        <v>1578726236570511</v>
      </c>
      <c r="C2004" t="s">
        <v>40</v>
      </c>
      <c r="D2004">
        <v>5.3494320000000002</v>
      </c>
      <c r="E2004">
        <v>0.44743860000000002</v>
      </c>
      <c r="F2004" t="s">
        <v>41</v>
      </c>
      <c r="G2004">
        <v>-390.55529999999999</v>
      </c>
      <c r="H2004" s="1">
        <v>-4.8696769999999997E-6</v>
      </c>
      <c r="I2004">
        <v>21.711379999999998</v>
      </c>
      <c r="J2004">
        <v>-404.03399999999999</v>
      </c>
      <c r="K2004">
        <v>1.1116740000000001</v>
      </c>
      <c r="L2004">
        <v>25.858250000000002</v>
      </c>
      <c r="M2004">
        <v>0.86015719999999996</v>
      </c>
      <c r="N2004">
        <v>0</v>
      </c>
      <c r="O2004">
        <v>-0.50988559999999905</v>
      </c>
      <c r="P2004">
        <v>0.89925469999999896</v>
      </c>
      <c r="Q2004">
        <v>0.13103029999999999</v>
      </c>
      <c r="R2004">
        <v>-0.41733989999999999</v>
      </c>
      <c r="S2004">
        <v>2.9492189999999998</v>
      </c>
      <c r="T2004">
        <v>-0.2409172</v>
      </c>
      <c r="U2004">
        <v>-0.91409300000000004</v>
      </c>
      <c r="V2004">
        <v>-0.1021611</v>
      </c>
      <c r="W2004">
        <v>0.14110880000000001</v>
      </c>
      <c r="X2004">
        <v>0.98470880000000005</v>
      </c>
      <c r="Y2004">
        <v>-0.2303443</v>
      </c>
      <c r="Z2004">
        <v>4.753835E-2</v>
      </c>
      <c r="AA2004">
        <v>0.97194729999999996</v>
      </c>
      <c r="AB2004">
        <v>27</v>
      </c>
      <c r="AC2004">
        <v>13.4787</v>
      </c>
      <c r="AD2004">
        <v>-1.1116788696769999</v>
      </c>
      <c r="AE2004">
        <v>-4.1468699999999998</v>
      </c>
      <c r="AF2004">
        <v>-3.28546021569678</v>
      </c>
      <c r="AG2004">
        <v>-1.1116788696769999</v>
      </c>
      <c r="AH2004">
        <v>13.6245669841562</v>
      </c>
      <c r="AI2004">
        <v>94.5352098978762</v>
      </c>
      <c r="AJ2004">
        <v>103.557604811175</v>
      </c>
      <c r="AK2004">
        <v>14.059121745115201</v>
      </c>
      <c r="AL2004">
        <v>81.887987223512894</v>
      </c>
      <c r="AM2004">
        <v>95.923104714796807</v>
      </c>
      <c r="AN2004">
        <v>1.0000000022940401</v>
      </c>
    </row>
    <row r="2005" spans="1:40" x14ac:dyDescent="0.3">
      <c r="A2005" t="str">
        <f>"20200111150356588"</f>
        <v>20200111150356588</v>
      </c>
      <c r="B2005" t="str">
        <f>"1578726236580272"</f>
        <v>1578726236580272</v>
      </c>
      <c r="C2005" t="s">
        <v>40</v>
      </c>
      <c r="D2005">
        <v>5.3850360000000004</v>
      </c>
      <c r="E2005">
        <v>0.44813839999999999</v>
      </c>
      <c r="F2005" t="s">
        <v>41</v>
      </c>
      <c r="G2005">
        <v>-390.12689999999998</v>
      </c>
      <c r="H2005" s="1">
        <v>-5.0170420000000003E-6</v>
      </c>
      <c r="I2005">
        <v>21.61469</v>
      </c>
      <c r="J2005">
        <v>-403.90050000000002</v>
      </c>
      <c r="K2005">
        <v>1.1116790000000001</v>
      </c>
      <c r="L2005">
        <v>25.785979999999999</v>
      </c>
      <c r="M2005">
        <v>0.86322529999999997</v>
      </c>
      <c r="N2005">
        <v>0</v>
      </c>
      <c r="O2005">
        <v>-0.5046737</v>
      </c>
      <c r="P2005">
        <v>0.90160430000000003</v>
      </c>
      <c r="Q2005">
        <v>0.131192</v>
      </c>
      <c r="R2005">
        <v>-0.41218779999999999</v>
      </c>
      <c r="S2005">
        <v>2.9523929999999998</v>
      </c>
      <c r="T2005">
        <v>-0.2360024</v>
      </c>
      <c r="U2005">
        <v>-0.90087890000000004</v>
      </c>
      <c r="V2005">
        <v>-0.1018313</v>
      </c>
      <c r="W2005">
        <v>0.1412783</v>
      </c>
      <c r="X2005">
        <v>0.98471869999999995</v>
      </c>
      <c r="Y2005">
        <v>-0.22882930000000001</v>
      </c>
      <c r="Z2005">
        <v>4.616253E-2</v>
      </c>
      <c r="AA2005">
        <v>0.9723714</v>
      </c>
      <c r="AB2005">
        <v>27</v>
      </c>
      <c r="AC2005">
        <v>13.7736</v>
      </c>
      <c r="AD2005">
        <v>-1.1116840170419999</v>
      </c>
      <c r="AE2005">
        <v>-4.1712899999999902</v>
      </c>
      <c r="AF2005">
        <v>-3.3307812568241602</v>
      </c>
      <c r="AG2005">
        <v>-1.1116840170419999</v>
      </c>
      <c r="AH2005">
        <v>13.9128673869716</v>
      </c>
      <c r="AI2005">
        <v>94.443380750032304</v>
      </c>
      <c r="AJ2005">
        <v>103.46338261916</v>
      </c>
      <c r="AK2005">
        <v>14.3491401854612</v>
      </c>
      <c r="AL2005">
        <v>81.878177661858999</v>
      </c>
      <c r="AM2005">
        <v>95.904059892943494</v>
      </c>
      <c r="AN2005">
        <v>1.0000000449201301</v>
      </c>
    </row>
    <row r="2006" spans="1:40" x14ac:dyDescent="0.3">
      <c r="A2006" t="str">
        <f>"20200111150356604"</f>
        <v>20200111150356604</v>
      </c>
      <c r="B2006" t="str">
        <f>"1578726236600767"</f>
        <v>1578726236600767</v>
      </c>
      <c r="C2006" t="s">
        <v>40</v>
      </c>
      <c r="D2006">
        <v>5.3625819999999997</v>
      </c>
      <c r="E2006">
        <v>0.44960040000000001</v>
      </c>
      <c r="F2006" t="s">
        <v>73</v>
      </c>
      <c r="G2006">
        <v>-389.8793</v>
      </c>
      <c r="H2006" s="1">
        <v>-5.772325E-7</v>
      </c>
      <c r="I2006">
        <v>21.569610000000001</v>
      </c>
      <c r="J2006">
        <v>-403.73540000000003</v>
      </c>
      <c r="K2006">
        <v>1.1116839999999999</v>
      </c>
      <c r="L2006">
        <v>25.698609999999999</v>
      </c>
      <c r="M2006">
        <v>0.86695750000000005</v>
      </c>
      <c r="N2006">
        <v>0</v>
      </c>
      <c r="O2006">
        <v>-0.49823499999999998</v>
      </c>
      <c r="P2006">
        <v>0.90433859999999999</v>
      </c>
      <c r="Q2006">
        <v>0.13107849999999999</v>
      </c>
      <c r="R2006">
        <v>-0.40618959999999998</v>
      </c>
      <c r="S2006">
        <v>2.9552</v>
      </c>
      <c r="T2006">
        <v>-0.23430509999999999</v>
      </c>
      <c r="U2006">
        <v>-0.88867189999999996</v>
      </c>
      <c r="V2006">
        <v>-0.1010494</v>
      </c>
      <c r="W2006">
        <v>0.1411829</v>
      </c>
      <c r="X2006">
        <v>0.98481289999999999</v>
      </c>
      <c r="Y2006">
        <v>-0.22557340000000001</v>
      </c>
      <c r="Z2006">
        <v>4.5277970000000001E-2</v>
      </c>
      <c r="AA2006">
        <v>0.97317339999999997</v>
      </c>
      <c r="AB2006">
        <v>27</v>
      </c>
      <c r="AC2006">
        <v>13.8561</v>
      </c>
      <c r="AD2006">
        <v>-1.1116845772324999</v>
      </c>
      <c r="AE2006">
        <v>-4.1289999999999996</v>
      </c>
      <c r="AF2006">
        <v>-3.3046331523656098</v>
      </c>
      <c r="AG2006">
        <v>-1.1116845772324999</v>
      </c>
      <c r="AH2006">
        <v>13.9881953834083</v>
      </c>
      <c r="AI2006">
        <v>94.422680673559</v>
      </c>
      <c r="AJ2006">
        <v>103.292101164795</v>
      </c>
      <c r="AK2006">
        <v>14.4161733117834</v>
      </c>
      <c r="AL2006">
        <v>81.883698819489894</v>
      </c>
      <c r="AM2006">
        <v>95.858486291709596</v>
      </c>
      <c r="AN2006">
        <v>1.00000002024958</v>
      </c>
    </row>
    <row r="2007" spans="1:40" x14ac:dyDescent="0.3">
      <c r="A2007" t="str">
        <f>"20200111150356617"</f>
        <v>20200111150356617</v>
      </c>
      <c r="B2007" t="str">
        <f>"1578726236610528"</f>
        <v>1578726236610528</v>
      </c>
      <c r="C2007" t="s">
        <v>40</v>
      </c>
      <c r="D2007">
        <v>5.3439420000000002</v>
      </c>
      <c r="E2007">
        <v>0.45064949999999998</v>
      </c>
      <c r="F2007" t="s">
        <v>73</v>
      </c>
      <c r="G2007">
        <v>-389.57740000000001</v>
      </c>
      <c r="H2007" s="1">
        <v>-6.9769119999999995E-7</v>
      </c>
      <c r="I2007">
        <v>21.48601</v>
      </c>
      <c r="J2007">
        <v>-403.60730000000001</v>
      </c>
      <c r="K2007">
        <v>1.1116870000000001</v>
      </c>
      <c r="L2007">
        <v>25.63184</v>
      </c>
      <c r="M2007">
        <v>0.86980939999999995</v>
      </c>
      <c r="N2007">
        <v>0</v>
      </c>
      <c r="O2007">
        <v>-0.49323919999999999</v>
      </c>
      <c r="P2007">
        <v>0.90663329999999998</v>
      </c>
      <c r="Q2007">
        <v>0.13086789999999901</v>
      </c>
      <c r="R2007">
        <v>-0.40111079999999999</v>
      </c>
      <c r="S2007">
        <v>2.9559329999999999</v>
      </c>
      <c r="T2007">
        <v>-0.2320999</v>
      </c>
      <c r="U2007">
        <v>-0.87951659999999898</v>
      </c>
      <c r="V2007">
        <v>-0.1009205</v>
      </c>
      <c r="W2007">
        <v>0.14097670000000001</v>
      </c>
      <c r="X2007">
        <v>0.9848557</v>
      </c>
      <c r="Y2007">
        <v>-0.2228552</v>
      </c>
      <c r="Z2007">
        <v>4.4438079999999998E-2</v>
      </c>
      <c r="AA2007">
        <v>0.97383819999999999</v>
      </c>
      <c r="AB2007">
        <v>27</v>
      </c>
      <c r="AC2007">
        <v>14.0298999999999</v>
      </c>
      <c r="AD2007">
        <v>-1.1116876976912</v>
      </c>
      <c r="AE2007">
        <v>-4.1458300000000001</v>
      </c>
      <c r="AF2007">
        <v>-3.2952302201825199</v>
      </c>
      <c r="AG2007">
        <v>-1.1116876976912</v>
      </c>
      <c r="AH2007">
        <v>14.167462862520599</v>
      </c>
      <c r="AI2007">
        <v>94.370480963611797</v>
      </c>
      <c r="AJ2007">
        <v>103.09370171953999</v>
      </c>
      <c r="AK2007">
        <v>14.5880566115608</v>
      </c>
      <c r="AL2007">
        <v>81.895632920863704</v>
      </c>
      <c r="AM2007">
        <v>95.850812494634994</v>
      </c>
      <c r="AN2007">
        <v>1.0000000635428099</v>
      </c>
    </row>
    <row r="2008" spans="1:40" x14ac:dyDescent="0.3">
      <c r="A2008" t="str">
        <f>"20200111150356629"</f>
        <v>20200111150356629</v>
      </c>
      <c r="B2008" t="str">
        <f>"1578726236620287"</f>
        <v>1578726236620287</v>
      </c>
      <c r="C2008" t="s">
        <v>40</v>
      </c>
      <c r="D2008">
        <v>5.3466800000000001</v>
      </c>
      <c r="E2008">
        <v>0.451185</v>
      </c>
      <c r="F2008" t="s">
        <v>73</v>
      </c>
      <c r="G2008">
        <v>-389.42250000000001</v>
      </c>
      <c r="H2008" s="1">
        <v>-7.6278339999999995E-7</v>
      </c>
      <c r="I2008">
        <v>21.455490000000001</v>
      </c>
      <c r="J2008">
        <v>-403.48090000000002</v>
      </c>
      <c r="K2008">
        <v>1.111691</v>
      </c>
      <c r="L2008">
        <v>25.566469999999999</v>
      </c>
      <c r="M2008">
        <v>0.87259219999999904</v>
      </c>
      <c r="N2008">
        <v>0</v>
      </c>
      <c r="O2008">
        <v>-0.48829929999999999</v>
      </c>
      <c r="P2008">
        <v>0.90879290000000001</v>
      </c>
      <c r="Q2008">
        <v>0.13106189999999901</v>
      </c>
      <c r="R2008">
        <v>-0.39612920000000001</v>
      </c>
      <c r="S2008">
        <v>2.9571839999999998</v>
      </c>
      <c r="T2008">
        <v>-0.23175970000000001</v>
      </c>
      <c r="U2008">
        <v>-0.87066650000000001</v>
      </c>
      <c r="V2008">
        <v>-0.1007311</v>
      </c>
      <c r="W2008">
        <v>0.1411763</v>
      </c>
      <c r="X2008">
        <v>0.98484640000000001</v>
      </c>
      <c r="Y2008">
        <v>-0.22014349999999999</v>
      </c>
      <c r="Z2008">
        <v>4.3952709999999999E-2</v>
      </c>
      <c r="AA2008">
        <v>0.97447680000000003</v>
      </c>
      <c r="AB2008">
        <v>27</v>
      </c>
      <c r="AC2008">
        <v>14.058400000000001</v>
      </c>
      <c r="AD2008">
        <v>-1.1116917627834</v>
      </c>
      <c r="AE2008">
        <v>-4.1109799999999996</v>
      </c>
      <c r="AF2008">
        <v>-3.2589647512764199</v>
      </c>
      <c r="AG2008">
        <v>-1.1116917627834</v>
      </c>
      <c r="AH2008">
        <v>14.1939210043956</v>
      </c>
      <c r="AI2008">
        <v>94.365231546853195</v>
      </c>
      <c r="AJ2008">
        <v>102.93115102042501</v>
      </c>
      <c r="AK2008">
        <v>14.605618894950201</v>
      </c>
      <c r="AL2008">
        <v>81.884080361544406</v>
      </c>
      <c r="AM2008">
        <v>95.839962857175706</v>
      </c>
      <c r="AN2008">
        <v>0.99999996689092896</v>
      </c>
    </row>
    <row r="2009" spans="1:40" x14ac:dyDescent="0.3">
      <c r="A2009" t="str">
        <f>"20200111150356641"</f>
        <v>20200111150356641</v>
      </c>
      <c r="B2009" t="str">
        <f>"1578726236631022"</f>
        <v>1578726236631022</v>
      </c>
      <c r="C2009" t="s">
        <v>40</v>
      </c>
      <c r="D2009">
        <v>5.3015610000000004</v>
      </c>
      <c r="E2009">
        <v>0.45182099999999997</v>
      </c>
      <c r="F2009" t="s">
        <v>73</v>
      </c>
      <c r="G2009">
        <v>-389.10480000000001</v>
      </c>
      <c r="H2009" s="1">
        <v>-8.9754819999999896E-7</v>
      </c>
      <c r="I2009">
        <v>21.39762</v>
      </c>
      <c r="J2009">
        <v>-403.34039999999999</v>
      </c>
      <c r="K2009">
        <v>1.111696</v>
      </c>
      <c r="L2009">
        <v>25.495450000000002</v>
      </c>
      <c r="M2009">
        <v>0.87563599999999997</v>
      </c>
      <c r="N2009">
        <v>0</v>
      </c>
      <c r="O2009">
        <v>-0.48281930000000001</v>
      </c>
      <c r="P2009">
        <v>0.91109819999999997</v>
      </c>
      <c r="Q2009">
        <v>0.1312227</v>
      </c>
      <c r="R2009">
        <v>-0.39074389999999998</v>
      </c>
      <c r="S2009">
        <v>2.9599299999999999</v>
      </c>
      <c r="T2009">
        <v>-0.22889010000000001</v>
      </c>
      <c r="U2009">
        <v>-0.85833740000000003</v>
      </c>
      <c r="V2009">
        <v>-0.10037840000000001</v>
      </c>
      <c r="W2009">
        <v>0.14134530000000001</v>
      </c>
      <c r="X2009">
        <v>0.98485820000000002</v>
      </c>
      <c r="Y2009">
        <v>-0.2180771</v>
      </c>
      <c r="Z2009">
        <v>4.2971200000000001E-2</v>
      </c>
      <c r="AA2009">
        <v>0.97498510000000005</v>
      </c>
      <c r="AB2009">
        <v>27</v>
      </c>
      <c r="AC2009">
        <v>14.2355999999999</v>
      </c>
      <c r="AD2009">
        <v>-1.1116968975482</v>
      </c>
      <c r="AE2009">
        <v>-4.0978300000000001</v>
      </c>
      <c r="AF2009">
        <v>-3.2668583003713101</v>
      </c>
      <c r="AG2009">
        <v>-1.1116968975482</v>
      </c>
      <c r="AH2009">
        <v>14.3638831724013</v>
      </c>
      <c r="AI2009">
        <v>94.315818690057597</v>
      </c>
      <c r="AJ2009">
        <v>102.81313899598899</v>
      </c>
      <c r="AK2009">
        <v>14.7725885658918</v>
      </c>
      <c r="AL2009">
        <v>81.874299528555099</v>
      </c>
      <c r="AM2009">
        <v>95.819586149061706</v>
      </c>
      <c r="AN2009">
        <v>0.99999999556294505</v>
      </c>
    </row>
    <row r="2010" spans="1:40" x14ac:dyDescent="0.3">
      <c r="A2010" t="str">
        <f>"20200111150356655"</f>
        <v>20200111150356655</v>
      </c>
      <c r="B2010" t="str">
        <f>"1578726236650543"</f>
        <v>1578726236650543</v>
      </c>
      <c r="C2010" t="s">
        <v>40</v>
      </c>
      <c r="D2010">
        <v>5.3206800000000003</v>
      </c>
      <c r="E2010">
        <v>0.45329340000000001</v>
      </c>
      <c r="F2010" t="s">
        <v>73</v>
      </c>
      <c r="G2010">
        <v>-388.84019999999998</v>
      </c>
      <c r="H2010" s="1">
        <v>-1.0121870000000001E-6</v>
      </c>
      <c r="I2010">
        <v>21.358319999999999</v>
      </c>
      <c r="J2010">
        <v>-403.20549999999997</v>
      </c>
      <c r="K2010">
        <v>1.111699</v>
      </c>
      <c r="L2010">
        <v>25.428070000000002</v>
      </c>
      <c r="M2010">
        <v>0.87851959999999996</v>
      </c>
      <c r="N2010">
        <v>0</v>
      </c>
      <c r="O2010">
        <v>-0.47755239999999999</v>
      </c>
      <c r="P2010">
        <v>0.91337820000000003</v>
      </c>
      <c r="Q2010">
        <v>0.13147249999999999</v>
      </c>
      <c r="R2010">
        <v>-0.3852988</v>
      </c>
      <c r="S2010">
        <v>2.9629210000000001</v>
      </c>
      <c r="T2010">
        <v>-0.22716049999999999</v>
      </c>
      <c r="U2010">
        <v>-0.84536739999999999</v>
      </c>
      <c r="V2010">
        <v>-0.10033110000000001</v>
      </c>
      <c r="W2010">
        <v>0.1415969</v>
      </c>
      <c r="X2010">
        <v>0.98482689999999995</v>
      </c>
      <c r="Y2010">
        <v>-0.21646580000000001</v>
      </c>
      <c r="Z2010">
        <v>4.2239239999999997E-2</v>
      </c>
      <c r="AA2010">
        <v>0.97537600000000002</v>
      </c>
      <c r="AB2010">
        <v>27</v>
      </c>
      <c r="AC2010">
        <v>14.3652999999999</v>
      </c>
      <c r="AD2010">
        <v>-1.111700012187</v>
      </c>
      <c r="AE2010">
        <v>-4.0697499999999902</v>
      </c>
      <c r="AF2010">
        <v>-3.2669580834983099</v>
      </c>
      <c r="AG2010">
        <v>-1.111700012187</v>
      </c>
      <c r="AH2010">
        <v>14.4844863256153</v>
      </c>
      <c r="AI2010">
        <v>94.281763340515496</v>
      </c>
      <c r="AJ2010">
        <v>102.71030714830999</v>
      </c>
      <c r="AK2010">
        <v>14.889903832911999</v>
      </c>
      <c r="AL2010">
        <v>81.859737629040794</v>
      </c>
      <c r="AM2010">
        <v>95.817046275511302</v>
      </c>
      <c r="AN2010">
        <v>1.0000000173402099</v>
      </c>
    </row>
    <row r="2011" spans="1:40" x14ac:dyDescent="0.3">
      <c r="A2011" t="str">
        <f>"20200111150356672"</f>
        <v>20200111150356672</v>
      </c>
      <c r="B2011" t="str">
        <f>"1578726236660303"</f>
        <v>1578726236660303</v>
      </c>
      <c r="C2011" t="s">
        <v>40</v>
      </c>
      <c r="D2011">
        <v>5.3517489999999999</v>
      </c>
      <c r="E2011">
        <v>0.45411420000000002</v>
      </c>
      <c r="F2011" t="s">
        <v>73</v>
      </c>
      <c r="G2011">
        <v>-388.58620000000002</v>
      </c>
      <c r="H2011" s="1">
        <v>-1.114336E-6</v>
      </c>
      <c r="I2011">
        <v>21.291029999999999</v>
      </c>
      <c r="J2011">
        <v>-403.02330000000001</v>
      </c>
      <c r="K2011">
        <v>1.1117049999999999</v>
      </c>
      <c r="L2011">
        <v>25.3385</v>
      </c>
      <c r="M2011">
        <v>0.88235439999999998</v>
      </c>
      <c r="N2011">
        <v>0</v>
      </c>
      <c r="O2011">
        <v>-0.47042919999999999</v>
      </c>
      <c r="P2011">
        <v>0.91622610000000004</v>
      </c>
      <c r="Q2011">
        <v>0.131996</v>
      </c>
      <c r="R2011">
        <v>-0.37829459999999998</v>
      </c>
      <c r="S2011">
        <v>2.963165</v>
      </c>
      <c r="T2011">
        <v>-0.2253289</v>
      </c>
      <c r="U2011">
        <v>-0.83853149999999999</v>
      </c>
      <c r="V2011">
        <v>-9.9878620000000001E-2</v>
      </c>
      <c r="W2011">
        <v>0.1421308</v>
      </c>
      <c r="X2011">
        <v>0.984796</v>
      </c>
      <c r="Y2011">
        <v>-0.2107252</v>
      </c>
      <c r="Z2011">
        <v>4.1240680000000002E-2</v>
      </c>
      <c r="AA2011">
        <v>0.97667499999999996</v>
      </c>
      <c r="AB2011">
        <v>27</v>
      </c>
      <c r="AC2011">
        <v>14.4370999999999</v>
      </c>
      <c r="AD2011">
        <v>-1.1117061143360001</v>
      </c>
      <c r="AE2011">
        <v>-4.0474699999999997</v>
      </c>
      <c r="AF2011">
        <v>-3.20295920383623</v>
      </c>
      <c r="AG2011">
        <v>-1.1117061143360001</v>
      </c>
      <c r="AH2011">
        <v>14.5637006117804</v>
      </c>
      <c r="AI2011">
        <v>94.263647570836994</v>
      </c>
      <c r="AJ2011">
        <v>102.40345981061699</v>
      </c>
      <c r="AK2011">
        <v>14.953133907501201</v>
      </c>
      <c r="AL2011">
        <v>81.8288349908307</v>
      </c>
      <c r="AM2011">
        <v>95.791171333095605</v>
      </c>
      <c r="AN2011">
        <v>1.00000003232887</v>
      </c>
    </row>
    <row r="2012" spans="1:40" x14ac:dyDescent="0.3">
      <c r="A2012" t="str">
        <f>"20200111150356694"</f>
        <v>20200111150356694</v>
      </c>
      <c r="B2012" t="str">
        <f>"1578726236690560"</f>
        <v>1578726236690560</v>
      </c>
      <c r="C2012" t="s">
        <v>40</v>
      </c>
      <c r="D2012">
        <v>5.3129670000000004</v>
      </c>
      <c r="E2012">
        <v>0.45551649999999999</v>
      </c>
      <c r="F2012" t="s">
        <v>73</v>
      </c>
      <c r="G2012">
        <v>-388.27289999999999</v>
      </c>
      <c r="H2012" s="1">
        <v>-1.252061E-6</v>
      </c>
      <c r="I2012">
        <v>21.252089999999999</v>
      </c>
      <c r="J2012">
        <v>-402.78620000000001</v>
      </c>
      <c r="K2012">
        <v>1.1117109999999999</v>
      </c>
      <c r="L2012">
        <v>25.224979999999999</v>
      </c>
      <c r="M2012">
        <v>0.88722990000000002</v>
      </c>
      <c r="N2012">
        <v>0</v>
      </c>
      <c r="O2012">
        <v>-0.46116819999999997</v>
      </c>
      <c r="P2012">
        <v>0.91995709999999997</v>
      </c>
      <c r="Q2012">
        <v>0.13173399999999999</v>
      </c>
      <c r="R2012">
        <v>-0.36922280000000002</v>
      </c>
      <c r="S2012">
        <v>2.9671630000000002</v>
      </c>
      <c r="T2012">
        <v>-0.2236303</v>
      </c>
      <c r="U2012">
        <v>-0.82202149999999996</v>
      </c>
      <c r="V2012">
        <v>-9.931537E-2</v>
      </c>
      <c r="W2012">
        <v>0.14188299999999901</v>
      </c>
      <c r="X2012">
        <v>0.98488869999999895</v>
      </c>
      <c r="Y2012">
        <v>-0.2059357</v>
      </c>
      <c r="Z2012">
        <v>4.0145729999999998E-2</v>
      </c>
      <c r="AA2012">
        <v>0.97774170000000005</v>
      </c>
      <c r="AB2012">
        <v>27</v>
      </c>
      <c r="AC2012">
        <v>14.513299999999999</v>
      </c>
      <c r="AD2012">
        <v>-1.1117122520610001</v>
      </c>
      <c r="AE2012">
        <v>-3.97289</v>
      </c>
      <c r="AF2012">
        <v>-3.1512376024109101</v>
      </c>
      <c r="AG2012">
        <v>-1.1117122520610001</v>
      </c>
      <c r="AH2012">
        <v>14.6300279314226</v>
      </c>
      <c r="AI2012">
        <v>94.248396900379404</v>
      </c>
      <c r="AJ2012">
        <v>102.155520552639</v>
      </c>
      <c r="AK2012">
        <v>15.006795788323201</v>
      </c>
      <c r="AL2012">
        <v>81.843178306011595</v>
      </c>
      <c r="AM2012">
        <v>95.758194652940304</v>
      </c>
      <c r="AN2012">
        <v>1.00000003989746</v>
      </c>
    </row>
    <row r="2013" spans="1:40" x14ac:dyDescent="0.3">
      <c r="A2013" t="str">
        <f>"20200111150356705"</f>
        <v>20200111150356705</v>
      </c>
      <c r="B2013" t="str">
        <f>"1578726236700321"</f>
        <v>1578726236700321</v>
      </c>
      <c r="C2013" t="s">
        <v>40</v>
      </c>
      <c r="D2013">
        <v>5.304227</v>
      </c>
      <c r="E2013">
        <v>0.45629019999999998</v>
      </c>
      <c r="F2013" t="s">
        <v>73</v>
      </c>
      <c r="G2013">
        <v>-388.11840000000001</v>
      </c>
      <c r="H2013" s="1">
        <v>-1.328167E-6</v>
      </c>
      <c r="I2013">
        <v>21.263480000000001</v>
      </c>
      <c r="J2013">
        <v>-402.66430000000003</v>
      </c>
      <c r="K2013">
        <v>1.111712</v>
      </c>
      <c r="L2013">
        <v>25.167570000000001</v>
      </c>
      <c r="M2013">
        <v>0.88969179999999903</v>
      </c>
      <c r="N2013">
        <v>0</v>
      </c>
      <c r="O2013">
        <v>-0.45640019999999998</v>
      </c>
      <c r="P2013">
        <v>0.92168130000000004</v>
      </c>
      <c r="Q2013">
        <v>0.13203679999999901</v>
      </c>
      <c r="R2013">
        <v>-0.36478729999999998</v>
      </c>
      <c r="S2013">
        <v>2.9711910000000001</v>
      </c>
      <c r="T2013">
        <v>-0.2251937</v>
      </c>
      <c r="U2013">
        <v>-0.8024597</v>
      </c>
      <c r="V2013">
        <v>-9.8759970000000002E-2</v>
      </c>
      <c r="W2013">
        <v>0.14219780000000001</v>
      </c>
      <c r="X2013">
        <v>0.98489910000000003</v>
      </c>
      <c r="Y2013">
        <v>-0.20700089999999999</v>
      </c>
      <c r="Z2013">
        <v>4.0148629999999998E-2</v>
      </c>
      <c r="AA2013">
        <v>0.97751659999999996</v>
      </c>
      <c r="AB2013">
        <v>27</v>
      </c>
      <c r="AC2013">
        <v>14.5459</v>
      </c>
      <c r="AD2013">
        <v>-1.111713328167</v>
      </c>
      <c r="AE2013">
        <v>-3.9040900000000001</v>
      </c>
      <c r="AF2013">
        <v>-3.1483933407062401</v>
      </c>
      <c r="AG2013">
        <v>-1.111713328167</v>
      </c>
      <c r="AH2013">
        <v>14.6444866216228</v>
      </c>
      <c r="AI2013">
        <v>94.244575716327901</v>
      </c>
      <c r="AJ2013">
        <v>102.133239642002</v>
      </c>
      <c r="AK2013">
        <v>15.020295455240401</v>
      </c>
      <c r="AL2013">
        <v>81.824956447740803</v>
      </c>
      <c r="AM2013">
        <v>95.7261477064487</v>
      </c>
      <c r="AN2013">
        <v>0.99999999159002495</v>
      </c>
    </row>
    <row r="2014" spans="1:40" x14ac:dyDescent="0.3">
      <c r="A2014" t="str">
        <f>"20200111150356716"</f>
        <v>20200111150356716</v>
      </c>
      <c r="B2014" t="str">
        <f>"1578726236711055"</f>
        <v>1578726236711055</v>
      </c>
      <c r="C2014" t="s">
        <v>40</v>
      </c>
      <c r="D2014">
        <v>5.2898519999999998</v>
      </c>
      <c r="E2014">
        <v>0.45721519999999999</v>
      </c>
      <c r="F2014" t="s">
        <v>73</v>
      </c>
      <c r="G2014">
        <v>-387.94639999999998</v>
      </c>
      <c r="H2014" s="1">
        <v>-1.402441E-6</v>
      </c>
      <c r="I2014">
        <v>21.237110000000001</v>
      </c>
      <c r="J2014">
        <v>-402.5437</v>
      </c>
      <c r="K2014">
        <v>1.111715</v>
      </c>
      <c r="L2014">
        <v>25.111879999999999</v>
      </c>
      <c r="M2014">
        <v>0.892092199999999</v>
      </c>
      <c r="N2014">
        <v>0</v>
      </c>
      <c r="O2014">
        <v>-0.45169029999999999</v>
      </c>
      <c r="P2014">
        <v>0.92352270000000003</v>
      </c>
      <c r="Q2014">
        <v>0.13208339999999999</v>
      </c>
      <c r="R2014">
        <v>-0.3600835</v>
      </c>
      <c r="S2014">
        <v>2.9728699999999999</v>
      </c>
      <c r="T2014">
        <v>-0.22455549999999999</v>
      </c>
      <c r="U2014">
        <v>-0.79391480000000003</v>
      </c>
      <c r="V2014">
        <v>-9.8572800000000002E-2</v>
      </c>
      <c r="W2014">
        <v>0.1422493</v>
      </c>
      <c r="X2014">
        <v>0.98491039999999996</v>
      </c>
      <c r="Y2014">
        <v>-0.20461460000000001</v>
      </c>
      <c r="Z2014">
        <v>3.9638020000000003E-2</v>
      </c>
      <c r="AA2014">
        <v>0.97803969999999996</v>
      </c>
      <c r="AB2014">
        <v>27</v>
      </c>
      <c r="AC2014">
        <v>14.597300000000001</v>
      </c>
      <c r="AD2014">
        <v>-1.111716402441</v>
      </c>
      <c r="AE2014">
        <v>-3.8747699999999901</v>
      </c>
      <c r="AF2014">
        <v>-3.12013173087924</v>
      </c>
      <c r="AG2014">
        <v>-1.111716402441</v>
      </c>
      <c r="AH2014">
        <v>14.6938050556781</v>
      </c>
      <c r="AI2014">
        <v>94.232671319565995</v>
      </c>
      <c r="AJ2014">
        <v>101.988311214693</v>
      </c>
      <c r="AK2014">
        <v>15.062504519228099</v>
      </c>
      <c r="AL2014">
        <v>81.821975300779997</v>
      </c>
      <c r="AM2014">
        <v>95.715302280163399</v>
      </c>
      <c r="AN2014">
        <v>0.99999997813924402</v>
      </c>
    </row>
    <row r="2015" spans="1:40" x14ac:dyDescent="0.3">
      <c r="A2015" t="str">
        <f>"20200111150356729"</f>
        <v>20200111150356729</v>
      </c>
      <c r="B2015" t="str">
        <f>"1578726236720815"</f>
        <v>1578726236720815</v>
      </c>
      <c r="C2015" t="s">
        <v>40</v>
      </c>
      <c r="D2015">
        <v>5.2609389999999996</v>
      </c>
      <c r="E2015">
        <v>0.45781339999999998</v>
      </c>
      <c r="F2015" t="s">
        <v>73</v>
      </c>
      <c r="G2015">
        <v>-387.86950000000002</v>
      </c>
      <c r="H2015" s="1">
        <v>-1.4383920000000001E-6</v>
      </c>
      <c r="I2015">
        <v>21.23563</v>
      </c>
      <c r="J2015">
        <v>-402.41219999999998</v>
      </c>
      <c r="K2015">
        <v>1.1117170000000001</v>
      </c>
      <c r="L2015">
        <v>25.051570000000002</v>
      </c>
      <c r="M2015">
        <v>0.89467859999999999</v>
      </c>
      <c r="N2015">
        <v>0</v>
      </c>
      <c r="O2015">
        <v>-0.4465459</v>
      </c>
      <c r="P2015">
        <v>0.92550929999999998</v>
      </c>
      <c r="Q2015">
        <v>0.1323974</v>
      </c>
      <c r="R2015">
        <v>-0.35482940000000002</v>
      </c>
      <c r="S2015">
        <v>2.9743040000000001</v>
      </c>
      <c r="T2015">
        <v>-0.22533320000000001</v>
      </c>
      <c r="U2015">
        <v>-0.78567500000000001</v>
      </c>
      <c r="V2015">
        <v>-9.8484169999999996E-2</v>
      </c>
      <c r="W2015">
        <v>0.1425659</v>
      </c>
      <c r="X2015">
        <v>0.98487349999999996</v>
      </c>
      <c r="Y2015">
        <v>-0.20163449999999999</v>
      </c>
      <c r="Z2015">
        <v>3.9327090000000002E-2</v>
      </c>
      <c r="AA2015">
        <v>0.97867099999999996</v>
      </c>
      <c r="AB2015">
        <v>27</v>
      </c>
      <c r="AC2015">
        <v>14.5426999999999</v>
      </c>
      <c r="AD2015">
        <v>-1.111718438392</v>
      </c>
      <c r="AE2015">
        <v>-3.8159399999999999</v>
      </c>
      <c r="AF2015">
        <v>-3.0634205481600798</v>
      </c>
      <c r="AG2015">
        <v>-1.111718438392</v>
      </c>
      <c r="AH2015">
        <v>14.6360946022085</v>
      </c>
      <c r="AI2015">
        <v>94.251904165919797</v>
      </c>
      <c r="AJ2015">
        <v>101.821683025312</v>
      </c>
      <c r="AK2015">
        <v>14.994523285051301</v>
      </c>
      <c r="AL2015">
        <v>81.803648765398506</v>
      </c>
      <c r="AM2015">
        <v>95.710409970148305</v>
      </c>
      <c r="AN2015">
        <v>0.99999998929282397</v>
      </c>
    </row>
    <row r="2016" spans="1:40" x14ac:dyDescent="0.3">
      <c r="A2016" t="str">
        <f>"20200111150356741"</f>
        <v>20200111150356741</v>
      </c>
      <c r="B2016" t="str">
        <f>"1578726236730575"</f>
        <v>1578726236730575</v>
      </c>
      <c r="C2016" t="s">
        <v>40</v>
      </c>
      <c r="D2016">
        <v>5.3684699999999896</v>
      </c>
      <c r="E2016">
        <v>0.45781339999999998</v>
      </c>
      <c r="F2016" t="s">
        <v>73</v>
      </c>
      <c r="G2016">
        <v>-387.71190000000001</v>
      </c>
      <c r="H2016" s="1">
        <v>-1.5122089999999999E-6</v>
      </c>
      <c r="I2016">
        <v>21.233000000000001</v>
      </c>
      <c r="J2016">
        <v>-402.28100000000001</v>
      </c>
      <c r="K2016">
        <v>1.1117170000000001</v>
      </c>
      <c r="L2016">
        <v>24.992830000000001</v>
      </c>
      <c r="M2016">
        <v>0.89721659999999903</v>
      </c>
      <c r="N2016">
        <v>0</v>
      </c>
      <c r="O2016">
        <v>-0.44142399999999998</v>
      </c>
      <c r="P2016">
        <v>0.92747120000000005</v>
      </c>
      <c r="Q2016">
        <v>0.13305520000000001</v>
      </c>
      <c r="R2016">
        <v>-0.34941929999999999</v>
      </c>
      <c r="S2016">
        <v>2.9771420000000002</v>
      </c>
      <c r="T2016">
        <v>-0.2251476</v>
      </c>
      <c r="U2016">
        <v>-0.77334590000000003</v>
      </c>
      <c r="V2016">
        <v>-9.8576200000000003E-2</v>
      </c>
      <c r="W2016">
        <v>0.14322190000000001</v>
      </c>
      <c r="X2016">
        <v>0.98476909999999895</v>
      </c>
      <c r="Y2016">
        <v>-0.20007800000000001</v>
      </c>
      <c r="Z2016">
        <v>3.8891700000000001E-2</v>
      </c>
      <c r="AA2016">
        <v>0.97900779999999998</v>
      </c>
      <c r="AB2016">
        <v>27</v>
      </c>
      <c r="AC2016">
        <v>14.569099999999899</v>
      </c>
      <c r="AD2016">
        <v>-1.1117185122090001</v>
      </c>
      <c r="AE2016">
        <v>-3.7598299999999898</v>
      </c>
      <c r="AF2016">
        <v>-3.04139030127621</v>
      </c>
      <c r="AG2016">
        <v>-1.1117185122090001</v>
      </c>
      <c r="AH2016">
        <v>14.652412774879901</v>
      </c>
      <c r="AI2016">
        <v>94.248654735814497</v>
      </c>
      <c r="AJ2016">
        <v>101.72632475757101</v>
      </c>
      <c r="AK2016">
        <v>15.005971249490999</v>
      </c>
      <c r="AL2016">
        <v>81.765672949951195</v>
      </c>
      <c r="AM2016">
        <v>95.716312768608006</v>
      </c>
      <c r="AN2016">
        <v>0.99999998008042901</v>
      </c>
    </row>
    <row r="2017" spans="1:40" x14ac:dyDescent="0.3">
      <c r="A2017" t="str">
        <f>"20200111150356765"</f>
        <v>20200111150356765</v>
      </c>
      <c r="B2017" t="str">
        <f>"1578726236760831"</f>
        <v>1578726236760831</v>
      </c>
      <c r="C2017" t="s">
        <v>40</v>
      </c>
      <c r="D2017">
        <v>5.3616609999999998</v>
      </c>
      <c r="E2017">
        <v>0.45992090000000002</v>
      </c>
      <c r="F2017" t="s">
        <v>73</v>
      </c>
      <c r="G2017">
        <v>-387.43130000000002</v>
      </c>
      <c r="H2017" s="1">
        <v>-1.6429650000000001E-6</v>
      </c>
      <c r="I2017">
        <v>21.225989999999999</v>
      </c>
      <c r="J2017">
        <v>-402.024</v>
      </c>
      <c r="K2017">
        <v>1.111718</v>
      </c>
      <c r="L2017">
        <v>24.879760000000001</v>
      </c>
      <c r="M2017">
        <v>0.90208750000000004</v>
      </c>
      <c r="N2017">
        <v>0</v>
      </c>
      <c r="O2017">
        <v>-0.4313825</v>
      </c>
      <c r="P2017">
        <v>0.93141370000000001</v>
      </c>
      <c r="Q2017">
        <v>0.1332402</v>
      </c>
      <c r="R2017">
        <v>-0.33869700000000003</v>
      </c>
      <c r="S2017">
        <v>2.9816889999999998</v>
      </c>
      <c r="T2017">
        <v>-0.223223</v>
      </c>
      <c r="U2017">
        <v>-0.75634769999999996</v>
      </c>
      <c r="V2017">
        <v>-9.893797E-2</v>
      </c>
      <c r="W2017">
        <v>0.14340220000000001</v>
      </c>
      <c r="X2017">
        <v>0.98470659999999999</v>
      </c>
      <c r="Y2017">
        <v>-0.1948058</v>
      </c>
      <c r="Z2017">
        <v>3.768879E-2</v>
      </c>
      <c r="AA2017">
        <v>0.98011740000000003</v>
      </c>
      <c r="AB2017">
        <v>27</v>
      </c>
      <c r="AC2017">
        <v>14.592699999999899</v>
      </c>
      <c r="AD2017">
        <v>-1.111719642965</v>
      </c>
      <c r="AE2017">
        <v>-3.6537700000000002</v>
      </c>
      <c r="AF2017">
        <v>-2.9829446853624502</v>
      </c>
      <c r="AG2017">
        <v>-1.111719642965</v>
      </c>
      <c r="AH2017">
        <v>14.661078809440699</v>
      </c>
      <c r="AI2017">
        <v>94.249586177504</v>
      </c>
      <c r="AJ2017">
        <v>101.500429642566</v>
      </c>
      <c r="AK2017">
        <v>15.002703470278901</v>
      </c>
      <c r="AL2017">
        <v>81.755234942483298</v>
      </c>
      <c r="AM2017">
        <v>95.7375133849023</v>
      </c>
      <c r="AN2017">
        <v>1.00000000047806</v>
      </c>
    </row>
    <row r="2018" spans="1:40" x14ac:dyDescent="0.3">
      <c r="A2018" t="str">
        <f>"20200111150356781"</f>
        <v>20200111150356781</v>
      </c>
      <c r="B2018" t="str">
        <f>"1578726236770591"</f>
        <v>1578726236770591</v>
      </c>
      <c r="C2018" t="s">
        <v>40</v>
      </c>
      <c r="D2018">
        <v>5.3459219999999998</v>
      </c>
      <c r="E2018">
        <v>0.46055469999999998</v>
      </c>
      <c r="F2018" t="s">
        <v>73</v>
      </c>
      <c r="G2018">
        <v>-387.14580000000001</v>
      </c>
      <c r="H2018" s="1">
        <v>-1.7719060000000001E-6</v>
      </c>
      <c r="I2018">
        <v>21.203420000000001</v>
      </c>
      <c r="J2018">
        <v>-401.851</v>
      </c>
      <c r="K2018">
        <v>1.1117159999999999</v>
      </c>
      <c r="L2018">
        <v>24.80566</v>
      </c>
      <c r="M2018">
        <v>0.90528790000000003</v>
      </c>
      <c r="N2018">
        <v>0</v>
      </c>
      <c r="O2018">
        <v>-0.42462490000000003</v>
      </c>
      <c r="P2018">
        <v>0.9339459</v>
      </c>
      <c r="Q2018">
        <v>0.1329678</v>
      </c>
      <c r="R2018">
        <v>-0.3317599</v>
      </c>
      <c r="S2018">
        <v>2.9846189999999999</v>
      </c>
      <c r="T2018">
        <v>-0.22301470000000001</v>
      </c>
      <c r="U2018">
        <v>-0.73748780000000003</v>
      </c>
      <c r="V2018">
        <v>-9.8909469999999999E-2</v>
      </c>
      <c r="W2018">
        <v>0.14313229999999999</v>
      </c>
      <c r="X2018">
        <v>0.98474870000000003</v>
      </c>
      <c r="Y2018">
        <v>-0.1935509</v>
      </c>
      <c r="Z2018">
        <v>3.7166150000000002E-2</v>
      </c>
      <c r="AA2018">
        <v>0.98038599999999998</v>
      </c>
      <c r="AB2018">
        <v>27</v>
      </c>
      <c r="AC2018">
        <v>14.7051999999999</v>
      </c>
      <c r="AD2018">
        <v>-1.1117177719060001</v>
      </c>
      <c r="AE2018">
        <v>-3.6022399999999899</v>
      </c>
      <c r="AF2018">
        <v>-2.9673503131730299</v>
      </c>
      <c r="AG2018">
        <v>-1.1117177719060001</v>
      </c>
      <c r="AH2018">
        <v>14.7635323775442</v>
      </c>
      <c r="AI2018">
        <v>94.222212290486496</v>
      </c>
      <c r="AJ2018">
        <v>101.36456747476301</v>
      </c>
      <c r="AK2018">
        <v>15.0997673011294</v>
      </c>
      <c r="AL2018">
        <v>81.770860014033602</v>
      </c>
      <c r="AM2018">
        <v>95.735628077808698</v>
      </c>
      <c r="AN2018">
        <v>0.99999997035532995</v>
      </c>
    </row>
    <row r="2019" spans="1:40" x14ac:dyDescent="0.3">
      <c r="A2019" t="str">
        <f>"20200111150356796"</f>
        <v>20200111150356796</v>
      </c>
      <c r="B2019" t="str">
        <f>"1578726236791088"</f>
        <v>1578726236791088</v>
      </c>
      <c r="C2019" t="s">
        <v>40</v>
      </c>
      <c r="D2019">
        <v>5.3717489999999897</v>
      </c>
      <c r="E2019">
        <v>0.4617252</v>
      </c>
      <c r="F2019" t="s">
        <v>73</v>
      </c>
      <c r="G2019">
        <v>-386.99639999999999</v>
      </c>
      <c r="H2019" s="1">
        <v>-1.849137E-6</v>
      </c>
      <c r="I2019">
        <v>21.228259999999999</v>
      </c>
      <c r="J2019">
        <v>-401.67439999999999</v>
      </c>
      <c r="K2019">
        <v>1.1117049999999999</v>
      </c>
      <c r="L2019">
        <v>24.7316</v>
      </c>
      <c r="M2019">
        <v>0.9084856</v>
      </c>
      <c r="N2019">
        <v>0</v>
      </c>
      <c r="O2019">
        <v>-0.41774</v>
      </c>
      <c r="P2019">
        <v>0.93658059999999999</v>
      </c>
      <c r="Q2019">
        <v>0.1328686</v>
      </c>
      <c r="R2019">
        <v>-0.32428810000000002</v>
      </c>
      <c r="S2019">
        <v>2.9884029999999999</v>
      </c>
      <c r="T2019">
        <v>-0.2236534</v>
      </c>
      <c r="U2019">
        <v>-0.719696</v>
      </c>
      <c r="V2019">
        <v>-9.9304480000000001E-2</v>
      </c>
      <c r="W2019">
        <v>0.1430265</v>
      </c>
      <c r="X2019">
        <v>0.9847243</v>
      </c>
      <c r="Y2019">
        <v>-0.19191369999999999</v>
      </c>
      <c r="Z2019">
        <v>3.6745890000000003E-2</v>
      </c>
      <c r="AA2019">
        <v>0.98072369999999998</v>
      </c>
      <c r="AB2019">
        <v>27</v>
      </c>
      <c r="AC2019">
        <v>14.6779999999999</v>
      </c>
      <c r="AD2019">
        <v>-1.1117068491369999</v>
      </c>
      <c r="AE2019">
        <v>-3.5033399999999899</v>
      </c>
      <c r="AF2019">
        <v>-2.9331517120360302</v>
      </c>
      <c r="AG2019">
        <v>-1.1117068491369999</v>
      </c>
      <c r="AH2019">
        <v>14.719439189131601</v>
      </c>
      <c r="AI2019">
        <v>94.236170591481397</v>
      </c>
      <c r="AJ2019">
        <v>101.269743541521</v>
      </c>
      <c r="AK2019">
        <v>15.0499555190965</v>
      </c>
      <c r="AL2019">
        <v>81.776984783809297</v>
      </c>
      <c r="AM2019">
        <v>95.758522273031005</v>
      </c>
      <c r="AN2019">
        <v>0.99999995323040403</v>
      </c>
    </row>
    <row r="2020" spans="1:40" x14ac:dyDescent="0.3">
      <c r="A2020" t="str">
        <f>"20200111150356811"</f>
        <v>20200111150356811</v>
      </c>
      <c r="B2020" t="str">
        <f>"1578726236800847"</f>
        <v>1578726236800847</v>
      </c>
      <c r="C2020" t="s">
        <v>40</v>
      </c>
      <c r="D2020">
        <v>5.3054040000000002</v>
      </c>
      <c r="E2020">
        <v>0.46226990000000001</v>
      </c>
      <c r="F2020" t="s">
        <v>73</v>
      </c>
      <c r="G2020">
        <v>-386.70310000000001</v>
      </c>
      <c r="H2020" s="1">
        <v>-1.9810799999999998E-6</v>
      </c>
      <c r="I2020">
        <v>21.202909999999999</v>
      </c>
      <c r="J2020">
        <v>-401.52100000000002</v>
      </c>
      <c r="K2020">
        <v>1.1116980000000001</v>
      </c>
      <c r="L2020">
        <v>24.66827</v>
      </c>
      <c r="M2020">
        <v>0.91121359999999996</v>
      </c>
      <c r="N2020">
        <v>0</v>
      </c>
      <c r="O2020">
        <v>-0.41175519999999999</v>
      </c>
      <c r="P2020">
        <v>0.93881199999999998</v>
      </c>
      <c r="Q2020">
        <v>0.1323299</v>
      </c>
      <c r="R2020">
        <v>-0.31799519999999998</v>
      </c>
      <c r="S2020">
        <v>2.99057</v>
      </c>
      <c r="T2020">
        <v>-0.22206600000000001</v>
      </c>
      <c r="U2020">
        <v>-0.7048645</v>
      </c>
      <c r="V2020">
        <v>-9.9456000000000003E-2</v>
      </c>
      <c r="W2020">
        <v>0.14248759999999999</v>
      </c>
      <c r="X2020">
        <v>0.98478719999999997</v>
      </c>
      <c r="Y2020">
        <v>-0.1902623</v>
      </c>
      <c r="Z2020">
        <v>3.603307E-2</v>
      </c>
      <c r="AA2020">
        <v>0.98107180000000005</v>
      </c>
      <c r="AB2020">
        <v>27</v>
      </c>
      <c r="AC2020">
        <v>14.8178999999999</v>
      </c>
      <c r="AD2020">
        <v>-1.1116999810799999</v>
      </c>
      <c r="AE2020">
        <v>-3.46536</v>
      </c>
      <c r="AF2020">
        <v>-2.9282538970859</v>
      </c>
      <c r="AG2020">
        <v>-1.1116999810799999</v>
      </c>
      <c r="AH2020">
        <v>14.8509966859286</v>
      </c>
      <c r="AI2020">
        <v>94.200425529498403</v>
      </c>
      <c r="AJ2020">
        <v>101.15424512169599</v>
      </c>
      <c r="AK2020">
        <v>15.177702405146601</v>
      </c>
      <c r="AL2020">
        <v>81.808181556773604</v>
      </c>
      <c r="AM2020">
        <v>95.766883632180296</v>
      </c>
      <c r="AN2020">
        <v>1.0000000206867901</v>
      </c>
    </row>
    <row r="2021" spans="1:40" x14ac:dyDescent="0.3">
      <c r="A2021" t="str">
        <f>"20200111150356830"</f>
        <v>20200111150356830</v>
      </c>
      <c r="B2021" t="str">
        <f>"1578726236820369"</f>
        <v>1578726236820369</v>
      </c>
      <c r="C2021" t="s">
        <v>40</v>
      </c>
      <c r="D2021">
        <v>5.3162710000000004</v>
      </c>
      <c r="E2021">
        <v>0.46372010000000002</v>
      </c>
      <c r="F2021" t="s">
        <v>73</v>
      </c>
      <c r="G2021">
        <v>-386.66719999999998</v>
      </c>
      <c r="H2021" s="1">
        <v>-2.0103960000000002E-6</v>
      </c>
      <c r="I2021">
        <v>21.249410000000001</v>
      </c>
      <c r="J2021">
        <v>-401.32229999999998</v>
      </c>
      <c r="K2021">
        <v>1.1116889999999999</v>
      </c>
      <c r="L2021">
        <v>24.588100000000001</v>
      </c>
      <c r="M2021">
        <v>0.91467039999999999</v>
      </c>
      <c r="N2021">
        <v>0</v>
      </c>
      <c r="O2021">
        <v>-0.40401819999999999</v>
      </c>
      <c r="P2021">
        <v>0.94129870000000004</v>
      </c>
      <c r="Q2021">
        <v>0.1320067</v>
      </c>
      <c r="R2021">
        <v>-0.3106952</v>
      </c>
      <c r="S2021">
        <v>2.9937130000000001</v>
      </c>
      <c r="T2021">
        <v>-0.22405800000000001</v>
      </c>
      <c r="U2021">
        <v>-0.68905640000000001</v>
      </c>
      <c r="V2021">
        <v>-9.8766339999999994E-2</v>
      </c>
      <c r="W2021">
        <v>0.1421799</v>
      </c>
      <c r="X2021">
        <v>0.98490109999999997</v>
      </c>
      <c r="Y2021">
        <v>-0.18708659999999999</v>
      </c>
      <c r="Z2021">
        <v>3.5713719999999997E-2</v>
      </c>
      <c r="AA2021">
        <v>0.98169399999999996</v>
      </c>
      <c r="AB2021">
        <v>27</v>
      </c>
      <c r="AC2021">
        <v>14.655099999999999</v>
      </c>
      <c r="AD2021">
        <v>-1.1116910103959901</v>
      </c>
      <c r="AE2021">
        <v>-3.3386900000000002</v>
      </c>
      <c r="AF2021">
        <v>-2.8517374422146</v>
      </c>
      <c r="AG2021">
        <v>-1.1116910103959901</v>
      </c>
      <c r="AH2021">
        <v>14.6742911752788</v>
      </c>
      <c r="AI2021">
        <v>94.253056127830206</v>
      </c>
      <c r="AJ2021">
        <v>100.997532585084</v>
      </c>
      <c r="AK2021">
        <v>14.9900995606697</v>
      </c>
      <c r="AL2021">
        <v>81.825993011954594</v>
      </c>
      <c r="AM2021">
        <v>95.726503035989694</v>
      </c>
      <c r="AN2021">
        <v>1.0000000453311</v>
      </c>
    </row>
    <row r="2022" spans="1:40" x14ac:dyDescent="0.3">
      <c r="A2022" t="str">
        <f>"20200111150356841"</f>
        <v>20200111150356841</v>
      </c>
      <c r="B2022" t="str">
        <f>"1578726236831103"</f>
        <v>1578726236831103</v>
      </c>
      <c r="C2022" t="s">
        <v>40</v>
      </c>
      <c r="D2022">
        <v>5.3446020000000001</v>
      </c>
      <c r="E2022">
        <v>0.46444649999999998</v>
      </c>
      <c r="F2022" t="s">
        <v>73</v>
      </c>
      <c r="G2022">
        <v>-386.66070000000002</v>
      </c>
      <c r="H2022" s="1">
        <v>-2.0214729999999999E-6</v>
      </c>
      <c r="I2022">
        <v>21.279440000000001</v>
      </c>
      <c r="J2022">
        <v>-401.1807</v>
      </c>
      <c r="K2022">
        <v>1.111686</v>
      </c>
      <c r="L2022">
        <v>24.532499999999999</v>
      </c>
      <c r="M2022">
        <v>0.91708080000000003</v>
      </c>
      <c r="N2022">
        <v>0</v>
      </c>
      <c r="O2022">
        <v>-0.39851700000000001</v>
      </c>
      <c r="P2022">
        <v>0.9428552</v>
      </c>
      <c r="Q2022">
        <v>0.1317825</v>
      </c>
      <c r="R2022">
        <v>-0.30603570000000002</v>
      </c>
      <c r="S2022">
        <v>2.9957889999999998</v>
      </c>
      <c r="T2022">
        <v>-0.2271502</v>
      </c>
      <c r="U2022">
        <v>-0.67605590000000004</v>
      </c>
      <c r="V2022">
        <v>-9.7726049999999995E-2</v>
      </c>
      <c r="W2022">
        <v>0.1419783</v>
      </c>
      <c r="X2022">
        <v>0.98503390000000002</v>
      </c>
      <c r="Y2022">
        <v>-0.18536169999999999</v>
      </c>
      <c r="Z2022">
        <v>3.5765970000000001E-2</v>
      </c>
      <c r="AA2022">
        <v>0.98201919999999998</v>
      </c>
      <c r="AB2022">
        <v>27</v>
      </c>
      <c r="AC2022">
        <v>14.5199999999999</v>
      </c>
      <c r="AD2022">
        <v>-1.1116880214730001</v>
      </c>
      <c r="AE2022">
        <v>-3.2530599999999898</v>
      </c>
      <c r="AF2022">
        <v>-2.78779352992201</v>
      </c>
      <c r="AG2022">
        <v>-1.1116880214730001</v>
      </c>
      <c r="AH2022">
        <v>14.532372394629499</v>
      </c>
      <c r="AI2022">
        <v>94.296417315576804</v>
      </c>
      <c r="AJ2022">
        <v>100.859315619686</v>
      </c>
      <c r="AK2022">
        <v>14.8390528821334</v>
      </c>
      <c r="AL2022">
        <v>81.837661859567007</v>
      </c>
      <c r="AM2022">
        <v>95.665822328344206</v>
      </c>
      <c r="AN2022">
        <v>1.00000000133435</v>
      </c>
    </row>
    <row r="2023" spans="1:40" x14ac:dyDescent="0.3">
      <c r="A2023" t="str">
        <f>"20200111150356855"</f>
        <v>20200111150356855</v>
      </c>
      <c r="B2023" t="str">
        <f>"1578726236850623"</f>
        <v>1578726236850623</v>
      </c>
      <c r="C2023" t="s">
        <v>40</v>
      </c>
      <c r="D2023">
        <v>5.3194629999999998</v>
      </c>
      <c r="E2023">
        <v>0.46600140000000001</v>
      </c>
      <c r="F2023" t="s">
        <v>73</v>
      </c>
      <c r="G2023">
        <v>-386.5883</v>
      </c>
      <c r="H2023" s="1">
        <v>-2.0585479999999999E-6</v>
      </c>
      <c r="I2023">
        <v>21.290120000000002</v>
      </c>
      <c r="J2023">
        <v>-401.0421</v>
      </c>
      <c r="K2023">
        <v>1.11168</v>
      </c>
      <c r="L2023">
        <v>24.478760000000001</v>
      </c>
      <c r="M2023">
        <v>0.91940109999999997</v>
      </c>
      <c r="N2023">
        <v>0</v>
      </c>
      <c r="O2023">
        <v>-0.39313409999999999</v>
      </c>
      <c r="P2023">
        <v>0.94433239999999996</v>
      </c>
      <c r="Q2023">
        <v>0.1320296</v>
      </c>
      <c r="R2023">
        <v>-0.30133860000000001</v>
      </c>
      <c r="S2023">
        <v>2.9975589999999999</v>
      </c>
      <c r="T2023">
        <v>-0.22836139999999999</v>
      </c>
      <c r="U2023">
        <v>-0.66604609999999997</v>
      </c>
      <c r="V2023">
        <v>-9.6842559999999994E-2</v>
      </c>
      <c r="W2023">
        <v>0.14224310000000001</v>
      </c>
      <c r="X2023">
        <v>0.98508289999999998</v>
      </c>
      <c r="Y2023">
        <v>-0.1828523</v>
      </c>
      <c r="Z2023">
        <v>3.5490069999999999E-2</v>
      </c>
      <c r="AA2023">
        <v>0.98249960000000003</v>
      </c>
      <c r="AB2023">
        <v>27</v>
      </c>
      <c r="AC2023">
        <v>14.453799999999999</v>
      </c>
      <c r="AD2023">
        <v>-1.1116820585480001</v>
      </c>
      <c r="AE2023">
        <v>-3.1886399999999901</v>
      </c>
      <c r="AF2023">
        <v>-2.7354144226344799</v>
      </c>
      <c r="AG2023">
        <v>-1.1116820585480001</v>
      </c>
      <c r="AH2023">
        <v>14.4618930791114</v>
      </c>
      <c r="AI2023">
        <v>94.3193784783073</v>
      </c>
      <c r="AJ2023">
        <v>100.710753823982</v>
      </c>
      <c r="AK2023">
        <v>14.760239852201</v>
      </c>
      <c r="AL2023">
        <v>81.822333955587695</v>
      </c>
      <c r="AM2023">
        <v>95.614651882270906</v>
      </c>
      <c r="AN2023">
        <v>0.99999995039868494</v>
      </c>
    </row>
    <row r="2024" spans="1:40" x14ac:dyDescent="0.3">
      <c r="A2024" t="str">
        <f>"20200111150356867"</f>
        <v>20200111150356867</v>
      </c>
      <c r="B2024" t="str">
        <f>"1578726236860383"</f>
        <v>1578726236860383</v>
      </c>
      <c r="C2024" t="s">
        <v>40</v>
      </c>
      <c r="D2024">
        <v>5.4986769999999998</v>
      </c>
      <c r="E2024">
        <v>0.46600140000000001</v>
      </c>
      <c r="F2024" t="s">
        <v>73</v>
      </c>
      <c r="G2024">
        <v>-386.61290000000002</v>
      </c>
      <c r="H2024" s="1">
        <v>-2.0462239999999998E-6</v>
      </c>
      <c r="I2024">
        <v>21.287680000000002</v>
      </c>
      <c r="J2024">
        <v>-400.89479999999998</v>
      </c>
      <c r="K2024">
        <v>1.1116740000000001</v>
      </c>
      <c r="L2024">
        <v>24.422419999999999</v>
      </c>
      <c r="M2024">
        <v>0.92182529999999996</v>
      </c>
      <c r="N2024">
        <v>0</v>
      </c>
      <c r="O2024">
        <v>-0.38741550000000002</v>
      </c>
      <c r="P2024">
        <v>0.94598170000000004</v>
      </c>
      <c r="Q2024">
        <v>0.13230239999999999</v>
      </c>
      <c r="R2024">
        <v>-0.29599819999999999</v>
      </c>
      <c r="S2024">
        <v>2.9975890000000001</v>
      </c>
      <c r="T2024">
        <v>-0.23094709999999999</v>
      </c>
      <c r="U2024">
        <v>-0.66293329999999995</v>
      </c>
      <c r="V2024">
        <v>-9.627629E-2</v>
      </c>
      <c r="W2024">
        <v>0.14252870000000001</v>
      </c>
      <c r="X2024">
        <v>0.98509720000000001</v>
      </c>
      <c r="Y2024">
        <v>-0.17771189999999901</v>
      </c>
      <c r="Z2024">
        <v>3.5303090000000002E-2</v>
      </c>
      <c r="AA2024">
        <v>0.98344909999999996</v>
      </c>
      <c r="AB2024">
        <v>27</v>
      </c>
      <c r="AC2024">
        <v>14.281899999999901</v>
      </c>
      <c r="AD2024">
        <v>-1.1116760462240001</v>
      </c>
      <c r="AE2024">
        <v>-3.1347399999999999</v>
      </c>
      <c r="AF2024">
        <v>-2.6283489119830001</v>
      </c>
      <c r="AG2024">
        <v>-1.1116760462240001</v>
      </c>
      <c r="AH2024">
        <v>14.298274844234101</v>
      </c>
      <c r="AI2024">
        <v>94.372769194952994</v>
      </c>
      <c r="AJ2024">
        <v>100.41598786180499</v>
      </c>
      <c r="AK2024">
        <v>14.5802848105285</v>
      </c>
      <c r="AL2024">
        <v>81.805802444370002</v>
      </c>
      <c r="AM2024">
        <v>95.581948617858401</v>
      </c>
      <c r="AN2024">
        <v>1.00000002389384</v>
      </c>
    </row>
    <row r="2025" spans="1:40" x14ac:dyDescent="0.3">
      <c r="A2025" t="str">
        <f>"20200111150356884"</f>
        <v>20200111150356884</v>
      </c>
      <c r="B2025" t="str">
        <f>"1578726236880879"</f>
        <v>1578726236880879</v>
      </c>
      <c r="C2025" t="s">
        <v>40</v>
      </c>
      <c r="D2025">
        <v>5.3587300000000004</v>
      </c>
      <c r="E2025">
        <v>0.491566</v>
      </c>
      <c r="F2025" t="s">
        <v>73</v>
      </c>
      <c r="G2025">
        <v>-386.40390000000002</v>
      </c>
      <c r="H2025" s="1">
        <v>-2.148736E-6</v>
      </c>
      <c r="I2025">
        <v>21.301480000000002</v>
      </c>
      <c r="J2025">
        <v>-400.71230000000003</v>
      </c>
      <c r="K2025">
        <v>1.1116699999999999</v>
      </c>
      <c r="L2025">
        <v>24.354520000000001</v>
      </c>
      <c r="M2025">
        <v>0.92475969999999996</v>
      </c>
      <c r="N2025">
        <v>0</v>
      </c>
      <c r="O2025">
        <v>-0.38035799999999997</v>
      </c>
      <c r="P2025">
        <v>0.94789219999999996</v>
      </c>
      <c r="Q2025">
        <v>0.13278480000000001</v>
      </c>
      <c r="R2025">
        <v>-0.2896011</v>
      </c>
      <c r="S2025">
        <v>3.0012819999999998</v>
      </c>
      <c r="T2025">
        <v>-0.2302439</v>
      </c>
      <c r="U2025">
        <v>-0.64639279999999999</v>
      </c>
      <c r="V2025">
        <v>-9.5378210000000005E-2</v>
      </c>
      <c r="W2025">
        <v>0.143029399999999</v>
      </c>
      <c r="X2025">
        <v>0.98511199999999999</v>
      </c>
      <c r="Y2025">
        <v>-0.1756529</v>
      </c>
      <c r="Z2025">
        <v>3.4613379999999999E-2</v>
      </c>
      <c r="AA2025">
        <v>0.98384340000000003</v>
      </c>
      <c r="AB2025">
        <v>27</v>
      </c>
      <c r="AC2025">
        <v>14.308400000000001</v>
      </c>
      <c r="AD2025">
        <v>-1.111672148736</v>
      </c>
      <c r="AE2025">
        <v>-3.0530400000000002</v>
      </c>
      <c r="AF2025">
        <v>-2.6041440511283902</v>
      </c>
      <c r="AG2025">
        <v>-1.111672148736</v>
      </c>
      <c r="AH2025">
        <v>14.311513155094501</v>
      </c>
      <c r="AI2025">
        <v>94.370158476209895</v>
      </c>
      <c r="AJ2025">
        <v>100.312793670606</v>
      </c>
      <c r="AK2025">
        <v>14.5889269651248</v>
      </c>
      <c r="AL2025">
        <v>81.776817555299203</v>
      </c>
      <c r="AM2025">
        <v>95.530121069028795</v>
      </c>
      <c r="AN2025">
        <v>1.00000003237558</v>
      </c>
    </row>
    <row r="2026" spans="1:40" x14ac:dyDescent="0.3">
      <c r="A2026" t="str">
        <f>"20200111150356899"</f>
        <v>20200111150356899</v>
      </c>
      <c r="B2026" t="str">
        <f>"1578726236890639"</f>
        <v>1578726236890639</v>
      </c>
      <c r="C2026" t="s">
        <v>40</v>
      </c>
      <c r="D2026">
        <v>5.3626209999999999</v>
      </c>
      <c r="E2026">
        <v>0.49284600000000001</v>
      </c>
      <c r="F2026" t="s">
        <v>73</v>
      </c>
      <c r="G2026">
        <v>-385.2448</v>
      </c>
      <c r="H2026" s="1">
        <v>-2.3608980000000001E-6</v>
      </c>
      <c r="I2026">
        <v>20.0397</v>
      </c>
      <c r="J2026">
        <v>-400.54939999999999</v>
      </c>
      <c r="K2026">
        <v>1.1116549999999901</v>
      </c>
      <c r="L2026">
        <v>24.29514</v>
      </c>
      <c r="M2026">
        <v>0.92731819999999998</v>
      </c>
      <c r="N2026">
        <v>0</v>
      </c>
      <c r="O2026">
        <v>-0.37407699999999999</v>
      </c>
      <c r="P2026">
        <v>0.94980520000000002</v>
      </c>
      <c r="Q2026">
        <v>0.13263929999999999</v>
      </c>
      <c r="R2026">
        <v>-0.28333219999999998</v>
      </c>
      <c r="S2026">
        <v>2.9436650000000002</v>
      </c>
      <c r="T2026">
        <v>-0.21156549999999999</v>
      </c>
      <c r="U2026">
        <v>-0.82116699999999998</v>
      </c>
      <c r="V2026">
        <v>-9.5204919999999998E-2</v>
      </c>
      <c r="W2026">
        <v>0.14288970000000001</v>
      </c>
      <c r="X2026">
        <v>0.98514900000000005</v>
      </c>
      <c r="Y2026">
        <v>-0.1100598</v>
      </c>
      <c r="Z2026">
        <v>2.9403240000000001E-2</v>
      </c>
      <c r="AA2026">
        <v>0.99348999999999998</v>
      </c>
      <c r="AB2026">
        <v>27</v>
      </c>
      <c r="AC2026">
        <v>15.304599999999899</v>
      </c>
      <c r="AD2026">
        <v>-1.1116573608979901</v>
      </c>
      <c r="AE2026">
        <v>-4.2554400000000001</v>
      </c>
      <c r="AF2026">
        <v>-1.77041273600634</v>
      </c>
      <c r="AG2026">
        <v>-1.1116573608979901</v>
      </c>
      <c r="AH2026">
        <v>15.708331021168499</v>
      </c>
      <c r="AI2026">
        <v>94.0226125889439</v>
      </c>
      <c r="AJ2026">
        <v>96.430404349836394</v>
      </c>
      <c r="AK2026">
        <v>15.8468232404623</v>
      </c>
      <c r="AL2026">
        <v>81.784904556764602</v>
      </c>
      <c r="AM2026">
        <v>95.519929619851297</v>
      </c>
      <c r="AN2026">
        <v>0.99999999767964798</v>
      </c>
    </row>
    <row r="2027" spans="1:40" x14ac:dyDescent="0.3">
      <c r="A2027" t="str">
        <f>"20200111150356912"</f>
        <v>20200111150356912</v>
      </c>
      <c r="B2027" t="str">
        <f>"1578726236900399"</f>
        <v>1578726236900399</v>
      </c>
      <c r="C2027" t="s">
        <v>40</v>
      </c>
      <c r="D2027">
        <v>5.3541429999999997</v>
      </c>
      <c r="E2027">
        <v>0.49345139999999998</v>
      </c>
      <c r="F2027" t="s">
        <v>73</v>
      </c>
      <c r="G2027">
        <v>-386.49790000000002</v>
      </c>
      <c r="H2027" s="1">
        <v>-1.8714429999999999E-6</v>
      </c>
      <c r="I2027">
        <v>20.426359999999999</v>
      </c>
      <c r="J2027">
        <v>-400.40570000000002</v>
      </c>
      <c r="K2027">
        <v>1.1116360000000001</v>
      </c>
      <c r="L2027">
        <v>24.243590000000001</v>
      </c>
      <c r="M2027">
        <v>0.92952900000000005</v>
      </c>
      <c r="N2027">
        <v>0</v>
      </c>
      <c r="O2027">
        <v>-0.36854949999999997</v>
      </c>
      <c r="P2027">
        <v>0.95139430000000003</v>
      </c>
      <c r="Q2027">
        <v>0.1328365</v>
      </c>
      <c r="R2027">
        <v>-0.27785559999999998</v>
      </c>
      <c r="S2027">
        <v>2.9489139999999998</v>
      </c>
      <c r="T2027">
        <v>-0.23329749999999999</v>
      </c>
      <c r="U2027">
        <v>-0.81192019999999998</v>
      </c>
      <c r="V2027">
        <v>-9.5002000000000003E-2</v>
      </c>
      <c r="W2027">
        <v>0.14309259999999999</v>
      </c>
      <c r="X2027">
        <v>0.98513910000000005</v>
      </c>
      <c r="Y2027">
        <v>-0.1072814</v>
      </c>
      <c r="Z2027">
        <v>3.1876139999999997E-2</v>
      </c>
      <c r="AA2027">
        <v>0.99371759999999998</v>
      </c>
      <c r="AB2027">
        <v>27</v>
      </c>
      <c r="AC2027">
        <v>13.9078</v>
      </c>
      <c r="AD2027">
        <v>-1.111637871443</v>
      </c>
      <c r="AE2027">
        <v>-3.8172299999999999</v>
      </c>
      <c r="AF2027">
        <v>-1.56828544371138</v>
      </c>
      <c r="AG2027">
        <v>-1.111637871443</v>
      </c>
      <c r="AH2027">
        <v>14.2509298202545</v>
      </c>
      <c r="AI2027">
        <v>94.4336431535679</v>
      </c>
      <c r="AJ2027">
        <v>96.280012293029799</v>
      </c>
      <c r="AK2027">
        <v>14.3799950880382</v>
      </c>
      <c r="AL2027">
        <v>81.773158222372302</v>
      </c>
      <c r="AM2027">
        <v>95.508291876273503</v>
      </c>
      <c r="AN2027">
        <v>0.99999995926378404</v>
      </c>
    </row>
    <row r="2028" spans="1:40" x14ac:dyDescent="0.3">
      <c r="A2028" t="str">
        <f>"20200111150356930"</f>
        <v>20200111150356930</v>
      </c>
      <c r="B2028" t="str">
        <f>"1578726236920900"</f>
        <v>1578726236920900</v>
      </c>
      <c r="C2028" t="s">
        <v>40</v>
      </c>
      <c r="D2028">
        <v>5.4343969999999997</v>
      </c>
      <c r="E2028">
        <v>0.49669190000000002</v>
      </c>
      <c r="F2028" t="s">
        <v>73</v>
      </c>
      <c r="G2028">
        <v>-387.50830000000002</v>
      </c>
      <c r="H2028" s="1">
        <v>-1.4805329999999999E-6</v>
      </c>
      <c r="I2028">
        <v>20.752289999999999</v>
      </c>
      <c r="J2028">
        <v>-400.19650000000001</v>
      </c>
      <c r="K2028">
        <v>1.11159599999999</v>
      </c>
      <c r="L2028">
        <v>24.170349999999999</v>
      </c>
      <c r="M2028">
        <v>0.93266459999999995</v>
      </c>
      <c r="N2028">
        <v>0</v>
      </c>
      <c r="O2028">
        <v>-0.36054049999999999</v>
      </c>
      <c r="P2028">
        <v>0.9539687</v>
      </c>
      <c r="Q2028">
        <v>0.1335327</v>
      </c>
      <c r="R2028">
        <v>-0.26853830000000001</v>
      </c>
      <c r="S2028">
        <v>2.9551699999999999</v>
      </c>
      <c r="T2028">
        <v>-0.25470779999999998</v>
      </c>
      <c r="U2028">
        <v>-0.79995729999999998</v>
      </c>
      <c r="V2028">
        <v>-9.6130649999999998E-2</v>
      </c>
      <c r="W2028">
        <v>0.14376839999999999</v>
      </c>
      <c r="X2028">
        <v>0.98493120000000001</v>
      </c>
      <c r="Y2028">
        <v>-0.1028034</v>
      </c>
      <c r="Z2028">
        <v>3.3932419999999998E-2</v>
      </c>
      <c r="AA2028">
        <v>0.99412270000000003</v>
      </c>
      <c r="AB2028">
        <v>27</v>
      </c>
      <c r="AC2028">
        <v>12.688199999999901</v>
      </c>
      <c r="AD2028">
        <v>-1.11159748053299</v>
      </c>
      <c r="AE2028">
        <v>-3.4180600000000001</v>
      </c>
      <c r="AF2028">
        <v>-1.37695507921722</v>
      </c>
      <c r="AG2028">
        <v>-1.11159748053299</v>
      </c>
      <c r="AH2028">
        <v>12.974302531829901</v>
      </c>
      <c r="AI2028">
        <v>94.869747985802604</v>
      </c>
      <c r="AJ2028">
        <v>96.058090217393499</v>
      </c>
      <c r="AK2028">
        <v>13.0944331849973</v>
      </c>
      <c r="AL2028">
        <v>81.734033215172701</v>
      </c>
      <c r="AM2028">
        <v>95.574491296290105</v>
      </c>
      <c r="AN2028">
        <v>0.99999996172071004</v>
      </c>
    </row>
    <row r="2029" spans="1:40" x14ac:dyDescent="0.3">
      <c r="A2029" t="str">
        <f>"20200111150356943"</f>
        <v>20200111150356943</v>
      </c>
      <c r="B2029" t="str">
        <f>"1578726236940415"</f>
        <v>1578726236940415</v>
      </c>
      <c r="C2029" t="s">
        <v>40</v>
      </c>
      <c r="D2029">
        <v>5.3823980000000002</v>
      </c>
      <c r="E2029">
        <v>0.4983418</v>
      </c>
      <c r="F2029" t="s">
        <v>73</v>
      </c>
      <c r="G2029">
        <v>-387.4939</v>
      </c>
      <c r="H2029" s="1">
        <v>-1.4869089999999999E-6</v>
      </c>
      <c r="I2029">
        <v>20.750720000000001</v>
      </c>
      <c r="J2029">
        <v>-400.04899999999998</v>
      </c>
      <c r="K2029">
        <v>1.1115649999999999</v>
      </c>
      <c r="L2029">
        <v>24.120059999999999</v>
      </c>
      <c r="M2029">
        <v>0.93481740000000002</v>
      </c>
      <c r="N2029">
        <v>0</v>
      </c>
      <c r="O2029">
        <v>-0.35492210000000002</v>
      </c>
      <c r="P2029">
        <v>0.95584100000000005</v>
      </c>
      <c r="Q2029">
        <v>0.13383919999999999</v>
      </c>
      <c r="R2029">
        <v>-0.26163979999999998</v>
      </c>
      <c r="S2029">
        <v>2.956909</v>
      </c>
      <c r="T2029">
        <v>-0.25875740000000003</v>
      </c>
      <c r="U2029">
        <v>-0.79602050000000002</v>
      </c>
      <c r="V2029">
        <v>-9.7302959999999994E-2</v>
      </c>
      <c r="W2029">
        <v>0.14405390000000001</v>
      </c>
      <c r="X2029">
        <v>0.98477440000000005</v>
      </c>
      <c r="Y2029">
        <v>-9.8184599999999997E-2</v>
      </c>
      <c r="Z2029">
        <v>3.381464E-2</v>
      </c>
      <c r="AA2029">
        <v>0.99459359999999997</v>
      </c>
      <c r="AB2029">
        <v>27</v>
      </c>
      <c r="AC2029">
        <v>12.555099999999999</v>
      </c>
      <c r="AD2029">
        <v>-1.1115664869089901</v>
      </c>
      <c r="AE2029">
        <v>-3.3693399999999998</v>
      </c>
      <c r="AF2029">
        <v>-1.2969773347420701</v>
      </c>
      <c r="AG2029">
        <v>-1.1115664869089901</v>
      </c>
      <c r="AH2029">
        <v>12.839646375885801</v>
      </c>
      <c r="AI2029">
        <v>94.923001105289401</v>
      </c>
      <c r="AJ2029">
        <v>95.768080422168893</v>
      </c>
      <c r="AK2029">
        <v>12.952769947754501</v>
      </c>
      <c r="AL2029">
        <v>81.717503567369803</v>
      </c>
      <c r="AM2029">
        <v>95.642928584371802</v>
      </c>
      <c r="AN2029">
        <v>1.0000000055126601</v>
      </c>
    </row>
    <row r="2030" spans="1:40" x14ac:dyDescent="0.3">
      <c r="A2030" t="str">
        <f>"20200111150356960"</f>
        <v>20200111150356960</v>
      </c>
      <c r="B2030" t="str">
        <f>"1578726236950176"</f>
        <v>1578726236950176</v>
      </c>
      <c r="C2030" t="s">
        <v>40</v>
      </c>
      <c r="D2030">
        <v>5.3820589999999999</v>
      </c>
      <c r="E2030">
        <v>0.49896679999999999</v>
      </c>
      <c r="F2030" t="s">
        <v>73</v>
      </c>
      <c r="G2030">
        <v>-387.62520000000001</v>
      </c>
      <c r="H2030" s="1">
        <v>-1.4414179999999999E-6</v>
      </c>
      <c r="I2030">
        <v>20.812940000000001</v>
      </c>
      <c r="J2030">
        <v>-399.85570000000001</v>
      </c>
      <c r="K2030">
        <v>1.1115269999999999</v>
      </c>
      <c r="L2030">
        <v>24.055479999999999</v>
      </c>
      <c r="M2030">
        <v>0.93756660000000003</v>
      </c>
      <c r="N2030">
        <v>0</v>
      </c>
      <c r="O2030">
        <v>-0.34759430000000002</v>
      </c>
      <c r="P2030">
        <v>0.95817739999999996</v>
      </c>
      <c r="Q2030">
        <v>0.13398789999999999</v>
      </c>
      <c r="R2030">
        <v>-0.25287009999999999</v>
      </c>
      <c r="S2030">
        <v>2.9600219999999999</v>
      </c>
      <c r="T2030">
        <v>-0.2648355</v>
      </c>
      <c r="U2030">
        <v>-0.78793329999999995</v>
      </c>
      <c r="V2030">
        <v>-9.8603170000000004E-2</v>
      </c>
      <c r="W2030">
        <v>0.14418029999999901</v>
      </c>
      <c r="X2030">
        <v>0.98462649999999996</v>
      </c>
      <c r="Y2030">
        <v>-9.3163969999999999E-2</v>
      </c>
      <c r="Z2030">
        <v>3.3770499999999898E-2</v>
      </c>
      <c r="AA2030">
        <v>0.99507789999999996</v>
      </c>
      <c r="AB2030">
        <v>27</v>
      </c>
      <c r="AC2030">
        <v>12.230499999999999</v>
      </c>
      <c r="AD2030">
        <v>-1.111528441418</v>
      </c>
      <c r="AE2030">
        <v>-3.2425399999999902</v>
      </c>
      <c r="AF2030">
        <v>-1.20196829275526</v>
      </c>
      <c r="AG2030">
        <v>-1.111528441418</v>
      </c>
      <c r="AH2030">
        <v>12.498471461036701</v>
      </c>
      <c r="AI2030">
        <v>95.058906057932205</v>
      </c>
      <c r="AJ2030">
        <v>95.493197529876497</v>
      </c>
      <c r="AK2030">
        <v>12.605237487458099</v>
      </c>
      <c r="AL2030">
        <v>81.710184468261502</v>
      </c>
      <c r="AM2030">
        <v>95.718688974212498</v>
      </c>
      <c r="AN2030">
        <v>0.99999994427219197</v>
      </c>
    </row>
    <row r="2031" spans="1:40" x14ac:dyDescent="0.3">
      <c r="A2031" t="str">
        <f>"20200111150356979"</f>
        <v>20200111150356979</v>
      </c>
      <c r="B2031" t="str">
        <f>"1578726236970670"</f>
        <v>1578726236970670</v>
      </c>
      <c r="C2031" t="s">
        <v>40</v>
      </c>
      <c r="D2031">
        <v>5.2342180000000003</v>
      </c>
      <c r="E2031">
        <v>0.4992376</v>
      </c>
      <c r="F2031" t="s">
        <v>73</v>
      </c>
      <c r="G2031">
        <v>-387.45639999999997</v>
      </c>
      <c r="H2031" s="1">
        <v>-1.531904E-6</v>
      </c>
      <c r="I2031">
        <v>20.853110000000001</v>
      </c>
      <c r="J2031">
        <v>-399.64499999999998</v>
      </c>
      <c r="K2031">
        <v>1.1114660000000001</v>
      </c>
      <c r="L2031">
        <v>23.98685</v>
      </c>
      <c r="M2031">
        <v>0.94047049999999999</v>
      </c>
      <c r="N2031">
        <v>0</v>
      </c>
      <c r="O2031">
        <v>-0.33965889999999999</v>
      </c>
      <c r="P2031">
        <v>0.96120190000000005</v>
      </c>
      <c r="Q2031">
        <v>0.1323058</v>
      </c>
      <c r="R2031">
        <v>-0.24204580000000001</v>
      </c>
      <c r="S2031">
        <v>2.965973</v>
      </c>
      <c r="T2031">
        <v>-0.26588230000000002</v>
      </c>
      <c r="U2031">
        <v>-0.76602169999999903</v>
      </c>
      <c r="V2031">
        <v>-0.1014253</v>
      </c>
      <c r="W2031">
        <v>0.14245169999999999</v>
      </c>
      <c r="X2031">
        <v>0.98459149999999995</v>
      </c>
      <c r="Y2031">
        <v>-9.214601E-2</v>
      </c>
      <c r="Z2031">
        <v>3.3184169999999999E-2</v>
      </c>
      <c r="AA2031">
        <v>0.99519239999999998</v>
      </c>
      <c r="AB2031">
        <v>27</v>
      </c>
      <c r="AC2031">
        <v>12.188599999999999</v>
      </c>
      <c r="AD2031">
        <v>-1.1114675319039999</v>
      </c>
      <c r="AE2031">
        <v>-3.1337399999999902</v>
      </c>
      <c r="AF2031">
        <v>-1.1836319981374099</v>
      </c>
      <c r="AG2031">
        <v>-1.1114675319039999</v>
      </c>
      <c r="AH2031">
        <v>12.431379677399701</v>
      </c>
      <c r="AI2031">
        <v>95.086247379560504</v>
      </c>
      <c r="AJ2031">
        <v>95.4389210087203</v>
      </c>
      <c r="AK2031">
        <v>12.536967155782101</v>
      </c>
      <c r="AL2031">
        <v>81.810259503911396</v>
      </c>
      <c r="AM2031">
        <v>95.881440185641196</v>
      </c>
      <c r="AN2031">
        <v>1.0000000000926099</v>
      </c>
    </row>
    <row r="2032" spans="1:40" x14ac:dyDescent="0.3">
      <c r="A2032" t="str">
        <f>"20200111150356993"</f>
        <v>20200111150356993</v>
      </c>
      <c r="B2032" t="str">
        <f>"1578726236990191"</f>
        <v>1578726236990191</v>
      </c>
      <c r="C2032" t="s">
        <v>40</v>
      </c>
      <c r="D2032">
        <v>5.5415369999999999</v>
      </c>
      <c r="E2032">
        <v>0.46289360000000002</v>
      </c>
      <c r="F2032" t="s">
        <v>73</v>
      </c>
      <c r="G2032">
        <v>-387.52569999999997</v>
      </c>
      <c r="H2032" s="1">
        <v>-1.53607E-6</v>
      </c>
      <c r="I2032">
        <v>20.991879999999998</v>
      </c>
      <c r="J2032">
        <v>-399.49369999999999</v>
      </c>
      <c r="K2032">
        <v>1.111418</v>
      </c>
      <c r="L2032">
        <v>23.93863</v>
      </c>
      <c r="M2032">
        <v>0.94249550000000004</v>
      </c>
      <c r="N2032">
        <v>0</v>
      </c>
      <c r="O2032">
        <v>-0.3339995</v>
      </c>
      <c r="P2032">
        <v>0.96310240000000003</v>
      </c>
      <c r="Q2032">
        <v>0.13128280000000001</v>
      </c>
      <c r="R2032">
        <v>-0.23494419999999999</v>
      </c>
      <c r="S2032">
        <v>2.973541</v>
      </c>
      <c r="T2032">
        <v>-0.27270539999999999</v>
      </c>
      <c r="U2032">
        <v>-0.73483279999999995</v>
      </c>
      <c r="V2032">
        <v>-0.10279099999999999</v>
      </c>
      <c r="W2032">
        <v>0.14140810000000001</v>
      </c>
      <c r="X2032">
        <v>0.98460029999999998</v>
      </c>
      <c r="Y2032">
        <v>-9.6511410000000006E-2</v>
      </c>
      <c r="Z2032">
        <v>3.3725289999999998E-2</v>
      </c>
      <c r="AA2032">
        <v>0.99476030000000004</v>
      </c>
      <c r="AB2032">
        <v>27</v>
      </c>
      <c r="AC2032">
        <v>11.968</v>
      </c>
      <c r="AD2032">
        <v>-1.1114195360700001</v>
      </c>
      <c r="AE2032">
        <v>-2.9467500000000002</v>
      </c>
      <c r="AF2032">
        <v>-1.2102560543140399</v>
      </c>
      <c r="AG2032">
        <v>-1.1114195360700001</v>
      </c>
      <c r="AH2032">
        <v>12.165974755253901</v>
      </c>
      <c r="AI2032">
        <v>95.194256068198897</v>
      </c>
      <c r="AJ2032">
        <v>95.681022320489802</v>
      </c>
      <c r="AK2032">
        <v>12.2764373841778</v>
      </c>
      <c r="AL2032">
        <v>81.870664846620897</v>
      </c>
      <c r="AM2032">
        <v>95.960015062091699</v>
      </c>
      <c r="AN2032">
        <v>0.99999999559334996</v>
      </c>
    </row>
    <row r="2033" spans="1:40" x14ac:dyDescent="0.3">
      <c r="A2033" t="str">
        <f>"20200111150357007"</f>
        <v>20200111150357007</v>
      </c>
      <c r="B2033" t="str">
        <f>"1578726237000926"</f>
        <v>1578726237000926</v>
      </c>
      <c r="C2033" t="s">
        <v>40</v>
      </c>
      <c r="D2033">
        <v>5.5413949999999996</v>
      </c>
      <c r="E2033">
        <v>0.45163320000000001</v>
      </c>
      <c r="F2033" t="s">
        <v>41</v>
      </c>
      <c r="G2033">
        <v>-356.27350000000001</v>
      </c>
      <c r="H2033" s="1">
        <v>-1.8981450000000001E-6</v>
      </c>
      <c r="I2033">
        <v>17.828050000000001</v>
      </c>
      <c r="J2033">
        <v>-399.31709999999998</v>
      </c>
      <c r="K2033">
        <v>1.111356</v>
      </c>
      <c r="L2033">
        <v>23.883579999999998</v>
      </c>
      <c r="M2033">
        <v>0.94479310000000005</v>
      </c>
      <c r="N2033">
        <v>0</v>
      </c>
      <c r="O2033">
        <v>-0.32744430000000002</v>
      </c>
      <c r="P2033">
        <v>0.96542099999999997</v>
      </c>
      <c r="Q2033">
        <v>0.1292654</v>
      </c>
      <c r="R2033">
        <v>-0.2263925</v>
      </c>
      <c r="S2033">
        <v>3.0213009999999998</v>
      </c>
      <c r="T2033">
        <v>-7.7693819999999997E-2</v>
      </c>
      <c r="U2033">
        <v>-0.42715449999999999</v>
      </c>
      <c r="V2033">
        <v>-0.10472389999999999</v>
      </c>
      <c r="W2033">
        <v>0.13936200000000001</v>
      </c>
      <c r="X2033">
        <v>0.98468829999999996</v>
      </c>
      <c r="Y2033">
        <v>-0.19181010000000001</v>
      </c>
      <c r="Z2033">
        <v>1.066515E-2</v>
      </c>
      <c r="AA2033">
        <v>0.98137410000000003</v>
      </c>
      <c r="AB2033">
        <v>27</v>
      </c>
      <c r="AC2033">
        <v>43.043599999999898</v>
      </c>
      <c r="AD2033">
        <v>-1.1113578981450001</v>
      </c>
      <c r="AE2033">
        <v>-6.0555299999999903</v>
      </c>
      <c r="AF2033">
        <v>-8.3683004089462898</v>
      </c>
      <c r="AG2033">
        <v>-1.1113578981450001</v>
      </c>
      <c r="AH2033">
        <v>42.625399471817197</v>
      </c>
      <c r="AI2033">
        <v>91.465552181384098</v>
      </c>
      <c r="AJ2033">
        <v>101.107156942999</v>
      </c>
      <c r="AK2033">
        <v>43.453288117749302</v>
      </c>
      <c r="AL2033">
        <v>81.9890700095917</v>
      </c>
      <c r="AM2033">
        <v>96.070720296463705</v>
      </c>
      <c r="AN2033">
        <v>0.99999995521604801</v>
      </c>
    </row>
    <row r="2034" spans="1:40" x14ac:dyDescent="0.3">
      <c r="A2034" t="str">
        <f>"20200111150357020"</f>
        <v>20200111150357020</v>
      </c>
      <c r="B2034" t="str">
        <f>"1578726237010687"</f>
        <v>1578726237010687</v>
      </c>
      <c r="C2034" t="s">
        <v>40</v>
      </c>
      <c r="D2034">
        <v>5.5324949999999999</v>
      </c>
      <c r="E2034">
        <v>0.44527070000000002</v>
      </c>
      <c r="F2034" t="s">
        <v>74</v>
      </c>
      <c r="G2034">
        <v>-372.64780000000002</v>
      </c>
      <c r="H2034" s="1">
        <v>-3.8608460000000004E-6</v>
      </c>
      <c r="I2034">
        <v>21.13824</v>
      </c>
      <c r="J2034">
        <v>-399.18180000000001</v>
      </c>
      <c r="K2034">
        <v>1.111318</v>
      </c>
      <c r="L2034">
        <v>23.842559999999999</v>
      </c>
      <c r="M2034">
        <v>0.94650210000000001</v>
      </c>
      <c r="N2034">
        <v>0</v>
      </c>
      <c r="O2034">
        <v>-0.3224707</v>
      </c>
      <c r="P2034">
        <v>0.96681269999999997</v>
      </c>
      <c r="Q2034">
        <v>0.1288599</v>
      </c>
      <c r="R2034">
        <v>-0.220609</v>
      </c>
      <c r="S2034">
        <v>3.0508730000000002</v>
      </c>
      <c r="T2034">
        <v>-0.12713550000000001</v>
      </c>
      <c r="U2034">
        <v>-0.31405640000000001</v>
      </c>
      <c r="V2034">
        <v>-0.10543619999999999</v>
      </c>
      <c r="W2034">
        <v>0.13894690000000001</v>
      </c>
      <c r="X2034">
        <v>0.98467099999999996</v>
      </c>
      <c r="Y2034">
        <v>-0.223414</v>
      </c>
      <c r="Z2034">
        <v>1.7799659999999998E-2</v>
      </c>
      <c r="AA2034">
        <v>0.97456109999999896</v>
      </c>
      <c r="AB2034">
        <v>27</v>
      </c>
      <c r="AC2034">
        <v>26.533999999999899</v>
      </c>
      <c r="AD2034">
        <v>-1.111321860846</v>
      </c>
      <c r="AE2034">
        <v>-2.7043199999999898</v>
      </c>
      <c r="AF2034">
        <v>-5.9868380488056596</v>
      </c>
      <c r="AG2034">
        <v>-1.111321860846</v>
      </c>
      <c r="AH2034">
        <v>25.943411842612299</v>
      </c>
      <c r="AI2034">
        <v>92.390105730634204</v>
      </c>
      <c r="AJ2034">
        <v>102.99440051333499</v>
      </c>
      <c r="AK2034">
        <v>26.648412413057901</v>
      </c>
      <c r="AL2034">
        <v>82.013087565607506</v>
      </c>
      <c r="AM2034">
        <v>96.111806586747093</v>
      </c>
      <c r="AN2034">
        <v>1.0000000057655201</v>
      </c>
    </row>
    <row r="2035" spans="1:40" x14ac:dyDescent="0.3">
      <c r="A2035" t="str">
        <f>"20200111150357035"</f>
        <v>20200111150357035</v>
      </c>
      <c r="B2035" t="str">
        <f>"1578726237030207"</f>
        <v>1578726237030207</v>
      </c>
      <c r="C2035" t="s">
        <v>40</v>
      </c>
      <c r="D2035">
        <v>5.5186830000000002</v>
      </c>
      <c r="E2035">
        <v>0.4394634</v>
      </c>
      <c r="F2035" t="s">
        <v>74</v>
      </c>
      <c r="G2035">
        <v>-377.59359999999998</v>
      </c>
      <c r="H2035" s="1">
        <v>-1.7796859999999999E-6</v>
      </c>
      <c r="I2035">
        <v>22.103179999999998</v>
      </c>
      <c r="J2035">
        <v>-399.02159999999998</v>
      </c>
      <c r="K2035">
        <v>1.1112690000000001</v>
      </c>
      <c r="L2035">
        <v>23.794650000000001</v>
      </c>
      <c r="M2035">
        <v>0.94848010000000005</v>
      </c>
      <c r="N2035">
        <v>0</v>
      </c>
      <c r="O2035">
        <v>-0.3166062</v>
      </c>
      <c r="P2035">
        <v>0.96828250000000005</v>
      </c>
      <c r="Q2035">
        <v>0.12870290000000001</v>
      </c>
      <c r="R2035">
        <v>-0.21416160000000001</v>
      </c>
      <c r="S2035">
        <v>3.0676269999999999</v>
      </c>
      <c r="T2035">
        <v>-0.15791559999999999</v>
      </c>
      <c r="U2035">
        <v>-0.24716189999999999</v>
      </c>
      <c r="V2035">
        <v>-0.10589079999999999</v>
      </c>
      <c r="W2035">
        <v>0.1387864</v>
      </c>
      <c r="X2035">
        <v>0.98464479999999999</v>
      </c>
      <c r="Y2035">
        <v>-0.2387128</v>
      </c>
      <c r="Z2035">
        <v>2.2126449999999999E-2</v>
      </c>
      <c r="AA2035">
        <v>0.97083810000000004</v>
      </c>
      <c r="AB2035">
        <v>27</v>
      </c>
      <c r="AC2035">
        <v>21.428000000000001</v>
      </c>
      <c r="AD2035">
        <v>-1.111270779686</v>
      </c>
      <c r="AE2035">
        <v>-1.69147</v>
      </c>
      <c r="AF2035">
        <v>-5.1664808686269099</v>
      </c>
      <c r="AG2035">
        <v>-1.111270779686</v>
      </c>
      <c r="AH2035">
        <v>20.805474085340599</v>
      </c>
      <c r="AI2035">
        <v>92.967445345975193</v>
      </c>
      <c r="AJ2035">
        <v>103.945782995204</v>
      </c>
      <c r="AK2035">
        <v>21.466140762313401</v>
      </c>
      <c r="AL2035">
        <v>82.0223730952697</v>
      </c>
      <c r="AM2035">
        <v>96.138119676685704</v>
      </c>
      <c r="AN2035">
        <v>0.999999954258318</v>
      </c>
    </row>
    <row r="2036" spans="1:40" x14ac:dyDescent="0.3">
      <c r="A2036" t="str">
        <f>"20200111150357052"</f>
        <v>20200111150357052</v>
      </c>
      <c r="B2036" t="str">
        <f>"1578726237040943"</f>
        <v>1578726237040943</v>
      </c>
      <c r="C2036" t="s">
        <v>40</v>
      </c>
      <c r="D2036">
        <v>5.484686</v>
      </c>
      <c r="E2036">
        <v>0.43818449999999998</v>
      </c>
      <c r="F2036" t="s">
        <v>73</v>
      </c>
      <c r="G2036">
        <v>-380.08240000000001</v>
      </c>
      <c r="H2036" s="1">
        <v>-5.2384900000000001E-6</v>
      </c>
      <c r="I2036">
        <v>22.675450000000001</v>
      </c>
      <c r="J2036">
        <v>-398.81549999999999</v>
      </c>
      <c r="K2036">
        <v>1.111208</v>
      </c>
      <c r="L2036">
        <v>23.734470000000002</v>
      </c>
      <c r="M2036">
        <v>0.95094590000000001</v>
      </c>
      <c r="N2036">
        <v>0</v>
      </c>
      <c r="O2036">
        <v>-0.3091218</v>
      </c>
      <c r="P2036">
        <v>0.96983030000000003</v>
      </c>
      <c r="Q2036">
        <v>0.12876699999999999</v>
      </c>
      <c r="R2036">
        <v>-0.20699880000000001</v>
      </c>
      <c r="S2036">
        <v>3.082001</v>
      </c>
      <c r="T2036">
        <v>-0.180839</v>
      </c>
      <c r="U2036">
        <v>-0.18212890000000001</v>
      </c>
      <c r="V2036">
        <v>-0.1053853</v>
      </c>
      <c r="W2036">
        <v>0.13886570000000001</v>
      </c>
      <c r="X2036">
        <v>0.98468789999999995</v>
      </c>
      <c r="Y2036">
        <v>-0.25156079999999997</v>
      </c>
      <c r="Z2036">
        <v>2.5206909999999999E-2</v>
      </c>
      <c r="AA2036">
        <v>0.96751319999999996</v>
      </c>
      <c r="AB2036">
        <v>27</v>
      </c>
      <c r="AC2036">
        <v>18.733099999999901</v>
      </c>
      <c r="AD2036">
        <v>-1.11121323849</v>
      </c>
      <c r="AE2036">
        <v>-1.0590200000000001</v>
      </c>
      <c r="AF2036">
        <v>-4.7673659462977804</v>
      </c>
      <c r="AG2036">
        <v>-1.11121323849</v>
      </c>
      <c r="AH2036">
        <v>18.079439249520401</v>
      </c>
      <c r="AI2036">
        <v>93.401164007480006</v>
      </c>
      <c r="AJ2036">
        <v>104.772067797893</v>
      </c>
      <c r="AK2036">
        <v>18.7304216851734</v>
      </c>
      <c r="AL2036">
        <v>82.017785498883299</v>
      </c>
      <c r="AM2036">
        <v>96.108774335496307</v>
      </c>
      <c r="AN2036">
        <v>1.0000000022494899</v>
      </c>
    </row>
    <row r="2037" spans="1:40" x14ac:dyDescent="0.3">
      <c r="A2037" t="str">
        <f>"20200111150357067"</f>
        <v>20200111150357067</v>
      </c>
      <c r="B2037" t="str">
        <f>"1578726237060463"</f>
        <v>1578726237060463</v>
      </c>
      <c r="C2037" t="s">
        <v>40</v>
      </c>
      <c r="D2037">
        <v>5.5081680000000004</v>
      </c>
      <c r="E2037">
        <v>0.4368745</v>
      </c>
      <c r="F2037" t="s">
        <v>73</v>
      </c>
      <c r="G2037">
        <v>-380.79149999999998</v>
      </c>
      <c r="H2037" s="1">
        <v>-4.9991699999999999E-6</v>
      </c>
      <c r="I2037">
        <v>22.861280000000001</v>
      </c>
      <c r="J2037">
        <v>-398.64670000000001</v>
      </c>
      <c r="K2037">
        <v>1.1111629999999999</v>
      </c>
      <c r="L2037">
        <v>23.68646</v>
      </c>
      <c r="M2037">
        <v>0.95290019999999998</v>
      </c>
      <c r="N2037">
        <v>0</v>
      </c>
      <c r="O2037">
        <v>-0.30304399999999998</v>
      </c>
      <c r="P2037">
        <v>0.97095109999999996</v>
      </c>
      <c r="Q2037">
        <v>0.12894839999999999</v>
      </c>
      <c r="R2037">
        <v>-0.20155970000000001</v>
      </c>
      <c r="S2037">
        <v>3.0866699999999998</v>
      </c>
      <c r="T2037">
        <v>-0.190299</v>
      </c>
      <c r="U2037">
        <v>-0.14953610000000001</v>
      </c>
      <c r="V2037">
        <v>-0.10459540000000001</v>
      </c>
      <c r="W2037">
        <v>0.13906589999999999</v>
      </c>
      <c r="X2037">
        <v>0.98474390000000001</v>
      </c>
      <c r="Y2037">
        <v>-0.25555729999999999</v>
      </c>
      <c r="Z2037">
        <v>2.6262819999999999E-2</v>
      </c>
      <c r="AA2037">
        <v>0.96643710000000005</v>
      </c>
      <c r="AB2037">
        <v>27</v>
      </c>
      <c r="AC2037">
        <v>17.8552</v>
      </c>
      <c r="AD2037">
        <v>-1.1111679991700001</v>
      </c>
      <c r="AE2037">
        <v>-0.82518000000000302</v>
      </c>
      <c r="AF2037">
        <v>-4.6071289529014203</v>
      </c>
      <c r="AG2037">
        <v>-1.1111679991700001</v>
      </c>
      <c r="AH2037">
        <v>17.199078597254701</v>
      </c>
      <c r="AI2037">
        <v>93.570973585553702</v>
      </c>
      <c r="AJ2037">
        <v>104.99580305344</v>
      </c>
      <c r="AK2037">
        <v>17.840085092442401</v>
      </c>
      <c r="AL2037">
        <v>82.006202762905602</v>
      </c>
      <c r="AM2037">
        <v>96.062987033134604</v>
      </c>
      <c r="AN2037">
        <v>1.00000003541558</v>
      </c>
    </row>
    <row r="2038" spans="1:40" x14ac:dyDescent="0.3">
      <c r="A2038" t="str">
        <f>"20200111150357079"</f>
        <v>20200111150357079</v>
      </c>
      <c r="B2038" t="str">
        <f>"1578726237070223"</f>
        <v>1578726237070223</v>
      </c>
      <c r="C2038" t="s">
        <v>40</v>
      </c>
      <c r="D2038">
        <v>5.533048</v>
      </c>
      <c r="E2038">
        <v>0.43639800000000001</v>
      </c>
      <c r="F2038" t="s">
        <v>73</v>
      </c>
      <c r="G2038">
        <v>-381.59320000000002</v>
      </c>
      <c r="H2038" s="1">
        <v>-4.7181650000000001E-6</v>
      </c>
      <c r="I2038">
        <v>23.01268</v>
      </c>
      <c r="J2038">
        <v>-398.4973</v>
      </c>
      <c r="K2038">
        <v>1.111132</v>
      </c>
      <c r="L2038">
        <v>23.645140000000001</v>
      </c>
      <c r="M2038">
        <v>0.95458160000000003</v>
      </c>
      <c r="N2038">
        <v>0</v>
      </c>
      <c r="O2038">
        <v>-0.2977051</v>
      </c>
      <c r="P2038">
        <v>0.97176870000000004</v>
      </c>
      <c r="Q2038">
        <v>0.12932539999999901</v>
      </c>
      <c r="R2038">
        <v>-0.19733429999999999</v>
      </c>
      <c r="S2038">
        <v>3.0911559999999998</v>
      </c>
      <c r="T2038">
        <v>-0.2014128</v>
      </c>
      <c r="U2038">
        <v>-0.1221313</v>
      </c>
      <c r="V2038">
        <v>-0.1033432</v>
      </c>
      <c r="W2038">
        <v>0.13946819999999999</v>
      </c>
      <c r="X2038">
        <v>0.98481920000000001</v>
      </c>
      <c r="Y2038">
        <v>-0.25864599999999999</v>
      </c>
      <c r="Z2038">
        <v>2.7532049999999999E-2</v>
      </c>
      <c r="AA2038">
        <v>0.96557969999999904</v>
      </c>
      <c r="AB2038">
        <v>27</v>
      </c>
      <c r="AC2038">
        <v>16.9040999999999</v>
      </c>
      <c r="AD2038">
        <v>-1.111136718165</v>
      </c>
      <c r="AE2038">
        <v>-0.63245999999999802</v>
      </c>
      <c r="AF2038">
        <v>-4.4099971430738396</v>
      </c>
      <c r="AG2038">
        <v>-1.111136718165</v>
      </c>
      <c r="AH2038">
        <v>16.255681082181301</v>
      </c>
      <c r="AI2038">
        <v>93.774290140310299</v>
      </c>
      <c r="AJ2038">
        <v>105.178420647952</v>
      </c>
      <c r="AK2038">
        <v>16.8798657297374</v>
      </c>
      <c r="AL2038">
        <v>81.982925760538095</v>
      </c>
      <c r="AM2038">
        <v>95.990478206444607</v>
      </c>
      <c r="AN2038">
        <v>1.00000002624305</v>
      </c>
    </row>
    <row r="2039" spans="1:40" x14ac:dyDescent="0.3">
      <c r="A2039" t="str">
        <f>"20200111150357098"</f>
        <v>20200111150357098</v>
      </c>
      <c r="B2039" t="str">
        <f>"1578726237090306"</f>
        <v>1578726237090306</v>
      </c>
      <c r="C2039" t="s">
        <v>40</v>
      </c>
      <c r="D2039">
        <v>5.5533939999999999</v>
      </c>
      <c r="E2039">
        <v>0.43615949999999998</v>
      </c>
      <c r="F2039" t="s">
        <v>73</v>
      </c>
      <c r="G2039">
        <v>-381.5609</v>
      </c>
      <c r="H2039" s="1">
        <v>-4.7411549999999998E-6</v>
      </c>
      <c r="I2039">
        <v>23.07245</v>
      </c>
      <c r="J2039">
        <v>-398.28519999999997</v>
      </c>
      <c r="K2039">
        <v>1.1110979999999999</v>
      </c>
      <c r="L2039">
        <v>23.587679999999999</v>
      </c>
      <c r="M2039">
        <v>0.95690560000000002</v>
      </c>
      <c r="N2039">
        <v>0</v>
      </c>
      <c r="O2039">
        <v>-0.29014889999999999</v>
      </c>
      <c r="P2039">
        <v>0.97238000000000002</v>
      </c>
      <c r="Q2039">
        <v>0.13087209999999999</v>
      </c>
      <c r="R2039">
        <v>-0.19326209999999999</v>
      </c>
      <c r="S2039">
        <v>3.0928960000000001</v>
      </c>
      <c r="T2039">
        <v>-0.20291329999999999</v>
      </c>
      <c r="U2039">
        <v>-0.1045837</v>
      </c>
      <c r="V2039">
        <v>-9.9627919999999995E-2</v>
      </c>
      <c r="W2039">
        <v>0.1410824</v>
      </c>
      <c r="X2039">
        <v>0.98497210000000002</v>
      </c>
      <c r="Y2039">
        <v>-0.25650610000000001</v>
      </c>
      <c r="Z2039">
        <v>2.7181469999999999E-2</v>
      </c>
      <c r="AA2039">
        <v>0.96616040000000003</v>
      </c>
      <c r="AB2039">
        <v>27</v>
      </c>
      <c r="AC2039">
        <v>16.7242999999999</v>
      </c>
      <c r="AD2039">
        <v>-1.1111027411550001</v>
      </c>
      <c r="AE2039">
        <v>-0.51522999999999897</v>
      </c>
      <c r="AF2039">
        <v>-4.34068675188486</v>
      </c>
      <c r="AG2039">
        <v>-1.1111027411550001</v>
      </c>
      <c r="AH2039">
        <v>16.0833220611797</v>
      </c>
      <c r="AI2039">
        <v>93.815847482747898</v>
      </c>
      <c r="AJ2039">
        <v>105.10356438707601</v>
      </c>
      <c r="AK2039">
        <v>16.695788669692099</v>
      </c>
      <c r="AL2039">
        <v>81.889515114004396</v>
      </c>
      <c r="AM2039">
        <v>95.775707833428996</v>
      </c>
      <c r="AN2039">
        <v>1.0000000019058399</v>
      </c>
    </row>
    <row r="2040" spans="1:40" x14ac:dyDescent="0.3">
      <c r="A2040" t="str">
        <f>"20200111150357111"</f>
        <v>20200111150357111</v>
      </c>
      <c r="B2040" t="str">
        <f>"1578726237101042"</f>
        <v>1578726237101042</v>
      </c>
      <c r="C2040" t="s">
        <v>40</v>
      </c>
      <c r="D2040">
        <v>5.5458439999999998</v>
      </c>
      <c r="E2040">
        <v>0.4362162</v>
      </c>
      <c r="F2040" t="s">
        <v>73</v>
      </c>
      <c r="G2040">
        <v>-381.40210000000002</v>
      </c>
      <c r="H2040" s="1">
        <v>-4.8077270000000003E-6</v>
      </c>
      <c r="I2040">
        <v>23.103899999999999</v>
      </c>
      <c r="J2040">
        <v>-398.13350000000003</v>
      </c>
      <c r="K2040">
        <v>1.111078</v>
      </c>
      <c r="L2040">
        <v>23.547519999999999</v>
      </c>
      <c r="M2040">
        <v>0.95852040000000005</v>
      </c>
      <c r="N2040">
        <v>0</v>
      </c>
      <c r="O2040">
        <v>-0.28476940000000001</v>
      </c>
      <c r="P2040">
        <v>0.97298439999999997</v>
      </c>
      <c r="Q2040">
        <v>0.13178699999999999</v>
      </c>
      <c r="R2040">
        <v>-0.18956229999999999</v>
      </c>
      <c r="S2040">
        <v>3.0949710000000001</v>
      </c>
      <c r="T2040">
        <v>-0.20368510000000001</v>
      </c>
      <c r="U2040">
        <v>-8.8684079999999998E-2</v>
      </c>
      <c r="V2040">
        <v>-9.7809900000000005E-2</v>
      </c>
      <c r="W2040">
        <v>0.1420293</v>
      </c>
      <c r="X2040">
        <v>0.98501819999999896</v>
      </c>
      <c r="Y2040">
        <v>-0.25606319999999999</v>
      </c>
      <c r="Z2040">
        <v>2.691646E-2</v>
      </c>
      <c r="AA2040">
        <v>0.96628519999999896</v>
      </c>
      <c r="AB2040">
        <v>27</v>
      </c>
      <c r="AC2040">
        <v>16.731400000000001</v>
      </c>
      <c r="AD2040">
        <v>-1.1110828077270001</v>
      </c>
      <c r="AE2040">
        <v>-0.44362000000000201</v>
      </c>
      <c r="AF2040">
        <v>-4.3206464130692002</v>
      </c>
      <c r="AG2040">
        <v>-1.1110828077270001</v>
      </c>
      <c r="AH2040">
        <v>16.093967021733</v>
      </c>
      <c r="AI2040">
        <v>93.814621670508998</v>
      </c>
      <c r="AJ2040">
        <v>105.027502436446</v>
      </c>
      <c r="AK2040">
        <v>16.700846233919499</v>
      </c>
      <c r="AL2040">
        <v>81.834709655119099</v>
      </c>
      <c r="AM2040">
        <v>95.670741788839194</v>
      </c>
      <c r="AN2040">
        <v>0.99999997646386896</v>
      </c>
    </row>
    <row r="2041" spans="1:40" x14ac:dyDescent="0.3">
      <c r="A2041" t="str">
        <f>"20200111150357125"</f>
        <v>20200111150357125</v>
      </c>
      <c r="B2041" t="str">
        <f>"1578726237120562"</f>
        <v>1578726237120562</v>
      </c>
      <c r="C2041" t="s">
        <v>40</v>
      </c>
      <c r="D2041">
        <v>5.5575809999999999</v>
      </c>
      <c r="E2041">
        <v>0.43642779999999998</v>
      </c>
      <c r="F2041" t="s">
        <v>73</v>
      </c>
      <c r="G2041">
        <v>-381.22160000000002</v>
      </c>
      <c r="H2041" s="1">
        <v>-4.8810000000000004E-6</v>
      </c>
      <c r="I2041">
        <v>23.126239999999999</v>
      </c>
      <c r="J2041">
        <v>-397.96870000000001</v>
      </c>
      <c r="K2041">
        <v>1.1110679999999999</v>
      </c>
      <c r="L2041">
        <v>23.50507</v>
      </c>
      <c r="M2041">
        <v>0.96023150000000002</v>
      </c>
      <c r="N2041">
        <v>0</v>
      </c>
      <c r="O2041">
        <v>-0.2789452</v>
      </c>
      <c r="P2041">
        <v>0.97371960000000002</v>
      </c>
      <c r="Q2041">
        <v>0.13271549999999999</v>
      </c>
      <c r="R2041">
        <v>-0.1850869</v>
      </c>
      <c r="S2041">
        <v>3.095825</v>
      </c>
      <c r="T2041">
        <v>-0.20338999999999999</v>
      </c>
      <c r="U2041">
        <v>-7.7117920000000006E-2</v>
      </c>
      <c r="V2041">
        <v>-9.6330990000000005E-2</v>
      </c>
      <c r="W2041">
        <v>0.14298169999999999</v>
      </c>
      <c r="X2041">
        <v>0.98502619999999996</v>
      </c>
      <c r="Y2041">
        <v>-0.25383129999999998</v>
      </c>
      <c r="Z2041">
        <v>2.6431420000000001E-2</v>
      </c>
      <c r="AA2041">
        <v>0.96688730000000001</v>
      </c>
      <c r="AB2041">
        <v>27</v>
      </c>
      <c r="AC2041">
        <v>16.7470999999999</v>
      </c>
      <c r="AD2041">
        <v>-1.1110728809999999</v>
      </c>
      <c r="AE2041">
        <v>-0.37883</v>
      </c>
      <c r="AF2041">
        <v>-4.2892016064444896</v>
      </c>
      <c r="AG2041">
        <v>-1.1110728809999999</v>
      </c>
      <c r="AH2041">
        <v>16.117036073862099</v>
      </c>
      <c r="AI2041">
        <v>93.811357055355003</v>
      </c>
      <c r="AJ2041">
        <v>104.902622345975</v>
      </c>
      <c r="AK2041">
        <v>16.714980860706799</v>
      </c>
      <c r="AL2041">
        <v>81.779578846881805</v>
      </c>
      <c r="AM2041">
        <v>95.585500016580696</v>
      </c>
      <c r="AN2041">
        <v>1.0000000204278501</v>
      </c>
    </row>
    <row r="2042" spans="1:40" x14ac:dyDescent="0.3">
      <c r="A2042" t="str">
        <f>"20200111150357141"</f>
        <v>20200111150357141</v>
      </c>
      <c r="B2042" t="str">
        <f>"1578726237130323"</f>
        <v>1578726237130323</v>
      </c>
      <c r="C2042" t="s">
        <v>40</v>
      </c>
      <c r="D2042">
        <v>5.5466879999999996</v>
      </c>
      <c r="E2042">
        <v>0.43661650000000002</v>
      </c>
      <c r="F2042" t="s">
        <v>73</v>
      </c>
      <c r="G2042">
        <v>-381.26780000000002</v>
      </c>
      <c r="H2042" s="1">
        <v>-4.8686640000000004E-6</v>
      </c>
      <c r="I2042">
        <v>23.156649999999999</v>
      </c>
      <c r="J2042">
        <v>-397.7878</v>
      </c>
      <c r="K2042">
        <v>1.111062</v>
      </c>
      <c r="L2042">
        <v>23.459779999999999</v>
      </c>
      <c r="M2042">
        <v>0.96206179999999997</v>
      </c>
      <c r="N2042">
        <v>0</v>
      </c>
      <c r="O2042">
        <v>-0.27256629999999998</v>
      </c>
      <c r="P2042">
        <v>0.97437799999999997</v>
      </c>
      <c r="Q2042">
        <v>0.13416429999999999</v>
      </c>
      <c r="R2042">
        <v>-0.18052070000000001</v>
      </c>
      <c r="S2042">
        <v>3.0967709999999999</v>
      </c>
      <c r="T2042">
        <v>-0.2060208</v>
      </c>
      <c r="U2042">
        <v>-6.4605709999999997E-2</v>
      </c>
      <c r="V2042">
        <v>-9.4374219999999995E-2</v>
      </c>
      <c r="W2042">
        <v>0.14446199999999901</v>
      </c>
      <c r="X2042">
        <v>0.98499959999999998</v>
      </c>
      <c r="Y2042">
        <v>-0.2513145</v>
      </c>
      <c r="Z2042">
        <v>2.6274249999999999E-2</v>
      </c>
      <c r="AA2042">
        <v>0.96754879999999999</v>
      </c>
      <c r="AB2042">
        <v>27</v>
      </c>
      <c r="AC2042">
        <v>16.5199999999999</v>
      </c>
      <c r="AD2042">
        <v>-1.111066868664</v>
      </c>
      <c r="AE2042">
        <v>-0.30312999999999901</v>
      </c>
      <c r="AF2042">
        <v>-4.1925123812564102</v>
      </c>
      <c r="AG2042">
        <v>-1.111066868664</v>
      </c>
      <c r="AH2042">
        <v>15.9051197524524</v>
      </c>
      <c r="AI2042">
        <v>93.864380059091005</v>
      </c>
      <c r="AJ2042">
        <v>104.766990445419</v>
      </c>
      <c r="AK2042">
        <v>16.485886812467299</v>
      </c>
      <c r="AL2042">
        <v>81.693873845853105</v>
      </c>
      <c r="AM2042">
        <v>95.472884637249393</v>
      </c>
      <c r="AN2042">
        <v>0.99999998742238405</v>
      </c>
    </row>
    <row r="2043" spans="1:40" x14ac:dyDescent="0.3">
      <c r="A2043" t="str">
        <f>"20200111150357154"</f>
        <v>20200111150357154</v>
      </c>
      <c r="B2043" t="str">
        <f>"1578726237150482"</f>
        <v>1578726237150482</v>
      </c>
      <c r="C2043" t="s">
        <v>40</v>
      </c>
      <c r="D2043">
        <v>5.4901879999999998</v>
      </c>
      <c r="E2043">
        <v>0.43704029999999999</v>
      </c>
      <c r="F2043" t="s">
        <v>73</v>
      </c>
      <c r="G2043">
        <v>-380.8109</v>
      </c>
      <c r="H2043" s="1">
        <v>-5.047534E-6</v>
      </c>
      <c r="I2043">
        <v>23.175909999999998</v>
      </c>
      <c r="J2043">
        <v>-397.64049999999997</v>
      </c>
      <c r="K2043">
        <v>1.111057</v>
      </c>
      <c r="L2043">
        <v>23.423680000000001</v>
      </c>
      <c r="M2043">
        <v>0.96351690000000001</v>
      </c>
      <c r="N2043">
        <v>0</v>
      </c>
      <c r="O2043">
        <v>-0.26737680000000003</v>
      </c>
      <c r="P2043">
        <v>0.97520220000000002</v>
      </c>
      <c r="Q2043">
        <v>0.13436049999999999</v>
      </c>
      <c r="R2043">
        <v>-0.17586350000000001</v>
      </c>
      <c r="S2043">
        <v>3.097229</v>
      </c>
      <c r="T2043">
        <v>-0.20270060000000001</v>
      </c>
      <c r="U2043">
        <v>-5.178833E-2</v>
      </c>
      <c r="V2043">
        <v>-9.3763600000000002E-2</v>
      </c>
      <c r="W2043">
        <v>0.14466679999999901</v>
      </c>
      <c r="X2043">
        <v>0.98502780000000001</v>
      </c>
      <c r="Y2043">
        <v>-0.25015399999999999</v>
      </c>
      <c r="Z2043">
        <v>2.5484489999999999E-2</v>
      </c>
      <c r="AA2043">
        <v>0.96787060000000003</v>
      </c>
      <c r="AB2043">
        <v>27</v>
      </c>
      <c r="AC2043">
        <v>16.8295999999999</v>
      </c>
      <c r="AD2043">
        <v>-1.1110620475340001</v>
      </c>
      <c r="AE2043">
        <v>-0.24776999999999499</v>
      </c>
      <c r="AF2043">
        <v>-4.2429341336095998</v>
      </c>
      <c r="AG2043">
        <v>-1.1110620475340001</v>
      </c>
      <c r="AH2043">
        <v>16.212386081195799</v>
      </c>
      <c r="AI2043">
        <v>93.7930913078103</v>
      </c>
      <c r="AJ2043">
        <v>104.665918730879</v>
      </c>
      <c r="AK2043">
        <v>16.795190126383499</v>
      </c>
      <c r="AL2043">
        <v>81.682014627929703</v>
      </c>
      <c r="AM2043">
        <v>95.437532175485302</v>
      </c>
      <c r="AN2043">
        <v>0.99999993124001696</v>
      </c>
    </row>
    <row r="2044" spans="1:40" x14ac:dyDescent="0.3">
      <c r="A2044" t="str">
        <f>"20200111150357167"</f>
        <v>20200111150357167</v>
      </c>
      <c r="B2044" t="str">
        <f>"1578726237160243"</f>
        <v>1578726237160243</v>
      </c>
      <c r="C2044" t="s">
        <v>40</v>
      </c>
      <c r="D2044">
        <v>5.5863519999999998</v>
      </c>
      <c r="E2044">
        <v>0.43716450000000001</v>
      </c>
      <c r="F2044" t="s">
        <v>73</v>
      </c>
      <c r="G2044">
        <v>-380.62920000000003</v>
      </c>
      <c r="H2044" s="1">
        <v>-5.1219729999999997E-6</v>
      </c>
      <c r="I2044">
        <v>23.20223</v>
      </c>
      <c r="J2044">
        <v>-397.48869999999999</v>
      </c>
      <c r="K2044">
        <v>1.1110530000000001</v>
      </c>
      <c r="L2044">
        <v>23.387329999999999</v>
      </c>
      <c r="M2044">
        <v>0.96498379999999995</v>
      </c>
      <c r="N2044">
        <v>0</v>
      </c>
      <c r="O2044">
        <v>-0.26203399999999999</v>
      </c>
      <c r="P2044">
        <v>0.97613220000000001</v>
      </c>
      <c r="Q2044">
        <v>0.13412249999999901</v>
      </c>
      <c r="R2044">
        <v>-0.1708141</v>
      </c>
      <c r="S2044">
        <v>3.0968629999999999</v>
      </c>
      <c r="T2044">
        <v>-0.2022661</v>
      </c>
      <c r="U2044">
        <v>-4.0313719999999997E-2</v>
      </c>
      <c r="V2044">
        <v>-9.3407009999999999E-2</v>
      </c>
      <c r="W2044">
        <v>0.1444337</v>
      </c>
      <c r="X2044">
        <v>0.98509599999999997</v>
      </c>
      <c r="Y2044">
        <v>-0.24839259999999999</v>
      </c>
      <c r="Z2044">
        <v>2.5039820000000001E-2</v>
      </c>
      <c r="AA2044">
        <v>0.96833570000000002</v>
      </c>
      <c r="AB2044">
        <v>27</v>
      </c>
      <c r="AC2044">
        <v>16.859499999999901</v>
      </c>
      <c r="AD2044">
        <v>-1.111058121973</v>
      </c>
      <c r="AE2044">
        <v>-0.18509999999999799</v>
      </c>
      <c r="AF2044">
        <v>-4.2211200476724802</v>
      </c>
      <c r="AG2044">
        <v>-1.111058121973</v>
      </c>
      <c r="AH2044">
        <v>16.248268720024502</v>
      </c>
      <c r="AI2044">
        <v>93.786495567840703</v>
      </c>
      <c r="AJ2044">
        <v>104.562886963575</v>
      </c>
      <c r="AK2044">
        <v>16.824343702070198</v>
      </c>
      <c r="AL2044">
        <v>81.695512993665801</v>
      </c>
      <c r="AM2044">
        <v>95.416603278161105</v>
      </c>
      <c r="AN2044">
        <v>1.0000000462144101</v>
      </c>
    </row>
    <row r="2045" spans="1:40" x14ac:dyDescent="0.3">
      <c r="A2045" t="str">
        <f>"20200111150357187"</f>
        <v>20200111150357187</v>
      </c>
      <c r="B2045" t="str">
        <f>"1578726237180740"</f>
        <v>1578726237180740</v>
      </c>
      <c r="C2045" t="s">
        <v>40</v>
      </c>
      <c r="D2045">
        <v>5.551952</v>
      </c>
      <c r="E2045">
        <v>0.43742890000000001</v>
      </c>
      <c r="F2045" t="s">
        <v>73</v>
      </c>
      <c r="G2045">
        <v>-380.55329999999998</v>
      </c>
      <c r="H2045" s="1">
        <v>-5.1594579999999996E-6</v>
      </c>
      <c r="I2045">
        <v>23.24915</v>
      </c>
      <c r="J2045">
        <v>-397.26069999999999</v>
      </c>
      <c r="K2045">
        <v>1.111051</v>
      </c>
      <c r="L2045">
        <v>23.33456</v>
      </c>
      <c r="M2045">
        <v>0.96712739999999997</v>
      </c>
      <c r="N2045">
        <v>0</v>
      </c>
      <c r="O2045">
        <v>-0.25400780000000001</v>
      </c>
      <c r="P2045">
        <v>0.97771479999999999</v>
      </c>
      <c r="Q2045">
        <v>0.13284789999999999</v>
      </c>
      <c r="R2045">
        <v>-0.1625605</v>
      </c>
      <c r="S2045">
        <v>3.0968629999999999</v>
      </c>
      <c r="T2045">
        <v>-0.20317089999999999</v>
      </c>
      <c r="U2045">
        <v>-2.5268550000000001E-2</v>
      </c>
      <c r="V2045">
        <v>-9.3568799999999994E-2</v>
      </c>
      <c r="W2045">
        <v>0.14315449999999999</v>
      </c>
      <c r="X2045">
        <v>0.98526729999999996</v>
      </c>
      <c r="Y2045">
        <v>-0.24506310000000001</v>
      </c>
      <c r="Z2045">
        <v>2.453404E-2</v>
      </c>
      <c r="AA2045">
        <v>0.96919670000000002</v>
      </c>
      <c r="AB2045">
        <v>27</v>
      </c>
      <c r="AC2045">
        <v>16.7074</v>
      </c>
      <c r="AD2045">
        <v>-1.111056159458</v>
      </c>
      <c r="AE2045">
        <v>-8.54099999999995E-2</v>
      </c>
      <c r="AF2045">
        <v>-4.1431863256341002</v>
      </c>
      <c r="AG2045">
        <v>-1.111056159458</v>
      </c>
      <c r="AH2045">
        <v>16.109807762875199</v>
      </c>
      <c r="AI2045">
        <v>93.821341110493705</v>
      </c>
      <c r="AJ2045">
        <v>104.42298930419901</v>
      </c>
      <c r="AK2045">
        <v>16.671123083799301</v>
      </c>
      <c r="AL2045">
        <v>81.769574990575194</v>
      </c>
      <c r="AM2045">
        <v>95.424991684135605</v>
      </c>
      <c r="AN2045">
        <v>0.99999999182649002</v>
      </c>
    </row>
    <row r="2046" spans="1:40" x14ac:dyDescent="0.3">
      <c r="A2046" t="str">
        <f>"20200111150357200"</f>
        <v>20200111150357200</v>
      </c>
      <c r="B2046" t="str">
        <f>"1578726237190497"</f>
        <v>1578726237190497</v>
      </c>
      <c r="C2046" t="s">
        <v>40</v>
      </c>
      <c r="D2046">
        <v>5.526853</v>
      </c>
      <c r="E2046">
        <v>0.43767129999999999</v>
      </c>
      <c r="F2046" t="s">
        <v>73</v>
      </c>
      <c r="G2046">
        <v>-380.82679999999999</v>
      </c>
      <c r="H2046" s="1">
        <v>-5.0685949999999997E-6</v>
      </c>
      <c r="I2046">
        <v>23.329219999999999</v>
      </c>
      <c r="J2046">
        <v>-397.10820000000001</v>
      </c>
      <c r="K2046">
        <v>1.111049</v>
      </c>
      <c r="L2046">
        <v>23.300509999999999</v>
      </c>
      <c r="M2046">
        <v>0.96852050000000001</v>
      </c>
      <c r="N2046">
        <v>0</v>
      </c>
      <c r="O2046">
        <v>-0.24864320000000001</v>
      </c>
      <c r="P2046">
        <v>0.97874050000000001</v>
      </c>
      <c r="Q2046">
        <v>0.13182449999999901</v>
      </c>
      <c r="R2046">
        <v>-0.15712950000000001</v>
      </c>
      <c r="S2046">
        <v>3.0965880000000001</v>
      </c>
      <c r="T2046">
        <v>-0.20935390000000001</v>
      </c>
      <c r="U2046">
        <v>-1.00708E-3</v>
      </c>
      <c r="V2046">
        <v>-9.3595449999999997E-2</v>
      </c>
      <c r="W2046">
        <v>0.14212939999999999</v>
      </c>
      <c r="X2046">
        <v>0.98541319999999999</v>
      </c>
      <c r="Y2046">
        <v>-0.24722330000000001</v>
      </c>
      <c r="Z2046">
        <v>2.5005619999999999E-2</v>
      </c>
      <c r="AA2046">
        <v>0.96863580000000005</v>
      </c>
      <c r="AB2046">
        <v>27</v>
      </c>
      <c r="AC2046">
        <v>16.281400000000001</v>
      </c>
      <c r="AD2046">
        <v>-1.1110540685950001</v>
      </c>
      <c r="AE2046">
        <v>2.8710000000000201E-2</v>
      </c>
      <c r="AF2046">
        <v>-4.0574656347197102</v>
      </c>
      <c r="AG2046">
        <v>-1.1110540685950001</v>
      </c>
      <c r="AH2046">
        <v>15.689806871262901</v>
      </c>
      <c r="AI2046">
        <v>93.921968260930299</v>
      </c>
      <c r="AJ2046">
        <v>104.499334878371</v>
      </c>
      <c r="AK2046">
        <v>16.243999143616101</v>
      </c>
      <c r="AL2046">
        <v>81.828915964594003</v>
      </c>
      <c r="AM2046">
        <v>95.425728937603594</v>
      </c>
      <c r="AN2046">
        <v>1.0000000246696501</v>
      </c>
    </row>
    <row r="2047" spans="1:40" x14ac:dyDescent="0.3">
      <c r="A2047" t="str">
        <f>"20200111150357212"</f>
        <v>20200111150357212</v>
      </c>
      <c r="B2047" t="str">
        <f>"1578726237210994"</f>
        <v>1578726237210994</v>
      </c>
      <c r="C2047" t="s">
        <v>40</v>
      </c>
      <c r="D2047">
        <v>5.5522299999999998</v>
      </c>
      <c r="E2047">
        <v>0.43821850000000001</v>
      </c>
      <c r="F2047" t="s">
        <v>73</v>
      </c>
      <c r="G2047">
        <v>-381.0342</v>
      </c>
      <c r="H2047" s="1">
        <v>-4.997146E-6</v>
      </c>
      <c r="I2047">
        <v>23.37528</v>
      </c>
      <c r="J2047">
        <v>-396.95760000000001</v>
      </c>
      <c r="K2047">
        <v>1.1110469999999999</v>
      </c>
      <c r="L2047">
        <v>23.267520000000001</v>
      </c>
      <c r="M2047">
        <v>0.96986709999999998</v>
      </c>
      <c r="N2047">
        <v>0</v>
      </c>
      <c r="O2047">
        <v>-0.2433382</v>
      </c>
      <c r="P2047">
        <v>0.97962709999999997</v>
      </c>
      <c r="Q2047">
        <v>0.13133529999999999</v>
      </c>
      <c r="R2047">
        <v>-0.1519287</v>
      </c>
      <c r="S2047">
        <v>3.0963129999999999</v>
      </c>
      <c r="T2047">
        <v>-0.2140203</v>
      </c>
      <c r="U2047">
        <v>1.44043E-2</v>
      </c>
      <c r="V2047">
        <v>-9.3443230000000002E-2</v>
      </c>
      <c r="W2047">
        <v>0.14164179999999901</v>
      </c>
      <c r="X2047">
        <v>0.98549779999999998</v>
      </c>
      <c r="Y2047">
        <v>-0.2467047</v>
      </c>
      <c r="Z2047">
        <v>2.5190919999999999E-2</v>
      </c>
      <c r="AA2047">
        <v>0.96876320000000005</v>
      </c>
      <c r="AB2047">
        <v>27</v>
      </c>
      <c r="AC2047">
        <v>15.923400000000001</v>
      </c>
      <c r="AD2047">
        <v>-1.111051997146</v>
      </c>
      <c r="AE2047">
        <v>0.107759999999998</v>
      </c>
      <c r="AF2047">
        <v>-3.9602916810626598</v>
      </c>
      <c r="AG2047">
        <v>-1.111051997146</v>
      </c>
      <c r="AH2047">
        <v>15.343774274902101</v>
      </c>
      <c r="AI2047">
        <v>94.0106086599462</v>
      </c>
      <c r="AJ2047">
        <v>104.472422667342</v>
      </c>
      <c r="AK2047">
        <v>15.885520316898701</v>
      </c>
      <c r="AL2047">
        <v>81.857138511166198</v>
      </c>
      <c r="AM2047">
        <v>95.416495022343398</v>
      </c>
      <c r="AN2047">
        <v>0.99999997527245599</v>
      </c>
    </row>
    <row r="2048" spans="1:40" x14ac:dyDescent="0.3">
      <c r="A2048" t="str">
        <f>"20200111150357226"</f>
        <v>20200111150357226</v>
      </c>
      <c r="B2048" t="str">
        <f>"1578726237220754"</f>
        <v>1578726237220754</v>
      </c>
      <c r="C2048" t="s">
        <v>40</v>
      </c>
      <c r="D2048">
        <v>5.4871160000000003</v>
      </c>
      <c r="E2048">
        <v>0.43866680000000002</v>
      </c>
      <c r="F2048" t="s">
        <v>73</v>
      </c>
      <c r="G2048">
        <v>-381.44369999999998</v>
      </c>
      <c r="H2048" s="1">
        <v>-4.8444580000000001E-6</v>
      </c>
      <c r="I2048">
        <v>23.40117</v>
      </c>
      <c r="J2048">
        <v>-396.78359999999998</v>
      </c>
      <c r="K2048">
        <v>1.111046</v>
      </c>
      <c r="L2048">
        <v>23.23047</v>
      </c>
      <c r="M2048">
        <v>0.9713851</v>
      </c>
      <c r="N2048">
        <v>0</v>
      </c>
      <c r="O2048">
        <v>-0.2372061</v>
      </c>
      <c r="P2048">
        <v>0.98068149999999998</v>
      </c>
      <c r="Q2048">
        <v>0.13031319999999999</v>
      </c>
      <c r="R2048">
        <v>-0.14588499999999999</v>
      </c>
      <c r="S2048">
        <v>3.096222</v>
      </c>
      <c r="T2048">
        <v>-0.2217411</v>
      </c>
      <c r="U2048">
        <v>2.6672359999999999E-2</v>
      </c>
      <c r="V2048">
        <v>-9.33089E-2</v>
      </c>
      <c r="W2048">
        <v>0.1406221</v>
      </c>
      <c r="X2048">
        <v>0.98565659999999999</v>
      </c>
      <c r="Y2048">
        <v>-0.24435760000000001</v>
      </c>
      <c r="Z2048">
        <v>2.5587120000000001E-2</v>
      </c>
      <c r="AA2048">
        <v>0.96934750000000003</v>
      </c>
      <c r="AB2048">
        <v>27</v>
      </c>
      <c r="AC2048">
        <v>15.3399</v>
      </c>
      <c r="AD2048">
        <v>-1.1110508444580001</v>
      </c>
      <c r="AE2048">
        <v>0.17069999999999999</v>
      </c>
      <c r="AF2048">
        <v>-3.7849545655902701</v>
      </c>
      <c r="AG2048">
        <v>-1.1110508444580001</v>
      </c>
      <c r="AH2048">
        <v>14.7839849629023</v>
      </c>
      <c r="AI2048">
        <v>94.164027913035895</v>
      </c>
      <c r="AJ2048">
        <v>104.360261890047</v>
      </c>
      <c r="AK2048">
        <v>15.3011936274878</v>
      </c>
      <c r="AL2048">
        <v>81.916154158189102</v>
      </c>
      <c r="AM2048">
        <v>95.407888467693496</v>
      </c>
      <c r="AN2048">
        <v>1.00000002947558</v>
      </c>
    </row>
    <row r="2049" spans="1:40" x14ac:dyDescent="0.3">
      <c r="A2049" t="str">
        <f>"20200111150357242"</f>
        <v>20200111150357242</v>
      </c>
      <c r="B2049" t="str">
        <f>"1578726237230514"</f>
        <v>1578726237230514</v>
      </c>
      <c r="C2049" t="s">
        <v>40</v>
      </c>
      <c r="D2049">
        <v>5.5538259999999999</v>
      </c>
      <c r="E2049">
        <v>0.43901240000000002</v>
      </c>
      <c r="F2049" t="s">
        <v>73</v>
      </c>
      <c r="G2049">
        <v>-381.75349999999997</v>
      </c>
      <c r="H2049" s="1">
        <v>-4.7317860000000002E-6</v>
      </c>
      <c r="I2049">
        <v>23.43656</v>
      </c>
      <c r="J2049">
        <v>-396.62079999999997</v>
      </c>
      <c r="K2049">
        <v>1.1110450000000001</v>
      </c>
      <c r="L2049">
        <v>23.197140000000001</v>
      </c>
      <c r="M2049">
        <v>0.97276799999999997</v>
      </c>
      <c r="N2049">
        <v>0</v>
      </c>
      <c r="O2049">
        <v>-0.2314688</v>
      </c>
      <c r="P2049">
        <v>0.98146089999999997</v>
      </c>
      <c r="Q2049">
        <v>0.1295559</v>
      </c>
      <c r="R2049">
        <v>-0.1412457</v>
      </c>
      <c r="S2049">
        <v>3.0958559999999999</v>
      </c>
      <c r="T2049">
        <v>-0.2288509</v>
      </c>
      <c r="U2049">
        <v>4.244995E-2</v>
      </c>
      <c r="V2049">
        <v>-9.2161889999999996E-2</v>
      </c>
      <c r="W2049">
        <v>0.1398847</v>
      </c>
      <c r="X2049">
        <v>0.98586940000000001</v>
      </c>
      <c r="Y2049">
        <v>-0.24351390000000001</v>
      </c>
      <c r="Z2049">
        <v>2.596447E-2</v>
      </c>
      <c r="AA2049">
        <v>0.96954980000000002</v>
      </c>
      <c r="AB2049">
        <v>27</v>
      </c>
      <c r="AC2049">
        <v>14.8673</v>
      </c>
      <c r="AD2049">
        <v>-1.111049731786</v>
      </c>
      <c r="AE2049">
        <v>0.23941999999999899</v>
      </c>
      <c r="AF2049">
        <v>-3.65408011448234</v>
      </c>
      <c r="AG2049">
        <v>-1.111049731786</v>
      </c>
      <c r="AH2049">
        <v>14.328059549006101</v>
      </c>
      <c r="AI2049">
        <v>94.297050386792094</v>
      </c>
      <c r="AJ2049">
        <v>104.307147318802</v>
      </c>
      <c r="AK2049">
        <v>14.8283520132691</v>
      </c>
      <c r="AL2049">
        <v>81.958825678738293</v>
      </c>
      <c r="AM2049">
        <v>95.340651961987405</v>
      </c>
      <c r="AN2049">
        <v>1.0000000085594101</v>
      </c>
    </row>
    <row r="2050" spans="1:40" x14ac:dyDescent="0.3">
      <c r="A2050" t="str">
        <f>"20200111150357266"</f>
        <v>20200111150357266</v>
      </c>
      <c r="B2050" t="str">
        <f>"1578726237260770"</f>
        <v>1578726237260770</v>
      </c>
      <c r="C2050" t="s">
        <v>40</v>
      </c>
      <c r="D2050">
        <v>5.5970589999999998</v>
      </c>
      <c r="E2050">
        <v>0.4399478</v>
      </c>
      <c r="F2050" t="s">
        <v>73</v>
      </c>
      <c r="G2050">
        <v>-381.75709999999998</v>
      </c>
      <c r="H2050" s="1">
        <v>-4.7343550000000002E-6</v>
      </c>
      <c r="I2050">
        <v>23.4589</v>
      </c>
      <c r="J2050">
        <v>-396.33589999999998</v>
      </c>
      <c r="K2050">
        <v>1.1110409999999999</v>
      </c>
      <c r="L2050">
        <v>23.140750000000001</v>
      </c>
      <c r="M2050">
        <v>0.97510300000000005</v>
      </c>
      <c r="N2050">
        <v>0</v>
      </c>
      <c r="O2050">
        <v>-0.22142719999999999</v>
      </c>
      <c r="P2050">
        <v>0.98269269999999997</v>
      </c>
      <c r="Q2050">
        <v>0.1291696</v>
      </c>
      <c r="R2050">
        <v>-0.13278010000000001</v>
      </c>
      <c r="S2050">
        <v>3.0950319999999998</v>
      </c>
      <c r="T2050">
        <v>-0.2313518</v>
      </c>
      <c r="U2050">
        <v>5.450439E-2</v>
      </c>
      <c r="V2050">
        <v>-9.0496149999999997E-2</v>
      </c>
      <c r="W2050">
        <v>0.13952400000000001</v>
      </c>
      <c r="X2050">
        <v>0.98607480000000003</v>
      </c>
      <c r="Y2050">
        <v>-0.2373064</v>
      </c>
      <c r="Z2050">
        <v>2.5288660000000001E-2</v>
      </c>
      <c r="AA2050">
        <v>0.97110560000000001</v>
      </c>
      <c r="AB2050">
        <v>27</v>
      </c>
      <c r="AC2050">
        <v>14.578799999999999</v>
      </c>
      <c r="AD2050">
        <v>-1.111045734355</v>
      </c>
      <c r="AE2050">
        <v>0.31814999999999899</v>
      </c>
      <c r="AF2050">
        <v>-3.51820320931827</v>
      </c>
      <c r="AG2050">
        <v>-1.111045734355</v>
      </c>
      <c r="AH2050">
        <v>14.0647560456247</v>
      </c>
      <c r="AI2050">
        <v>94.382230796525405</v>
      </c>
      <c r="AJ2050">
        <v>104.043965809279</v>
      </c>
      <c r="AK2050">
        <v>14.5406168737376</v>
      </c>
      <c r="AL2050">
        <v>81.979696920451502</v>
      </c>
      <c r="AM2050">
        <v>95.243581499460404</v>
      </c>
      <c r="AN2050">
        <v>1.0000000054679301</v>
      </c>
    </row>
    <row r="2051" spans="1:40" x14ac:dyDescent="0.3">
      <c r="A2051" t="str">
        <f>"20200111150357281"</f>
        <v>20200111150357281</v>
      </c>
      <c r="B2051" t="str">
        <f>"1578726237270531"</f>
        <v>1578726237270531</v>
      </c>
      <c r="C2051" t="s">
        <v>40</v>
      </c>
      <c r="D2051">
        <v>5.5483659999999997</v>
      </c>
      <c r="E2051">
        <v>0.44042750000000003</v>
      </c>
      <c r="F2051" t="s">
        <v>73</v>
      </c>
      <c r="G2051">
        <v>-382.05759999999998</v>
      </c>
      <c r="H2051" s="1">
        <v>-4.6230170000000003E-6</v>
      </c>
      <c r="I2051">
        <v>23.48179</v>
      </c>
      <c r="J2051">
        <v>-396.15309999999999</v>
      </c>
      <c r="K2051">
        <v>1.1110329999999999</v>
      </c>
      <c r="L2051">
        <v>23.106349999999999</v>
      </c>
      <c r="M2051">
        <v>0.97654099999999999</v>
      </c>
      <c r="N2051">
        <v>0</v>
      </c>
      <c r="O2051">
        <v>-0.21499650000000001</v>
      </c>
      <c r="P2051">
        <v>0.98341140000000005</v>
      </c>
      <c r="Q2051">
        <v>0.12930630000000001</v>
      </c>
      <c r="R2051">
        <v>-0.12720979999999901</v>
      </c>
      <c r="S2051">
        <v>3.0944820000000002</v>
      </c>
      <c r="T2051">
        <v>-0.2407937</v>
      </c>
      <c r="U2051">
        <v>7.3913569999999998E-2</v>
      </c>
      <c r="V2051">
        <v>-8.9580179999999995E-2</v>
      </c>
      <c r="W2051">
        <v>0.1396703</v>
      </c>
      <c r="X2051">
        <v>0.98613770000000001</v>
      </c>
      <c r="Y2051">
        <v>-0.2369116</v>
      </c>
      <c r="Z2051">
        <v>2.5817340000000001E-2</v>
      </c>
      <c r="AA2051">
        <v>0.9711881</v>
      </c>
      <c r="AB2051">
        <v>27</v>
      </c>
      <c r="AC2051">
        <v>14.095499999999999</v>
      </c>
      <c r="AD2051">
        <v>-1.111037623017</v>
      </c>
      <c r="AE2051">
        <v>0.375440000000001</v>
      </c>
      <c r="AF2051">
        <v>-3.3763981852668299</v>
      </c>
      <c r="AG2051">
        <v>-1.111037623017</v>
      </c>
      <c r="AH2051">
        <v>13.6006619023615</v>
      </c>
      <c r="AI2051">
        <v>94.533121960590094</v>
      </c>
      <c r="AJ2051">
        <v>103.94196955402801</v>
      </c>
      <c r="AK2051">
        <v>14.0574703801068</v>
      </c>
      <c r="AL2051">
        <v>81.971231472543195</v>
      </c>
      <c r="AM2051">
        <v>95.190469943594906</v>
      </c>
      <c r="AN2051">
        <v>0.99999998235610599</v>
      </c>
    </row>
    <row r="2052" spans="1:40" x14ac:dyDescent="0.3">
      <c r="A2052" t="str">
        <f>"20200111150357299"</f>
        <v>20200111150357299</v>
      </c>
      <c r="B2052" t="str">
        <f>"1578726237291025"</f>
        <v>1578726237291025</v>
      </c>
      <c r="C2052" t="s">
        <v>40</v>
      </c>
      <c r="D2052">
        <v>5.4936280000000002</v>
      </c>
      <c r="E2052">
        <v>0.44130130000000001</v>
      </c>
      <c r="F2052" t="s">
        <v>73</v>
      </c>
      <c r="G2052">
        <v>-381.91609999999997</v>
      </c>
      <c r="H2052" s="1">
        <v>-4.6823890000000002E-6</v>
      </c>
      <c r="I2052">
        <v>23.510120000000001</v>
      </c>
      <c r="J2052">
        <v>-395.93490000000003</v>
      </c>
      <c r="K2052">
        <v>1.111019</v>
      </c>
      <c r="L2052">
        <v>23.066770000000002</v>
      </c>
      <c r="M2052">
        <v>0.97819690000000004</v>
      </c>
      <c r="N2052">
        <v>0</v>
      </c>
      <c r="O2052">
        <v>-0.2073335</v>
      </c>
      <c r="P2052">
        <v>0.9840778</v>
      </c>
      <c r="Q2052">
        <v>0.13011229999999999</v>
      </c>
      <c r="R2052">
        <v>-0.1210874</v>
      </c>
      <c r="S2052">
        <v>3.0937190000000001</v>
      </c>
      <c r="T2052">
        <v>-0.24142949999999999</v>
      </c>
      <c r="U2052">
        <v>8.7738040000000003E-2</v>
      </c>
      <c r="V2052">
        <v>-8.7969569999999997E-2</v>
      </c>
      <c r="W2052">
        <v>0.14049139999999999</v>
      </c>
      <c r="X2052">
        <v>0.98616610000000005</v>
      </c>
      <c r="Y2052">
        <v>-0.2336628</v>
      </c>
      <c r="Z2052">
        <v>2.517809E-2</v>
      </c>
      <c r="AA2052">
        <v>0.97199170000000001</v>
      </c>
      <c r="AB2052">
        <v>27</v>
      </c>
      <c r="AC2052">
        <v>14.018800000000001</v>
      </c>
      <c r="AD2052">
        <v>-1.1110236823890001</v>
      </c>
      <c r="AE2052">
        <v>0.44334999999999802</v>
      </c>
      <c r="AF2052">
        <v>-3.3196606249565002</v>
      </c>
      <c r="AG2052">
        <v>-1.1110236823890001</v>
      </c>
      <c r="AH2052">
        <v>13.5372619730013</v>
      </c>
      <c r="AI2052">
        <v>94.557401708379402</v>
      </c>
      <c r="AJ2052">
        <v>103.778403946762</v>
      </c>
      <c r="AK2052">
        <v>13.982559923468401</v>
      </c>
      <c r="AL2052">
        <v>81.923717789513802</v>
      </c>
      <c r="AM2052">
        <v>95.097497838404195</v>
      </c>
      <c r="AN2052">
        <v>1.00000002775457</v>
      </c>
    </row>
    <row r="2053" spans="1:40" x14ac:dyDescent="0.3">
      <c r="A2053" t="str">
        <f>"20200111150357313"</f>
        <v>20200111150357313</v>
      </c>
      <c r="B2053" t="str">
        <f>"1578726237310547"</f>
        <v>1578726237310547</v>
      </c>
      <c r="C2053" t="s">
        <v>40</v>
      </c>
      <c r="D2053">
        <v>5.5613630000000001</v>
      </c>
      <c r="E2053">
        <v>0.44095079999999998</v>
      </c>
      <c r="F2053" t="s">
        <v>73</v>
      </c>
      <c r="G2053">
        <v>-381.77210000000002</v>
      </c>
      <c r="H2053" s="1">
        <v>-4.7405900000000001E-6</v>
      </c>
      <c r="I2053">
        <v>23.526520000000001</v>
      </c>
      <c r="J2053">
        <v>-395.77449999999999</v>
      </c>
      <c r="K2053">
        <v>1.111003</v>
      </c>
      <c r="L2053">
        <v>23.038699999999999</v>
      </c>
      <c r="M2053">
        <v>0.97937059999999998</v>
      </c>
      <c r="N2053">
        <v>0</v>
      </c>
      <c r="O2053">
        <v>-0.20171710000000001</v>
      </c>
      <c r="P2053">
        <v>0.98457050000000002</v>
      </c>
      <c r="Q2053">
        <v>0.13089529999999999</v>
      </c>
      <c r="R2053">
        <v>-0.116137</v>
      </c>
      <c r="S2053">
        <v>3.0929869999999999</v>
      </c>
      <c r="T2053">
        <v>-0.24263409999999999</v>
      </c>
      <c r="U2053">
        <v>0.1004028</v>
      </c>
      <c r="V2053">
        <v>-8.7256739999999999E-2</v>
      </c>
      <c r="W2053">
        <v>0.1412727</v>
      </c>
      <c r="X2053">
        <v>0.98611780000000004</v>
      </c>
      <c r="Y2053">
        <v>-0.23207559999999999</v>
      </c>
      <c r="Z2053">
        <v>2.481392E-2</v>
      </c>
      <c r="AA2053">
        <v>0.97238119999999995</v>
      </c>
      <c r="AB2053">
        <v>27</v>
      </c>
      <c r="AC2053">
        <v>14.0023999999999</v>
      </c>
      <c r="AD2053">
        <v>-1.1110077405900001</v>
      </c>
      <c r="AE2053">
        <v>0.48782000000000197</v>
      </c>
      <c r="AF2053">
        <v>-3.2818809640893698</v>
      </c>
      <c r="AG2053">
        <v>-1.1110077405900001</v>
      </c>
      <c r="AH2053">
        <v>13.531032679680401</v>
      </c>
      <c r="AI2053">
        <v>94.562226728107404</v>
      </c>
      <c r="AJ2053">
        <v>103.633516102774</v>
      </c>
      <c r="AK2053">
        <v>13.967602737788701</v>
      </c>
      <c r="AL2053">
        <v>81.878501523925706</v>
      </c>
      <c r="AM2053">
        <v>95.056653462718103</v>
      </c>
      <c r="AN2053">
        <v>1.00000001495877</v>
      </c>
    </row>
    <row r="2054" spans="1:40" x14ac:dyDescent="0.3">
      <c r="A2054" t="str">
        <f>"20200111150357332"</f>
        <v>20200111150357332</v>
      </c>
      <c r="B2054" t="str">
        <f>"1578726237320323"</f>
        <v>1578726237320323</v>
      </c>
      <c r="C2054" t="s">
        <v>40</v>
      </c>
      <c r="D2054">
        <v>5.600104</v>
      </c>
      <c r="E2054">
        <v>0.4407529</v>
      </c>
      <c r="F2054" t="s">
        <v>73</v>
      </c>
      <c r="G2054">
        <v>-381.2398</v>
      </c>
      <c r="H2054" s="1">
        <v>-4.9575219999999997E-6</v>
      </c>
      <c r="I2054">
        <v>23.597079999999998</v>
      </c>
      <c r="J2054">
        <v>-395.55919999999998</v>
      </c>
      <c r="K2054">
        <v>1.1109789999999999</v>
      </c>
      <c r="L2054">
        <v>23.002469999999999</v>
      </c>
      <c r="M2054">
        <v>0.98088679999999995</v>
      </c>
      <c r="N2054">
        <v>0</v>
      </c>
      <c r="O2054">
        <v>-0.19421160000000001</v>
      </c>
      <c r="P2054">
        <v>0.98510050000000005</v>
      </c>
      <c r="Q2054">
        <v>0.13292409999999999</v>
      </c>
      <c r="R2054">
        <v>-0.1091244</v>
      </c>
      <c r="S2054">
        <v>3.0924680000000002</v>
      </c>
      <c r="T2054">
        <v>-0.23638310000000001</v>
      </c>
      <c r="U2054">
        <v>0.1188049</v>
      </c>
      <c r="V2054">
        <v>-8.669578E-2</v>
      </c>
      <c r="W2054">
        <v>0.14328659999999999</v>
      </c>
      <c r="X2054">
        <v>0.98587670000000005</v>
      </c>
      <c r="Y2054">
        <v>-0.2305064</v>
      </c>
      <c r="Z2054">
        <v>2.3555400000000001E-2</v>
      </c>
      <c r="AA2054">
        <v>0.97278569999999998</v>
      </c>
      <c r="AB2054">
        <v>27</v>
      </c>
      <c r="AC2054">
        <v>14.3193999999999</v>
      </c>
      <c r="AD2054">
        <v>-1.110983957522</v>
      </c>
      <c r="AE2054">
        <v>0.59460999999999498</v>
      </c>
      <c r="AF2054">
        <v>-3.3443820433670002</v>
      </c>
      <c r="AG2054">
        <v>-1.110983957522</v>
      </c>
      <c r="AH2054">
        <v>13.848010317572999</v>
      </c>
      <c r="AI2054">
        <v>94.459183598752404</v>
      </c>
      <c r="AJ2054">
        <v>103.57731077892301</v>
      </c>
      <c r="AK2054">
        <v>14.2893864935299</v>
      </c>
      <c r="AL2054">
        <v>81.761927758651098</v>
      </c>
      <c r="AM2054">
        <v>95.025534378883293</v>
      </c>
      <c r="AN2054">
        <v>1.00000003780612</v>
      </c>
    </row>
    <row r="2055" spans="1:40" x14ac:dyDescent="0.3">
      <c r="A2055" t="str">
        <f>"20200111150357354"</f>
        <v>20200111150357354</v>
      </c>
      <c r="B2055" t="str">
        <f>"1578726237350562"</f>
        <v>1578726237350562</v>
      </c>
      <c r="C2055" t="s">
        <v>40</v>
      </c>
      <c r="D2055">
        <v>5.5128320000000004</v>
      </c>
      <c r="E2055">
        <v>0.4403977</v>
      </c>
      <c r="F2055" t="s">
        <v>73</v>
      </c>
      <c r="G2055">
        <v>-380.4633</v>
      </c>
      <c r="H2055" s="1">
        <v>-5.2734759999999998E-6</v>
      </c>
      <c r="I2055">
        <v>23.697120000000002</v>
      </c>
      <c r="J2055">
        <v>-395.29039999999998</v>
      </c>
      <c r="K2055">
        <v>1.1109199999999999</v>
      </c>
      <c r="L2055">
        <v>22.95975</v>
      </c>
      <c r="M2055">
        <v>0.98267990000000005</v>
      </c>
      <c r="N2055">
        <v>0</v>
      </c>
      <c r="O2055">
        <v>-0.18492810000000001</v>
      </c>
      <c r="P2055">
        <v>0.98601240000000001</v>
      </c>
      <c r="Q2055">
        <v>0.133438</v>
      </c>
      <c r="R2055">
        <v>-9.987037E-2</v>
      </c>
      <c r="S2055">
        <v>3.0918580000000002</v>
      </c>
      <c r="T2055">
        <v>-0.227545</v>
      </c>
      <c r="U2055">
        <v>0.14227290000000001</v>
      </c>
      <c r="V2055">
        <v>-8.6607310000000007E-2</v>
      </c>
      <c r="W2055">
        <v>0.14377409999999999</v>
      </c>
      <c r="X2055">
        <v>0.98581339999999995</v>
      </c>
      <c r="Y2055">
        <v>-0.22880490000000001</v>
      </c>
      <c r="Z2055">
        <v>2.1944109999999999E-2</v>
      </c>
      <c r="AA2055">
        <v>0.97322489999999995</v>
      </c>
      <c r="AB2055">
        <v>27</v>
      </c>
      <c r="AC2055">
        <v>14.8270999999999</v>
      </c>
      <c r="AD2055">
        <v>-1.110925273476</v>
      </c>
      <c r="AE2055">
        <v>0.73737000000000197</v>
      </c>
      <c r="AF2055">
        <v>-3.4474861689930099</v>
      </c>
      <c r="AG2055">
        <v>-1.110925273476</v>
      </c>
      <c r="AH2055">
        <v>14.3545713281919</v>
      </c>
      <c r="AI2055">
        <v>94.303505343546803</v>
      </c>
      <c r="AJ2055">
        <v>103.504749403991</v>
      </c>
      <c r="AK2055">
        <v>14.804493705115201</v>
      </c>
      <c r="AL2055">
        <v>81.733703009866304</v>
      </c>
      <c r="AM2055">
        <v>95.020752939247501</v>
      </c>
      <c r="AN2055">
        <v>0.99999993879790094</v>
      </c>
    </row>
    <row r="2056" spans="1:40" x14ac:dyDescent="0.3">
      <c r="A2056" t="str">
        <f>"20200111150357367"</f>
        <v>20200111150357367</v>
      </c>
      <c r="B2056" t="str">
        <f>"1578726237360322"</f>
        <v>1578726237360322</v>
      </c>
      <c r="C2056" t="s">
        <v>40</v>
      </c>
      <c r="D2056">
        <v>5.534592</v>
      </c>
      <c r="E2056">
        <v>0.44033929999999999</v>
      </c>
      <c r="F2056" t="s">
        <v>74</v>
      </c>
      <c r="G2056">
        <v>-379.63630000000001</v>
      </c>
      <c r="H2056" s="1">
        <v>-1.276769E-6</v>
      </c>
      <c r="I2056">
        <v>23.842110000000002</v>
      </c>
      <c r="J2056">
        <v>-395.12430000000001</v>
      </c>
      <c r="K2056">
        <v>1.110873</v>
      </c>
      <c r="L2056">
        <v>22.934360000000002</v>
      </c>
      <c r="M2056">
        <v>0.98373460000000001</v>
      </c>
      <c r="N2056">
        <v>0</v>
      </c>
      <c r="O2056">
        <v>-0.17923459999999999</v>
      </c>
      <c r="P2056">
        <v>0.98660809999999999</v>
      </c>
      <c r="Q2056">
        <v>0.13294400000000001</v>
      </c>
      <c r="R2056">
        <v>-9.4500420000000002E-2</v>
      </c>
      <c r="S2056">
        <v>3.089874</v>
      </c>
      <c r="T2056">
        <v>-0.2192781</v>
      </c>
      <c r="U2056">
        <v>0.17416379999999901</v>
      </c>
      <c r="V2056">
        <v>-8.6255029999999996E-2</v>
      </c>
      <c r="W2056">
        <v>0.14326910000000001</v>
      </c>
      <c r="X2056">
        <v>0.98591790000000001</v>
      </c>
      <c r="Y2056">
        <v>-0.23329520000000001</v>
      </c>
      <c r="Z2056">
        <v>2.091989E-2</v>
      </c>
      <c r="AA2056">
        <v>0.97218090000000001</v>
      </c>
      <c r="AB2056">
        <v>27</v>
      </c>
      <c r="AC2056">
        <v>15.488</v>
      </c>
      <c r="AD2056">
        <v>-1.1108742767690001</v>
      </c>
      <c r="AE2056">
        <v>0.90774999999999995</v>
      </c>
      <c r="AF2056">
        <v>-3.6505140106986298</v>
      </c>
      <c r="AG2056">
        <v>-1.1108742767690001</v>
      </c>
      <c r="AH2056">
        <v>14.9975554504811</v>
      </c>
      <c r="AI2056">
        <v>94.116425754470299</v>
      </c>
      <c r="AJ2056">
        <v>103.680179779217</v>
      </c>
      <c r="AK2056">
        <v>15.475366350796</v>
      </c>
      <c r="AL2056">
        <v>81.762940867567806</v>
      </c>
      <c r="AM2056">
        <v>94.999907180535999</v>
      </c>
      <c r="AN2056">
        <v>1.0000000353777501</v>
      </c>
    </row>
    <row r="2057" spans="1:40" x14ac:dyDescent="0.3">
      <c r="A2057" t="str">
        <f>"20200111150357381"</f>
        <v>20200111150357381</v>
      </c>
      <c r="B2057" t="str">
        <f>"1578726237371058"</f>
        <v>1578726237371058</v>
      </c>
      <c r="C2057" t="s">
        <v>40</v>
      </c>
      <c r="D2057">
        <v>5.5449830000000002</v>
      </c>
      <c r="E2057">
        <v>0.44028489999999998</v>
      </c>
      <c r="F2057" t="s">
        <v>74</v>
      </c>
      <c r="G2057">
        <v>-379.50779999999997</v>
      </c>
      <c r="H2057" s="1">
        <v>-1.353743E-6</v>
      </c>
      <c r="I2057">
        <v>23.903179999999999</v>
      </c>
      <c r="J2057">
        <v>-394.96519999999998</v>
      </c>
      <c r="K2057">
        <v>1.1108150000000001</v>
      </c>
      <c r="L2057">
        <v>22.911249999999999</v>
      </c>
      <c r="M2057">
        <v>0.98470210000000002</v>
      </c>
      <c r="N2057">
        <v>0</v>
      </c>
      <c r="O2057">
        <v>-0.17384340000000001</v>
      </c>
      <c r="P2057">
        <v>0.98713859999999998</v>
      </c>
      <c r="Q2057">
        <v>0.13249069999999999</v>
      </c>
      <c r="R2057">
        <v>-8.9465580000000003E-2</v>
      </c>
      <c r="S2057">
        <v>3.0887150000000001</v>
      </c>
      <c r="T2057">
        <v>-0.21971489999999999</v>
      </c>
      <c r="U2057">
        <v>0.19161990000000001</v>
      </c>
      <c r="V2057">
        <v>-8.5870150000000006E-2</v>
      </c>
      <c r="W2057">
        <v>0.14280570000000001</v>
      </c>
      <c r="X2057">
        <v>0.98601870000000003</v>
      </c>
      <c r="Y2057">
        <v>-0.23347399999999999</v>
      </c>
      <c r="Z2057">
        <v>2.0594640000000001E-2</v>
      </c>
      <c r="AA2057">
        <v>0.97214489999999998</v>
      </c>
      <c r="AB2057">
        <v>27</v>
      </c>
      <c r="AC2057">
        <v>15.4574</v>
      </c>
      <c r="AD2057">
        <v>-1.11081635374299</v>
      </c>
      <c r="AE2057">
        <v>0.99192999999999998</v>
      </c>
      <c r="AF2057">
        <v>-3.6454305821365298</v>
      </c>
      <c r="AG2057">
        <v>-1.11081635374299</v>
      </c>
      <c r="AH2057">
        <v>14.972543490902501</v>
      </c>
      <c r="AI2057">
        <v>94.123001019066194</v>
      </c>
      <c r="AJ2057">
        <v>103.6838092558</v>
      </c>
      <c r="AK2057">
        <v>15.4499234848554</v>
      </c>
      <c r="AL2057">
        <v>81.789767403225497</v>
      </c>
      <c r="AM2057">
        <v>94.977203040236205</v>
      </c>
      <c r="AN2057">
        <v>1.0000000136816001</v>
      </c>
    </row>
    <row r="2058" spans="1:40" x14ac:dyDescent="0.3">
      <c r="A2058" t="str">
        <f>"20200111150357399"</f>
        <v>20200111150357399</v>
      </c>
      <c r="B2058" t="str">
        <f>"1578726237391107"</f>
        <v>1578726237391107</v>
      </c>
      <c r="C2058" t="s">
        <v>40</v>
      </c>
      <c r="D2058">
        <v>5.6372619999999998</v>
      </c>
      <c r="E2058">
        <v>0.44036029999999998</v>
      </c>
      <c r="F2058" t="s">
        <v>74</v>
      </c>
      <c r="G2058">
        <v>-379.34370000000001</v>
      </c>
      <c r="H2058" s="1">
        <v>-1.4471559999999999E-6</v>
      </c>
      <c r="I2058">
        <v>23.96264</v>
      </c>
      <c r="J2058">
        <v>-394.74680000000001</v>
      </c>
      <c r="K2058">
        <v>1.110716</v>
      </c>
      <c r="L2058">
        <v>22.880649999999999</v>
      </c>
      <c r="M2058">
        <v>0.98596329999999999</v>
      </c>
      <c r="N2058">
        <v>0</v>
      </c>
      <c r="O2058">
        <v>-0.166543</v>
      </c>
      <c r="P2058">
        <v>0.98787429999999998</v>
      </c>
      <c r="Q2058">
        <v>0.13111979999999901</v>
      </c>
      <c r="R2058">
        <v>-8.3138009999999998E-2</v>
      </c>
      <c r="S2058">
        <v>3.087402</v>
      </c>
      <c r="T2058">
        <v>-0.2195396</v>
      </c>
      <c r="U2058">
        <v>0.20779420000000001</v>
      </c>
      <c r="V2058">
        <v>-8.4859260000000006E-2</v>
      </c>
      <c r="W2058">
        <v>0.141429799999999</v>
      </c>
      <c r="X2058">
        <v>0.98630450000000003</v>
      </c>
      <c r="Y2058">
        <v>-0.2313925</v>
      </c>
      <c r="Z2058">
        <v>1.999745E-2</v>
      </c>
      <c r="AA2058">
        <v>0.97265489999999999</v>
      </c>
      <c r="AB2058">
        <v>27</v>
      </c>
      <c r="AC2058">
        <v>15.403099999999901</v>
      </c>
      <c r="AD2058">
        <v>-1.110717447156</v>
      </c>
      <c r="AE2058">
        <v>1.08199</v>
      </c>
      <c r="AF2058">
        <v>-3.6136367135160801</v>
      </c>
      <c r="AG2058">
        <v>-1.110717447156</v>
      </c>
      <c r="AH2058">
        <v>14.930487415824</v>
      </c>
      <c r="AI2058">
        <v>94.135571248437401</v>
      </c>
      <c r="AJ2058">
        <v>103.60569764410199</v>
      </c>
      <c r="AK2058">
        <v>15.4016725721192</v>
      </c>
      <c r="AL2058">
        <v>81.869409142638204</v>
      </c>
      <c r="AM2058">
        <v>94.917480690408695</v>
      </c>
      <c r="AN2058">
        <v>1.0000000245280101</v>
      </c>
    </row>
    <row r="2059" spans="1:40" x14ac:dyDescent="0.3">
      <c r="A2059" t="str">
        <f>"20200111150357412"</f>
        <v>20200111150357412</v>
      </c>
      <c r="B2059" t="str">
        <f>"1578726237400867"</f>
        <v>1578726237400867</v>
      </c>
      <c r="C2059" t="s">
        <v>40</v>
      </c>
      <c r="D2059">
        <v>5.5949970000000002</v>
      </c>
      <c r="E2059">
        <v>0.44045269999999997</v>
      </c>
      <c r="F2059" t="s">
        <v>74</v>
      </c>
      <c r="G2059">
        <v>-379.2559</v>
      </c>
      <c r="H2059" s="1">
        <v>-1.503795E-6</v>
      </c>
      <c r="I2059">
        <v>24.01943</v>
      </c>
      <c r="J2059">
        <v>-394.59609999999998</v>
      </c>
      <c r="K2059">
        <v>1.1106339999999999</v>
      </c>
      <c r="L2059">
        <v>22.86026</v>
      </c>
      <c r="M2059">
        <v>0.98678889999999997</v>
      </c>
      <c r="N2059">
        <v>0</v>
      </c>
      <c r="O2059">
        <v>-0.16158159999999999</v>
      </c>
      <c r="P2059">
        <v>0.98825059999999998</v>
      </c>
      <c r="Q2059">
        <v>0.130945899999999</v>
      </c>
      <c r="R2059">
        <v>-7.8828079999999995E-2</v>
      </c>
      <c r="S2059">
        <v>3.0852659999999998</v>
      </c>
      <c r="T2059">
        <v>-0.22121689999999999</v>
      </c>
      <c r="U2059">
        <v>0.2268066</v>
      </c>
      <c r="V2059">
        <v>-8.4173819999999996E-2</v>
      </c>
      <c r="W2059">
        <v>0.14125090000000001</v>
      </c>
      <c r="X2059">
        <v>0.98638890000000001</v>
      </c>
      <c r="Y2059">
        <v>-0.23250280000000001</v>
      </c>
      <c r="Z2059">
        <v>1.9848379999999999E-2</v>
      </c>
      <c r="AA2059">
        <v>0.97239319999999896</v>
      </c>
      <c r="AB2059">
        <v>27</v>
      </c>
      <c r="AC2059">
        <v>15.3401999999999</v>
      </c>
      <c r="AD2059">
        <v>-1.110635503795</v>
      </c>
      <c r="AE2059">
        <v>1.15916999999999</v>
      </c>
      <c r="AF2059">
        <v>-3.6040177302841601</v>
      </c>
      <c r="AG2059">
        <v>-1.110635503795</v>
      </c>
      <c r="AH2059">
        <v>14.873755378904701</v>
      </c>
      <c r="AI2059">
        <v>94.150723484020702</v>
      </c>
      <c r="AJ2059">
        <v>103.620659835967</v>
      </c>
      <c r="AK2059">
        <v>15.344414426558901</v>
      </c>
      <c r="AL2059">
        <v>81.8797635543567</v>
      </c>
      <c r="AM2059">
        <v>94.877537422097802</v>
      </c>
      <c r="AN2059">
        <v>1.0000000553837001</v>
      </c>
    </row>
    <row r="2060" spans="1:40" x14ac:dyDescent="0.3">
      <c r="A2060" t="str">
        <f>"20200111150357426"</f>
        <v>20200111150357426</v>
      </c>
      <c r="B2060" t="str">
        <f>"1578726237420387"</f>
        <v>1578726237420387</v>
      </c>
      <c r="C2060" t="s">
        <v>40</v>
      </c>
      <c r="D2060">
        <v>5.5520589999999999</v>
      </c>
      <c r="E2060">
        <v>0.44067000000000001</v>
      </c>
      <c r="F2060" t="s">
        <v>74</v>
      </c>
      <c r="G2060">
        <v>-379.22829999999999</v>
      </c>
      <c r="H2060" s="1">
        <v>-1.5257709999999999E-6</v>
      </c>
      <c r="I2060">
        <v>24.053139999999999</v>
      </c>
      <c r="J2060">
        <v>-394.43020000000001</v>
      </c>
      <c r="K2060">
        <v>1.1105229999999999</v>
      </c>
      <c r="L2060">
        <v>22.838750000000001</v>
      </c>
      <c r="M2060">
        <v>0.98765230000000004</v>
      </c>
      <c r="N2060">
        <v>0</v>
      </c>
      <c r="O2060">
        <v>-0.15622030000000001</v>
      </c>
      <c r="P2060">
        <v>0.98858140000000005</v>
      </c>
      <c r="Q2060">
        <v>0.1311137</v>
      </c>
      <c r="R2060">
        <v>-7.4267799999999995E-2</v>
      </c>
      <c r="S2060">
        <v>3.0842900000000002</v>
      </c>
      <c r="T2060">
        <v>-0.22290360000000001</v>
      </c>
      <c r="U2060">
        <v>0.2394104</v>
      </c>
      <c r="V2060">
        <v>-8.3331310000000006E-2</v>
      </c>
      <c r="W2060">
        <v>0.14141379999999901</v>
      </c>
      <c r="X2060">
        <v>0.98643700000000001</v>
      </c>
      <c r="Y2060">
        <v>-0.23119700000000001</v>
      </c>
      <c r="Z2060">
        <v>1.9572610000000001E-2</v>
      </c>
      <c r="AA2060">
        <v>0.97271010000000002</v>
      </c>
      <c r="AB2060">
        <v>27</v>
      </c>
      <c r="AC2060">
        <v>15.2019</v>
      </c>
      <c r="AD2060">
        <v>-1.1105245257709999</v>
      </c>
      <c r="AE2060">
        <v>1.2143899999999901</v>
      </c>
      <c r="AF2060">
        <v>-3.5556328827211998</v>
      </c>
      <c r="AG2060">
        <v>-1.1105245257709999</v>
      </c>
      <c r="AH2060">
        <v>14.7473025730506</v>
      </c>
      <c r="AI2060">
        <v>94.186917855370694</v>
      </c>
      <c r="AJ2060">
        <v>103.55552501249301</v>
      </c>
      <c r="AK2060">
        <v>15.2104806991802</v>
      </c>
      <c r="AL2060">
        <v>81.870334674740604</v>
      </c>
      <c r="AM2060">
        <v>94.828714991494195</v>
      </c>
      <c r="AN2060">
        <v>0.99999996251287704</v>
      </c>
    </row>
    <row r="2061" spans="1:40" x14ac:dyDescent="0.3">
      <c r="A2061" t="str">
        <f>"20200111150357443"</f>
        <v>20200111150357443</v>
      </c>
      <c r="B2061" t="str">
        <f>"1578726237440882"</f>
        <v>1578726237440882</v>
      </c>
      <c r="C2061" t="s">
        <v>40</v>
      </c>
      <c r="D2061">
        <v>5.5468900000000003</v>
      </c>
      <c r="E2061">
        <v>0.44094169999999999</v>
      </c>
      <c r="F2061" t="s">
        <v>74</v>
      </c>
      <c r="G2061">
        <v>-378.87549999999999</v>
      </c>
      <c r="H2061" s="1">
        <v>-1.7075439999999999E-6</v>
      </c>
      <c r="I2061">
        <v>24.109400000000001</v>
      </c>
      <c r="J2061">
        <v>-394.22660000000002</v>
      </c>
      <c r="K2061">
        <v>1.110374</v>
      </c>
      <c r="L2061">
        <v>22.81354</v>
      </c>
      <c r="M2061">
        <v>0.98864799999999997</v>
      </c>
      <c r="N2061">
        <v>0</v>
      </c>
      <c r="O2061">
        <v>-0.14979509999999999</v>
      </c>
      <c r="P2061">
        <v>0.98886750000000001</v>
      </c>
      <c r="Q2061">
        <v>0.13174240000000001</v>
      </c>
      <c r="R2061">
        <v>-6.9173269999999995E-2</v>
      </c>
      <c r="S2061">
        <v>3.0827939999999998</v>
      </c>
      <c r="T2061">
        <v>-0.22009529999999999</v>
      </c>
      <c r="U2061">
        <v>0.25183109999999997</v>
      </c>
      <c r="V2061">
        <v>-8.1946530000000004E-2</v>
      </c>
      <c r="W2061">
        <v>0.14204349999999999</v>
      </c>
      <c r="X2061">
        <v>0.98646259999999997</v>
      </c>
      <c r="Y2061">
        <v>-0.228849</v>
      </c>
      <c r="Z2061">
        <v>1.879546E-2</v>
      </c>
      <c r="AA2061">
        <v>0.97328049999999999</v>
      </c>
      <c r="AB2061">
        <v>27</v>
      </c>
      <c r="AC2061">
        <v>15.351100000000001</v>
      </c>
      <c r="AD2061">
        <v>-1.1103757075439999</v>
      </c>
      <c r="AE2061">
        <v>1.29586</v>
      </c>
      <c r="AF2061">
        <v>-3.5624071230010901</v>
      </c>
      <c r="AG2061">
        <v>-1.1103757075439999</v>
      </c>
      <c r="AH2061">
        <v>14.906307191594699</v>
      </c>
      <c r="AI2061">
        <v>94.143843419959694</v>
      </c>
      <c r="AJ2061">
        <v>103.44081743262601</v>
      </c>
      <c r="AK2061">
        <v>15.366251098173</v>
      </c>
      <c r="AL2061">
        <v>81.833888124440307</v>
      </c>
      <c r="AM2061">
        <v>94.748719933903502</v>
      </c>
      <c r="AN2061">
        <v>1.0000000254350201</v>
      </c>
    </row>
    <row r="2062" spans="1:40" x14ac:dyDescent="0.3">
      <c r="A2062" t="str">
        <f>"20200111150357456"</f>
        <v>20200111150357456</v>
      </c>
      <c r="B2062" t="str">
        <f>"1578726237450643"</f>
        <v>1578726237450643</v>
      </c>
      <c r="C2062" t="s">
        <v>40</v>
      </c>
      <c r="D2062">
        <v>5.5827150000000003</v>
      </c>
      <c r="E2062">
        <v>0.44109890000000002</v>
      </c>
      <c r="F2062" t="s">
        <v>74</v>
      </c>
      <c r="G2062">
        <v>-378.49919999999997</v>
      </c>
      <c r="H2062" s="1">
        <v>-1.900699E-6</v>
      </c>
      <c r="I2062">
        <v>24.166830000000001</v>
      </c>
      <c r="J2062">
        <v>-394.06810000000002</v>
      </c>
      <c r="K2062">
        <v>1.1102559999999999</v>
      </c>
      <c r="L2062">
        <v>22.794650000000001</v>
      </c>
      <c r="M2062">
        <v>0.98937509999999995</v>
      </c>
      <c r="N2062">
        <v>0</v>
      </c>
      <c r="O2062">
        <v>-0.14491709999999999</v>
      </c>
      <c r="P2062">
        <v>0.98918899999999998</v>
      </c>
      <c r="Q2062">
        <v>0.13146360000000001</v>
      </c>
      <c r="R2062">
        <v>-6.4979780000000001E-2</v>
      </c>
      <c r="S2062">
        <v>3.081299</v>
      </c>
      <c r="T2062">
        <v>-0.2175443</v>
      </c>
      <c r="U2062">
        <v>0.2651367</v>
      </c>
      <c r="V2062">
        <v>-8.1221660000000001E-2</v>
      </c>
      <c r="W2062">
        <v>0.1417631</v>
      </c>
      <c r="X2062">
        <v>0.98656279999999996</v>
      </c>
      <c r="Y2062">
        <v>-0.22829540000000001</v>
      </c>
      <c r="Z2062">
        <v>1.8223550000000002E-2</v>
      </c>
      <c r="AA2062">
        <v>0.97342130000000004</v>
      </c>
      <c r="AB2062">
        <v>27</v>
      </c>
      <c r="AC2062">
        <v>15.568899999999999</v>
      </c>
      <c r="AD2062">
        <v>-1.1102579006990001</v>
      </c>
      <c r="AE2062">
        <v>1.37217999999999</v>
      </c>
      <c r="AF2062">
        <v>-3.5959003083188001</v>
      </c>
      <c r="AG2062">
        <v>-1.1102579006990001</v>
      </c>
      <c r="AH2062">
        <v>15.129316487660001</v>
      </c>
      <c r="AI2062">
        <v>94.083739913649794</v>
      </c>
      <c r="AJ2062">
        <v>103.369852885596</v>
      </c>
      <c r="AK2062">
        <v>15.590362055360099</v>
      </c>
      <c r="AL2062">
        <v>81.850117451466005</v>
      </c>
      <c r="AM2062">
        <v>94.706428102065203</v>
      </c>
      <c r="AN2062">
        <v>0.99999994645930101</v>
      </c>
    </row>
    <row r="2063" spans="1:40" x14ac:dyDescent="0.3">
      <c r="A2063" t="str">
        <f>"20200111150357469"</f>
        <v>20200111150357469</v>
      </c>
      <c r="B2063" t="str">
        <f>"1578726237460403"</f>
        <v>1578726237460403</v>
      </c>
      <c r="C2063" t="s">
        <v>40</v>
      </c>
      <c r="D2063">
        <v>5.5714230000000002</v>
      </c>
      <c r="E2063">
        <v>0.44124419999999998</v>
      </c>
      <c r="F2063" t="s">
        <v>74</v>
      </c>
      <c r="G2063">
        <v>-378.38810000000001</v>
      </c>
      <c r="H2063" s="1">
        <v>-1.9629030000000002E-6</v>
      </c>
      <c r="I2063">
        <v>24.203189999999999</v>
      </c>
      <c r="J2063">
        <v>-393.91199999999998</v>
      </c>
      <c r="K2063">
        <v>1.1101259999999999</v>
      </c>
      <c r="L2063">
        <v>22.77655</v>
      </c>
      <c r="M2063">
        <v>0.99005690000000002</v>
      </c>
      <c r="N2063">
        <v>0</v>
      </c>
      <c r="O2063">
        <v>-0.14018720000000001</v>
      </c>
      <c r="P2063">
        <v>0.98944799999999999</v>
      </c>
      <c r="Q2063">
        <v>0.13144220000000001</v>
      </c>
      <c r="R2063">
        <v>-6.0957270000000001E-2</v>
      </c>
      <c r="S2063">
        <v>3.0799560000000001</v>
      </c>
      <c r="T2063">
        <v>-0.2180821</v>
      </c>
      <c r="U2063">
        <v>0.27667239999999999</v>
      </c>
      <c r="V2063">
        <v>-8.0472479999999999E-2</v>
      </c>
      <c r="W2063">
        <v>0.14174139999999999</v>
      </c>
      <c r="X2063">
        <v>0.98662729999999998</v>
      </c>
      <c r="Y2063">
        <v>-0.2273066</v>
      </c>
      <c r="Z2063">
        <v>1.7906910000000002E-2</v>
      </c>
      <c r="AA2063">
        <v>0.97365860000000004</v>
      </c>
      <c r="AB2063">
        <v>27</v>
      </c>
      <c r="AC2063">
        <v>15.5238999999999</v>
      </c>
      <c r="AD2063">
        <v>-1.1101279629030001</v>
      </c>
      <c r="AE2063">
        <v>1.4266399999999899</v>
      </c>
      <c r="AF2063">
        <v>-3.5708412361739401</v>
      </c>
      <c r="AG2063">
        <v>-1.1101279629030001</v>
      </c>
      <c r="AH2063">
        <v>15.0940292765761</v>
      </c>
      <c r="AI2063">
        <v>94.093788726103696</v>
      </c>
      <c r="AJ2063">
        <v>103.309935945799</v>
      </c>
      <c r="AK2063">
        <v>15.5503379715721</v>
      </c>
      <c r="AL2063">
        <v>81.851373373664899</v>
      </c>
      <c r="AM2063">
        <v>94.662905336226601</v>
      </c>
      <c r="AN2063">
        <v>0.99999993680829802</v>
      </c>
    </row>
    <row r="2064" spans="1:40" x14ac:dyDescent="0.3">
      <c r="A2064" t="str">
        <f>"20200111150357489"</f>
        <v>20200111150357489</v>
      </c>
      <c r="B2064" t="str">
        <f>"1578726237480899"</f>
        <v>1578726237480899</v>
      </c>
      <c r="C2064" t="s">
        <v>40</v>
      </c>
      <c r="D2064">
        <v>5.595065</v>
      </c>
      <c r="E2064">
        <v>0.44165110000000002</v>
      </c>
      <c r="F2064" t="s">
        <v>74</v>
      </c>
      <c r="G2064">
        <v>-378.18959999999998</v>
      </c>
      <c r="H2064" s="1">
        <v>-2.0680759999999999E-6</v>
      </c>
      <c r="I2064">
        <v>24.245920000000002</v>
      </c>
      <c r="J2064">
        <v>-393.67570000000001</v>
      </c>
      <c r="K2064">
        <v>1.1099209999999999</v>
      </c>
      <c r="L2064">
        <v>22.750579999999999</v>
      </c>
      <c r="M2064">
        <v>0.99100880000000002</v>
      </c>
      <c r="N2064">
        <v>0</v>
      </c>
      <c r="O2064">
        <v>-0.13329630000000001</v>
      </c>
      <c r="P2064">
        <v>0.98980440000000003</v>
      </c>
      <c r="Q2064">
        <v>0.13111289999999901</v>
      </c>
      <c r="R2064">
        <v>-5.565138E-2</v>
      </c>
      <c r="S2064">
        <v>3.0786129999999998</v>
      </c>
      <c r="T2064">
        <v>-0.21737580000000001</v>
      </c>
      <c r="U2064">
        <v>0.28771970000000002</v>
      </c>
      <c r="V2064">
        <v>-7.8824710000000006E-2</v>
      </c>
      <c r="W2064">
        <v>0.1414232</v>
      </c>
      <c r="X2064">
        <v>0.98680599999999996</v>
      </c>
      <c r="Y2064">
        <v>-0.22406509999999999</v>
      </c>
      <c r="Z2064">
        <v>1.7257430000000001E-2</v>
      </c>
      <c r="AA2064">
        <v>0.97442139999999999</v>
      </c>
      <c r="AB2064">
        <v>27</v>
      </c>
      <c r="AC2064">
        <v>15.4861</v>
      </c>
      <c r="AD2064">
        <v>-1.1099230680759999</v>
      </c>
      <c r="AE2064">
        <v>1.4953399999999999</v>
      </c>
      <c r="AF2064">
        <v>-3.5284142351045702</v>
      </c>
      <c r="AG2064">
        <v>-1.1099230680759999</v>
      </c>
      <c r="AH2064">
        <v>15.071843025350701</v>
      </c>
      <c r="AI2064">
        <v>94.101287901016406</v>
      </c>
      <c r="AJ2064">
        <v>103.17601911448401</v>
      </c>
      <c r="AK2064">
        <v>15.519087873079</v>
      </c>
      <c r="AL2064">
        <v>81.869790679921493</v>
      </c>
      <c r="AM2064">
        <v>94.567011348793798</v>
      </c>
      <c r="AN2064">
        <v>0.99999996902041099</v>
      </c>
    </row>
    <row r="2065" spans="1:40" x14ac:dyDescent="0.3">
      <c r="A2065" t="str">
        <f>"20200111150357502"</f>
        <v>20200111150357502</v>
      </c>
      <c r="B2065" t="str">
        <f>"1578726237490661"</f>
        <v>1578726237490661</v>
      </c>
      <c r="C2065" t="s">
        <v>40</v>
      </c>
      <c r="D2065">
        <v>5.627732</v>
      </c>
      <c r="E2065">
        <v>0.44186989999999998</v>
      </c>
      <c r="F2065" t="s">
        <v>74</v>
      </c>
      <c r="G2065">
        <v>-377.80259999999998</v>
      </c>
      <c r="H2065" s="1">
        <v>-2.267007E-6</v>
      </c>
      <c r="I2065">
        <v>24.305990000000001</v>
      </c>
      <c r="J2065">
        <v>-393.51339999999999</v>
      </c>
      <c r="K2065">
        <v>1.1097790000000001</v>
      </c>
      <c r="L2065">
        <v>22.733699999999999</v>
      </c>
      <c r="M2065">
        <v>0.99161010000000005</v>
      </c>
      <c r="N2065">
        <v>0</v>
      </c>
      <c r="O2065">
        <v>-0.12874949999999999</v>
      </c>
      <c r="P2065">
        <v>0.99001620000000001</v>
      </c>
      <c r="Q2065">
        <v>0.13101860000000001</v>
      </c>
      <c r="R2065">
        <v>-5.1982E-2</v>
      </c>
      <c r="S2065">
        <v>3.076355</v>
      </c>
      <c r="T2065">
        <v>-0.215114</v>
      </c>
      <c r="U2065">
        <v>0.30145260000000001</v>
      </c>
      <c r="V2065">
        <v>-7.7904329999999994E-2</v>
      </c>
      <c r="W2065">
        <v>0.14133309999999999</v>
      </c>
      <c r="X2065">
        <v>0.98689199999999999</v>
      </c>
      <c r="Y2065">
        <v>-0.22400100000000001</v>
      </c>
      <c r="Z2065">
        <v>1.6769849999999999E-2</v>
      </c>
      <c r="AA2065">
        <v>0.97444459999999999</v>
      </c>
      <c r="AB2065">
        <v>27</v>
      </c>
      <c r="AC2065">
        <v>15.710800000000001</v>
      </c>
      <c r="AD2065">
        <v>-1.109781267007</v>
      </c>
      <c r="AE2065">
        <v>1.57228999999999</v>
      </c>
      <c r="AF2065">
        <v>-3.5644849649894201</v>
      </c>
      <c r="AG2065">
        <v>-1.109781267007</v>
      </c>
      <c r="AH2065">
        <v>15.3019830251471</v>
      </c>
      <c r="AI2065">
        <v>94.040333978470699</v>
      </c>
      <c r="AJ2065">
        <v>103.112793487917</v>
      </c>
      <c r="AK2065">
        <v>15.7508048057273</v>
      </c>
      <c r="AL2065">
        <v>81.875005454971898</v>
      </c>
      <c r="AM2065">
        <v>94.513515553390306</v>
      </c>
      <c r="AN2065">
        <v>0.99999997472617896</v>
      </c>
    </row>
    <row r="2066" spans="1:40" x14ac:dyDescent="0.3">
      <c r="A2066" t="str">
        <f>"20200111150357516"</f>
        <v>20200111150357516</v>
      </c>
      <c r="B2066" t="str">
        <f>"1578726237511155"</f>
        <v>1578726237511155</v>
      </c>
      <c r="C2066" t="s">
        <v>40</v>
      </c>
      <c r="D2066">
        <v>5.5239659999999997</v>
      </c>
      <c r="E2066">
        <v>0.44233050000000002</v>
      </c>
      <c r="F2066" t="s">
        <v>74</v>
      </c>
      <c r="G2066">
        <v>-377.5471</v>
      </c>
      <c r="H2066" s="1">
        <v>-2.3993259999999999E-6</v>
      </c>
      <c r="I2066">
        <v>24.349399999999999</v>
      </c>
      <c r="J2066">
        <v>-393.35910000000001</v>
      </c>
      <c r="K2066">
        <v>1.1096429999999999</v>
      </c>
      <c r="L2066">
        <v>22.71808</v>
      </c>
      <c r="M2066">
        <v>0.99215100000000001</v>
      </c>
      <c r="N2066">
        <v>0</v>
      </c>
      <c r="O2066">
        <v>-0.12451669999999999</v>
      </c>
      <c r="P2066">
        <v>0.99021320000000002</v>
      </c>
      <c r="Q2066">
        <v>0.13101769999999999</v>
      </c>
      <c r="R2066">
        <v>-4.8085089999999997E-2</v>
      </c>
      <c r="S2066">
        <v>3.0748600000000001</v>
      </c>
      <c r="T2066">
        <v>-0.21372659999999999</v>
      </c>
      <c r="U2066">
        <v>0.31115720000000002</v>
      </c>
      <c r="V2066">
        <v>-7.7529299999999995E-2</v>
      </c>
      <c r="W2066">
        <v>0.14132979999999901</v>
      </c>
      <c r="X2066">
        <v>0.98692199999999997</v>
      </c>
      <c r="Y2066">
        <v>-0.22295699999999999</v>
      </c>
      <c r="Z2066">
        <v>1.6339429999999999E-2</v>
      </c>
      <c r="AA2066">
        <v>0.97469130000000004</v>
      </c>
      <c r="AB2066">
        <v>27</v>
      </c>
      <c r="AC2066">
        <v>15.811999999999999</v>
      </c>
      <c r="AD2066">
        <v>-1.109645399326</v>
      </c>
      <c r="AE2066">
        <v>1.6313199999999899</v>
      </c>
      <c r="AF2066">
        <v>-3.5702129361663801</v>
      </c>
      <c r="AG2066">
        <v>-1.109645399326</v>
      </c>
      <c r="AH2066">
        <v>15.4106906734586</v>
      </c>
      <c r="AI2066">
        <v>94.012557831149195</v>
      </c>
      <c r="AJ2066">
        <v>103.043672195791</v>
      </c>
      <c r="AK2066">
        <v>15.857714852867</v>
      </c>
      <c r="AL2066">
        <v>81.875196404651803</v>
      </c>
      <c r="AM2066">
        <v>94.491740724694196</v>
      </c>
      <c r="AN2066">
        <v>0.99999996940526403</v>
      </c>
    </row>
    <row r="2067" spans="1:40" x14ac:dyDescent="0.3">
      <c r="A2067" t="str">
        <f>"20200111150357532"</f>
        <v>20200111150357532</v>
      </c>
      <c r="B2067" t="str">
        <f>"1578726237530675"</f>
        <v>1578726237530675</v>
      </c>
      <c r="C2067" t="s">
        <v>40</v>
      </c>
      <c r="D2067">
        <v>5.5278199999999904</v>
      </c>
      <c r="E2067">
        <v>0.44271270000000001</v>
      </c>
      <c r="F2067" t="s">
        <v>74</v>
      </c>
      <c r="G2067">
        <v>-377.23349999999999</v>
      </c>
      <c r="H2067" s="1">
        <v>-2.559108E-6</v>
      </c>
      <c r="I2067">
        <v>24.392769999999999</v>
      </c>
      <c r="J2067">
        <v>-393.1497</v>
      </c>
      <c r="K2067">
        <v>1.1094580000000001</v>
      </c>
      <c r="L2067">
        <v>22.697690000000001</v>
      </c>
      <c r="M2067">
        <v>0.99283359999999998</v>
      </c>
      <c r="N2067">
        <v>0</v>
      </c>
      <c r="O2067">
        <v>-0.11895600000000001</v>
      </c>
      <c r="P2067">
        <v>0.99048040000000004</v>
      </c>
      <c r="Q2067">
        <v>0.1308029</v>
      </c>
      <c r="R2067">
        <v>-4.2886639999999997E-2</v>
      </c>
      <c r="S2067">
        <v>3.0731199999999999</v>
      </c>
      <c r="T2067">
        <v>-0.21146999999999999</v>
      </c>
      <c r="U2067">
        <v>0.31915280000000001</v>
      </c>
      <c r="V2067">
        <v>-7.7115719999999999E-2</v>
      </c>
      <c r="W2067">
        <v>0.14111070000000001</v>
      </c>
      <c r="X2067">
        <v>0.98698580000000002</v>
      </c>
      <c r="Y2067">
        <v>-0.2200966</v>
      </c>
      <c r="Z2067">
        <v>1.569632E-2</v>
      </c>
      <c r="AA2067">
        <v>0.97535179999999999</v>
      </c>
      <c r="AB2067">
        <v>27</v>
      </c>
      <c r="AC2067">
        <v>15.9162</v>
      </c>
      <c r="AD2067">
        <v>-1.109460559108</v>
      </c>
      <c r="AE2067">
        <v>1.6950799999999999</v>
      </c>
      <c r="AF2067">
        <v>-3.5593929303247802</v>
      </c>
      <c r="AG2067">
        <v>-1.109460559108</v>
      </c>
      <c r="AH2067">
        <v>15.5269206133996</v>
      </c>
      <c r="AI2067">
        <v>93.984068898160302</v>
      </c>
      <c r="AJ2067">
        <v>102.911406427494</v>
      </c>
      <c r="AK2067">
        <v>15.9682636657676</v>
      </c>
      <c r="AL2067">
        <v>81.887877378598006</v>
      </c>
      <c r="AM2067">
        <v>94.467589171887795</v>
      </c>
      <c r="AN2067">
        <v>1.00000001666362</v>
      </c>
    </row>
    <row r="2068" spans="1:40" x14ac:dyDescent="0.3">
      <c r="A2068" t="str">
        <f>"20200111150357546"</f>
        <v>20200111150357546</v>
      </c>
      <c r="B2068" t="str">
        <f>"1578726237540436"</f>
        <v>1578726237540436</v>
      </c>
      <c r="C2068" t="s">
        <v>40</v>
      </c>
      <c r="D2068">
        <v>5.5718560000000004</v>
      </c>
      <c r="E2068">
        <v>0.44292219999999999</v>
      </c>
      <c r="F2068" t="s">
        <v>74</v>
      </c>
      <c r="G2068">
        <v>-376.9853</v>
      </c>
      <c r="H2068" s="1">
        <v>-2.689506E-6</v>
      </c>
      <c r="I2068">
        <v>24.441839999999999</v>
      </c>
      <c r="J2068">
        <v>-392.98070000000001</v>
      </c>
      <c r="K2068">
        <v>1.1092979999999999</v>
      </c>
      <c r="L2068">
        <v>22.681979999999999</v>
      </c>
      <c r="M2068">
        <v>0.99334020000000001</v>
      </c>
      <c r="N2068">
        <v>0</v>
      </c>
      <c r="O2068">
        <v>-0.11465069999999999</v>
      </c>
      <c r="P2068">
        <v>0.9906819</v>
      </c>
      <c r="Q2068">
        <v>0.13050880000000001</v>
      </c>
      <c r="R2068">
        <v>-3.894218E-2</v>
      </c>
      <c r="S2068">
        <v>3.0709840000000002</v>
      </c>
      <c r="T2068">
        <v>-0.2107793</v>
      </c>
      <c r="U2068">
        <v>0.33135989999999999</v>
      </c>
      <c r="V2068">
        <v>-7.6712329999999995E-2</v>
      </c>
      <c r="W2068">
        <v>0.1408171</v>
      </c>
      <c r="X2068">
        <v>0.98705920000000003</v>
      </c>
      <c r="Y2068">
        <v>-0.21978729999999999</v>
      </c>
      <c r="Z2068">
        <v>1.534891E-2</v>
      </c>
      <c r="AA2068">
        <v>0.97542709999999999</v>
      </c>
      <c r="AB2068">
        <v>27</v>
      </c>
      <c r="AC2068">
        <v>15.9954</v>
      </c>
      <c r="AD2068">
        <v>-1.10930068950599</v>
      </c>
      <c r="AE2068">
        <v>1.75985999999999</v>
      </c>
      <c r="AF2068">
        <v>-3.5653145546257301</v>
      </c>
      <c r="AG2068">
        <v>-1.10930068950599</v>
      </c>
      <c r="AH2068">
        <v>15.613929579643999</v>
      </c>
      <c r="AI2068">
        <v>93.962140577329706</v>
      </c>
      <c r="AJ2068">
        <v>102.862503603259</v>
      </c>
      <c r="AK2068">
        <v>16.0541836544636</v>
      </c>
      <c r="AL2068">
        <v>81.904869363825</v>
      </c>
      <c r="AM2068">
        <v>94.443984055072704</v>
      </c>
      <c r="AN2068">
        <v>1.00000005076553</v>
      </c>
    </row>
    <row r="2069" spans="1:40" x14ac:dyDescent="0.3">
      <c r="A2069" t="str">
        <f>"20200111150357560"</f>
        <v>20200111150357560</v>
      </c>
      <c r="B2069" t="str">
        <f>"1578726237551171"</f>
        <v>1578726237551171</v>
      </c>
      <c r="C2069" t="s">
        <v>40</v>
      </c>
      <c r="D2069">
        <v>5.4584519999999896</v>
      </c>
      <c r="E2069">
        <v>0.44314979999999998</v>
      </c>
      <c r="F2069" t="s">
        <v>74</v>
      </c>
      <c r="G2069">
        <v>-376.76690000000002</v>
      </c>
      <c r="H2069" s="1">
        <v>-2.8048799999999999E-6</v>
      </c>
      <c r="I2069">
        <v>24.487559999999998</v>
      </c>
      <c r="J2069">
        <v>-392.81029999999998</v>
      </c>
      <c r="K2069">
        <v>1.109118</v>
      </c>
      <c r="L2069">
        <v>22.666810000000002</v>
      </c>
      <c r="M2069">
        <v>0.99380939999999995</v>
      </c>
      <c r="N2069">
        <v>0</v>
      </c>
      <c r="O2069">
        <v>-0.11051469999999999</v>
      </c>
      <c r="P2069">
        <v>0.99084709999999998</v>
      </c>
      <c r="Q2069">
        <v>0.13027069999999999</v>
      </c>
      <c r="R2069">
        <v>-3.5379929999999997E-2</v>
      </c>
      <c r="S2069">
        <v>3.0692750000000002</v>
      </c>
      <c r="T2069">
        <v>-0.20999110000000001</v>
      </c>
      <c r="U2069">
        <v>0.34179690000000001</v>
      </c>
      <c r="V2069">
        <v>-7.6092160000000006E-2</v>
      </c>
      <c r="W2069">
        <v>0.14058389999999901</v>
      </c>
      <c r="X2069">
        <v>0.98714040000000003</v>
      </c>
      <c r="Y2069">
        <v>-0.21907869999999999</v>
      </c>
      <c r="Z2069">
        <v>1.4992200000000001E-2</v>
      </c>
      <c r="AA2069">
        <v>0.97559200000000001</v>
      </c>
      <c r="AB2069">
        <v>27</v>
      </c>
      <c r="AC2069">
        <v>16.043399999999899</v>
      </c>
      <c r="AD2069">
        <v>-1.1091208048799901</v>
      </c>
      <c r="AE2069">
        <v>1.8207500000000001</v>
      </c>
      <c r="AF2069">
        <v>-3.56591588232211</v>
      </c>
      <c r="AG2069">
        <v>-1.1091208048799901</v>
      </c>
      <c r="AH2069">
        <v>15.669941439129</v>
      </c>
      <c r="AI2069">
        <v>93.948047955405499</v>
      </c>
      <c r="AJ2069">
        <v>102.820138702316</v>
      </c>
      <c r="AK2069">
        <v>16.108785483249399</v>
      </c>
      <c r="AL2069">
        <v>81.918364655214205</v>
      </c>
      <c r="AM2069">
        <v>94.407838295838005</v>
      </c>
      <c r="AN2069">
        <v>1.00000000953241</v>
      </c>
    </row>
    <row r="2070" spans="1:40" x14ac:dyDescent="0.3">
      <c r="A2070" t="str">
        <f>"20200111150357579"</f>
        <v>20200111150357579</v>
      </c>
      <c r="B2070" t="str">
        <f>"1578726237570691"</f>
        <v>1578726237570691</v>
      </c>
      <c r="C2070" t="s">
        <v>40</v>
      </c>
      <c r="D2070">
        <v>5.4841610000000003</v>
      </c>
      <c r="E2070">
        <v>0.443664</v>
      </c>
      <c r="F2070" t="s">
        <v>74</v>
      </c>
      <c r="G2070">
        <v>-376.678</v>
      </c>
      <c r="H2070" s="1">
        <v>-2.8536359999999998E-6</v>
      </c>
      <c r="I2070">
        <v>24.512730000000001</v>
      </c>
      <c r="J2070">
        <v>-392.58330000000001</v>
      </c>
      <c r="K2070">
        <v>1.108867</v>
      </c>
      <c r="L2070">
        <v>22.647369999999999</v>
      </c>
      <c r="M2070">
        <v>0.9943805</v>
      </c>
      <c r="N2070">
        <v>0</v>
      </c>
      <c r="O2070">
        <v>-0.10525760000000001</v>
      </c>
      <c r="P2070">
        <v>0.99098810000000004</v>
      </c>
      <c r="Q2070">
        <v>0.13035099999999999</v>
      </c>
      <c r="R2070">
        <v>-3.0845540000000001E-2</v>
      </c>
      <c r="S2070">
        <v>3.0679319999999999</v>
      </c>
      <c r="T2070">
        <v>-0.21092469999999999</v>
      </c>
      <c r="U2070">
        <v>0.35104370000000001</v>
      </c>
      <c r="V2070">
        <v>-7.5301809999999997E-2</v>
      </c>
      <c r="W2070">
        <v>0.14067260000000001</v>
      </c>
      <c r="X2070">
        <v>0.98718830000000002</v>
      </c>
      <c r="Y2070">
        <v>-0.21687989999999999</v>
      </c>
      <c r="Z2070">
        <v>1.462839E-2</v>
      </c>
      <c r="AA2070">
        <v>0.97608870000000003</v>
      </c>
      <c r="AB2070">
        <v>27</v>
      </c>
      <c r="AC2070">
        <v>15.905299999999899</v>
      </c>
      <c r="AD2070">
        <v>-1.108869853636</v>
      </c>
      <c r="AE2070">
        <v>1.8653599999999899</v>
      </c>
      <c r="AF2070">
        <v>-3.5124173141831201</v>
      </c>
      <c r="AG2070">
        <v>-1.108869853636</v>
      </c>
      <c r="AH2070">
        <v>15.5460428867242</v>
      </c>
      <c r="AI2070">
        <v>93.979907156183003</v>
      </c>
      <c r="AJ2070">
        <v>102.731440992377</v>
      </c>
      <c r="AK2070">
        <v>15.9764237918611</v>
      </c>
      <c r="AL2070">
        <v>81.913230953501895</v>
      </c>
      <c r="AM2070">
        <v>94.362021990178505</v>
      </c>
      <c r="AN2070">
        <v>0.99999994131846104</v>
      </c>
    </row>
    <row r="2071" spans="1:40" x14ac:dyDescent="0.3">
      <c r="A2071" t="str">
        <f>"20200111150357602"</f>
        <v>20200111150357602</v>
      </c>
      <c r="B2071" t="str">
        <f>"1578726237590717"</f>
        <v>1578726237590717</v>
      </c>
      <c r="C2071" t="s">
        <v>40</v>
      </c>
      <c r="D2071">
        <v>6.0878839999999999</v>
      </c>
      <c r="E2071">
        <v>0.45418350000000002</v>
      </c>
      <c r="F2071" t="s">
        <v>74</v>
      </c>
      <c r="G2071">
        <v>-376.13200000000001</v>
      </c>
      <c r="H2071" s="1">
        <v>-3.131477E-6</v>
      </c>
      <c r="I2071">
        <v>24.586980000000001</v>
      </c>
      <c r="J2071">
        <v>-392.31139999999999</v>
      </c>
      <c r="K2071">
        <v>1.1085389999999999</v>
      </c>
      <c r="L2071">
        <v>22.625209999999999</v>
      </c>
      <c r="M2071">
        <v>0.99498529999999996</v>
      </c>
      <c r="N2071">
        <v>0</v>
      </c>
      <c r="O2071">
        <v>-9.9383269999999996E-2</v>
      </c>
      <c r="P2071">
        <v>0.99104550000000002</v>
      </c>
      <c r="Q2071">
        <v>0.13123699999999999</v>
      </c>
      <c r="R2071">
        <v>-2.4610449999999999E-2</v>
      </c>
      <c r="S2071">
        <v>3.0657350000000001</v>
      </c>
      <c r="T2071">
        <v>-0.20663980000000001</v>
      </c>
      <c r="U2071">
        <v>0.3614502</v>
      </c>
      <c r="V2071">
        <v>-7.5568029999999994E-2</v>
      </c>
      <c r="W2071">
        <v>0.1415582</v>
      </c>
      <c r="X2071">
        <v>0.98704139999999996</v>
      </c>
      <c r="Y2071">
        <v>-0.21451120000000001</v>
      </c>
      <c r="Z2071">
        <v>1.386634E-2</v>
      </c>
      <c r="AA2071">
        <v>0.97662309999999997</v>
      </c>
      <c r="AB2071">
        <v>27</v>
      </c>
      <c r="AC2071">
        <v>16.179400000000001</v>
      </c>
      <c r="AD2071">
        <v>-1.1085421314770001</v>
      </c>
      <c r="AE2071">
        <v>1.96177</v>
      </c>
      <c r="AF2071">
        <v>-3.5437258380493599</v>
      </c>
      <c r="AG2071">
        <v>-1.1085421314770001</v>
      </c>
      <c r="AH2071">
        <v>15.831069223297099</v>
      </c>
      <c r="AI2071">
        <v>93.909067730339501</v>
      </c>
      <c r="AJ2071">
        <v>102.6174495078</v>
      </c>
      <c r="AK2071">
        <v>16.2606768378608</v>
      </c>
      <c r="AL2071">
        <v>81.861977299386595</v>
      </c>
      <c r="AM2071">
        <v>94.378032478998605</v>
      </c>
      <c r="AN2071">
        <v>0.99999998822963998</v>
      </c>
    </row>
    <row r="2072" spans="1:40" x14ac:dyDescent="0.3">
      <c r="A2072" t="str">
        <f>"20200111150357617"</f>
        <v>20200111150357617</v>
      </c>
      <c r="B2072" t="str">
        <f>"1578726237610237"</f>
        <v>1578726237610237</v>
      </c>
      <c r="C2072" t="s">
        <v>40</v>
      </c>
      <c r="D2072">
        <v>5.4430779999999999</v>
      </c>
      <c r="E2072">
        <v>0.46001779999999998</v>
      </c>
      <c r="F2072" t="s">
        <v>75</v>
      </c>
      <c r="G2072">
        <v>-228.80289999999999</v>
      </c>
      <c r="H2072">
        <v>34.758159999999997</v>
      </c>
      <c r="I2072">
        <v>38.650019999999998</v>
      </c>
      <c r="J2072">
        <v>-392.1234</v>
      </c>
      <c r="K2072">
        <v>1.108304</v>
      </c>
      <c r="L2072">
        <v>22.610530000000001</v>
      </c>
      <c r="M2072">
        <v>0.99535620000000002</v>
      </c>
      <c r="N2072">
        <v>0</v>
      </c>
      <c r="O2072">
        <v>-9.5601329999999998E-2</v>
      </c>
      <c r="P2072">
        <v>0.99111479999999996</v>
      </c>
      <c r="Q2072">
        <v>0.13146389999999999</v>
      </c>
      <c r="R2072">
        <v>-2.0222589999999999E-2</v>
      </c>
      <c r="S2072">
        <v>2.9537960000000001</v>
      </c>
      <c r="T2072">
        <v>0.60788379999999997</v>
      </c>
      <c r="U2072">
        <v>0.28948970000000002</v>
      </c>
      <c r="V2072">
        <v>-7.6105359999999997E-2</v>
      </c>
      <c r="W2072">
        <v>0.14178569999999999</v>
      </c>
      <c r="X2072">
        <v>0.98696740000000005</v>
      </c>
      <c r="Y2072">
        <v>-0.1863802</v>
      </c>
      <c r="Z2072">
        <v>-3.8362029999999998E-2</v>
      </c>
      <c r="AA2072">
        <v>0.9817285</v>
      </c>
      <c r="AB2072">
        <v>28</v>
      </c>
      <c r="AC2072">
        <v>163.32050000000001</v>
      </c>
      <c r="AD2072">
        <v>33.649856</v>
      </c>
      <c r="AE2072">
        <v>16.039490000000001</v>
      </c>
      <c r="AF2072">
        <v>-30.306419869247399</v>
      </c>
      <c r="AG2072">
        <v>33.649856</v>
      </c>
      <c r="AH2072">
        <v>154.541143245543</v>
      </c>
      <c r="AI2072">
        <v>77.938944516594802</v>
      </c>
      <c r="AJ2072">
        <v>101.09523496060299</v>
      </c>
      <c r="AK2072">
        <v>161.03961267263099</v>
      </c>
      <c r="AL2072">
        <v>81.848809215350002</v>
      </c>
      <c r="AM2072">
        <v>94.4093696379081</v>
      </c>
      <c r="AN2072">
        <v>0.99999992960398698</v>
      </c>
    </row>
    <row r="2073" spans="1:40" x14ac:dyDescent="0.3">
      <c r="A2073" t="str">
        <f>"20200111150357782"</f>
        <v>20200111150357782</v>
      </c>
      <c r="B2073" t="str">
        <f>"1578726237780476"</f>
        <v>1578726237780476</v>
      </c>
      <c r="C2073" t="s">
        <v>40</v>
      </c>
      <c r="D2073">
        <v>5.4822340000000001</v>
      </c>
      <c r="E2073">
        <v>0.4674585</v>
      </c>
      <c r="F2073" t="s">
        <v>76</v>
      </c>
      <c r="G2073">
        <v>-367.41390000000001</v>
      </c>
      <c r="H2073" s="1">
        <v>-2.586788E-6</v>
      </c>
      <c r="I2073">
        <v>24.742180000000001</v>
      </c>
      <c r="J2073">
        <v>-390.0874</v>
      </c>
      <c r="K2073">
        <v>1.10575</v>
      </c>
      <c r="L2073">
        <v>22.474119999999999</v>
      </c>
      <c r="M2073">
        <v>0.99755590000000005</v>
      </c>
      <c r="N2073">
        <v>0</v>
      </c>
      <c r="O2073">
        <v>-6.9010100000000005E-2</v>
      </c>
      <c r="P2073">
        <v>0.99157139999999999</v>
      </c>
      <c r="Q2073">
        <v>0.1287778</v>
      </c>
      <c r="R2073">
        <v>1.423573E-2</v>
      </c>
      <c r="S2073">
        <v>3.0504150000000001</v>
      </c>
      <c r="T2073">
        <v>-0.13682130000000001</v>
      </c>
      <c r="U2073">
        <v>0.26315309999999997</v>
      </c>
      <c r="V2073">
        <v>-8.3211789999999994E-2</v>
      </c>
      <c r="W2073">
        <v>0.13924489999999901</v>
      </c>
      <c r="X2073">
        <v>0.98675559999999995</v>
      </c>
      <c r="Y2073">
        <v>-0.15427959999999999</v>
      </c>
      <c r="Z2073">
        <v>6.5405259999999996E-3</v>
      </c>
      <c r="AA2073">
        <v>0.98800560000000004</v>
      </c>
      <c r="AB2073">
        <v>28</v>
      </c>
      <c r="AC2073">
        <v>22.673499999999901</v>
      </c>
      <c r="AD2073">
        <v>-1.105752586788</v>
      </c>
      <c r="AE2073">
        <v>2.26805999999999</v>
      </c>
      <c r="AF2073">
        <v>-3.8184547581390702</v>
      </c>
      <c r="AG2073">
        <v>-1.105752586788</v>
      </c>
      <c r="AH2073">
        <v>22.410139103623699</v>
      </c>
      <c r="AI2073">
        <v>92.784705830772296</v>
      </c>
      <c r="AJ2073">
        <v>99.669739655095398</v>
      </c>
      <c r="AK2073">
        <v>22.760000443033899</v>
      </c>
      <c r="AL2073">
        <v>81.995845600407506</v>
      </c>
      <c r="AM2073">
        <v>94.820272449073499</v>
      </c>
      <c r="AN2073">
        <v>0.99999997915118599</v>
      </c>
    </row>
    <row r="2074" spans="1:40" x14ac:dyDescent="0.3">
      <c r="A2074" t="str">
        <f>"20200111150357803"</f>
        <v>20200111150357803</v>
      </c>
      <c r="B2074" t="str">
        <f>"1578726237800410"</f>
        <v>1578726237800410</v>
      </c>
      <c r="C2074" t="s">
        <v>40</v>
      </c>
      <c r="D2074">
        <v>5.5382150000000001</v>
      </c>
      <c r="E2074">
        <v>0.47535670000000002</v>
      </c>
      <c r="F2074" t="s">
        <v>41</v>
      </c>
      <c r="G2074">
        <v>-330.9196</v>
      </c>
      <c r="H2074" s="1">
        <v>-5.53385599999999E-6</v>
      </c>
      <c r="I2074">
        <v>28.471609999999998</v>
      </c>
      <c r="J2074">
        <v>-389.84800000000001</v>
      </c>
      <c r="K2074">
        <v>1.1054600000000001</v>
      </c>
      <c r="L2074">
        <v>22.459350000000001</v>
      </c>
      <c r="M2074">
        <v>0.99765570000000003</v>
      </c>
      <c r="N2074">
        <v>0</v>
      </c>
      <c r="O2074">
        <v>-6.7555050000000005E-2</v>
      </c>
      <c r="P2074">
        <v>0.99161840000000001</v>
      </c>
      <c r="Q2074">
        <v>0.1281032</v>
      </c>
      <c r="R2074">
        <v>1.6809250000000001E-2</v>
      </c>
      <c r="S2074">
        <v>3.0284119999999999</v>
      </c>
      <c r="T2074">
        <v>-5.6596399999999998E-2</v>
      </c>
      <c r="U2074">
        <v>0.30697629999999998</v>
      </c>
      <c r="V2074">
        <v>-8.424044E-2</v>
      </c>
      <c r="W2074">
        <v>0.13860310000000001</v>
      </c>
      <c r="X2074">
        <v>0.98675869999999999</v>
      </c>
      <c r="Y2074">
        <v>-0.1677922</v>
      </c>
      <c r="Z2074">
        <v>2.8233440000000002E-3</v>
      </c>
      <c r="AA2074">
        <v>0.98581830000000004</v>
      </c>
      <c r="AB2074">
        <v>28</v>
      </c>
      <c r="AC2074">
        <v>58.928400000000003</v>
      </c>
      <c r="AD2074">
        <v>-1.105465533856</v>
      </c>
      <c r="AE2074">
        <v>6.0122599999999897</v>
      </c>
      <c r="AF2074">
        <v>-9.9761977370006107</v>
      </c>
      <c r="AG2074">
        <v>-1.105465533856</v>
      </c>
      <c r="AH2074">
        <v>58.367253180098203</v>
      </c>
      <c r="AI2074">
        <v>91.0695356992846</v>
      </c>
      <c r="AJ2074">
        <v>99.699332776944701</v>
      </c>
      <c r="AK2074">
        <v>59.2240054295888</v>
      </c>
      <c r="AL2074">
        <v>82.032978284925406</v>
      </c>
      <c r="AM2074">
        <v>94.879558617290002</v>
      </c>
      <c r="AN2074">
        <v>1.0000000015433399</v>
      </c>
    </row>
    <row r="2075" spans="1:40" x14ac:dyDescent="0.3">
      <c r="A2075" t="str">
        <f>"20200111150357823"</f>
        <v>20200111150357823</v>
      </c>
      <c r="B2075" t="str">
        <f>"1578726237820905"</f>
        <v>1578726237820905</v>
      </c>
      <c r="C2075" t="s">
        <v>40</v>
      </c>
      <c r="D2075">
        <v>5.4234819999999999</v>
      </c>
      <c r="E2075">
        <v>0.47788380000000003</v>
      </c>
      <c r="F2075" t="s">
        <v>41</v>
      </c>
      <c r="G2075">
        <v>-350.8888</v>
      </c>
      <c r="H2075" s="1">
        <v>-5.0502229999999999E-6</v>
      </c>
      <c r="I2075">
        <v>25.685870000000001</v>
      </c>
      <c r="J2075">
        <v>-389.59210000000002</v>
      </c>
      <c r="K2075">
        <v>1.10517</v>
      </c>
      <c r="L2075">
        <v>22.443570000000001</v>
      </c>
      <c r="M2075">
        <v>0.99773650000000003</v>
      </c>
      <c r="N2075">
        <v>0</v>
      </c>
      <c r="O2075">
        <v>-6.6355620000000004E-2</v>
      </c>
      <c r="P2075">
        <v>0.99163089999999998</v>
      </c>
      <c r="Q2075">
        <v>0.127696</v>
      </c>
      <c r="R2075">
        <v>1.9029190000000001E-2</v>
      </c>
      <c r="S2075">
        <v>3.0322269999999998</v>
      </c>
      <c r="T2075">
        <v>-8.6039299999999999E-2</v>
      </c>
      <c r="U2075">
        <v>0.2511292</v>
      </c>
      <c r="V2075">
        <v>-8.5167119999999999E-2</v>
      </c>
      <c r="W2075">
        <v>0.13823099999999999</v>
      </c>
      <c r="X2075">
        <v>0.98673140000000004</v>
      </c>
      <c r="Y2075">
        <v>-0.148402799999999</v>
      </c>
      <c r="Z2075">
        <v>3.9810519999999997E-3</v>
      </c>
      <c r="AA2075">
        <v>0.98891899999999999</v>
      </c>
      <c r="AB2075">
        <v>28</v>
      </c>
      <c r="AC2075">
        <v>38.703299999999999</v>
      </c>
      <c r="AD2075">
        <v>-1.105175050223</v>
      </c>
      <c r="AE2075">
        <v>3.2423000000000002</v>
      </c>
      <c r="AF2075">
        <v>-5.79879194912772</v>
      </c>
      <c r="AG2075">
        <v>-1.105175050223</v>
      </c>
      <c r="AH2075">
        <v>38.371761649576897</v>
      </c>
      <c r="AI2075">
        <v>91.631252707436005</v>
      </c>
      <c r="AJ2075">
        <v>98.593589397708399</v>
      </c>
      <c r="AK2075">
        <v>38.823182405012197</v>
      </c>
      <c r="AL2075">
        <v>82.054505663850193</v>
      </c>
      <c r="AM2075">
        <v>94.933108169719603</v>
      </c>
      <c r="AN2075">
        <v>1.0000000517180201</v>
      </c>
    </row>
    <row r="2076" spans="1:40" x14ac:dyDescent="0.3">
      <c r="A2076" t="str">
        <f>"20200111150357847"</f>
        <v>20200111150357847</v>
      </c>
      <c r="B2076" t="str">
        <f>"1578726237840425"</f>
        <v>1578726237840425</v>
      </c>
      <c r="C2076" t="s">
        <v>40</v>
      </c>
      <c r="D2076">
        <v>5.1449569999999998</v>
      </c>
      <c r="E2076">
        <v>0.49849060000000001</v>
      </c>
      <c r="F2076" t="s">
        <v>41</v>
      </c>
      <c r="G2076">
        <v>-351.37610000000001</v>
      </c>
      <c r="H2076" s="1">
        <v>-4.8395250000000001E-6</v>
      </c>
      <c r="I2076">
        <v>25.432919999999999</v>
      </c>
      <c r="J2076">
        <v>-389.29489999999998</v>
      </c>
      <c r="K2076">
        <v>1.1048450000000001</v>
      </c>
      <c r="L2076">
        <v>22.425139999999999</v>
      </c>
      <c r="M2076">
        <v>0.99779929999999994</v>
      </c>
      <c r="N2076">
        <v>0</v>
      </c>
      <c r="O2076">
        <v>-6.5408599999999997E-2</v>
      </c>
      <c r="P2076">
        <v>0.99163219999999996</v>
      </c>
      <c r="Q2076">
        <v>0.12753149999999999</v>
      </c>
      <c r="R2076">
        <v>2.003015E-2</v>
      </c>
      <c r="S2076">
        <v>3.0320740000000002</v>
      </c>
      <c r="T2076">
        <v>-8.7684990000000004E-2</v>
      </c>
      <c r="U2076">
        <v>0.23718259999999999</v>
      </c>
      <c r="V2076">
        <v>-8.5116310000000001E-2</v>
      </c>
      <c r="W2076">
        <v>0.1381125</v>
      </c>
      <c r="X2076">
        <v>0.98675230000000003</v>
      </c>
      <c r="Y2076">
        <v>-0.14294589999999999</v>
      </c>
      <c r="Z2076">
        <v>3.9519439999999998E-3</v>
      </c>
      <c r="AA2076">
        <v>0.98972260000000001</v>
      </c>
      <c r="AB2076">
        <v>28</v>
      </c>
      <c r="AC2076">
        <v>37.918799999999898</v>
      </c>
      <c r="AD2076">
        <v>-1.1048498395249999</v>
      </c>
      <c r="AE2076">
        <v>3.0077799999999999</v>
      </c>
      <c r="AF2076">
        <v>-5.4770797197058796</v>
      </c>
      <c r="AG2076">
        <v>-1.1048498395249999</v>
      </c>
      <c r="AH2076">
        <v>37.609113676032798</v>
      </c>
      <c r="AI2076">
        <v>91.665149626811896</v>
      </c>
      <c r="AJ2076">
        <v>98.285833319813193</v>
      </c>
      <c r="AK2076">
        <v>38.0218953620235</v>
      </c>
      <c r="AL2076">
        <v>82.061360356291502</v>
      </c>
      <c r="AM2076">
        <v>94.930075718854496</v>
      </c>
      <c r="AN2076">
        <v>0.99999997521977702</v>
      </c>
    </row>
    <row r="2077" spans="1:40" x14ac:dyDescent="0.3">
      <c r="A2077" t="str">
        <f>"20200111150357860"</f>
        <v>20200111150357860</v>
      </c>
      <c r="B2077" t="str">
        <f>"1578726237850185"</f>
        <v>1578726237850185</v>
      </c>
      <c r="C2077" t="s">
        <v>40</v>
      </c>
      <c r="D2077">
        <v>5.4336859999999998</v>
      </c>
      <c r="E2077">
        <v>0.49849060000000001</v>
      </c>
      <c r="F2077" t="s">
        <v>77</v>
      </c>
      <c r="G2077">
        <v>-169.81129999999999</v>
      </c>
      <c r="H2077">
        <v>59.336640000000003</v>
      </c>
      <c r="I2077">
        <v>27.620370000000001</v>
      </c>
      <c r="J2077">
        <v>-389.13220000000001</v>
      </c>
      <c r="K2077">
        <v>1.104671</v>
      </c>
      <c r="L2077">
        <v>22.41498</v>
      </c>
      <c r="M2077">
        <v>0.99781850000000005</v>
      </c>
      <c r="N2077">
        <v>0</v>
      </c>
      <c r="O2077">
        <v>-6.5118040000000002E-2</v>
      </c>
      <c r="P2077">
        <v>0.9916121</v>
      </c>
      <c r="Q2077">
        <v>0.12772130000000001</v>
      </c>
      <c r="R2077">
        <v>1.982188E-2</v>
      </c>
      <c r="S2077">
        <v>2.9241329999999999</v>
      </c>
      <c r="T2077">
        <v>0.77580950000000004</v>
      </c>
      <c r="U2077">
        <v>6.9213869999999997E-2</v>
      </c>
      <c r="V2077">
        <v>-8.4562269999999995E-2</v>
      </c>
      <c r="W2077">
        <v>0.13832829999999999</v>
      </c>
      <c r="X2077">
        <v>0.98676969999999997</v>
      </c>
      <c r="Y2077">
        <v>-8.3575440000000001E-2</v>
      </c>
      <c r="Z2077">
        <v>-2.7872480000000002E-2</v>
      </c>
      <c r="AA2077">
        <v>0.99611159999999999</v>
      </c>
      <c r="AB2077">
        <v>28</v>
      </c>
      <c r="AC2077">
        <v>219.32089999999999</v>
      </c>
      <c r="AD2077">
        <v>58.2319689999999</v>
      </c>
      <c r="AE2077">
        <v>5.2053900000000004</v>
      </c>
      <c r="AF2077">
        <v>-18.194982843690799</v>
      </c>
      <c r="AG2077">
        <v>58.2319689999999</v>
      </c>
      <c r="AH2077">
        <v>204.13389699536501</v>
      </c>
      <c r="AI2077">
        <v>74.138182441032797</v>
      </c>
      <c r="AJ2077">
        <v>95.093461118222905</v>
      </c>
      <c r="AK2077">
        <v>213.05555030745799</v>
      </c>
      <c r="AL2077">
        <v>82.048876042433207</v>
      </c>
      <c r="AM2077">
        <v>94.898055499544796</v>
      </c>
      <c r="AN2077">
        <v>0.999999968463265</v>
      </c>
    </row>
    <row r="2078" spans="1:40" x14ac:dyDescent="0.3">
      <c r="A2078" t="str">
        <f>"20200111150357872"</f>
        <v>20200111150357872</v>
      </c>
      <c r="B2078" t="str">
        <f>"1578726237870682"</f>
        <v>1578726237870682</v>
      </c>
      <c r="C2078" t="s">
        <v>40</v>
      </c>
      <c r="D2078">
        <v>5.5389499999999998</v>
      </c>
      <c r="E2078">
        <v>0.49018230000000002</v>
      </c>
      <c r="F2078" t="s">
        <v>77</v>
      </c>
      <c r="G2078">
        <v>-169.81129999999999</v>
      </c>
      <c r="H2078">
        <v>59.340009999999999</v>
      </c>
      <c r="I2078">
        <v>27.558309999999999</v>
      </c>
      <c r="J2078">
        <v>-388.97899999999998</v>
      </c>
      <c r="K2078">
        <v>1.1045149999999999</v>
      </c>
      <c r="L2078">
        <v>22.405360000000002</v>
      </c>
      <c r="M2078">
        <v>0.99783149999999998</v>
      </c>
      <c r="N2078">
        <v>0</v>
      </c>
      <c r="O2078">
        <v>-6.4919060000000001E-2</v>
      </c>
      <c r="P2078">
        <v>0.99162229999999996</v>
      </c>
      <c r="Q2078">
        <v>0.12771589999999999</v>
      </c>
      <c r="R2078">
        <v>1.9333400000000001E-2</v>
      </c>
      <c r="S2078">
        <v>2.9239809999999999</v>
      </c>
      <c r="T2078">
        <v>0.77639199999999997</v>
      </c>
      <c r="U2078">
        <v>6.8572999999999995E-2</v>
      </c>
      <c r="V2078">
        <v>-8.3825170000000004E-2</v>
      </c>
      <c r="W2078">
        <v>0.13834759999999999</v>
      </c>
      <c r="X2078">
        <v>0.98682990000000004</v>
      </c>
      <c r="Y2078">
        <v>-8.317252E-2</v>
      </c>
      <c r="Z2078">
        <v>-2.7789709999999999E-2</v>
      </c>
      <c r="AA2078">
        <v>0.99614760000000002</v>
      </c>
      <c r="AB2078">
        <v>28</v>
      </c>
      <c r="AC2078">
        <v>219.1677</v>
      </c>
      <c r="AD2078">
        <v>58.235494999999901</v>
      </c>
      <c r="AE2078">
        <v>5.1529499999999899</v>
      </c>
      <c r="AF2078">
        <v>-18.094275758754399</v>
      </c>
      <c r="AG2078">
        <v>58.235494999999901</v>
      </c>
      <c r="AH2078">
        <v>203.977341915278</v>
      </c>
      <c r="AI2078">
        <v>74.125143192665007</v>
      </c>
      <c r="AJ2078">
        <v>95.069284003571397</v>
      </c>
      <c r="AK2078">
        <v>212.89793730318499</v>
      </c>
      <c r="AL2078">
        <v>82.047759627068601</v>
      </c>
      <c r="AM2078">
        <v>94.8552710711879</v>
      </c>
      <c r="AN2078">
        <v>0.99999998454264905</v>
      </c>
    </row>
    <row r="2079" spans="1:40" x14ac:dyDescent="0.3">
      <c r="A2079" t="str">
        <f>"20200111150357891"</f>
        <v>20200111150357891</v>
      </c>
      <c r="B2079" t="str">
        <f>"1578726237880445"</f>
        <v>1578726237880445</v>
      </c>
      <c r="C2079" t="s">
        <v>40</v>
      </c>
      <c r="D2079">
        <v>5.4446370000000002</v>
      </c>
      <c r="E2079">
        <v>0.49006630000000001</v>
      </c>
      <c r="F2079" t="s">
        <v>78</v>
      </c>
      <c r="G2079">
        <v>-279.68</v>
      </c>
      <c r="H2079">
        <v>0.187587</v>
      </c>
      <c r="I2079">
        <v>27.43965</v>
      </c>
      <c r="J2079">
        <v>-388.75189999999998</v>
      </c>
      <c r="K2079">
        <v>1.1042959999999999</v>
      </c>
      <c r="L2079">
        <v>22.390930000000001</v>
      </c>
      <c r="M2079">
        <v>0.99783809999999995</v>
      </c>
      <c r="N2079">
        <v>0</v>
      </c>
      <c r="O2079">
        <v>-6.4817959999999994E-2</v>
      </c>
      <c r="P2079">
        <v>0.99168590000000001</v>
      </c>
      <c r="Q2079">
        <v>0.12734029999999999</v>
      </c>
      <c r="R2079">
        <v>1.853219E-2</v>
      </c>
      <c r="S2079">
        <v>3.0259399999999999</v>
      </c>
      <c r="T2079">
        <v>-2.538526E-2</v>
      </c>
      <c r="U2079">
        <v>0.13937379999999999</v>
      </c>
      <c r="V2079">
        <v>-8.2855529999999997E-2</v>
      </c>
      <c r="W2079">
        <v>0.1380062</v>
      </c>
      <c r="X2079">
        <v>0.98695960000000005</v>
      </c>
      <c r="Y2079">
        <v>-0.1106611</v>
      </c>
      <c r="Z2079">
        <v>1.007349E-3</v>
      </c>
      <c r="AA2079">
        <v>0.99385769999999996</v>
      </c>
      <c r="AB2079">
        <v>28</v>
      </c>
      <c r="AC2079">
        <v>109.071899999999</v>
      </c>
      <c r="AD2079">
        <v>-0.916709</v>
      </c>
      <c r="AE2079">
        <v>5.0487200000000003</v>
      </c>
      <c r="AF2079">
        <v>-12.1074827552175</v>
      </c>
      <c r="AG2079">
        <v>-0.916709</v>
      </c>
      <c r="AH2079">
        <v>108.507590847296</v>
      </c>
      <c r="AI2079">
        <v>90.481057397593005</v>
      </c>
      <c r="AJ2079">
        <v>96.366835423262103</v>
      </c>
      <c r="AK2079">
        <v>109.184837617422</v>
      </c>
      <c r="AL2079">
        <v>82.067509991306295</v>
      </c>
      <c r="AM2079">
        <v>94.798744277004303</v>
      </c>
      <c r="AN2079">
        <v>1.0000000010610901</v>
      </c>
    </row>
    <row r="2080" spans="1:40" x14ac:dyDescent="0.3">
      <c r="A2080" t="str">
        <f>"20200111150357904"</f>
        <v>20200111150357904</v>
      </c>
      <c r="B2080" t="str">
        <f>"1578726237900937"</f>
        <v>1578726237900937</v>
      </c>
      <c r="C2080" t="s">
        <v>40</v>
      </c>
      <c r="D2080">
        <v>6.0030279999999996</v>
      </c>
      <c r="E2080">
        <v>0.49038660000000001</v>
      </c>
      <c r="F2080" t="s">
        <v>43</v>
      </c>
      <c r="G2080">
        <v>-303.17</v>
      </c>
      <c r="H2080">
        <v>-0.05</v>
      </c>
      <c r="I2080">
        <v>26.28979</v>
      </c>
      <c r="J2080">
        <v>-388.58089999999999</v>
      </c>
      <c r="K2080">
        <v>1.1041479999999999</v>
      </c>
      <c r="L2080">
        <v>22.379909999999999</v>
      </c>
      <c r="M2080">
        <v>0.99783429999999995</v>
      </c>
      <c r="N2080">
        <v>0</v>
      </c>
      <c r="O2080">
        <v>-6.4881320000000006E-2</v>
      </c>
      <c r="P2080">
        <v>0.9917163</v>
      </c>
      <c r="Q2080">
        <v>0.12716050000000001</v>
      </c>
      <c r="R2080">
        <v>1.815112E-2</v>
      </c>
      <c r="S2080">
        <v>3.0278320000000001</v>
      </c>
      <c r="T2080">
        <v>-4.0838239999999998E-2</v>
      </c>
      <c r="U2080">
        <v>0.13793949999999999</v>
      </c>
      <c r="V2080">
        <v>-8.2489309999999996E-2</v>
      </c>
      <c r="W2080">
        <v>0.1378499</v>
      </c>
      <c r="X2080">
        <v>0.98701209999999995</v>
      </c>
      <c r="Y2080">
        <v>-0.1102161</v>
      </c>
      <c r="Z2080">
        <v>1.617372E-3</v>
      </c>
      <c r="AA2080">
        <v>0.99390630000000002</v>
      </c>
      <c r="AB2080">
        <v>28</v>
      </c>
      <c r="AC2080">
        <v>85.410899999999899</v>
      </c>
      <c r="AD2080">
        <v>-1.154148</v>
      </c>
      <c r="AE2080">
        <v>3.9098799999999998</v>
      </c>
      <c r="AF2080">
        <v>-9.4418169030450105</v>
      </c>
      <c r="AG2080">
        <v>-1.154148</v>
      </c>
      <c r="AH2080">
        <v>84.961742606734404</v>
      </c>
      <c r="AI2080">
        <v>90.773515482270398</v>
      </c>
      <c r="AJ2080">
        <v>96.341273087568595</v>
      </c>
      <c r="AK2080">
        <v>85.492559154639395</v>
      </c>
      <c r="AL2080">
        <v>82.0765515993386</v>
      </c>
      <c r="AM2080">
        <v>94.777379359448503</v>
      </c>
      <c r="AN2080">
        <v>0.99999998337034701</v>
      </c>
    </row>
    <row r="2081" spans="1:40" x14ac:dyDescent="0.3">
      <c r="A2081" t="str">
        <f>"20200111150357924"</f>
        <v>20200111150357924</v>
      </c>
      <c r="B2081" t="str">
        <f>"1578726237920457"</f>
        <v>1578726237920457</v>
      </c>
      <c r="C2081" t="s">
        <v>40</v>
      </c>
      <c r="D2081">
        <v>5.493906</v>
      </c>
      <c r="E2081">
        <v>0.49044880000000002</v>
      </c>
      <c r="F2081" t="s">
        <v>43</v>
      </c>
      <c r="G2081">
        <v>-299.75540000000001</v>
      </c>
      <c r="H2081">
        <v>-0.05</v>
      </c>
      <c r="I2081">
        <v>26.312190000000001</v>
      </c>
      <c r="J2081">
        <v>-388.34690000000001</v>
      </c>
      <c r="K2081">
        <v>1.1039760000000001</v>
      </c>
      <c r="L2081">
        <v>22.364619999999999</v>
      </c>
      <c r="M2081">
        <v>0.99781920000000002</v>
      </c>
      <c r="N2081">
        <v>0</v>
      </c>
      <c r="O2081">
        <v>-6.5111790000000003E-2</v>
      </c>
      <c r="P2081">
        <v>0.99174329999999999</v>
      </c>
      <c r="Q2081">
        <v>0.1270529</v>
      </c>
      <c r="R2081">
        <v>1.7404900000000001E-2</v>
      </c>
      <c r="S2081">
        <v>3.0276489999999998</v>
      </c>
      <c r="T2081">
        <v>-3.9339539999999999E-2</v>
      </c>
      <c r="U2081">
        <v>0.13403319999999999</v>
      </c>
      <c r="V2081">
        <v>-8.1915109999999999E-2</v>
      </c>
      <c r="W2081">
        <v>0.13776869999999999</v>
      </c>
      <c r="X2081">
        <v>0.98707129999999998</v>
      </c>
      <c r="Y2081">
        <v>-0.1091698</v>
      </c>
      <c r="Z2081">
        <v>1.554349E-3</v>
      </c>
      <c r="AA2081">
        <v>0.99402190000000001</v>
      </c>
      <c r="AB2081">
        <v>28</v>
      </c>
      <c r="AC2081">
        <v>88.591499999999996</v>
      </c>
      <c r="AD2081">
        <v>-1.1539759999999999</v>
      </c>
      <c r="AE2081">
        <v>3.94756999999999</v>
      </c>
      <c r="AF2081">
        <v>-9.7062380512161095</v>
      </c>
      <c r="AG2081">
        <v>-1.1539759999999999</v>
      </c>
      <c r="AH2081">
        <v>88.131512407142793</v>
      </c>
      <c r="AI2081">
        <v>90.745668238492001</v>
      </c>
      <c r="AJ2081">
        <v>96.284859857378194</v>
      </c>
      <c r="AK2081">
        <v>88.671901958206703</v>
      </c>
      <c r="AL2081">
        <v>82.081249170730601</v>
      </c>
      <c r="AM2081">
        <v>94.7439935739974</v>
      </c>
      <c r="AN2081">
        <v>1.00000002561484</v>
      </c>
    </row>
    <row r="2082" spans="1:40" x14ac:dyDescent="0.3">
      <c r="A2082" t="str">
        <f>"20200111150357937"</f>
        <v>20200111150357937</v>
      </c>
      <c r="B2082" t="str">
        <f>"1578726237930217"</f>
        <v>1578726237930217</v>
      </c>
      <c r="C2082" t="s">
        <v>40</v>
      </c>
      <c r="D2082">
        <v>5.8070339999999998</v>
      </c>
      <c r="E2082">
        <v>0.48961529999999998</v>
      </c>
      <c r="F2082" t="s">
        <v>41</v>
      </c>
      <c r="G2082">
        <v>-325.28609999999998</v>
      </c>
      <c r="H2082" s="1">
        <v>-3.6522540000000002E-6</v>
      </c>
      <c r="I2082">
        <v>25.089860000000002</v>
      </c>
      <c r="J2082">
        <v>-388.17500000000001</v>
      </c>
      <c r="K2082">
        <v>1.1038619999999999</v>
      </c>
      <c r="L2082">
        <v>22.35324</v>
      </c>
      <c r="M2082">
        <v>0.9978011</v>
      </c>
      <c r="N2082">
        <v>0</v>
      </c>
      <c r="O2082">
        <v>-6.5390500000000004E-2</v>
      </c>
      <c r="P2082">
        <v>0.99173940000000005</v>
      </c>
      <c r="Q2082">
        <v>0.1271265</v>
      </c>
      <c r="R2082">
        <v>1.709275E-2</v>
      </c>
      <c r="S2082">
        <v>3.0294490000000001</v>
      </c>
      <c r="T2082">
        <v>-5.303538E-2</v>
      </c>
      <c r="U2082">
        <v>0.13092039999999999</v>
      </c>
      <c r="V2082">
        <v>-8.1839699999999904E-2</v>
      </c>
      <c r="W2082">
        <v>0.13785929999999999</v>
      </c>
      <c r="X2082">
        <v>0.98706490000000002</v>
      </c>
      <c r="Y2082">
        <v>-0.10839</v>
      </c>
      <c r="Z2082">
        <v>2.0922580000000001E-3</v>
      </c>
      <c r="AA2082">
        <v>0.99410620000000005</v>
      </c>
      <c r="AB2082">
        <v>28</v>
      </c>
      <c r="AC2082">
        <v>62.8889</v>
      </c>
      <c r="AD2082">
        <v>-1.103865652254</v>
      </c>
      <c r="AE2082">
        <v>2.7366199999999998</v>
      </c>
      <c r="AF2082">
        <v>-6.8412358049122401</v>
      </c>
      <c r="AG2082">
        <v>-1.103865652254</v>
      </c>
      <c r="AH2082">
        <v>62.556090109667402</v>
      </c>
      <c r="AI2082">
        <v>91.004946753926205</v>
      </c>
      <c r="AJ2082">
        <v>96.241157198311598</v>
      </c>
      <c r="AK2082">
        <v>62.938743525156802</v>
      </c>
      <c r="AL2082">
        <v>82.076008119063701</v>
      </c>
      <c r="AM2082">
        <v>94.739676810870805</v>
      </c>
      <c r="AN2082">
        <v>1.00000001995229</v>
      </c>
    </row>
    <row r="2083" spans="1:40" x14ac:dyDescent="0.3">
      <c r="A2083" t="str">
        <f>"20200111150357950"</f>
        <v>20200111150357950</v>
      </c>
      <c r="B2083" t="str">
        <f>"1578726237940953"</f>
        <v>1578726237940953</v>
      </c>
      <c r="C2083" t="s">
        <v>40</v>
      </c>
      <c r="D2083">
        <v>5.5974560000000002</v>
      </c>
      <c r="E2083">
        <v>0.48920599999999997</v>
      </c>
      <c r="F2083" t="s">
        <v>43</v>
      </c>
      <c r="G2083">
        <v>-297.54840000000002</v>
      </c>
      <c r="H2083">
        <v>-0.05</v>
      </c>
      <c r="I2083">
        <v>26.434729999999998</v>
      </c>
      <c r="J2083">
        <v>-388.01190000000003</v>
      </c>
      <c r="K2083">
        <v>1.103761</v>
      </c>
      <c r="L2083">
        <v>22.342379999999999</v>
      </c>
      <c r="M2083">
        <v>0.99777990000000005</v>
      </c>
      <c r="N2083">
        <v>0</v>
      </c>
      <c r="O2083">
        <v>-6.5714499999999995E-2</v>
      </c>
      <c r="P2083">
        <v>0.99173619999999996</v>
      </c>
      <c r="Q2083">
        <v>0.12722049999999999</v>
      </c>
      <c r="R2083">
        <v>1.6559899999999999E-2</v>
      </c>
      <c r="S2083">
        <v>3.0276179999999999</v>
      </c>
      <c r="T2083">
        <v>-3.8547749999999999E-2</v>
      </c>
      <c r="U2083">
        <v>0.13635249999999999</v>
      </c>
      <c r="V2083">
        <v>-8.1594180000000002E-2</v>
      </c>
      <c r="W2083">
        <v>0.13796800000000001</v>
      </c>
      <c r="X2083">
        <v>0.98707</v>
      </c>
      <c r="Y2083">
        <v>-0.1105309</v>
      </c>
      <c r="Z2083">
        <v>1.5393850000000001E-3</v>
      </c>
      <c r="AA2083">
        <v>0.99387150000000002</v>
      </c>
      <c r="AB2083">
        <v>28</v>
      </c>
      <c r="AC2083">
        <v>90.463499999999996</v>
      </c>
      <c r="AD2083">
        <v>-1.153761</v>
      </c>
      <c r="AE2083">
        <v>4.0923499999999997</v>
      </c>
      <c r="AF2083">
        <v>-10.0269866376614</v>
      </c>
      <c r="AG2083">
        <v>-1.153761</v>
      </c>
      <c r="AH2083">
        <v>89.984387640142103</v>
      </c>
      <c r="AI2083">
        <v>90.730076154026307</v>
      </c>
      <c r="AJ2083">
        <v>96.358255839236193</v>
      </c>
      <c r="AK2083">
        <v>90.548670031361098</v>
      </c>
      <c r="AL2083">
        <v>82.069719677735904</v>
      </c>
      <c r="AM2083">
        <v>94.725497912968606</v>
      </c>
      <c r="AN2083">
        <v>0.99999998206693597</v>
      </c>
    </row>
    <row r="2084" spans="1:40" x14ac:dyDescent="0.3">
      <c r="A2084" t="str">
        <f>"20200111150357969"</f>
        <v>20200111150357969</v>
      </c>
      <c r="B2084" t="str">
        <f>"1578726237960473"</f>
        <v>1578726237960473</v>
      </c>
      <c r="C2084" t="s">
        <v>40</v>
      </c>
      <c r="D2084">
        <v>4.9520900000000001</v>
      </c>
      <c r="E2084">
        <v>0.48485810000000001</v>
      </c>
      <c r="F2084" t="s">
        <v>78</v>
      </c>
      <c r="G2084">
        <v>-279.68</v>
      </c>
      <c r="H2084">
        <v>2.1259779999999999E-2</v>
      </c>
      <c r="I2084">
        <v>27.27758</v>
      </c>
      <c r="J2084">
        <v>-387.77480000000003</v>
      </c>
      <c r="K2084">
        <v>1.1036330000000001</v>
      </c>
      <c r="L2084">
        <v>22.32629</v>
      </c>
      <c r="M2084">
        <v>0.99773990000000001</v>
      </c>
      <c r="N2084">
        <v>0</v>
      </c>
      <c r="O2084">
        <v>-6.632043E-2</v>
      </c>
      <c r="P2084">
        <v>0.99170069999999999</v>
      </c>
      <c r="Q2084">
        <v>0.12759239999999999</v>
      </c>
      <c r="R2084">
        <v>1.5813830000000001E-2</v>
      </c>
      <c r="S2084">
        <v>3.0265499999999999</v>
      </c>
      <c r="T2084">
        <v>-3.02428E-2</v>
      </c>
      <c r="U2084">
        <v>0.13787839999999901</v>
      </c>
      <c r="V2084">
        <v>-8.140095E-2</v>
      </c>
      <c r="W2084">
        <v>0.13835939999999999</v>
      </c>
      <c r="X2084">
        <v>0.9870312</v>
      </c>
      <c r="Y2084">
        <v>-0.11165559999999999</v>
      </c>
      <c r="Z2084">
        <v>1.2198269999999999E-3</v>
      </c>
      <c r="AA2084">
        <v>0.99374620000000002</v>
      </c>
      <c r="AB2084">
        <v>28</v>
      </c>
      <c r="AC2084">
        <v>108.09480000000001</v>
      </c>
      <c r="AD2084">
        <v>-1.08237322</v>
      </c>
      <c r="AE2084">
        <v>4.9512900000000002</v>
      </c>
      <c r="AF2084">
        <v>-12.108488280434701</v>
      </c>
      <c r="AG2084">
        <v>-1.08237322</v>
      </c>
      <c r="AH2084">
        <v>107.51763975875799</v>
      </c>
      <c r="AI2084">
        <v>90.5731505484693</v>
      </c>
      <c r="AJ2084">
        <v>96.425498159204096</v>
      </c>
      <c r="AK2084">
        <v>108.202725841445</v>
      </c>
      <c r="AL2084">
        <v>82.047077207500905</v>
      </c>
      <c r="AM2084">
        <v>94.714542051755302</v>
      </c>
      <c r="AN2084">
        <v>1.0000000140013501</v>
      </c>
    </row>
    <row r="2085" spans="1:40" x14ac:dyDescent="0.3">
      <c r="A2085" t="str">
        <f>"20200111150357991"</f>
        <v>20200111150357991</v>
      </c>
      <c r="B2085" t="str">
        <f>"1578726237980973"</f>
        <v>1578726237980973</v>
      </c>
      <c r="C2085" t="s">
        <v>40</v>
      </c>
      <c r="D2085">
        <v>5.4932569999999998</v>
      </c>
      <c r="E2085">
        <v>0.48499890000000001</v>
      </c>
      <c r="F2085" t="s">
        <v>43</v>
      </c>
      <c r="G2085">
        <v>-290.63690000000003</v>
      </c>
      <c r="H2085">
        <v>-0.05</v>
      </c>
      <c r="I2085">
        <v>27.784050000000001</v>
      </c>
      <c r="J2085">
        <v>-387.50510000000003</v>
      </c>
      <c r="K2085">
        <v>1.1035109999999999</v>
      </c>
      <c r="L2085">
        <v>22.30762</v>
      </c>
      <c r="M2085">
        <v>0.99768500000000004</v>
      </c>
      <c r="N2085">
        <v>0</v>
      </c>
      <c r="O2085">
        <v>-6.7141419999999993E-2</v>
      </c>
      <c r="P2085">
        <v>0.99151509999999998</v>
      </c>
      <c r="Q2085">
        <v>0.12906780000000001</v>
      </c>
      <c r="R2085">
        <v>1.5481669999999999E-2</v>
      </c>
      <c r="S2085">
        <v>3.0270079999999999</v>
      </c>
      <c r="T2085">
        <v>-3.5949469999999997E-2</v>
      </c>
      <c r="U2085">
        <v>0.17007449999999999</v>
      </c>
      <c r="V2085">
        <v>-8.1823670000000001E-2</v>
      </c>
      <c r="W2085">
        <v>0.13985259999999999</v>
      </c>
      <c r="X2085">
        <v>0.98678580000000005</v>
      </c>
      <c r="Y2085">
        <v>-0.1229968</v>
      </c>
      <c r="Z2085">
        <v>1.5264720000000001E-3</v>
      </c>
      <c r="AA2085">
        <v>0.99240589999999995</v>
      </c>
      <c r="AB2085">
        <v>28</v>
      </c>
      <c r="AC2085">
        <v>96.868200000000002</v>
      </c>
      <c r="AD2085">
        <v>-1.153511</v>
      </c>
      <c r="AE2085">
        <v>5.4764299999999997</v>
      </c>
      <c r="AF2085">
        <v>-11.9666272804259</v>
      </c>
      <c r="AG2085">
        <v>-1.153511</v>
      </c>
      <c r="AH2085">
        <v>96.268264122661506</v>
      </c>
      <c r="AI2085">
        <v>90.681257226251702</v>
      </c>
      <c r="AJ2085">
        <v>97.085805473644697</v>
      </c>
      <c r="AK2085">
        <v>97.016026682637701</v>
      </c>
      <c r="AL2085">
        <v>81.960683377338299</v>
      </c>
      <c r="AM2085">
        <v>94.740086865712897</v>
      </c>
      <c r="AN2085">
        <v>1.0000000388903301</v>
      </c>
    </row>
    <row r="2086" spans="1:40" x14ac:dyDescent="0.3">
      <c r="A2086" t="str">
        <f>"20200111150358013"</f>
        <v>20200111150358013</v>
      </c>
      <c r="B2086" t="str">
        <f>"1578726238010249"</f>
        <v>1578726238010249</v>
      </c>
      <c r="C2086" t="s">
        <v>40</v>
      </c>
      <c r="D2086">
        <v>5.6935289999999998</v>
      </c>
      <c r="E2086">
        <v>0.48688579999999998</v>
      </c>
      <c r="F2086" t="s">
        <v>41</v>
      </c>
      <c r="G2086">
        <v>-336.97680000000003</v>
      </c>
      <c r="H2086" s="1">
        <v>-2.74118E-6</v>
      </c>
      <c r="I2086">
        <v>25.110620000000001</v>
      </c>
      <c r="J2086">
        <v>-387.23669999999998</v>
      </c>
      <c r="K2086">
        <v>1.103415</v>
      </c>
      <c r="L2086">
        <v>22.28867</v>
      </c>
      <c r="M2086">
        <v>0.99762360000000005</v>
      </c>
      <c r="N2086">
        <v>0</v>
      </c>
      <c r="O2086">
        <v>-6.8050219999999995E-2</v>
      </c>
      <c r="P2086">
        <v>0.99133570000000004</v>
      </c>
      <c r="Q2086">
        <v>0.13047600000000001</v>
      </c>
      <c r="R2086">
        <v>1.516635E-2</v>
      </c>
      <c r="S2086">
        <v>3.031647</v>
      </c>
      <c r="T2086">
        <v>-6.6209669999999998E-2</v>
      </c>
      <c r="U2086">
        <v>0.16818239999999901</v>
      </c>
      <c r="V2086">
        <v>-8.2359740000000001E-2</v>
      </c>
      <c r="W2086">
        <v>0.14127400000000001</v>
      </c>
      <c r="X2086">
        <v>0.98653860000000004</v>
      </c>
      <c r="Y2086">
        <v>-0.1231662</v>
      </c>
      <c r="Z2086">
        <v>2.8285419999999999E-3</v>
      </c>
      <c r="AA2086">
        <v>0.99238199999999999</v>
      </c>
      <c r="AB2086">
        <v>28</v>
      </c>
      <c r="AC2086">
        <v>50.259899999999902</v>
      </c>
      <c r="AD2086">
        <v>-1.1034177411799999</v>
      </c>
      <c r="AE2086">
        <v>2.8219500000000002</v>
      </c>
      <c r="AF2086">
        <v>-6.2328091543847002</v>
      </c>
      <c r="AG2086">
        <v>-1.1034177411799999</v>
      </c>
      <c r="AH2086">
        <v>49.927344534690299</v>
      </c>
      <c r="AI2086">
        <v>91.256309093340306</v>
      </c>
      <c r="AJ2086">
        <v>97.115853678362797</v>
      </c>
      <c r="AK2086">
        <v>50.326982553618301</v>
      </c>
      <c r="AL2086">
        <v>81.878425668397995</v>
      </c>
      <c r="AM2086">
        <v>94.7721887464579</v>
      </c>
      <c r="AN2086">
        <v>0.99999993956941202</v>
      </c>
    </row>
    <row r="2087" spans="1:40" x14ac:dyDescent="0.3">
      <c r="A2087" t="str">
        <f>"20200111150358024"</f>
        <v>20200111150358024</v>
      </c>
      <c r="B2087" t="str">
        <f>"1578726238020985"</f>
        <v>1578726238020985</v>
      </c>
      <c r="C2087" t="s">
        <v>40</v>
      </c>
      <c r="D2087">
        <v>5.5436899999999998</v>
      </c>
      <c r="E2087">
        <v>0.48741719999999999</v>
      </c>
      <c r="F2087" t="s">
        <v>41</v>
      </c>
      <c r="G2087">
        <v>-345.28500000000003</v>
      </c>
      <c r="H2087" s="1">
        <v>-3.2770710000000002E-6</v>
      </c>
      <c r="I2087">
        <v>24.39696</v>
      </c>
      <c r="J2087">
        <v>-387.07679999999999</v>
      </c>
      <c r="K2087">
        <v>1.10337</v>
      </c>
      <c r="L2087">
        <v>22.277190000000001</v>
      </c>
      <c r="M2087">
        <v>0.99758429999999998</v>
      </c>
      <c r="N2087">
        <v>0</v>
      </c>
      <c r="O2087">
        <v>-6.8623710000000004E-2</v>
      </c>
      <c r="P2087">
        <v>0.99126950000000003</v>
      </c>
      <c r="Q2087">
        <v>0.13101579999999999</v>
      </c>
      <c r="R2087">
        <v>1.482635E-2</v>
      </c>
      <c r="S2087">
        <v>3.034332</v>
      </c>
      <c r="T2087">
        <v>-7.9809309999999994E-2</v>
      </c>
      <c r="U2087">
        <v>0.1524963</v>
      </c>
      <c r="V2087">
        <v>-8.2566799999999996E-2</v>
      </c>
      <c r="W2087">
        <v>0.14181969999999999</v>
      </c>
      <c r="X2087">
        <v>0.98644299999999996</v>
      </c>
      <c r="Y2087">
        <v>-0.1185519</v>
      </c>
      <c r="Z2087">
        <v>3.3611460000000002E-3</v>
      </c>
      <c r="AA2087">
        <v>0.9929422</v>
      </c>
      <c r="AB2087">
        <v>28</v>
      </c>
      <c r="AC2087">
        <v>41.791799999999903</v>
      </c>
      <c r="AD2087">
        <v>-1.1033732770710001</v>
      </c>
      <c r="AE2087">
        <v>2.1197699999999902</v>
      </c>
      <c r="AF2087">
        <v>-4.9793855581276301</v>
      </c>
      <c r="AG2087">
        <v>-1.1033732770710001</v>
      </c>
      <c r="AH2087">
        <v>41.518927771822199</v>
      </c>
      <c r="AI2087">
        <v>91.511461730099597</v>
      </c>
      <c r="AJ2087">
        <v>96.838847566961405</v>
      </c>
      <c r="AK2087">
        <v>41.831006161062298</v>
      </c>
      <c r="AL2087">
        <v>81.846841423613796</v>
      </c>
      <c r="AM2087">
        <v>94.784592347510795</v>
      </c>
      <c r="AN2087">
        <v>0.99999994800966296</v>
      </c>
    </row>
    <row r="2088" spans="1:40" x14ac:dyDescent="0.3">
      <c r="A2088" t="str">
        <f>"20200111150358038"</f>
        <v>20200111150358038</v>
      </c>
      <c r="B2088" t="str">
        <f>"1578726238030746"</f>
        <v>1578726238030746</v>
      </c>
      <c r="C2088" t="s">
        <v>40</v>
      </c>
      <c r="D2088">
        <v>5.5247519999999897</v>
      </c>
      <c r="E2088">
        <v>0.48779230000000001</v>
      </c>
      <c r="F2088" t="s">
        <v>41</v>
      </c>
      <c r="G2088">
        <v>-350.10149999999999</v>
      </c>
      <c r="H2088" s="1">
        <v>-5.0317529999999996E-6</v>
      </c>
      <c r="I2088">
        <v>24.07142</v>
      </c>
      <c r="J2088">
        <v>-386.91269999999997</v>
      </c>
      <c r="K2088">
        <v>1.1033389999999901</v>
      </c>
      <c r="L2088">
        <v>22.265319999999999</v>
      </c>
      <c r="M2088">
        <v>0.99754219999999905</v>
      </c>
      <c r="N2088">
        <v>0</v>
      </c>
      <c r="O2088">
        <v>-6.9231940000000006E-2</v>
      </c>
      <c r="P2088">
        <v>0.99121610000000004</v>
      </c>
      <c r="Q2088">
        <v>0.13145580000000001</v>
      </c>
      <c r="R2088">
        <v>1.4493519999999999E-2</v>
      </c>
      <c r="S2088">
        <v>3.0361940000000001</v>
      </c>
      <c r="T2088">
        <v>-9.0602870000000002E-2</v>
      </c>
      <c r="U2088">
        <v>0.14733889999999999</v>
      </c>
      <c r="V2088">
        <v>-8.2820640000000001E-2</v>
      </c>
      <c r="W2088">
        <v>0.1422639</v>
      </c>
      <c r="X2088">
        <v>0.98635779999999995</v>
      </c>
      <c r="Y2088">
        <v>-0.1174258</v>
      </c>
      <c r="Z2088">
        <v>3.8146489999999998E-3</v>
      </c>
      <c r="AA2088">
        <v>0.99307440000000002</v>
      </c>
      <c r="AB2088">
        <v>28</v>
      </c>
      <c r="AC2088">
        <v>36.8111999999999</v>
      </c>
      <c r="AD2088">
        <v>-1.1033440317530001</v>
      </c>
      <c r="AE2088">
        <v>1.80609999999999</v>
      </c>
      <c r="AF2088">
        <v>-4.3465296970247103</v>
      </c>
      <c r="AG2088">
        <v>-1.1033440317530001</v>
      </c>
      <c r="AH2088">
        <v>36.565046907442003</v>
      </c>
      <c r="AI2088">
        <v>91.716289844206997</v>
      </c>
      <c r="AJ2088">
        <v>96.7790055349613</v>
      </c>
      <c r="AK2088">
        <v>36.839005738523397</v>
      </c>
      <c r="AL2088">
        <v>81.821130306807504</v>
      </c>
      <c r="AM2088">
        <v>94.799645914524405</v>
      </c>
      <c r="AN2088">
        <v>0.99999999263702899</v>
      </c>
    </row>
    <row r="2089" spans="1:40" x14ac:dyDescent="0.3">
      <c r="A2089" t="str">
        <f>"20200111150358052"</f>
        <v>20200111150358052</v>
      </c>
      <c r="B2089" t="str">
        <f>"1578726238040506"</f>
        <v>1578726238040506</v>
      </c>
      <c r="C2089" t="s">
        <v>40</v>
      </c>
      <c r="D2089">
        <v>5.6215710000000003</v>
      </c>
      <c r="E2089">
        <v>0.48791380000000001</v>
      </c>
      <c r="F2089" t="s">
        <v>41</v>
      </c>
      <c r="G2089">
        <v>-353.43439999999998</v>
      </c>
      <c r="H2089" s="1">
        <v>-3.8575799999999996E-6</v>
      </c>
      <c r="I2089">
        <v>23.845970000000001</v>
      </c>
      <c r="J2089">
        <v>-386.74380000000002</v>
      </c>
      <c r="K2089">
        <v>1.1033139999999999</v>
      </c>
      <c r="L2089">
        <v>22.252960000000002</v>
      </c>
      <c r="M2089">
        <v>0.99749790000000005</v>
      </c>
      <c r="N2089">
        <v>0</v>
      </c>
      <c r="O2089">
        <v>-6.9869280000000006E-2</v>
      </c>
      <c r="P2089">
        <v>0.99118200000000001</v>
      </c>
      <c r="Q2089">
        <v>0.13177749999999999</v>
      </c>
      <c r="R2089">
        <v>1.3891189999999999E-2</v>
      </c>
      <c r="S2089">
        <v>3.03775</v>
      </c>
      <c r="T2089">
        <v>-0.1001151</v>
      </c>
      <c r="U2089">
        <v>0.14343259999999999</v>
      </c>
      <c r="V2089">
        <v>-8.2838369999999995E-2</v>
      </c>
      <c r="W2089">
        <v>0.1425882</v>
      </c>
      <c r="X2089">
        <v>0.98630949999999995</v>
      </c>
      <c r="Y2089">
        <v>-0.1167434</v>
      </c>
      <c r="Z2089">
        <v>4.2226119999999997E-3</v>
      </c>
      <c r="AA2089">
        <v>0.99315319999999996</v>
      </c>
      <c r="AB2089">
        <v>28</v>
      </c>
      <c r="AC2089">
        <v>33.309399999999997</v>
      </c>
      <c r="AD2089">
        <v>-1.10331785757999</v>
      </c>
      <c r="AE2089">
        <v>1.59300999999999</v>
      </c>
      <c r="AF2089">
        <v>-3.91227295717075</v>
      </c>
      <c r="AG2089">
        <v>-1.10331785757999</v>
      </c>
      <c r="AH2089">
        <v>33.080467056866397</v>
      </c>
      <c r="AI2089">
        <v>91.897041278241105</v>
      </c>
      <c r="AJ2089">
        <v>96.744776049149394</v>
      </c>
      <c r="AK2089">
        <v>33.329273779767398</v>
      </c>
      <c r="AL2089">
        <v>81.802358052838898</v>
      </c>
      <c r="AM2089">
        <v>94.800902599003095</v>
      </c>
      <c r="AN2089">
        <v>1.00000001005687</v>
      </c>
    </row>
    <row r="2090" spans="1:40" x14ac:dyDescent="0.3">
      <c r="A2090" t="str">
        <f>"20200111150358071"</f>
        <v>20200111150358071</v>
      </c>
      <c r="B2090" t="str">
        <f>"1578726238061010"</f>
        <v>1578726238061010</v>
      </c>
      <c r="C2090" t="s">
        <v>40</v>
      </c>
      <c r="D2090">
        <v>5.5159289999999999</v>
      </c>
      <c r="E2090">
        <v>0.489402</v>
      </c>
      <c r="F2090" t="s">
        <v>41</v>
      </c>
      <c r="G2090">
        <v>-353.13670000000002</v>
      </c>
      <c r="H2090" s="1">
        <v>-3.9525909999999996E-6</v>
      </c>
      <c r="I2090">
        <v>23.810549999999999</v>
      </c>
      <c r="J2090">
        <v>-386.51089999999999</v>
      </c>
      <c r="K2090">
        <v>1.103302</v>
      </c>
      <c r="L2090">
        <v>22.235720000000001</v>
      </c>
      <c r="M2090">
        <v>0.99743490000000001</v>
      </c>
      <c r="N2090">
        <v>0</v>
      </c>
      <c r="O2090">
        <v>-7.0764110000000005E-2</v>
      </c>
      <c r="P2090">
        <v>0.99117169999999999</v>
      </c>
      <c r="Q2090">
        <v>0.131973799999999</v>
      </c>
      <c r="R2090">
        <v>1.272013E-2</v>
      </c>
      <c r="S2090">
        <v>3.0379640000000001</v>
      </c>
      <c r="T2090">
        <v>-9.9736089999999999E-2</v>
      </c>
      <c r="U2090">
        <v>0.14080809999999999</v>
      </c>
      <c r="V2090">
        <v>-8.2548170000000004E-2</v>
      </c>
      <c r="W2090">
        <v>0.14278540000000001</v>
      </c>
      <c r="X2090">
        <v>0.98630530000000005</v>
      </c>
      <c r="Y2090">
        <v>-0.1167752</v>
      </c>
      <c r="Z2090">
        <v>4.2362550000000004E-3</v>
      </c>
      <c r="AA2090">
        <v>0.99314930000000001</v>
      </c>
      <c r="AB2090">
        <v>28</v>
      </c>
      <c r="AC2090">
        <v>33.374199999999902</v>
      </c>
      <c r="AD2090">
        <v>-1.1033059525910001</v>
      </c>
      <c r="AE2090">
        <v>1.57482999999999</v>
      </c>
      <c r="AF2090">
        <v>-3.9284304452882299</v>
      </c>
      <c r="AG2090">
        <v>-1.1033059525910001</v>
      </c>
      <c r="AH2090">
        <v>33.142935261106402</v>
      </c>
      <c r="AI2090">
        <v>91.893389446411106</v>
      </c>
      <c r="AJ2090">
        <v>96.759727005008997</v>
      </c>
      <c r="AK2090">
        <v>33.393173067415702</v>
      </c>
      <c r="AL2090">
        <v>81.790942501711598</v>
      </c>
      <c r="AM2090">
        <v>94.784182520440595</v>
      </c>
      <c r="AN2090">
        <v>1.00000000781579</v>
      </c>
    </row>
    <row r="2091" spans="1:40" x14ac:dyDescent="0.3">
      <c r="A2091" t="str">
        <f>"20200111150358084"</f>
        <v>20200111150358084</v>
      </c>
      <c r="B2091" t="str">
        <f>"1578726238080959"</f>
        <v>1578726238080959</v>
      </c>
      <c r="C2091" t="s">
        <v>40</v>
      </c>
      <c r="D2091">
        <v>5.5951440000000003</v>
      </c>
      <c r="E2091">
        <v>0.48995300000000003</v>
      </c>
      <c r="F2091" t="s">
        <v>41</v>
      </c>
      <c r="G2091">
        <v>-357.72789999999998</v>
      </c>
      <c r="H2091" s="1">
        <v>-1.970974E-6</v>
      </c>
      <c r="I2091">
        <v>23.42698</v>
      </c>
      <c r="J2091">
        <v>-386.33300000000003</v>
      </c>
      <c r="K2091">
        <v>1.103299</v>
      </c>
      <c r="L2091">
        <v>22.222380000000001</v>
      </c>
      <c r="M2091">
        <v>0.99738590000000005</v>
      </c>
      <c r="N2091">
        <v>0</v>
      </c>
      <c r="O2091">
        <v>-7.1450710000000001E-2</v>
      </c>
      <c r="P2091">
        <v>0.99111159999999998</v>
      </c>
      <c r="Q2091">
        <v>0.13250770000000001</v>
      </c>
      <c r="R2091">
        <v>1.182019E-2</v>
      </c>
      <c r="S2091">
        <v>3.0406490000000002</v>
      </c>
      <c r="T2091">
        <v>-0.1165537</v>
      </c>
      <c r="U2091">
        <v>0.12585450000000001</v>
      </c>
      <c r="V2091">
        <v>-8.232304E-2</v>
      </c>
      <c r="W2091">
        <v>0.14332110000000001</v>
      </c>
      <c r="X2091">
        <v>0.98624639999999997</v>
      </c>
      <c r="Y2091">
        <v>-0.112508399999999</v>
      </c>
      <c r="Z2091">
        <v>4.8906920000000003E-3</v>
      </c>
      <c r="AA2091">
        <v>0.99363880000000004</v>
      </c>
      <c r="AB2091">
        <v>28</v>
      </c>
      <c r="AC2091">
        <v>28.6051</v>
      </c>
      <c r="AD2091">
        <v>-1.103300970974</v>
      </c>
      <c r="AE2091">
        <v>1.2045999999999999</v>
      </c>
      <c r="AF2091">
        <v>-3.2406817983766198</v>
      </c>
      <c r="AG2091">
        <v>-1.103300970974</v>
      </c>
      <c r="AH2091">
        <v>28.403726073952299</v>
      </c>
      <c r="AI2091">
        <v>92.210127863731003</v>
      </c>
      <c r="AJ2091">
        <v>96.508932982270693</v>
      </c>
      <c r="AK2091">
        <v>28.609280774514399</v>
      </c>
      <c r="AL2091">
        <v>81.759930051666601</v>
      </c>
      <c r="AM2091">
        <v>94.771478773092298</v>
      </c>
      <c r="AN2091">
        <v>0.99999999106650495</v>
      </c>
    </row>
    <row r="2092" spans="1:40" x14ac:dyDescent="0.3">
      <c r="A2092" t="str">
        <f>"20200111150358103"</f>
        <v>20200111150358103</v>
      </c>
      <c r="B2092" t="str">
        <f>"1578726238100479"</f>
        <v>1578726238100479</v>
      </c>
      <c r="C2092" t="s">
        <v>40</v>
      </c>
      <c r="D2092">
        <v>5.589035</v>
      </c>
      <c r="E2092">
        <v>0.49094719999999997</v>
      </c>
      <c r="F2092" t="s">
        <v>41</v>
      </c>
      <c r="G2092">
        <v>-359.53100000000001</v>
      </c>
      <c r="H2092" s="1">
        <v>-1.1554810000000001E-6</v>
      </c>
      <c r="I2092">
        <v>23.26923</v>
      </c>
      <c r="J2092">
        <v>-386.1062</v>
      </c>
      <c r="K2092">
        <v>1.103302</v>
      </c>
      <c r="L2092">
        <v>22.20523</v>
      </c>
      <c r="M2092">
        <v>0.99732339999999997</v>
      </c>
      <c r="N2092">
        <v>0</v>
      </c>
      <c r="O2092">
        <v>-7.2317599999999996E-2</v>
      </c>
      <c r="P2092">
        <v>0.99100270000000001</v>
      </c>
      <c r="Q2092">
        <v>0.13342860000000001</v>
      </c>
      <c r="R2092">
        <v>1.0524159999999999E-2</v>
      </c>
      <c r="S2092">
        <v>3.0422359999999999</v>
      </c>
      <c r="T2092">
        <v>-0.1252335</v>
      </c>
      <c r="U2092">
        <v>0.11883539999999999</v>
      </c>
      <c r="V2092">
        <v>-8.1879270000000004E-2</v>
      </c>
      <c r="W2092">
        <v>0.1442445</v>
      </c>
      <c r="X2092">
        <v>0.98614869999999999</v>
      </c>
      <c r="Y2092">
        <v>-0.1110415</v>
      </c>
      <c r="Z2092">
        <v>5.2575019999999998E-3</v>
      </c>
      <c r="AA2092">
        <v>0.99380190000000002</v>
      </c>
      <c r="AB2092">
        <v>28</v>
      </c>
      <c r="AC2092">
        <v>26.575199999999899</v>
      </c>
      <c r="AD2092">
        <v>-1.103303155481</v>
      </c>
      <c r="AE2092">
        <v>1.0640000000000001</v>
      </c>
      <c r="AF2092">
        <v>-2.9780553466703799</v>
      </c>
      <c r="AG2092">
        <v>-1.103303155481</v>
      </c>
      <c r="AH2092">
        <v>26.3832570303104</v>
      </c>
      <c r="AI2092">
        <v>92.379523874989601</v>
      </c>
      <c r="AJ2092">
        <v>96.440100174936504</v>
      </c>
      <c r="AK2092">
        <v>26.5737152658063</v>
      </c>
      <c r="AL2092">
        <v>81.706467474801897</v>
      </c>
      <c r="AM2092">
        <v>94.746343512931503</v>
      </c>
      <c r="AN2092">
        <v>0.99999997457383605</v>
      </c>
    </row>
    <row r="2093" spans="1:40" x14ac:dyDescent="0.3">
      <c r="A2093" t="str">
        <f>"20200111150358118"</f>
        <v>20200111150358118</v>
      </c>
      <c r="B2093" t="str">
        <f>"1578726238110240"</f>
        <v>1578726238110240</v>
      </c>
      <c r="C2093" t="s">
        <v>40</v>
      </c>
      <c r="D2093">
        <v>6.9628439999999996</v>
      </c>
      <c r="E2093">
        <v>0.49094719999999997</v>
      </c>
      <c r="F2093" t="s">
        <v>76</v>
      </c>
      <c r="G2093">
        <v>-360.24400000000003</v>
      </c>
      <c r="H2093" s="1">
        <v>-5.25423E-6</v>
      </c>
      <c r="I2093">
        <v>23.113890000000001</v>
      </c>
      <c r="J2093">
        <v>-385.9221</v>
      </c>
      <c r="K2093">
        <v>1.10331</v>
      </c>
      <c r="L2093">
        <v>22.19116</v>
      </c>
      <c r="M2093">
        <v>0.99727299999999997</v>
      </c>
      <c r="N2093">
        <v>0</v>
      </c>
      <c r="O2093">
        <v>-7.3008100000000006E-2</v>
      </c>
      <c r="P2093">
        <v>0.99099459999999995</v>
      </c>
      <c r="Q2093">
        <v>0.13353470000000001</v>
      </c>
      <c r="R2093">
        <v>9.9052770000000005E-3</v>
      </c>
      <c r="S2093">
        <v>3.0435490000000001</v>
      </c>
      <c r="T2093">
        <v>-0.1298405</v>
      </c>
      <c r="U2093">
        <v>0.1069336</v>
      </c>
      <c r="V2093">
        <v>-8.1946599999999994E-2</v>
      </c>
      <c r="W2093">
        <v>0.1443545</v>
      </c>
      <c r="X2093">
        <v>0.98612699999999998</v>
      </c>
      <c r="Y2093">
        <v>-0.10782220000000001</v>
      </c>
      <c r="Z2093">
        <v>5.409456E-3</v>
      </c>
      <c r="AA2093">
        <v>0.99415549999999997</v>
      </c>
      <c r="AB2093">
        <v>28</v>
      </c>
      <c r="AC2093">
        <v>25.678099999999901</v>
      </c>
      <c r="AD2093">
        <v>-1.10331525423</v>
      </c>
      <c r="AE2093">
        <v>0.92272999999999705</v>
      </c>
      <c r="AF2093">
        <v>-2.7899415746957201</v>
      </c>
      <c r="AG2093">
        <v>-1.10331525423</v>
      </c>
      <c r="AH2093">
        <v>25.495187468292102</v>
      </c>
      <c r="AI2093">
        <v>92.463266929042405</v>
      </c>
      <c r="AJ2093">
        <v>96.245035472765395</v>
      </c>
      <c r="AK2093">
        <v>25.671105597223399</v>
      </c>
      <c r="AL2093">
        <v>81.700098186917103</v>
      </c>
      <c r="AM2093">
        <v>94.750332669118194</v>
      </c>
      <c r="AN2093">
        <v>0.99999996352540399</v>
      </c>
    </row>
    <row r="2094" spans="1:40" x14ac:dyDescent="0.3">
      <c r="A2094" t="str">
        <f>"20200111150358133"</f>
        <v>20200111150358133</v>
      </c>
      <c r="B2094" t="str">
        <f>"1578726238130735"</f>
        <v>1578726238130735</v>
      </c>
      <c r="C2094" t="s">
        <v>40</v>
      </c>
      <c r="D2094">
        <v>5.5652200000000001</v>
      </c>
      <c r="E2094">
        <v>0.49126550000000002</v>
      </c>
      <c r="F2094" t="s">
        <v>43</v>
      </c>
      <c r="G2094">
        <v>-358.81689999999998</v>
      </c>
      <c r="H2094">
        <v>-0.05</v>
      </c>
      <c r="I2094">
        <v>23.126080000000002</v>
      </c>
      <c r="J2094">
        <v>-385.72390000000001</v>
      </c>
      <c r="K2094">
        <v>1.103321</v>
      </c>
      <c r="L2094">
        <v>22.175899999999999</v>
      </c>
      <c r="M2094">
        <v>0.99721930000000003</v>
      </c>
      <c r="N2094">
        <v>0</v>
      </c>
      <c r="O2094">
        <v>-7.3735129999999996E-2</v>
      </c>
      <c r="P2094">
        <v>0.99102809999999997</v>
      </c>
      <c r="Q2094">
        <v>0.1333396</v>
      </c>
      <c r="R2094">
        <v>9.1613249999999997E-3</v>
      </c>
      <c r="S2094">
        <v>3.0436399999999999</v>
      </c>
      <c r="T2094">
        <v>-0.12950500000000001</v>
      </c>
      <c r="U2094">
        <v>0.1049805</v>
      </c>
      <c r="V2094">
        <v>-8.1931500000000004E-2</v>
      </c>
      <c r="W2094">
        <v>0.1441634</v>
      </c>
      <c r="X2094">
        <v>0.98615620000000004</v>
      </c>
      <c r="Y2094">
        <v>-0.1079088</v>
      </c>
      <c r="Z2094">
        <v>5.4280860000000004E-3</v>
      </c>
      <c r="AA2094">
        <v>0.99414599999999997</v>
      </c>
      <c r="AB2094">
        <v>28</v>
      </c>
      <c r="AC2094">
        <v>26.907</v>
      </c>
      <c r="AD2094">
        <v>-1.15332099999999</v>
      </c>
      <c r="AE2094">
        <v>0.95017999999999903</v>
      </c>
      <c r="AF2094">
        <v>-2.9263304671854602</v>
      </c>
      <c r="AG2094">
        <v>-1.15332099999999</v>
      </c>
      <c r="AH2094">
        <v>26.714660522701301</v>
      </c>
      <c r="AI2094">
        <v>92.457348287338704</v>
      </c>
      <c r="AJ2094">
        <v>96.251270115389104</v>
      </c>
      <c r="AK2094">
        <v>26.899194154758501</v>
      </c>
      <c r="AL2094">
        <v>81.711163068588306</v>
      </c>
      <c r="AM2094">
        <v>94.749321359527002</v>
      </c>
      <c r="AN2094">
        <v>0.99999995369512296</v>
      </c>
    </row>
    <row r="2095" spans="1:40" x14ac:dyDescent="0.3">
      <c r="A2095" t="str">
        <f>"20200111150358148"</f>
        <v>20200111150358148</v>
      </c>
      <c r="B2095" t="str">
        <f>"1578726238140494"</f>
        <v>1578726238140494</v>
      </c>
      <c r="C2095" t="s">
        <v>40</v>
      </c>
      <c r="D2095">
        <v>5.5516379999999996</v>
      </c>
      <c r="E2095">
        <v>0.49151410000000001</v>
      </c>
      <c r="F2095" t="s">
        <v>76</v>
      </c>
      <c r="G2095">
        <v>-360.42680000000001</v>
      </c>
      <c r="H2095" s="1">
        <v>-5.1653759999999999E-6</v>
      </c>
      <c r="I2095">
        <v>23.008749999999999</v>
      </c>
      <c r="J2095">
        <v>-385.53829999999999</v>
      </c>
      <c r="K2095">
        <v>1.1033360000000001</v>
      </c>
      <c r="L2095">
        <v>22.1615</v>
      </c>
      <c r="M2095">
        <v>0.99717009999999995</v>
      </c>
      <c r="N2095">
        <v>0</v>
      </c>
      <c r="O2095">
        <v>-7.4399170000000001E-2</v>
      </c>
      <c r="P2095">
        <v>0.99107590000000001</v>
      </c>
      <c r="Q2095">
        <v>0.13305330000000001</v>
      </c>
      <c r="R2095">
        <v>8.1131459999999999E-3</v>
      </c>
      <c r="S2095">
        <v>3.0441280000000002</v>
      </c>
      <c r="T2095">
        <v>-0.13276849999999901</v>
      </c>
      <c r="U2095">
        <v>0.10021969999999999</v>
      </c>
      <c r="V2095">
        <v>-8.1552600000000003E-2</v>
      </c>
      <c r="W2095">
        <v>0.143879799999999</v>
      </c>
      <c r="X2095">
        <v>0.98622909999999997</v>
      </c>
      <c r="Y2095">
        <v>-0.10700419999999999</v>
      </c>
      <c r="Z2095">
        <v>5.5731380000000001E-3</v>
      </c>
      <c r="AA2095">
        <v>0.99424299999999999</v>
      </c>
      <c r="AB2095">
        <v>28</v>
      </c>
      <c r="AC2095">
        <v>25.1114999999999</v>
      </c>
      <c r="AD2095">
        <v>-1.1033411653759999</v>
      </c>
      <c r="AE2095">
        <v>0.84724999999999895</v>
      </c>
      <c r="AF2095">
        <v>-2.70806322696619</v>
      </c>
      <c r="AG2095">
        <v>-1.1033411653759999</v>
      </c>
      <c r="AH2095">
        <v>24.930783366368701</v>
      </c>
      <c r="AI2095">
        <v>92.519239207661798</v>
      </c>
      <c r="AJ2095">
        <v>96.1993491345508</v>
      </c>
      <c r="AK2095">
        <v>25.101691724448902</v>
      </c>
      <c r="AL2095">
        <v>81.727583981548705</v>
      </c>
      <c r="AM2095">
        <v>94.727109589452098</v>
      </c>
      <c r="AN2095">
        <v>1.0000000305507999</v>
      </c>
    </row>
    <row r="2096" spans="1:40" x14ac:dyDescent="0.3">
      <c r="A2096" t="str">
        <f>"20200111150358162"</f>
        <v>20200111150358162</v>
      </c>
      <c r="B2096" t="str">
        <f>"1578726238150254"</f>
        <v>1578726238150254</v>
      </c>
      <c r="C2096" t="s">
        <v>40</v>
      </c>
      <c r="D2096">
        <v>5.6153870000000001</v>
      </c>
      <c r="E2096">
        <v>0.49178680000000002</v>
      </c>
      <c r="F2096" t="s">
        <v>76</v>
      </c>
      <c r="G2096">
        <v>-361.47640000000001</v>
      </c>
      <c r="H2096" s="1">
        <v>-4.7464050000000003E-6</v>
      </c>
      <c r="I2096">
        <v>22.9192</v>
      </c>
      <c r="J2096">
        <v>-385.36829999999998</v>
      </c>
      <c r="K2096">
        <v>1.103351</v>
      </c>
      <c r="L2096">
        <v>22.148129999999998</v>
      </c>
      <c r="M2096">
        <v>0.99712610000000002</v>
      </c>
      <c r="N2096">
        <v>0</v>
      </c>
      <c r="O2096">
        <v>-7.4984250000000002E-2</v>
      </c>
      <c r="P2096">
        <v>0.991147</v>
      </c>
      <c r="Q2096">
        <v>0.13256479999999901</v>
      </c>
      <c r="R2096">
        <v>7.3799180000000001E-3</v>
      </c>
      <c r="S2096">
        <v>3.0449830000000002</v>
      </c>
      <c r="T2096">
        <v>-0.13962579999999999</v>
      </c>
      <c r="U2096">
        <v>9.5886230000000003E-2</v>
      </c>
      <c r="V2096">
        <v>-8.1413089999999994E-2</v>
      </c>
      <c r="W2096">
        <v>0.1433932</v>
      </c>
      <c r="X2096">
        <v>0.98631139999999995</v>
      </c>
      <c r="Y2096">
        <v>-0.10614700000000001</v>
      </c>
      <c r="Z2096">
        <v>5.8662660000000002E-3</v>
      </c>
      <c r="AA2096">
        <v>0.99433309999999997</v>
      </c>
      <c r="AB2096">
        <v>28</v>
      </c>
      <c r="AC2096">
        <v>23.8918999999999</v>
      </c>
      <c r="AD2096">
        <v>-1.1033557464049999</v>
      </c>
      <c r="AE2096">
        <v>0.77107000000000103</v>
      </c>
      <c r="AF2096">
        <v>-2.5550763537933898</v>
      </c>
      <c r="AG2096">
        <v>-1.1033557464049999</v>
      </c>
      <c r="AH2096">
        <v>23.716281125718101</v>
      </c>
      <c r="AI2096">
        <v>92.648355455010503</v>
      </c>
      <c r="AJ2096">
        <v>96.149050396995705</v>
      </c>
      <c r="AK2096">
        <v>23.8790242579325</v>
      </c>
      <c r="AL2096">
        <v>81.755755482394804</v>
      </c>
      <c r="AM2096">
        <v>94.718667602870795</v>
      </c>
      <c r="AN2096">
        <v>0.99999993939977205</v>
      </c>
    </row>
    <row r="2097" spans="1:40" x14ac:dyDescent="0.3">
      <c r="A2097" t="str">
        <f>"20200111150358176"</f>
        <v>20200111150358176</v>
      </c>
      <c r="B2097" t="str">
        <f>"1578726238170751"</f>
        <v>1578726238170751</v>
      </c>
      <c r="C2097" t="s">
        <v>40</v>
      </c>
      <c r="D2097">
        <v>5.5247760000000001</v>
      </c>
      <c r="E2097">
        <v>0.49238589999999999</v>
      </c>
      <c r="F2097" t="s">
        <v>76</v>
      </c>
      <c r="G2097">
        <v>-362.17239999999998</v>
      </c>
      <c r="H2097" s="1">
        <v>-4.4665990000000003E-6</v>
      </c>
      <c r="I2097">
        <v>22.848459999999999</v>
      </c>
      <c r="J2097">
        <v>-385.1848</v>
      </c>
      <c r="K2097">
        <v>1.1033729999999999</v>
      </c>
      <c r="L2097">
        <v>22.133669999999999</v>
      </c>
      <c r="M2097">
        <v>0.99707970000000001</v>
      </c>
      <c r="N2097">
        <v>0</v>
      </c>
      <c r="O2097">
        <v>-7.5597999999999999E-2</v>
      </c>
      <c r="P2097">
        <v>0.9911103</v>
      </c>
      <c r="Q2097">
        <v>0.1328878</v>
      </c>
      <c r="R2097">
        <v>6.427136E-3</v>
      </c>
      <c r="S2097">
        <v>3.0455019999999999</v>
      </c>
      <c r="T2097">
        <v>-0.1448652</v>
      </c>
      <c r="U2097">
        <v>9.1949459999999997E-2</v>
      </c>
      <c r="V2097">
        <v>-8.1074380000000001E-2</v>
      </c>
      <c r="W2097">
        <v>0.14371600000000001</v>
      </c>
      <c r="X2097">
        <v>0.98629239999999996</v>
      </c>
      <c r="Y2097">
        <v>-0.1054552</v>
      </c>
      <c r="Z2097">
        <v>6.0978789999999996E-3</v>
      </c>
      <c r="AA2097">
        <v>0.99440530000000005</v>
      </c>
      <c r="AB2097">
        <v>28</v>
      </c>
      <c r="AC2097">
        <v>23.0124</v>
      </c>
      <c r="AD2097">
        <v>-1.1033774665989999</v>
      </c>
      <c r="AE2097">
        <v>0.71478999999999704</v>
      </c>
      <c r="AF2097">
        <v>-2.4469176562016002</v>
      </c>
      <c r="AG2097">
        <v>-1.1033774665989999</v>
      </c>
      <c r="AH2097">
        <v>22.840042721675101</v>
      </c>
      <c r="AI2097">
        <v>92.750033938459197</v>
      </c>
      <c r="AJ2097">
        <v>96.114933693389204</v>
      </c>
      <c r="AK2097">
        <v>22.997225906138599</v>
      </c>
      <c r="AL2097">
        <v>81.737067513125396</v>
      </c>
      <c r="AM2097">
        <v>94.699214334078505</v>
      </c>
      <c r="AN2097">
        <v>1.00000002102307</v>
      </c>
    </row>
    <row r="2098" spans="1:40" x14ac:dyDescent="0.3">
      <c r="A2098" t="str">
        <f>"20200111150358192"</f>
        <v>20200111150358192</v>
      </c>
      <c r="B2098" t="str">
        <f>"1578726238180511"</f>
        <v>1578726238180511</v>
      </c>
      <c r="C2098" t="s">
        <v>40</v>
      </c>
      <c r="D2098">
        <v>5.5784349999999998</v>
      </c>
      <c r="E2098">
        <v>0.49265920000000002</v>
      </c>
      <c r="F2098" t="s">
        <v>76</v>
      </c>
      <c r="G2098">
        <v>-363.37560000000002</v>
      </c>
      <c r="H2098" s="1">
        <v>-3.9625580000000001E-6</v>
      </c>
      <c r="I2098">
        <v>22.738499999999998</v>
      </c>
      <c r="J2098">
        <v>-384.99369999999999</v>
      </c>
      <c r="K2098">
        <v>1.103402</v>
      </c>
      <c r="L2098">
        <v>22.118500000000001</v>
      </c>
      <c r="M2098">
        <v>0.99703280000000005</v>
      </c>
      <c r="N2098">
        <v>0</v>
      </c>
      <c r="O2098">
        <v>-7.6214799999999999E-2</v>
      </c>
      <c r="P2098">
        <v>0.99112560000000005</v>
      </c>
      <c r="Q2098">
        <v>0.13282659999999999</v>
      </c>
      <c r="R2098">
        <v>5.2403040000000003E-3</v>
      </c>
      <c r="S2098">
        <v>3.0470280000000001</v>
      </c>
      <c r="T2098">
        <v>-0.1541565</v>
      </c>
      <c r="U2098">
        <v>8.4503170000000002E-2</v>
      </c>
      <c r="V2098">
        <v>-8.0511669999999994E-2</v>
      </c>
      <c r="W2098">
        <v>0.14365520000000001</v>
      </c>
      <c r="X2098">
        <v>0.98634730000000004</v>
      </c>
      <c r="Y2098">
        <v>-0.1036019</v>
      </c>
      <c r="Z2098">
        <v>6.4696800000000002E-3</v>
      </c>
      <c r="AA2098">
        <v>0.99459779999999998</v>
      </c>
      <c r="AB2098">
        <v>28</v>
      </c>
      <c r="AC2098">
        <v>21.618099999999899</v>
      </c>
      <c r="AD2098">
        <v>-1.1034059625579999</v>
      </c>
      <c r="AE2098">
        <v>0.619999999999997</v>
      </c>
      <c r="AF2098">
        <v>-2.2600290354951298</v>
      </c>
      <c r="AG2098">
        <v>-1.1034059625579999</v>
      </c>
      <c r="AH2098">
        <v>21.4521183483442</v>
      </c>
      <c r="AI2098">
        <v>92.928279661427496</v>
      </c>
      <c r="AJ2098">
        <v>96.014054836198198</v>
      </c>
      <c r="AK2098">
        <v>21.599042052620199</v>
      </c>
      <c r="AL2098">
        <v>81.740587206014894</v>
      </c>
      <c r="AM2098">
        <v>94.666484623931495</v>
      </c>
      <c r="AN2098">
        <v>0.99999997085525905</v>
      </c>
    </row>
    <row r="2099" spans="1:40" x14ac:dyDescent="0.3">
      <c r="A2099" t="str">
        <f>"20200111150358206"</f>
        <v>20200111150358206</v>
      </c>
      <c r="B2099" t="str">
        <f>"1578726238201007"</f>
        <v>1578726238201007</v>
      </c>
      <c r="C2099" t="s">
        <v>40</v>
      </c>
      <c r="D2099">
        <v>5.509525</v>
      </c>
      <c r="E2099">
        <v>0.49328460000000002</v>
      </c>
      <c r="F2099" t="s">
        <v>76</v>
      </c>
      <c r="G2099">
        <v>-363.88029999999998</v>
      </c>
      <c r="H2099" s="1">
        <v>-3.703768E-6</v>
      </c>
      <c r="I2099">
        <v>22.662459999999999</v>
      </c>
      <c r="J2099">
        <v>-384.79790000000003</v>
      </c>
      <c r="K2099">
        <v>1.103426</v>
      </c>
      <c r="L2099">
        <v>22.102869999999999</v>
      </c>
      <c r="M2099">
        <v>0.99698629999999999</v>
      </c>
      <c r="N2099">
        <v>0</v>
      </c>
      <c r="O2099">
        <v>-7.6818170000000005E-2</v>
      </c>
      <c r="P2099">
        <v>0.99107559999999995</v>
      </c>
      <c r="Q2099">
        <v>0.13324149999999901</v>
      </c>
      <c r="R2099">
        <v>4.0144660000000004E-3</v>
      </c>
      <c r="S2099">
        <v>3.0477910000000001</v>
      </c>
      <c r="T2099">
        <v>-0.15928</v>
      </c>
      <c r="U2099">
        <v>7.8521729999999998E-2</v>
      </c>
      <c r="V2099">
        <v>-7.9892550000000007E-2</v>
      </c>
      <c r="W2099">
        <v>0.144069</v>
      </c>
      <c r="X2099">
        <v>0.98633729999999997</v>
      </c>
      <c r="Y2099">
        <v>-0.1022319</v>
      </c>
      <c r="Z2099">
        <v>6.6785350000000002E-3</v>
      </c>
      <c r="AA2099">
        <v>0.99473820000000002</v>
      </c>
      <c r="AB2099">
        <v>28</v>
      </c>
      <c r="AC2099">
        <v>20.9176</v>
      </c>
      <c r="AD2099">
        <v>-1.1034297037680001</v>
      </c>
      <c r="AE2099">
        <v>0.55958999999999604</v>
      </c>
      <c r="AF2099">
        <v>-2.1588790697175102</v>
      </c>
      <c r="AG2099">
        <v>-1.1034297037680001</v>
      </c>
      <c r="AH2099">
        <v>20.7550807548938</v>
      </c>
      <c r="AI2099">
        <v>93.026925739001001</v>
      </c>
      <c r="AJ2099">
        <v>95.938373790583498</v>
      </c>
      <c r="AK2099">
        <v>20.896212410171</v>
      </c>
      <c r="AL2099">
        <v>81.716629092066199</v>
      </c>
      <c r="AM2099">
        <v>94.630803622072705</v>
      </c>
      <c r="AN2099">
        <v>0.99999998283889602</v>
      </c>
    </row>
    <row r="2100" spans="1:40" x14ac:dyDescent="0.3">
      <c r="A2100" t="str">
        <f>"20200111150358227"</f>
        <v>20200111150358227</v>
      </c>
      <c r="B2100" t="str">
        <f>"1578726238220527"</f>
        <v>1578726238220527</v>
      </c>
      <c r="C2100" t="s">
        <v>40</v>
      </c>
      <c r="D2100">
        <v>5.5144399999999996</v>
      </c>
      <c r="E2100">
        <v>0.49379079999999897</v>
      </c>
      <c r="F2100" t="s">
        <v>76</v>
      </c>
      <c r="G2100">
        <v>-364.76659999999998</v>
      </c>
      <c r="H2100" s="1">
        <v>-3.2581749999999999E-6</v>
      </c>
      <c r="I2100">
        <v>22.562370000000001</v>
      </c>
      <c r="J2100">
        <v>-384.55369999999999</v>
      </c>
      <c r="K2100">
        <v>1.1034630000000001</v>
      </c>
      <c r="L2100">
        <v>22.08325</v>
      </c>
      <c r="M2100">
        <v>0.99693129999999996</v>
      </c>
      <c r="N2100">
        <v>0</v>
      </c>
      <c r="O2100">
        <v>-7.7529529999999999E-2</v>
      </c>
      <c r="P2100">
        <v>0.99111669999999996</v>
      </c>
      <c r="Q2100">
        <v>0.1329805</v>
      </c>
      <c r="R2100">
        <v>2.0090809999999998E-3</v>
      </c>
      <c r="S2100">
        <v>3.0492859999999999</v>
      </c>
      <c r="T2100">
        <v>-0.167970799999999</v>
      </c>
      <c r="U2100">
        <v>6.9946289999999994E-2</v>
      </c>
      <c r="V2100">
        <v>-7.861485E-2</v>
      </c>
      <c r="W2100">
        <v>0.14380570000000001</v>
      </c>
      <c r="X2100">
        <v>0.98647839999999998</v>
      </c>
      <c r="Y2100">
        <v>-0.10010810000000001</v>
      </c>
      <c r="Z2100">
        <v>7.0197159999999996E-3</v>
      </c>
      <c r="AA2100">
        <v>0.99495180000000005</v>
      </c>
      <c r="AB2100">
        <v>28</v>
      </c>
      <c r="AC2100">
        <v>19.787099999999999</v>
      </c>
      <c r="AD2100">
        <v>-1.1034662581750001</v>
      </c>
      <c r="AE2100">
        <v>0.47912000000000099</v>
      </c>
      <c r="AF2100">
        <v>-2.0056184162613602</v>
      </c>
      <c r="AG2100">
        <v>-1.1034662581750001</v>
      </c>
      <c r="AH2100">
        <v>19.629376160465501</v>
      </c>
      <c r="AI2100">
        <v>93.2008688338762</v>
      </c>
      <c r="AJ2100">
        <v>95.833913036033394</v>
      </c>
      <c r="AK2100">
        <v>19.762402471957401</v>
      </c>
      <c r="AL2100">
        <v>81.731873992233304</v>
      </c>
      <c r="AM2100">
        <v>94.5564098104133</v>
      </c>
      <c r="AN2100">
        <v>1.00000000382978</v>
      </c>
    </row>
    <row r="2101" spans="1:40" x14ac:dyDescent="0.3">
      <c r="A2101" t="str">
        <f>"20200111150358242"</f>
        <v>20200111150358242</v>
      </c>
      <c r="B2101" t="str">
        <f>"1578726238230287"</f>
        <v>1578726238230287</v>
      </c>
      <c r="C2101" t="s">
        <v>40</v>
      </c>
      <c r="D2101">
        <v>5.6023139999999998</v>
      </c>
      <c r="E2101">
        <v>0.49379079999999897</v>
      </c>
      <c r="F2101" t="s">
        <v>76</v>
      </c>
      <c r="G2101">
        <v>-365.6026</v>
      </c>
      <c r="H2101" s="1">
        <v>-2.8358E-6</v>
      </c>
      <c r="I2101">
        <v>22.460139999999999</v>
      </c>
      <c r="J2101">
        <v>-384.35739999999998</v>
      </c>
      <c r="K2101">
        <v>1.1035010000000001</v>
      </c>
      <c r="L2101">
        <v>22.06738</v>
      </c>
      <c r="M2101">
        <v>0.99689030000000001</v>
      </c>
      <c r="N2101">
        <v>0</v>
      </c>
      <c r="O2101">
        <v>-7.8052650000000001E-2</v>
      </c>
      <c r="P2101">
        <v>0.9911527</v>
      </c>
      <c r="Q2101">
        <v>0.13272229999999999</v>
      </c>
      <c r="R2101">
        <v>9.7401210000000005E-4</v>
      </c>
      <c r="S2101">
        <v>3.0506289999999998</v>
      </c>
      <c r="T2101">
        <v>-0.17762890000000001</v>
      </c>
      <c r="U2101">
        <v>6.0668949999999999E-2</v>
      </c>
      <c r="V2101">
        <v>-7.8117329999999999E-2</v>
      </c>
      <c r="W2101">
        <v>0.1435447</v>
      </c>
      <c r="X2101">
        <v>0.98655590000000004</v>
      </c>
      <c r="Y2101">
        <v>-9.7567310000000004E-2</v>
      </c>
      <c r="Z2101">
        <v>7.3759960000000001E-3</v>
      </c>
      <c r="AA2101">
        <v>0.99520160000000002</v>
      </c>
      <c r="AB2101">
        <v>28</v>
      </c>
      <c r="AC2101">
        <v>18.7547999999999</v>
      </c>
      <c r="AD2101">
        <v>-1.1035038358</v>
      </c>
      <c r="AE2101">
        <v>0.392759999999999</v>
      </c>
      <c r="AF2101">
        <v>-1.84911074882836</v>
      </c>
      <c r="AG2101">
        <v>-1.1035038358</v>
      </c>
      <c r="AH2101">
        <v>18.602545927062199</v>
      </c>
      <c r="AI2101">
        <v>93.378200533121898</v>
      </c>
      <c r="AJ2101">
        <v>95.676607955427997</v>
      </c>
      <c r="AK2101">
        <v>18.726762834123701</v>
      </c>
      <c r="AL2101">
        <v>81.746984695647001</v>
      </c>
      <c r="AM2101">
        <v>94.527340303380498</v>
      </c>
      <c r="AN2101">
        <v>0.99999997098461402</v>
      </c>
    </row>
    <row r="2102" spans="1:40" x14ac:dyDescent="0.3">
      <c r="A2102" t="str">
        <f>"20200111150358261"</f>
        <v>20200111150358261</v>
      </c>
      <c r="B2102" t="str">
        <f>"1578726238250783"</f>
        <v>1578726238250783</v>
      </c>
      <c r="C2102" t="s">
        <v>40</v>
      </c>
      <c r="D2102">
        <v>5.4356059999999999</v>
      </c>
      <c r="E2102">
        <v>0.49452230000000003</v>
      </c>
      <c r="F2102" t="s">
        <v>76</v>
      </c>
      <c r="G2102">
        <v>-365.488</v>
      </c>
      <c r="H2102" s="1">
        <v>-2.8807799999999999E-6</v>
      </c>
      <c r="I2102">
        <v>22.425660000000001</v>
      </c>
      <c r="J2102">
        <v>-384.1234</v>
      </c>
      <c r="K2102">
        <v>1.103558</v>
      </c>
      <c r="L2102">
        <v>22.048369999999998</v>
      </c>
      <c r="M2102">
        <v>0.99684609999999996</v>
      </c>
      <c r="N2102">
        <v>0</v>
      </c>
      <c r="O2102">
        <v>-7.8614009999999998E-2</v>
      </c>
      <c r="P2102">
        <v>0.99120370000000002</v>
      </c>
      <c r="Q2102">
        <v>0.1323453</v>
      </c>
      <c r="R2102">
        <v>-1.4937340000000001E-4</v>
      </c>
      <c r="S2102">
        <v>3.0505979999999999</v>
      </c>
      <c r="T2102">
        <v>-0.17840239999999999</v>
      </c>
      <c r="U2102">
        <v>5.7922359999999999E-2</v>
      </c>
      <c r="V2102">
        <v>-7.7577839999999995E-2</v>
      </c>
      <c r="W2102">
        <v>0.1431625</v>
      </c>
      <c r="X2102">
        <v>0.98665400000000003</v>
      </c>
      <c r="Y2102">
        <v>-9.7229239999999995E-2</v>
      </c>
      <c r="Z2102">
        <v>7.4310189999999996E-3</v>
      </c>
      <c r="AA2102">
        <v>0.99523430000000002</v>
      </c>
      <c r="AB2102">
        <v>28</v>
      </c>
      <c r="AC2102">
        <v>18.635399999999901</v>
      </c>
      <c r="AD2102">
        <v>-1.1035608807799999</v>
      </c>
      <c r="AE2102">
        <v>0.37728999999999802</v>
      </c>
      <c r="AF2102">
        <v>-1.83478030376989</v>
      </c>
      <c r="AG2102">
        <v>-1.1035608807799999</v>
      </c>
      <c r="AH2102">
        <v>18.4832658481937</v>
      </c>
      <c r="AI2102">
        <v>93.400170470646003</v>
      </c>
      <c r="AJ2102">
        <v>95.669014134700006</v>
      </c>
      <c r="AK2102">
        <v>18.606863835576799</v>
      </c>
      <c r="AL2102">
        <v>81.769111666317997</v>
      </c>
      <c r="AM2102">
        <v>94.495757247319006</v>
      </c>
      <c r="AN2102">
        <v>0.99999996919065703</v>
      </c>
    </row>
    <row r="2103" spans="1:40" x14ac:dyDescent="0.3">
      <c r="A2103" t="str">
        <f>"20200111150358282"</f>
        <v>20200111150358282</v>
      </c>
      <c r="B2103" t="str">
        <f>"1578726238281039"</f>
        <v>1578726238281039</v>
      </c>
      <c r="C2103" t="s">
        <v>40</v>
      </c>
      <c r="D2103">
        <v>5.8985260000000004</v>
      </c>
      <c r="E2103">
        <v>0.52179679999999995</v>
      </c>
      <c r="F2103" t="s">
        <v>76</v>
      </c>
      <c r="G2103">
        <v>-365.94209999999998</v>
      </c>
      <c r="H2103" s="1">
        <v>-2.6439569999999999E-6</v>
      </c>
      <c r="I2103">
        <v>22.342400000000001</v>
      </c>
      <c r="J2103">
        <v>-383.84699999999998</v>
      </c>
      <c r="K2103">
        <v>1.103642</v>
      </c>
      <c r="L2103">
        <v>22.025880000000001</v>
      </c>
      <c r="M2103">
        <v>0.99680210000000002</v>
      </c>
      <c r="N2103">
        <v>0</v>
      </c>
      <c r="O2103">
        <v>-7.9170820000000003E-2</v>
      </c>
      <c r="P2103">
        <v>0.99125890000000005</v>
      </c>
      <c r="Q2103">
        <v>0.13193160000000001</v>
      </c>
      <c r="R2103">
        <v>-3.8947070000000002E-4</v>
      </c>
      <c r="S2103">
        <v>3.051361</v>
      </c>
      <c r="T2103">
        <v>-0.1852105</v>
      </c>
      <c r="U2103">
        <v>4.9346920000000002E-2</v>
      </c>
      <c r="V2103">
        <v>-7.7924660000000007E-2</v>
      </c>
      <c r="W2103">
        <v>0.14274249999999999</v>
      </c>
      <c r="X2103">
        <v>0.98668750000000005</v>
      </c>
      <c r="Y2103">
        <v>-9.4964080000000006E-2</v>
      </c>
      <c r="Z2103">
        <v>7.677237E-3</v>
      </c>
      <c r="AA2103">
        <v>0.99545110000000003</v>
      </c>
      <c r="AB2103">
        <v>28</v>
      </c>
      <c r="AC2103">
        <v>17.904899999999898</v>
      </c>
      <c r="AD2103">
        <v>-1.103644643957</v>
      </c>
      <c r="AE2103">
        <v>0.31652000000000402</v>
      </c>
      <c r="AF2103">
        <v>-1.72659730907</v>
      </c>
      <c r="AG2103">
        <v>-1.103644643957</v>
      </c>
      <c r="AH2103">
        <v>17.756188687813101</v>
      </c>
      <c r="AI2103">
        <v>93.540017794026397</v>
      </c>
      <c r="AJ2103">
        <v>95.553933802126394</v>
      </c>
      <c r="AK2103">
        <v>17.8740428131144</v>
      </c>
      <c r="AL2103">
        <v>81.793425437167102</v>
      </c>
      <c r="AM2103">
        <v>94.515620377625595</v>
      </c>
      <c r="AN2103">
        <v>0.99999994829930605</v>
      </c>
    </row>
    <row r="2104" spans="1:40" x14ac:dyDescent="0.3">
      <c r="A2104" t="str">
        <f>"20200111150358305"</f>
        <v>20200111150358305</v>
      </c>
      <c r="B2104" t="str">
        <f>"1578726238300559"</f>
        <v>1578726238300559</v>
      </c>
      <c r="C2104" t="s">
        <v>40</v>
      </c>
      <c r="D2104">
        <v>5.5150059999999996</v>
      </c>
      <c r="E2104">
        <v>0.52260890000000004</v>
      </c>
      <c r="F2104" t="s">
        <v>42</v>
      </c>
      <c r="G2104">
        <v>-383.07240000000002</v>
      </c>
      <c r="H2104">
        <v>0.98933199999999999</v>
      </c>
      <c r="I2104">
        <v>21.98442</v>
      </c>
      <c r="J2104">
        <v>-383.5729</v>
      </c>
      <c r="K2104">
        <v>1.103747</v>
      </c>
      <c r="L2104">
        <v>22.003540000000001</v>
      </c>
      <c r="M2104">
        <v>0.99676849999999995</v>
      </c>
      <c r="N2104">
        <v>0</v>
      </c>
      <c r="O2104">
        <v>-7.9588179999999994E-2</v>
      </c>
      <c r="P2104">
        <v>0.9912955</v>
      </c>
      <c r="Q2104">
        <v>0.13165499999999999</v>
      </c>
      <c r="R2104">
        <v>-5.1133570000000004E-4</v>
      </c>
      <c r="S2104">
        <v>3.0870359999999999</v>
      </c>
      <c r="T2104">
        <v>-0.45564310000000002</v>
      </c>
      <c r="U2104">
        <v>-0.1650085</v>
      </c>
      <c r="V2104">
        <v>-7.8255329999999998E-2</v>
      </c>
      <c r="W2104">
        <v>0.1424598</v>
      </c>
      <c r="X2104">
        <v>0.98670230000000003</v>
      </c>
      <c r="Y2104">
        <v>-2.5143950000000002E-2</v>
      </c>
      <c r="Z2104">
        <v>1.350515E-2</v>
      </c>
      <c r="AA2104">
        <v>0.99959260000000005</v>
      </c>
      <c r="AB2104">
        <v>28</v>
      </c>
      <c r="AC2104">
        <v>0.50049999999998795</v>
      </c>
      <c r="AD2104">
        <v>-0.114415</v>
      </c>
      <c r="AE2104">
        <v>-1.91200000000009E-2</v>
      </c>
      <c r="AF2104">
        <v>-1.9746479547848101E-2</v>
      </c>
      <c r="AG2104">
        <v>-0.114415</v>
      </c>
      <c r="AH2104">
        <v>0.475615192645305</v>
      </c>
      <c r="AI2104">
        <v>103.51496710955</v>
      </c>
      <c r="AJ2104">
        <v>92.377427296329202</v>
      </c>
      <c r="AK2104">
        <v>0.48958199226949101</v>
      </c>
      <c r="AL2104">
        <v>81.809791120589594</v>
      </c>
      <c r="AM2104">
        <v>94.5346347353276</v>
      </c>
      <c r="AN2104">
        <v>1.00000006005736</v>
      </c>
    </row>
    <row r="2105" spans="1:40" x14ac:dyDescent="0.3">
      <c r="A2105" t="str">
        <f>"20200111150358321"</f>
        <v>20200111150358321</v>
      </c>
      <c r="B2105" t="str">
        <f>"1578726238310319"</f>
        <v>1578726238310319</v>
      </c>
      <c r="C2105" t="s">
        <v>40</v>
      </c>
      <c r="D2105">
        <v>5.4620800000000003</v>
      </c>
      <c r="E2105">
        <v>0.5229589</v>
      </c>
      <c r="F2105" t="s">
        <v>42</v>
      </c>
      <c r="G2105">
        <v>-382.81830000000002</v>
      </c>
      <c r="H2105">
        <v>0.99463009999999996</v>
      </c>
      <c r="I2105">
        <v>21.961449999999999</v>
      </c>
      <c r="J2105">
        <v>-383.36950000000002</v>
      </c>
      <c r="K2105">
        <v>1.1038319999999999</v>
      </c>
      <c r="L2105">
        <v>21.986999999999998</v>
      </c>
      <c r="M2105">
        <v>0.99675190000000002</v>
      </c>
      <c r="N2105">
        <v>0</v>
      </c>
      <c r="O2105">
        <v>-7.9796350000000002E-2</v>
      </c>
      <c r="P2105">
        <v>0.99133289999999996</v>
      </c>
      <c r="Q2105">
        <v>0.1313724</v>
      </c>
      <c r="R2105">
        <v>-8.0768899999999902E-4</v>
      </c>
      <c r="S2105">
        <v>3.0855410000000001</v>
      </c>
      <c r="T2105">
        <v>-0.4461676</v>
      </c>
      <c r="U2105">
        <v>-0.17077639999999999</v>
      </c>
      <c r="V2105">
        <v>-7.8198840000000006E-2</v>
      </c>
      <c r="W2105">
        <v>0.14217279999999999</v>
      </c>
      <c r="X2105">
        <v>0.98674810000000002</v>
      </c>
      <c r="Y2105">
        <v>-2.3523789999999999E-2</v>
      </c>
      <c r="Z2105">
        <v>1.3146049999999999E-2</v>
      </c>
      <c r="AA2105">
        <v>0.99963679999999999</v>
      </c>
      <c r="AB2105">
        <v>28</v>
      </c>
      <c r="AC2105">
        <v>0.55119999999999403</v>
      </c>
      <c r="AD2105">
        <v>-0.10920189999999901</v>
      </c>
      <c r="AE2105">
        <v>-2.5549999999999001E-2</v>
      </c>
      <c r="AF2105">
        <v>-1.7819896396120399E-2</v>
      </c>
      <c r="AG2105">
        <v>-0.10920189999999901</v>
      </c>
      <c r="AH2105">
        <v>0.53069577542092095</v>
      </c>
      <c r="AI2105">
        <v>101.621152250471</v>
      </c>
      <c r="AJ2105">
        <v>91.923176010839796</v>
      </c>
      <c r="AK2105">
        <v>0.54210756286994499</v>
      </c>
      <c r="AL2105">
        <v>81.826403517137095</v>
      </c>
      <c r="AM2105">
        <v>94.531165517933204</v>
      </c>
      <c r="AN2105">
        <v>0.99999998824539704</v>
      </c>
    </row>
    <row r="2106" spans="1:40" x14ac:dyDescent="0.3">
      <c r="A2106" t="str">
        <f>"20200111150358338"</f>
        <v>20200111150358338</v>
      </c>
      <c r="B2106" t="str">
        <f>"1578726238330815"</f>
        <v>1578726238330815</v>
      </c>
      <c r="C2106" t="s">
        <v>40</v>
      </c>
      <c r="D2106">
        <v>5.4529489999999896</v>
      </c>
      <c r="E2106">
        <v>0.52354619999999996</v>
      </c>
      <c r="F2106" t="s">
        <v>42</v>
      </c>
      <c r="G2106">
        <v>-382.56900000000002</v>
      </c>
      <c r="H2106">
        <v>0.98869589999999996</v>
      </c>
      <c r="I2106">
        <v>21.94181</v>
      </c>
      <c r="J2106">
        <v>-383.14819999999997</v>
      </c>
      <c r="K2106">
        <v>1.1039350000000001</v>
      </c>
      <c r="L2106">
        <v>21.969059999999999</v>
      </c>
      <c r="M2106">
        <v>0.99674200000000002</v>
      </c>
      <c r="N2106">
        <v>0</v>
      </c>
      <c r="O2106">
        <v>-7.9918009999999998E-2</v>
      </c>
      <c r="P2106">
        <v>0.99134169999999999</v>
      </c>
      <c r="Q2106">
        <v>0.1312972</v>
      </c>
      <c r="R2106">
        <v>-1.6648520000000001E-3</v>
      </c>
      <c r="S2106">
        <v>3.0848390000000001</v>
      </c>
      <c r="T2106">
        <v>-0.44367960000000001</v>
      </c>
      <c r="U2106">
        <v>-0.17388919999999999</v>
      </c>
      <c r="V2106">
        <v>-7.7501039999999993E-2</v>
      </c>
      <c r="W2106">
        <v>0.1420892</v>
      </c>
      <c r="X2106">
        <v>0.9868152</v>
      </c>
      <c r="Y2106">
        <v>-2.2646889999999999E-2</v>
      </c>
      <c r="Z2106">
        <v>1.30306E-2</v>
      </c>
      <c r="AA2106">
        <v>0.99965859999999995</v>
      </c>
      <c r="AB2106">
        <v>28</v>
      </c>
      <c r="AC2106">
        <v>0.57919999999995697</v>
      </c>
      <c r="AD2106">
        <v>-0.1152391</v>
      </c>
      <c r="AE2106">
        <v>-2.7249999999998602E-2</v>
      </c>
      <c r="AF2106">
        <v>-1.8401587209649899E-2</v>
      </c>
      <c r="AG2106">
        <v>-0.1152391</v>
      </c>
      <c r="AH2106">
        <v>0.55750439243918903</v>
      </c>
      <c r="AI2106">
        <v>101.672677228636</v>
      </c>
      <c r="AJ2106">
        <v>91.890479538492698</v>
      </c>
      <c r="AK2106">
        <v>0.56958740871760305</v>
      </c>
      <c r="AL2106">
        <v>81.831242630425095</v>
      </c>
      <c r="AM2106">
        <v>94.490594112034799</v>
      </c>
      <c r="AN2106">
        <v>0.99999999545438001</v>
      </c>
    </row>
    <row r="2107" spans="1:40" x14ac:dyDescent="0.3">
      <c r="A2107" t="str">
        <f>"20200111150358361"</f>
        <v>20200111150358361</v>
      </c>
      <c r="B2107" t="str">
        <f>"1578726238350337"</f>
        <v>1578726238350337</v>
      </c>
      <c r="C2107" t="s">
        <v>40</v>
      </c>
      <c r="D2107">
        <v>5.4739800000000001</v>
      </c>
      <c r="E2107">
        <v>0.52356459999999905</v>
      </c>
      <c r="F2107" t="s">
        <v>42</v>
      </c>
      <c r="G2107">
        <v>-382.31810000000002</v>
      </c>
      <c r="H2107">
        <v>0.98641440000000002</v>
      </c>
      <c r="I2107">
        <v>21.920079999999999</v>
      </c>
      <c r="J2107">
        <v>-382.86439999999999</v>
      </c>
      <c r="K2107">
        <v>1.1040829999999999</v>
      </c>
      <c r="L2107">
        <v>21.946200000000001</v>
      </c>
      <c r="M2107">
        <v>0.99674479999999999</v>
      </c>
      <c r="N2107">
        <v>0</v>
      </c>
      <c r="O2107">
        <v>-7.9881469999999996E-2</v>
      </c>
      <c r="P2107">
        <v>0.99125399999999997</v>
      </c>
      <c r="Q2107">
        <v>0.13193060000000001</v>
      </c>
      <c r="R2107">
        <v>-3.144174E-3</v>
      </c>
      <c r="S2107">
        <v>3.0837400000000001</v>
      </c>
      <c r="T2107">
        <v>-0.43664360000000002</v>
      </c>
      <c r="U2107">
        <v>-0.18051149999999999</v>
      </c>
      <c r="V2107">
        <v>-7.6034450000000003E-2</v>
      </c>
      <c r="W2107">
        <v>0.14270849999999999</v>
      </c>
      <c r="X2107">
        <v>0.98684000000000005</v>
      </c>
      <c r="Y2107">
        <v>-2.0504430000000001E-2</v>
      </c>
      <c r="Z2107">
        <v>1.267358E-2</v>
      </c>
      <c r="AA2107">
        <v>0.99970939999999997</v>
      </c>
      <c r="AB2107">
        <v>28</v>
      </c>
      <c r="AC2107">
        <v>0.54629999999997303</v>
      </c>
      <c r="AD2107">
        <v>-0.117668599999999</v>
      </c>
      <c r="AE2107">
        <v>-2.6120000000002301E-2</v>
      </c>
      <c r="AF2107">
        <v>-1.6826457581044899E-2</v>
      </c>
      <c r="AG2107">
        <v>-0.117668599999999</v>
      </c>
      <c r="AH2107">
        <v>0.52245722120396998</v>
      </c>
      <c r="AI2107">
        <v>102.686097916447</v>
      </c>
      <c r="AJ2107">
        <v>91.844652229844399</v>
      </c>
      <c r="AK2107">
        <v>0.53580833988363796</v>
      </c>
      <c r="AL2107">
        <v>81.795394645574106</v>
      </c>
      <c r="AM2107">
        <v>94.405843932583707</v>
      </c>
      <c r="AN2107">
        <v>1.0000000695795199</v>
      </c>
    </row>
    <row r="2108" spans="1:40" x14ac:dyDescent="0.3">
      <c r="A2108" t="str">
        <f>"20200111150358375"</f>
        <v>20200111150358375</v>
      </c>
      <c r="B2108" t="str">
        <f>"1578726238370830"</f>
        <v>1578726238370830</v>
      </c>
      <c r="C2108" t="s">
        <v>40</v>
      </c>
      <c r="D2108">
        <v>5.5883960000000004</v>
      </c>
      <c r="E2108">
        <v>0.52470430000000001</v>
      </c>
      <c r="F2108" t="s">
        <v>42</v>
      </c>
      <c r="G2108">
        <v>-382.06450000000001</v>
      </c>
      <c r="H2108">
        <v>0.98991549999999995</v>
      </c>
      <c r="I2108">
        <v>21.898129999999998</v>
      </c>
      <c r="J2108">
        <v>-382.68400000000003</v>
      </c>
      <c r="K2108">
        <v>1.104193</v>
      </c>
      <c r="L2108">
        <v>21.931789999999999</v>
      </c>
      <c r="M2108">
        <v>0.99675659999999999</v>
      </c>
      <c r="N2108">
        <v>0</v>
      </c>
      <c r="O2108">
        <v>-7.9732769999999994E-2</v>
      </c>
      <c r="P2108">
        <v>0.99122489999999996</v>
      </c>
      <c r="Q2108">
        <v>0.13213029999999901</v>
      </c>
      <c r="R2108">
        <v>-3.8650350000000002E-3</v>
      </c>
      <c r="S2108">
        <v>3.084473</v>
      </c>
      <c r="T2108">
        <v>-0.44036900000000001</v>
      </c>
      <c r="U2108">
        <v>-0.18411250000000001</v>
      </c>
      <c r="V2108">
        <v>-7.5203690000000004E-2</v>
      </c>
      <c r="W2108">
        <v>0.14289779999999999</v>
      </c>
      <c r="X2108">
        <v>0.98687619999999998</v>
      </c>
      <c r="Y2108">
        <v>-1.9204240000000001E-2</v>
      </c>
      <c r="Z2108">
        <v>1.2663779999999999E-2</v>
      </c>
      <c r="AA2108">
        <v>0.99973540000000005</v>
      </c>
      <c r="AB2108">
        <v>28</v>
      </c>
      <c r="AC2108">
        <v>0.61950000000001604</v>
      </c>
      <c r="AD2108">
        <v>-0.114277499999999</v>
      </c>
      <c r="AE2108">
        <v>-3.3660000000001099E-2</v>
      </c>
      <c r="AF2108">
        <v>-1.5324631843719501E-2</v>
      </c>
      <c r="AG2108">
        <v>-0.114277499999999</v>
      </c>
      <c r="AH2108">
        <v>0.59985936696674802</v>
      </c>
      <c r="AI2108">
        <v>100.782574210945</v>
      </c>
      <c r="AJ2108">
        <v>91.463419316380595</v>
      </c>
      <c r="AK2108">
        <v>0.61083995570455596</v>
      </c>
      <c r="AL2108">
        <v>81.784435711083404</v>
      </c>
      <c r="AM2108">
        <v>94.357732463530297</v>
      </c>
      <c r="AN2108">
        <v>1.0000000051804401</v>
      </c>
    </row>
    <row r="2109" spans="1:40" x14ac:dyDescent="0.3">
      <c r="A2109" t="str">
        <f>"20200111150358393"</f>
        <v>20200111150358393</v>
      </c>
      <c r="B2109" t="str">
        <f>"1578726238390351"</f>
        <v>1578726238390351</v>
      </c>
      <c r="C2109" t="s">
        <v>40</v>
      </c>
      <c r="D2109">
        <v>5.5110900000000003</v>
      </c>
      <c r="E2109">
        <v>0.52552529999999997</v>
      </c>
      <c r="F2109" t="s">
        <v>42</v>
      </c>
      <c r="G2109">
        <v>-381.81580000000002</v>
      </c>
      <c r="H2109">
        <v>0.98294459999999995</v>
      </c>
      <c r="I2109">
        <v>21.876329999999999</v>
      </c>
      <c r="J2109">
        <v>-382.46190000000001</v>
      </c>
      <c r="K2109">
        <v>1.104344</v>
      </c>
      <c r="L2109">
        <v>21.91422</v>
      </c>
      <c r="M2109">
        <v>0.99678299999999997</v>
      </c>
      <c r="N2109">
        <v>0</v>
      </c>
      <c r="O2109">
        <v>-7.9401689999999997E-2</v>
      </c>
      <c r="P2109">
        <v>0.99108980000000002</v>
      </c>
      <c r="Q2109">
        <v>0.1331166</v>
      </c>
      <c r="R2109">
        <v>-4.6093940000000002E-3</v>
      </c>
      <c r="S2109">
        <v>3.083221</v>
      </c>
      <c r="T2109">
        <v>-0.43075619999999998</v>
      </c>
      <c r="U2109">
        <v>-0.1954651</v>
      </c>
      <c r="V2109">
        <v>-7.4174309999999993E-2</v>
      </c>
      <c r="W2109">
        <v>0.14386840000000001</v>
      </c>
      <c r="X2109">
        <v>0.9868131</v>
      </c>
      <c r="Y2109">
        <v>-1.526432E-2</v>
      </c>
      <c r="Z2109">
        <v>1.2073759999999999E-2</v>
      </c>
      <c r="AA2109">
        <v>0.99981059999999999</v>
      </c>
      <c r="AB2109">
        <v>28</v>
      </c>
      <c r="AC2109">
        <v>0.64609999999998902</v>
      </c>
      <c r="AD2109">
        <v>-0.1213994</v>
      </c>
      <c r="AE2109">
        <v>-3.7890000000000798E-2</v>
      </c>
      <c r="AF2109">
        <v>-1.30741320413855E-2</v>
      </c>
      <c r="AG2109">
        <v>-0.1213994</v>
      </c>
      <c r="AH2109">
        <v>0.62507599571665595</v>
      </c>
      <c r="AI2109">
        <v>100.988551629611</v>
      </c>
      <c r="AJ2109">
        <v>91.198227707376006</v>
      </c>
      <c r="AK2109">
        <v>0.63688990231449305</v>
      </c>
      <c r="AL2109">
        <v>81.728243928885007</v>
      </c>
      <c r="AM2109">
        <v>94.298583196842998</v>
      </c>
      <c r="AN2109">
        <v>1.00000001955707</v>
      </c>
    </row>
    <row r="2110" spans="1:40" x14ac:dyDescent="0.3">
      <c r="A2110" t="str">
        <f>"20200111150358406"</f>
        <v>20200111150358406</v>
      </c>
      <c r="B2110" t="str">
        <f>"1578726238401087"</f>
        <v>1578726238401087</v>
      </c>
      <c r="C2110" t="s">
        <v>40</v>
      </c>
      <c r="D2110">
        <v>5.483155</v>
      </c>
      <c r="E2110">
        <v>0.52549539999999995</v>
      </c>
      <c r="F2110" t="s">
        <v>42</v>
      </c>
      <c r="G2110">
        <v>-381.56450000000001</v>
      </c>
      <c r="H2110">
        <v>0.98144050000000005</v>
      </c>
      <c r="I2110">
        <v>21.85455</v>
      </c>
      <c r="J2110">
        <v>-382.27789999999999</v>
      </c>
      <c r="K2110">
        <v>1.1044830000000001</v>
      </c>
      <c r="L2110">
        <v>21.899840000000001</v>
      </c>
      <c r="M2110">
        <v>0.99681549999999997</v>
      </c>
      <c r="N2110">
        <v>0</v>
      </c>
      <c r="O2110">
        <v>-7.8991790000000006E-2</v>
      </c>
      <c r="P2110">
        <v>0.99104199999999998</v>
      </c>
      <c r="Q2110">
        <v>0.13346259999999999</v>
      </c>
      <c r="R2110">
        <v>-4.8702770000000001E-3</v>
      </c>
      <c r="S2110">
        <v>3.0827330000000002</v>
      </c>
      <c r="T2110">
        <v>-0.42229830000000002</v>
      </c>
      <c r="U2110">
        <v>-0.20422360000000001</v>
      </c>
      <c r="V2110">
        <v>-7.3551450000000004E-2</v>
      </c>
      <c r="W2110">
        <v>0.14420250000000001</v>
      </c>
      <c r="X2110">
        <v>0.98681090000000005</v>
      </c>
      <c r="Y2110">
        <v>-1.208295E-2</v>
      </c>
      <c r="Z2110">
        <v>1.15671E-2</v>
      </c>
      <c r="AA2110">
        <v>0.99986010000000003</v>
      </c>
      <c r="AB2110">
        <v>28</v>
      </c>
      <c r="AC2110">
        <v>0.71339999999997805</v>
      </c>
      <c r="AD2110">
        <v>-0.1230425</v>
      </c>
      <c r="AE2110">
        <v>-4.5290000000001301E-2</v>
      </c>
      <c r="AF2110">
        <v>-1.0885135708703199E-2</v>
      </c>
      <c r="AG2110">
        <v>-0.1230425</v>
      </c>
      <c r="AH2110">
        <v>0.69418133620879796</v>
      </c>
      <c r="AI2110">
        <v>100.049980671752</v>
      </c>
      <c r="AJ2110">
        <v>90.898354931952696</v>
      </c>
      <c r="AK2110">
        <v>0.705085576739646</v>
      </c>
      <c r="AL2110">
        <v>81.708899238797002</v>
      </c>
      <c r="AM2110">
        <v>94.262630005103603</v>
      </c>
      <c r="AN2110">
        <v>0.99999996458107998</v>
      </c>
    </row>
    <row r="2111" spans="1:40" x14ac:dyDescent="0.3">
      <c r="A2111" t="str">
        <f>"20200111150358421"</f>
        <v>20200111150358421</v>
      </c>
      <c r="B2111" t="str">
        <f>"1578726238410847"</f>
        <v>1578726238410847</v>
      </c>
      <c r="C2111" t="s">
        <v>40</v>
      </c>
      <c r="D2111">
        <v>6.2019099999999998</v>
      </c>
      <c r="E2111">
        <v>0.52546919999999897</v>
      </c>
      <c r="F2111" t="s">
        <v>42</v>
      </c>
      <c r="G2111">
        <v>-381.55329999999998</v>
      </c>
      <c r="H2111">
        <v>1.0053669999999999</v>
      </c>
      <c r="I2111">
        <v>21.851649999999999</v>
      </c>
      <c r="J2111">
        <v>-382.09429999999998</v>
      </c>
      <c r="K2111">
        <v>1.104636</v>
      </c>
      <c r="L2111">
        <v>21.885770000000001</v>
      </c>
      <c r="M2111">
        <v>0.99685999999999997</v>
      </c>
      <c r="N2111">
        <v>0</v>
      </c>
      <c r="O2111">
        <v>-7.8425270000000005E-2</v>
      </c>
      <c r="P2111">
        <v>0.99101669999999997</v>
      </c>
      <c r="Q2111">
        <v>0.13365079999999999</v>
      </c>
      <c r="R2111">
        <v>-4.8474410000000001E-3</v>
      </c>
      <c r="S2111">
        <v>3.082916</v>
      </c>
      <c r="T2111">
        <v>-0.4218035</v>
      </c>
      <c r="U2111">
        <v>-0.20410159999999999</v>
      </c>
      <c r="V2111">
        <v>-7.3063450000000002E-2</v>
      </c>
      <c r="W2111">
        <v>0.14437900000000001</v>
      </c>
      <c r="X2111">
        <v>0.98682139999999996</v>
      </c>
      <c r="Y2111">
        <v>-1.157006E-2</v>
      </c>
      <c r="Z2111">
        <v>1.144133E-2</v>
      </c>
      <c r="AA2111">
        <v>0.99986759999999997</v>
      </c>
      <c r="AB2111">
        <v>28</v>
      </c>
      <c r="AC2111">
        <v>0.54099999999999604</v>
      </c>
      <c r="AD2111">
        <v>-9.9268999999999996E-2</v>
      </c>
      <c r="AE2111">
        <v>-3.4120000000001399E-2</v>
      </c>
      <c r="AF2111">
        <v>-8.1426411936397804E-3</v>
      </c>
      <c r="AG2111">
        <v>-9.9268999999999996E-2</v>
      </c>
      <c r="AH2111">
        <v>0.52442261375523702</v>
      </c>
      <c r="AI2111">
        <v>100.717547511352</v>
      </c>
      <c r="AJ2111">
        <v>90.889552578455095</v>
      </c>
      <c r="AK2111">
        <v>0.533797447337923</v>
      </c>
      <c r="AL2111">
        <v>81.698680046665004</v>
      </c>
      <c r="AM2111">
        <v>94.234406578991894</v>
      </c>
      <c r="AN2111">
        <v>1.0000000194324301</v>
      </c>
    </row>
    <row r="2112" spans="1:40" x14ac:dyDescent="0.3">
      <c r="A2112" t="str">
        <f>"20200111150358439"</f>
        <v>20200111150358439</v>
      </c>
      <c r="B2112" t="str">
        <f>"1578726238430369"</f>
        <v>1578726238430369</v>
      </c>
      <c r="C2112" t="s">
        <v>40</v>
      </c>
      <c r="D2112">
        <v>11.48096</v>
      </c>
      <c r="E2112">
        <v>0.5253989</v>
      </c>
      <c r="F2112" t="s">
        <v>42</v>
      </c>
      <c r="G2112">
        <v>-381.30380000000002</v>
      </c>
      <c r="H2112">
        <v>0.99926689999999996</v>
      </c>
      <c r="I2112">
        <v>21.833159999999999</v>
      </c>
      <c r="J2112">
        <v>-381.88220000000001</v>
      </c>
      <c r="K2112">
        <v>1.104833</v>
      </c>
      <c r="L2112">
        <v>21.869810000000001</v>
      </c>
      <c r="M2112">
        <v>0.99692400000000003</v>
      </c>
      <c r="N2112">
        <v>0</v>
      </c>
      <c r="O2112">
        <v>-7.7602539999999998E-2</v>
      </c>
      <c r="P2112">
        <v>0.99101689999999998</v>
      </c>
      <c r="Q2112">
        <v>0.13362099999999999</v>
      </c>
      <c r="R2112">
        <v>-5.572123E-3</v>
      </c>
      <c r="S2112">
        <v>3.0816349999999999</v>
      </c>
      <c r="T2112">
        <v>-0.41098709999999999</v>
      </c>
      <c r="U2112">
        <v>-0.20379639999999999</v>
      </c>
      <c r="V2112">
        <v>-7.1592870000000003E-2</v>
      </c>
      <c r="W2112">
        <v>0.14433699999999999</v>
      </c>
      <c r="X2112">
        <v>0.98693529999999996</v>
      </c>
      <c r="Y2112">
        <v>-1.0870700000000001E-2</v>
      </c>
      <c r="Z2112">
        <v>1.1000060000000001E-2</v>
      </c>
      <c r="AA2112">
        <v>0.9998804</v>
      </c>
      <c r="AB2112">
        <v>28</v>
      </c>
      <c r="AC2112">
        <v>0.57839999999998704</v>
      </c>
      <c r="AD2112">
        <v>-0.1055661</v>
      </c>
      <c r="AE2112">
        <v>-3.6650000000001598E-2</v>
      </c>
      <c r="AF2112">
        <v>-8.0804526012737202E-3</v>
      </c>
      <c r="AG2112">
        <v>-0.1055661</v>
      </c>
      <c r="AH2112">
        <v>0.56089054651040604</v>
      </c>
      <c r="AI2112">
        <v>100.65795585085</v>
      </c>
      <c r="AJ2112">
        <v>90.825372807272799</v>
      </c>
      <c r="AK2112">
        <v>0.570795673028618</v>
      </c>
      <c r="AL2112">
        <v>81.701111758841407</v>
      </c>
      <c r="AM2112">
        <v>94.149002355094098</v>
      </c>
      <c r="AN2112">
        <v>0.99999999749496304</v>
      </c>
    </row>
    <row r="2113" spans="1:40" x14ac:dyDescent="0.3">
      <c r="A2113" t="str">
        <f>"20200111150358452"</f>
        <v>20200111150358452</v>
      </c>
      <c r="B2113" t="str">
        <f>"1578726238441103"</f>
        <v>1578726238441103</v>
      </c>
      <c r="C2113" t="s">
        <v>40</v>
      </c>
      <c r="D2113">
        <v>5.4501929999999996</v>
      </c>
      <c r="E2113">
        <v>0.52517259999999999</v>
      </c>
      <c r="F2113" t="s">
        <v>42</v>
      </c>
      <c r="G2113">
        <v>-381.05270000000002</v>
      </c>
      <c r="H2113">
        <v>0.99670219999999998</v>
      </c>
      <c r="I2113">
        <v>21.81467</v>
      </c>
      <c r="J2113">
        <v>-381.71080000000001</v>
      </c>
      <c r="K2113">
        <v>1.1050009999999999</v>
      </c>
      <c r="L2113">
        <v>21.857119999999998</v>
      </c>
      <c r="M2113">
        <v>0.99698600000000004</v>
      </c>
      <c r="N2113">
        <v>0</v>
      </c>
      <c r="O2113">
        <v>-7.6800660000000007E-2</v>
      </c>
      <c r="P2113">
        <v>0.99097259999999998</v>
      </c>
      <c r="Q2113">
        <v>0.1339388</v>
      </c>
      <c r="R2113">
        <v>-5.8057200000000003E-3</v>
      </c>
      <c r="S2113">
        <v>3.0801090000000002</v>
      </c>
      <c r="T2113">
        <v>-0.40139140000000001</v>
      </c>
      <c r="U2113">
        <v>-0.20541380000000001</v>
      </c>
      <c r="V2113">
        <v>-7.0621139999999999E-2</v>
      </c>
      <c r="W2113">
        <v>0.1446432</v>
      </c>
      <c r="X2113">
        <v>0.98696050000000002</v>
      </c>
      <c r="Y2113">
        <v>-9.5638019999999997E-3</v>
      </c>
      <c r="Z2113">
        <v>1.0562129999999999E-2</v>
      </c>
      <c r="AA2113">
        <v>0.99989850000000002</v>
      </c>
      <c r="AB2113">
        <v>28</v>
      </c>
      <c r="AC2113">
        <v>0.65809999999999003</v>
      </c>
      <c r="AD2113">
        <v>-0.1082988</v>
      </c>
      <c r="AE2113">
        <v>-4.2450000000002298E-2</v>
      </c>
      <c r="AF2113">
        <v>-8.0050678793597094E-3</v>
      </c>
      <c r="AG2113">
        <v>-0.1082988</v>
      </c>
      <c r="AH2113">
        <v>0.64209982261097398</v>
      </c>
      <c r="AI2113">
        <v>99.572873551760296</v>
      </c>
      <c r="AJ2113">
        <v>90.714270317187399</v>
      </c>
      <c r="AK2113">
        <v>0.65121800757521797</v>
      </c>
      <c r="AL2113">
        <v>81.683381880148303</v>
      </c>
      <c r="AM2113">
        <v>94.092776489445896</v>
      </c>
      <c r="AN2113">
        <v>1.00000001464069</v>
      </c>
    </row>
    <row r="2114" spans="1:40" x14ac:dyDescent="0.3">
      <c r="A2114" t="str">
        <f>"20200111150358471"</f>
        <v>20200111150358471</v>
      </c>
      <c r="B2114" t="str">
        <f>"1578726238460622"</f>
        <v>1578726238460622</v>
      </c>
      <c r="C2114" t="s">
        <v>40</v>
      </c>
      <c r="D2114">
        <v>5.2647360000000001</v>
      </c>
      <c r="E2114">
        <v>0.52399090000000004</v>
      </c>
      <c r="F2114" t="s">
        <v>42</v>
      </c>
      <c r="G2114">
        <v>-380.80549999999999</v>
      </c>
      <c r="H2114">
        <v>0.98574499999999998</v>
      </c>
      <c r="I2114">
        <v>21.79691</v>
      </c>
      <c r="J2114">
        <v>-381.46769999999998</v>
      </c>
      <c r="K2114">
        <v>1.105261</v>
      </c>
      <c r="L2114">
        <v>21.839690000000001</v>
      </c>
      <c r="M2114">
        <v>0.9970928</v>
      </c>
      <c r="N2114">
        <v>0</v>
      </c>
      <c r="O2114">
        <v>-7.5398320000000005E-2</v>
      </c>
      <c r="P2114">
        <v>0.99092020000000003</v>
      </c>
      <c r="Q2114">
        <v>0.13430400000000001</v>
      </c>
      <c r="R2114">
        <v>-6.3061389999999997E-3</v>
      </c>
      <c r="S2114">
        <v>3.080994</v>
      </c>
      <c r="T2114">
        <v>-0.40605190000000002</v>
      </c>
      <c r="U2114">
        <v>-0.2042542</v>
      </c>
      <c r="V2114">
        <v>-6.8817809999999993E-2</v>
      </c>
      <c r="W2114">
        <v>0.14499239999999999</v>
      </c>
      <c r="X2114">
        <v>0.98703660000000004</v>
      </c>
      <c r="Y2114">
        <v>-8.5553419999999901E-3</v>
      </c>
      <c r="Z2114">
        <v>1.0431569999999999E-2</v>
      </c>
      <c r="AA2114">
        <v>0.99990900000000005</v>
      </c>
      <c r="AB2114">
        <v>28</v>
      </c>
      <c r="AC2114">
        <v>0.66219999999998402</v>
      </c>
      <c r="AD2114">
        <v>-0.119515999999999</v>
      </c>
      <c r="AE2114">
        <v>-4.2780000000000401E-2</v>
      </c>
      <c r="AF2114">
        <v>-7.0450448310989703E-3</v>
      </c>
      <c r="AG2114">
        <v>-0.119515999999999</v>
      </c>
      <c r="AH2114">
        <v>0.64269237262173295</v>
      </c>
      <c r="AI2114">
        <v>100.533853868226</v>
      </c>
      <c r="AJ2114">
        <v>90.628037901229604</v>
      </c>
      <c r="AK2114">
        <v>0.65374856997076902</v>
      </c>
      <c r="AL2114">
        <v>81.663160644446407</v>
      </c>
      <c r="AM2114">
        <v>93.988301520073605</v>
      </c>
      <c r="AN2114">
        <v>0.99999996838525695</v>
      </c>
    </row>
    <row r="2115" spans="1:40" x14ac:dyDescent="0.3">
      <c r="A2115" t="str">
        <f>"20200111150358485"</f>
        <v>20200111150358485</v>
      </c>
      <c r="B2115" t="str">
        <f>"1578726238481119"</f>
        <v>1578726238481119</v>
      </c>
      <c r="C2115" t="s">
        <v>40</v>
      </c>
      <c r="D2115">
        <v>5.7393549999999998</v>
      </c>
      <c r="E2115">
        <v>0.52385309999999996</v>
      </c>
      <c r="F2115" t="s">
        <v>42</v>
      </c>
      <c r="G2115">
        <v>-380.55079999999998</v>
      </c>
      <c r="H2115">
        <v>0.99031270000000005</v>
      </c>
      <c r="I2115">
        <v>21.78097</v>
      </c>
      <c r="J2115">
        <v>-381.28280000000001</v>
      </c>
      <c r="K2115">
        <v>1.1054569999999999</v>
      </c>
      <c r="L2115">
        <v>21.82687</v>
      </c>
      <c r="M2115">
        <v>0.99718700000000005</v>
      </c>
      <c r="N2115">
        <v>0</v>
      </c>
      <c r="O2115">
        <v>-7.4140090000000006E-2</v>
      </c>
      <c r="P2115">
        <v>0.99090919999999905</v>
      </c>
      <c r="Q2115">
        <v>0.1343927</v>
      </c>
      <c r="R2115">
        <v>-6.1358009999999998E-3</v>
      </c>
      <c r="S2115">
        <v>3.0785830000000001</v>
      </c>
      <c r="T2115">
        <v>-0.38612920000000001</v>
      </c>
      <c r="U2115">
        <v>-0.19607540000000001</v>
      </c>
      <c r="V2115">
        <v>-6.7808389999999996E-2</v>
      </c>
      <c r="W2115">
        <v>0.14506930000000001</v>
      </c>
      <c r="X2115">
        <v>0.98709519999999995</v>
      </c>
      <c r="Y2115">
        <v>-9.9535619999999991E-3</v>
      </c>
      <c r="Z2115">
        <v>9.8633019999999991E-3</v>
      </c>
      <c r="AA2115">
        <v>0.99990179999999995</v>
      </c>
      <c r="AB2115">
        <v>28</v>
      </c>
      <c r="AC2115">
        <v>0.73200000000002696</v>
      </c>
      <c r="AD2115">
        <v>-0.11514429999999901</v>
      </c>
      <c r="AE2115">
        <v>-4.5899999999999601E-2</v>
      </c>
      <c r="AF2115">
        <v>-8.2957163892723798E-3</v>
      </c>
      <c r="AG2115">
        <v>-0.11514429999999901</v>
      </c>
      <c r="AH2115">
        <v>0.71574760411585303</v>
      </c>
      <c r="AI2115">
        <v>99.138424706508303</v>
      </c>
      <c r="AJ2115">
        <v>90.664044493637903</v>
      </c>
      <c r="AK2115">
        <v>0.72499769760357502</v>
      </c>
      <c r="AL2115">
        <v>81.658707838486805</v>
      </c>
      <c r="AM2115">
        <v>93.929753186981799</v>
      </c>
      <c r="AN2115">
        <v>1.0000000067099599</v>
      </c>
    </row>
    <row r="2116" spans="1:40" x14ac:dyDescent="0.3">
      <c r="A2116" t="str">
        <f>"20200111150358504"</f>
        <v>20200111150358504</v>
      </c>
      <c r="B2116" t="str">
        <f>"1578726238500639"</f>
        <v>1578726238500639</v>
      </c>
      <c r="C2116" t="s">
        <v>40</v>
      </c>
      <c r="D2116">
        <v>5.6104580000000004</v>
      </c>
      <c r="E2116">
        <v>0.52381529999999998</v>
      </c>
      <c r="F2116" t="s">
        <v>42</v>
      </c>
      <c r="G2116">
        <v>-380.53980000000001</v>
      </c>
      <c r="H2116">
        <v>1.0132620000000001</v>
      </c>
      <c r="I2116">
        <v>21.77966</v>
      </c>
      <c r="J2116">
        <v>-381.04849999999999</v>
      </c>
      <c r="K2116">
        <v>1.1056839999999999</v>
      </c>
      <c r="L2116">
        <v>21.811219999999999</v>
      </c>
      <c r="M2116">
        <v>0.9973206</v>
      </c>
      <c r="N2116">
        <v>0</v>
      </c>
      <c r="O2116">
        <v>-7.2317320000000004E-2</v>
      </c>
      <c r="P2116">
        <v>0.99100259999999996</v>
      </c>
      <c r="Q2116">
        <v>0.13366989999999901</v>
      </c>
      <c r="R2116">
        <v>-6.8318950000000002E-3</v>
      </c>
      <c r="S2116">
        <v>3.078125</v>
      </c>
      <c r="T2116">
        <v>-0.38213940000000002</v>
      </c>
      <c r="U2116">
        <v>-0.1942749</v>
      </c>
      <c r="V2116">
        <v>-6.5394480000000005E-2</v>
      </c>
      <c r="W2116">
        <v>0.1443441</v>
      </c>
      <c r="X2116">
        <v>0.98736440000000003</v>
      </c>
      <c r="Y2116">
        <v>-8.7353480000000004E-3</v>
      </c>
      <c r="Z2116">
        <v>9.4640769999999996E-3</v>
      </c>
      <c r="AA2116">
        <v>0.99991699999999994</v>
      </c>
      <c r="AB2116">
        <v>28</v>
      </c>
      <c r="AC2116">
        <v>0.50869999999997595</v>
      </c>
      <c r="AD2116">
        <v>-9.2422000000000004E-2</v>
      </c>
      <c r="AE2116">
        <v>-3.1560000000002399E-2</v>
      </c>
      <c r="AF2116">
        <v>-5.1435748981171203E-3</v>
      </c>
      <c r="AG2116">
        <v>-9.2422000000000004E-2</v>
      </c>
      <c r="AH2116">
        <v>0.49342552762574099</v>
      </c>
      <c r="AI2116">
        <v>100.60840289248</v>
      </c>
      <c r="AJ2116">
        <v>90.597242020984595</v>
      </c>
      <c r="AK2116">
        <v>0.50203290107270204</v>
      </c>
      <c r="AL2116">
        <v>81.700701157790107</v>
      </c>
      <c r="AM2116">
        <v>93.789242837039197</v>
      </c>
      <c r="AN2116">
        <v>1.0000000578033099</v>
      </c>
    </row>
    <row r="2117" spans="1:40" x14ac:dyDescent="0.3">
      <c r="A2117" t="str">
        <f>"20200111150358519"</f>
        <v>20200111150358519</v>
      </c>
      <c r="B2117" t="str">
        <f>"1578726238510399"</f>
        <v>1578726238510399</v>
      </c>
      <c r="C2117" t="s">
        <v>40</v>
      </c>
      <c r="D2117">
        <v>6.4745379999999999</v>
      </c>
      <c r="E2117">
        <v>0.52381529999999998</v>
      </c>
      <c r="F2117" t="s">
        <v>42</v>
      </c>
      <c r="G2117">
        <v>-380.28919999999999</v>
      </c>
      <c r="H2117">
        <v>1.009576</v>
      </c>
      <c r="I2117">
        <v>21.76275</v>
      </c>
      <c r="J2117">
        <v>-380.87580000000003</v>
      </c>
      <c r="K2117">
        <v>1.1058520000000001</v>
      </c>
      <c r="L2117">
        <v>21.800170000000001</v>
      </c>
      <c r="M2117">
        <v>0.99742949999999997</v>
      </c>
      <c r="N2117">
        <v>0</v>
      </c>
      <c r="O2117">
        <v>-7.0796449999999997E-2</v>
      </c>
      <c r="P2117">
        <v>0.99110229999999999</v>
      </c>
      <c r="Q2117">
        <v>0.13292000000000001</v>
      </c>
      <c r="R2117">
        <v>-6.9854549999999998E-3</v>
      </c>
      <c r="S2117">
        <v>3.0784910000000001</v>
      </c>
      <c r="T2117">
        <v>-0.38988050000000002</v>
      </c>
      <c r="U2117">
        <v>-0.19592290000000001</v>
      </c>
      <c r="V2117">
        <v>-6.379688E-2</v>
      </c>
      <c r="W2117">
        <v>0.14359620000000001</v>
      </c>
      <c r="X2117">
        <v>0.98757790000000001</v>
      </c>
      <c r="Y2117">
        <v>-6.6881569999999897E-3</v>
      </c>
      <c r="Z2117">
        <v>9.3328820000000007E-3</v>
      </c>
      <c r="AA2117">
        <v>0.99993410000000005</v>
      </c>
      <c r="AB2117">
        <v>28</v>
      </c>
      <c r="AC2117">
        <v>0.58660000000003198</v>
      </c>
      <c r="AD2117">
        <v>-9.6276E-2</v>
      </c>
      <c r="AE2117">
        <v>-3.7420000000000897E-2</v>
      </c>
      <c r="AF2117">
        <v>-4.0957616848704102E-3</v>
      </c>
      <c r="AG2117">
        <v>-9.6276E-2</v>
      </c>
      <c r="AH2117">
        <v>0.57242038575027998</v>
      </c>
      <c r="AI2117">
        <v>99.547042819845004</v>
      </c>
      <c r="AJ2117">
        <v>90.409953697755796</v>
      </c>
      <c r="AK2117">
        <v>0.580474755232541</v>
      </c>
      <c r="AL2117">
        <v>81.744003394309004</v>
      </c>
      <c r="AM2117">
        <v>93.696133804974295</v>
      </c>
      <c r="AN2117">
        <v>1.0000000095602899</v>
      </c>
    </row>
    <row r="2118" spans="1:40" x14ac:dyDescent="0.3">
      <c r="A2118" t="str">
        <f>"20200111150358532"</f>
        <v>20200111150358532</v>
      </c>
      <c r="B2118" t="str">
        <f>"1578726238521136"</f>
        <v>1578726238521136</v>
      </c>
      <c r="C2118" t="s">
        <v>40</v>
      </c>
      <c r="D2118">
        <v>5.2338180000000003</v>
      </c>
      <c r="E2118">
        <v>0.52364100000000002</v>
      </c>
      <c r="F2118" t="s">
        <v>42</v>
      </c>
      <c r="G2118">
        <v>-380.04160000000002</v>
      </c>
      <c r="H2118">
        <v>0.99960059999999995</v>
      </c>
      <c r="I2118">
        <v>21.746729999999999</v>
      </c>
      <c r="J2118">
        <v>-380.7022</v>
      </c>
      <c r="K2118">
        <v>1.1060209999999999</v>
      </c>
      <c r="L2118">
        <v>21.789370000000002</v>
      </c>
      <c r="M2118">
        <v>0.99754449999999995</v>
      </c>
      <c r="N2118">
        <v>0</v>
      </c>
      <c r="O2118">
        <v>-6.9152290000000005E-2</v>
      </c>
      <c r="P2118">
        <v>0.99113910000000005</v>
      </c>
      <c r="Q2118">
        <v>0.13262550000000001</v>
      </c>
      <c r="R2118">
        <v>-7.3297279999999998E-3</v>
      </c>
      <c r="S2118">
        <v>3.0781860000000001</v>
      </c>
      <c r="T2118">
        <v>-0.39228360000000001</v>
      </c>
      <c r="U2118">
        <v>-0.19613649999999999</v>
      </c>
      <c r="V2118">
        <v>-6.1883710000000001E-2</v>
      </c>
      <c r="W2118">
        <v>0.14330689999999999</v>
      </c>
      <c r="X2118">
        <v>0.9877416</v>
      </c>
      <c r="Y2118">
        <v>-4.9836860000000002E-3</v>
      </c>
      <c r="Z2118">
        <v>9.0749060000000006E-3</v>
      </c>
      <c r="AA2118">
        <v>0.99994640000000001</v>
      </c>
      <c r="AB2118">
        <v>28</v>
      </c>
      <c r="AC2118">
        <v>0.66059999999998797</v>
      </c>
      <c r="AD2118">
        <v>-0.106420399999999</v>
      </c>
      <c r="AE2118">
        <v>-4.2640000000002197E-2</v>
      </c>
      <c r="AF2118">
        <v>-3.0676178890777202E-3</v>
      </c>
      <c r="AG2118">
        <v>-0.106420399999999</v>
      </c>
      <c r="AH2118">
        <v>0.64529008514694297</v>
      </c>
      <c r="AI2118">
        <v>99.364746234849306</v>
      </c>
      <c r="AJ2118">
        <v>90.272373988450397</v>
      </c>
      <c r="AK2118">
        <v>0.65401376576079995</v>
      </c>
      <c r="AL2118">
        <v>81.760751919672103</v>
      </c>
      <c r="AM2118">
        <v>93.584993375247194</v>
      </c>
      <c r="AN2118">
        <v>0.99999996476076602</v>
      </c>
    </row>
    <row r="2119" spans="1:40" x14ac:dyDescent="0.3">
      <c r="A2119" t="str">
        <f>"20200111150358550"</f>
        <v>20200111150358550</v>
      </c>
      <c r="B2119" t="str">
        <f>"1578726238540654"</f>
        <v>1578726238540654</v>
      </c>
      <c r="C2119" t="s">
        <v>40</v>
      </c>
      <c r="D2119">
        <v>5.5626040000000003</v>
      </c>
      <c r="E2119">
        <v>0.52366579999999996</v>
      </c>
      <c r="F2119" t="s">
        <v>42</v>
      </c>
      <c r="G2119">
        <v>-379.79289999999997</v>
      </c>
      <c r="H2119">
        <v>0.99188050000000005</v>
      </c>
      <c r="I2119">
        <v>21.73115</v>
      </c>
      <c r="J2119">
        <v>-380.47219999999999</v>
      </c>
      <c r="K2119">
        <v>1.106241</v>
      </c>
      <c r="L2119">
        <v>21.775729999999999</v>
      </c>
      <c r="M2119">
        <v>0.99770800000000004</v>
      </c>
      <c r="N2119">
        <v>0</v>
      </c>
      <c r="O2119">
        <v>-6.6748310000000005E-2</v>
      </c>
      <c r="P2119">
        <v>0.99101810000000001</v>
      </c>
      <c r="Q2119">
        <v>0.13344539999999999</v>
      </c>
      <c r="R2119">
        <v>-8.718412E-3</v>
      </c>
      <c r="S2119">
        <v>3.0770870000000001</v>
      </c>
      <c r="T2119">
        <v>-0.38668350000000001</v>
      </c>
      <c r="U2119">
        <v>-0.19552610000000001</v>
      </c>
      <c r="V2119">
        <v>-5.8186349999999998E-2</v>
      </c>
      <c r="W2119">
        <v>0.14414640000000001</v>
      </c>
      <c r="X2119">
        <v>0.98784419999999995</v>
      </c>
      <c r="Y2119">
        <v>-2.8011260000000001E-3</v>
      </c>
      <c r="Z2119">
        <v>8.5133569999999992E-3</v>
      </c>
      <c r="AA2119">
        <v>0.99995979999999995</v>
      </c>
      <c r="AB2119">
        <v>28</v>
      </c>
      <c r="AC2119">
        <v>0.67930000000001201</v>
      </c>
      <c r="AD2119">
        <v>-0.114360499999999</v>
      </c>
      <c r="AE2119">
        <v>-4.45799999999998E-2</v>
      </c>
      <c r="AF2119">
        <v>-8.4063467218385701E-4</v>
      </c>
      <c r="AG2119">
        <v>-0.114360499999999</v>
      </c>
      <c r="AH2119">
        <v>0.66207665443074204</v>
      </c>
      <c r="AI2119">
        <v>99.799992613161706</v>
      </c>
      <c r="AJ2119">
        <v>90.072748061155195</v>
      </c>
      <c r="AK2119">
        <v>0.67188133399366401</v>
      </c>
      <c r="AL2119">
        <v>81.712147761964502</v>
      </c>
      <c r="AM2119">
        <v>93.370961456716401</v>
      </c>
      <c r="AN2119">
        <v>0.99999999971646103</v>
      </c>
    </row>
    <row r="2120" spans="1:40" x14ac:dyDescent="0.3">
      <c r="A2120" t="str">
        <f>"20200111150358571"</f>
        <v>20200111150358571</v>
      </c>
      <c r="B2120" t="str">
        <f>"1578726238561151"</f>
        <v>1578726238561151</v>
      </c>
      <c r="C2120" t="s">
        <v>40</v>
      </c>
      <c r="D2120">
        <v>5.5641959999999999</v>
      </c>
      <c r="E2120">
        <v>0.52387159999999999</v>
      </c>
      <c r="F2120" t="s">
        <v>42</v>
      </c>
      <c r="G2120">
        <v>-379.54079999999999</v>
      </c>
      <c r="H2120">
        <v>0.99151359999999999</v>
      </c>
      <c r="I2120">
        <v>21.71491</v>
      </c>
      <c r="J2120">
        <v>-380.20119999999997</v>
      </c>
      <c r="K2120">
        <v>1.10649</v>
      </c>
      <c r="L2120">
        <v>21.760770000000001</v>
      </c>
      <c r="M2120">
        <v>0.99791090000000005</v>
      </c>
      <c r="N2120">
        <v>0</v>
      </c>
      <c r="O2120">
        <v>-6.3634369999999996E-2</v>
      </c>
      <c r="P2120">
        <v>0.99075709999999995</v>
      </c>
      <c r="Q2120">
        <v>0.13536289999999901</v>
      </c>
      <c r="R2120">
        <v>-8.7952329999999995E-3</v>
      </c>
      <c r="S2120">
        <v>3.0764770000000001</v>
      </c>
      <c r="T2120">
        <v>-0.37916759999999999</v>
      </c>
      <c r="U2120">
        <v>-0.20007320000000001</v>
      </c>
      <c r="V2120">
        <v>-5.509998E-2</v>
      </c>
      <c r="W2120">
        <v>0.146087299999999</v>
      </c>
      <c r="X2120">
        <v>0.98773599999999995</v>
      </c>
      <c r="Y2120">
        <v>1.7259279999999901E-3</v>
      </c>
      <c r="Z2120">
        <v>7.6917069999999999E-3</v>
      </c>
      <c r="AA2120">
        <v>0.99996890000000005</v>
      </c>
      <c r="AB2120">
        <v>28</v>
      </c>
      <c r="AC2120">
        <v>0.660399999999981</v>
      </c>
      <c r="AD2120">
        <v>-0.11497639999999899</v>
      </c>
      <c r="AE2120">
        <v>-4.5860000000001101E-2</v>
      </c>
      <c r="AF2120">
        <v>3.6307640767531402E-3</v>
      </c>
      <c r="AG2120">
        <v>-0.11497639999999899</v>
      </c>
      <c r="AH2120">
        <v>0.64259547141344997</v>
      </c>
      <c r="AI2120">
        <v>100.14414447745401</v>
      </c>
      <c r="AJ2120">
        <v>89.676273404349601</v>
      </c>
      <c r="AK2120">
        <v>0.65281061180545696</v>
      </c>
      <c r="AL2120">
        <v>81.599752241400694</v>
      </c>
      <c r="AM2120">
        <v>93.192885232262597</v>
      </c>
      <c r="AN2120">
        <v>0.99999995635664396</v>
      </c>
    </row>
    <row r="2121" spans="1:40" x14ac:dyDescent="0.3">
      <c r="A2121" t="str">
        <f>"20200111150358586"</f>
        <v>20200111150358586</v>
      </c>
      <c r="B2121" t="str">
        <f>"1578726238580671"</f>
        <v>1578726238580671</v>
      </c>
      <c r="C2121" t="s">
        <v>40</v>
      </c>
      <c r="D2121">
        <v>5.5180089999999904</v>
      </c>
      <c r="E2121">
        <v>0.52378270000000005</v>
      </c>
      <c r="F2121" t="s">
        <v>42</v>
      </c>
      <c r="G2121">
        <v>-379.28640000000001</v>
      </c>
      <c r="H2121">
        <v>0.99544299999999997</v>
      </c>
      <c r="I2121">
        <v>21.700579999999999</v>
      </c>
      <c r="J2121">
        <v>-380.01560000000001</v>
      </c>
      <c r="K2121">
        <v>1.1066469999999999</v>
      </c>
      <c r="L2121">
        <v>21.75113</v>
      </c>
      <c r="M2121">
        <v>0.99805270000000001</v>
      </c>
      <c r="N2121">
        <v>0</v>
      </c>
      <c r="O2121">
        <v>-6.1367070000000003E-2</v>
      </c>
      <c r="P2121">
        <v>0.99065539999999996</v>
      </c>
      <c r="Q2121">
        <v>0.13617109999999999</v>
      </c>
      <c r="R2121">
        <v>-7.7093999999999904E-3</v>
      </c>
      <c r="S2121">
        <v>3.0773320000000002</v>
      </c>
      <c r="T2121">
        <v>-0.3739403</v>
      </c>
      <c r="U2121">
        <v>-0.20132449999999999</v>
      </c>
      <c r="V2121">
        <v>-5.3986010000000001E-2</v>
      </c>
      <c r="W2121">
        <v>0.1469085</v>
      </c>
      <c r="X2121">
        <v>0.98767570000000005</v>
      </c>
      <c r="Y2121">
        <v>4.3360760000000003E-3</v>
      </c>
      <c r="Z2121">
        <v>7.1528549999999996E-3</v>
      </c>
      <c r="AA2121">
        <v>0.99996499999999999</v>
      </c>
      <c r="AB2121">
        <v>28</v>
      </c>
      <c r="AC2121">
        <v>0.72919999999999097</v>
      </c>
      <c r="AD2121">
        <v>-0.111203999999999</v>
      </c>
      <c r="AE2121">
        <v>-5.0550000000001198E-2</v>
      </c>
      <c r="AF2121">
        <v>5.5740390929352301E-3</v>
      </c>
      <c r="AG2121">
        <v>-0.111203999999999</v>
      </c>
      <c r="AH2121">
        <v>0.71439284191718899</v>
      </c>
      <c r="AI2121">
        <v>98.8475183513752</v>
      </c>
      <c r="AJ2121">
        <v>89.552959638680804</v>
      </c>
      <c r="AK2121">
        <v>0.72301765684548003</v>
      </c>
      <c r="AL2121">
        <v>81.552187651910899</v>
      </c>
      <c r="AM2121">
        <v>93.128654041681699</v>
      </c>
      <c r="AN2121">
        <v>0.99999994250922797</v>
      </c>
    </row>
    <row r="2122" spans="1:40" x14ac:dyDescent="0.3">
      <c r="A2122" t="str">
        <f>"20200111150358606"</f>
        <v>20200111150358606</v>
      </c>
      <c r="B2122" t="str">
        <f>"1578726238601168"</f>
        <v>1578726238601168</v>
      </c>
      <c r="C2122" t="s">
        <v>40</v>
      </c>
      <c r="D2122">
        <v>5.6261429999999999</v>
      </c>
      <c r="E2122">
        <v>0.52349869999999998</v>
      </c>
      <c r="F2122" t="s">
        <v>42</v>
      </c>
      <c r="G2122">
        <v>-379.27510000000001</v>
      </c>
      <c r="H2122">
        <v>1.018068</v>
      </c>
      <c r="I2122">
        <v>21.703399999999998</v>
      </c>
      <c r="J2122">
        <v>-379.77749999999997</v>
      </c>
      <c r="K2122">
        <v>1.1068150000000001</v>
      </c>
      <c r="L2122">
        <v>21.739560000000001</v>
      </c>
      <c r="M2122">
        <v>0.9982356</v>
      </c>
      <c r="N2122">
        <v>0</v>
      </c>
      <c r="O2122">
        <v>-5.8307020000000001E-2</v>
      </c>
      <c r="P2122">
        <v>0.99060210000000004</v>
      </c>
      <c r="Q2122">
        <v>0.136625</v>
      </c>
      <c r="R2122">
        <v>-6.3830450000000004E-3</v>
      </c>
      <c r="S2122">
        <v>3.077423</v>
      </c>
      <c r="T2122">
        <v>-0.36857040000000002</v>
      </c>
      <c r="U2122">
        <v>-0.19692989999999999</v>
      </c>
      <c r="V2122">
        <v>-5.2335720000000002E-2</v>
      </c>
      <c r="W2122">
        <v>0.1473835</v>
      </c>
      <c r="X2122">
        <v>0.98769379999999996</v>
      </c>
      <c r="Y2122">
        <v>5.9329710000000004E-3</v>
      </c>
      <c r="Z2122">
        <v>6.5918779999999998E-3</v>
      </c>
      <c r="AA2122">
        <v>0.99996070000000004</v>
      </c>
      <c r="AB2122">
        <v>28</v>
      </c>
      <c r="AC2122">
        <v>0.50239999999996598</v>
      </c>
      <c r="AD2122">
        <v>-8.8746999999999895E-2</v>
      </c>
      <c r="AE2122">
        <v>-3.6160000000002399E-2</v>
      </c>
      <c r="AF2122">
        <v>6.5983482586344597E-3</v>
      </c>
      <c r="AG2122">
        <v>-8.8746999999999895E-2</v>
      </c>
      <c r="AH2122">
        <v>0.48848947896682798</v>
      </c>
      <c r="AI2122">
        <v>100.296062434348</v>
      </c>
      <c r="AJ2122">
        <v>89.226115335707703</v>
      </c>
      <c r="AK2122">
        <v>0.49652949486412701</v>
      </c>
      <c r="AL2122">
        <v>81.524672994616594</v>
      </c>
      <c r="AM2122">
        <v>93.033140615733799</v>
      </c>
      <c r="AN2122">
        <v>0.99999998310930405</v>
      </c>
    </row>
    <row r="2123" spans="1:40" x14ac:dyDescent="0.3">
      <c r="A2123" t="str">
        <f>"20200111150358619"</f>
        <v>20200111150358619</v>
      </c>
      <c r="B2123" t="str">
        <f>"1578726238610926"</f>
        <v>1578726238610926</v>
      </c>
      <c r="C2123" t="s">
        <v>40</v>
      </c>
      <c r="D2123">
        <v>5.5298920000000003</v>
      </c>
      <c r="E2123">
        <v>0.52315780000000001</v>
      </c>
      <c r="F2123" t="s">
        <v>42</v>
      </c>
      <c r="G2123">
        <v>-379.02300000000002</v>
      </c>
      <c r="H2123">
        <v>1.0167170000000001</v>
      </c>
      <c r="I2123">
        <v>21.69295</v>
      </c>
      <c r="J2123">
        <v>-379.601</v>
      </c>
      <c r="K2123">
        <v>1.106924</v>
      </c>
      <c r="L2123">
        <v>21.731629999999999</v>
      </c>
      <c r="M2123">
        <v>0.99837120000000001</v>
      </c>
      <c r="N2123">
        <v>0</v>
      </c>
      <c r="O2123">
        <v>-5.5932719999999998E-2</v>
      </c>
      <c r="P2123">
        <v>0.99062280000000003</v>
      </c>
      <c r="Q2123">
        <v>0.1365487</v>
      </c>
      <c r="R2123">
        <v>-4.5656899999999999E-3</v>
      </c>
      <c r="S2123">
        <v>3.0780029999999998</v>
      </c>
      <c r="T2123">
        <v>-0.36784289999999997</v>
      </c>
      <c r="U2123">
        <v>-0.1890869</v>
      </c>
      <c r="V2123">
        <v>-5.1836989999999999E-2</v>
      </c>
      <c r="W2123">
        <v>0.147318899999999</v>
      </c>
      <c r="X2123">
        <v>0.98772979999999999</v>
      </c>
      <c r="Y2123">
        <v>5.7442839999999997E-3</v>
      </c>
      <c r="Z2123">
        <v>6.3077050000000003E-3</v>
      </c>
      <c r="AA2123">
        <v>0.99996359999999995</v>
      </c>
      <c r="AB2123">
        <v>28</v>
      </c>
      <c r="AC2123">
        <v>0.57799999999997398</v>
      </c>
      <c r="AD2123">
        <v>-9.0206999999999898E-2</v>
      </c>
      <c r="AE2123">
        <v>-3.8679999999999298E-2</v>
      </c>
      <c r="AF2123">
        <v>6.1394122194633896E-3</v>
      </c>
      <c r="AG2123">
        <v>-9.0206999999999898E-2</v>
      </c>
      <c r="AH2123">
        <v>0.56554506516633796</v>
      </c>
      <c r="AI2123">
        <v>99.062069970320096</v>
      </c>
      <c r="AJ2123">
        <v>89.378036139928497</v>
      </c>
      <c r="AK2123">
        <v>0.57272699950796602</v>
      </c>
      <c r="AL2123">
        <v>81.528415677152495</v>
      </c>
      <c r="AM2123">
        <v>93.004180397047804</v>
      </c>
      <c r="AN2123">
        <v>1.00000004481875</v>
      </c>
    </row>
    <row r="2124" spans="1:40" x14ac:dyDescent="0.3">
      <c r="A2124" t="str">
        <f>"20200111150358633"</f>
        <v>20200111150358633</v>
      </c>
      <c r="B2124" t="str">
        <f>"1578726238630447"</f>
        <v>1578726238630447</v>
      </c>
      <c r="C2124" t="s">
        <v>40</v>
      </c>
      <c r="D2124">
        <v>5.5310370000000004</v>
      </c>
      <c r="E2124">
        <v>0.52277899999999999</v>
      </c>
      <c r="F2124" t="s">
        <v>42</v>
      </c>
      <c r="G2124">
        <v>-378.7747</v>
      </c>
      <c r="H2124">
        <v>1.007099</v>
      </c>
      <c r="I2124">
        <v>21.68328</v>
      </c>
      <c r="J2124">
        <v>-379.42349999999999</v>
      </c>
      <c r="K2124">
        <v>1.1070260000000001</v>
      </c>
      <c r="L2124">
        <v>21.724060000000001</v>
      </c>
      <c r="M2124">
        <v>0.99850539999999999</v>
      </c>
      <c r="N2124">
        <v>0</v>
      </c>
      <c r="O2124">
        <v>-5.3479810000000003E-2</v>
      </c>
      <c r="P2124">
        <v>0.99065179999999997</v>
      </c>
      <c r="Q2124">
        <v>0.1363926</v>
      </c>
      <c r="R2124">
        <v>-2.5168650000000001E-3</v>
      </c>
      <c r="S2124">
        <v>3.078827</v>
      </c>
      <c r="T2124">
        <v>-0.37197780000000003</v>
      </c>
      <c r="U2124">
        <v>-0.17996219999999999</v>
      </c>
      <c r="V2124">
        <v>-5.1490050000000002E-2</v>
      </c>
      <c r="W2124">
        <v>0.1471741</v>
      </c>
      <c r="X2124">
        <v>0.98776949999999997</v>
      </c>
      <c r="Y2124">
        <v>5.2255399999999999E-3</v>
      </c>
      <c r="Z2124">
        <v>6.1138219999999997E-3</v>
      </c>
      <c r="AA2124">
        <v>0.99996759999999996</v>
      </c>
      <c r="AB2124">
        <v>28</v>
      </c>
      <c r="AC2124">
        <v>0.64879999999999405</v>
      </c>
      <c r="AD2124">
        <v>-9.9927000000000099E-2</v>
      </c>
      <c r="AE2124">
        <v>-4.0780000000001503E-2</v>
      </c>
      <c r="AF2124">
        <v>5.8827327971354001E-3</v>
      </c>
      <c r="AG2124">
        <v>-9.9927000000000099E-2</v>
      </c>
      <c r="AH2124">
        <v>0.63504738842062602</v>
      </c>
      <c r="AI2124">
        <v>98.941996594636706</v>
      </c>
      <c r="AJ2124">
        <v>89.469258315483899</v>
      </c>
      <c r="AK2124">
        <v>0.64288816866856402</v>
      </c>
      <c r="AL2124">
        <v>81.536803263870596</v>
      </c>
      <c r="AM2124">
        <v>92.983990449814499</v>
      </c>
      <c r="AN2124">
        <v>1.0000000130450299</v>
      </c>
    </row>
    <row r="2125" spans="1:40" x14ac:dyDescent="0.3">
      <c r="A2125" t="str">
        <f>"20200111150358650"</f>
        <v>20200111150358650</v>
      </c>
      <c r="B2125" t="str">
        <f>"1578726238641182"</f>
        <v>1578726238641182</v>
      </c>
      <c r="C2125" t="s">
        <v>40</v>
      </c>
      <c r="D2125">
        <v>5.5121960000000003</v>
      </c>
      <c r="E2125">
        <v>0.52264949999999999</v>
      </c>
      <c r="F2125" t="s">
        <v>42</v>
      </c>
      <c r="G2125">
        <v>-378.52609999999999</v>
      </c>
      <c r="H2125">
        <v>0.99827310000000002</v>
      </c>
      <c r="I2125">
        <v>21.67437</v>
      </c>
      <c r="J2125">
        <v>-379.2011</v>
      </c>
      <c r="K2125">
        <v>1.1071409999999999</v>
      </c>
      <c r="L2125">
        <v>21.715330000000002</v>
      </c>
      <c r="M2125">
        <v>0.99866999999999995</v>
      </c>
      <c r="N2125">
        <v>0</v>
      </c>
      <c r="O2125">
        <v>-5.0306129999999998E-2</v>
      </c>
      <c r="P2125">
        <v>0.99065380000000003</v>
      </c>
      <c r="Q2125">
        <v>0.13640050000000001</v>
      </c>
      <c r="R2125">
        <v>1.103603E-4</v>
      </c>
      <c r="S2125">
        <v>3.0793149999999998</v>
      </c>
      <c r="T2125">
        <v>-0.37342049999999999</v>
      </c>
      <c r="U2125">
        <v>-0.16986080000000001</v>
      </c>
      <c r="V2125">
        <v>-5.1011340000000002E-2</v>
      </c>
      <c r="W2125">
        <v>0.14719670000000001</v>
      </c>
      <c r="X2125">
        <v>0.98779090000000003</v>
      </c>
      <c r="Y2125">
        <v>5.1051459999999996E-3</v>
      </c>
      <c r="Z2125">
        <v>5.7618390000000004E-3</v>
      </c>
      <c r="AA2125">
        <v>0.99997040000000004</v>
      </c>
      <c r="AB2125">
        <v>28</v>
      </c>
      <c r="AC2125">
        <v>0.67500000000001104</v>
      </c>
      <c r="AD2125">
        <v>-0.108867899999999</v>
      </c>
      <c r="AE2125">
        <v>-4.0959999999998303E-2</v>
      </c>
      <c r="AF2125">
        <v>6.7737682975697001E-3</v>
      </c>
      <c r="AG2125">
        <v>-0.108867899999999</v>
      </c>
      <c r="AH2125">
        <v>0.65912297700928102</v>
      </c>
      <c r="AI2125">
        <v>99.378427735265404</v>
      </c>
      <c r="AJ2125">
        <v>89.411195352262098</v>
      </c>
      <c r="AK2125">
        <v>0.66808772059433696</v>
      </c>
      <c r="AL2125">
        <v>81.535493530111594</v>
      </c>
      <c r="AM2125">
        <v>92.956233394240201</v>
      </c>
      <c r="AN2125">
        <v>0.99999994371114598</v>
      </c>
    </row>
    <row r="2126" spans="1:40" x14ac:dyDescent="0.3">
      <c r="A2126" t="str">
        <f>"20200111150358672"</f>
        <v>20200111150358672</v>
      </c>
      <c r="B2126" t="str">
        <f>"1578726238660702"</f>
        <v>1578726238660702</v>
      </c>
      <c r="C2126" t="s">
        <v>40</v>
      </c>
      <c r="D2126">
        <v>5.6031110000000002</v>
      </c>
      <c r="E2126">
        <v>0.52240559999999903</v>
      </c>
      <c r="F2126" t="s">
        <v>42</v>
      </c>
      <c r="G2126">
        <v>-378.27480000000003</v>
      </c>
      <c r="H2126">
        <v>0.99471430000000005</v>
      </c>
      <c r="I2126">
        <v>21.667179999999998</v>
      </c>
      <c r="J2126">
        <v>-378.9298</v>
      </c>
      <c r="K2126">
        <v>1.1072569999999999</v>
      </c>
      <c r="L2126">
        <v>21.705780000000001</v>
      </c>
      <c r="M2126">
        <v>0.99886299999999995</v>
      </c>
      <c r="N2126">
        <v>0</v>
      </c>
      <c r="O2126">
        <v>-4.6313890000000003E-2</v>
      </c>
      <c r="P2126">
        <v>0.99057280000000003</v>
      </c>
      <c r="Q2126">
        <v>0.13694909999999999</v>
      </c>
      <c r="R2126">
        <v>3.2267609999999999E-3</v>
      </c>
      <c r="S2126">
        <v>3.079834</v>
      </c>
      <c r="T2126">
        <v>-0.37399650000000001</v>
      </c>
      <c r="U2126">
        <v>-0.1595154</v>
      </c>
      <c r="V2126">
        <v>-5.0212880000000001E-2</v>
      </c>
      <c r="W2126">
        <v>0.14776500000000001</v>
      </c>
      <c r="X2126">
        <v>0.98774700000000004</v>
      </c>
      <c r="Y2126">
        <v>5.7109539999999999E-3</v>
      </c>
      <c r="Z2126">
        <v>5.2517090000000002E-3</v>
      </c>
      <c r="AA2126">
        <v>0.99996989999999997</v>
      </c>
      <c r="AB2126">
        <v>28</v>
      </c>
      <c r="AC2126">
        <v>0.65499999999997205</v>
      </c>
      <c r="AD2126">
        <v>-0.112542699999999</v>
      </c>
      <c r="AE2126">
        <v>-3.8599999999998802E-2</v>
      </c>
      <c r="AF2126">
        <v>7.9860862244118501E-3</v>
      </c>
      <c r="AG2126">
        <v>-0.112542699999999</v>
      </c>
      <c r="AH2126">
        <v>0.63733434551852697</v>
      </c>
      <c r="AI2126">
        <v>100.013480923665</v>
      </c>
      <c r="AJ2126">
        <v>89.282095664561496</v>
      </c>
      <c r="AK2126">
        <v>0.64724392996304103</v>
      </c>
      <c r="AL2126">
        <v>81.502572670258004</v>
      </c>
      <c r="AM2126">
        <v>92.910169940871299</v>
      </c>
      <c r="AN2126">
        <v>0.999999982275947</v>
      </c>
    </row>
    <row r="2127" spans="1:40" x14ac:dyDescent="0.3">
      <c r="A2127" t="str">
        <f>"20200111150358686"</f>
        <v>20200111150358686</v>
      </c>
      <c r="B2127" t="str">
        <f>"1578726238681199"</f>
        <v>1578726238681199</v>
      </c>
      <c r="C2127" t="s">
        <v>40</v>
      </c>
      <c r="D2127">
        <v>5.6009589999999996</v>
      </c>
      <c r="E2127">
        <v>0.52190309999999995</v>
      </c>
      <c r="F2127" t="s">
        <v>42</v>
      </c>
      <c r="G2127">
        <v>-378.0204</v>
      </c>
      <c r="H2127">
        <v>0.99689170000000005</v>
      </c>
      <c r="I2127">
        <v>21.662500000000001</v>
      </c>
      <c r="J2127">
        <v>-378.75200000000001</v>
      </c>
      <c r="K2127">
        <v>1.1073219999999999</v>
      </c>
      <c r="L2127">
        <v>21.700199999999999</v>
      </c>
      <c r="M2127">
        <v>0.9989827</v>
      </c>
      <c r="N2127">
        <v>0</v>
      </c>
      <c r="O2127">
        <v>-4.3648409999999999E-2</v>
      </c>
      <c r="P2127">
        <v>0.99054960000000003</v>
      </c>
      <c r="Q2127">
        <v>0.1370546</v>
      </c>
      <c r="R2127">
        <v>5.2837300000000004E-3</v>
      </c>
      <c r="S2127">
        <v>3.0806879999999999</v>
      </c>
      <c r="T2127">
        <v>-0.37386900000000001</v>
      </c>
      <c r="U2127">
        <v>-0.14663699999999999</v>
      </c>
      <c r="V2127">
        <v>-4.9651019999999997E-2</v>
      </c>
      <c r="W2127">
        <v>0.14788479999999901</v>
      </c>
      <c r="X2127">
        <v>0.98775749999999995</v>
      </c>
      <c r="Y2127">
        <v>4.186375E-3</v>
      </c>
      <c r="Z2127">
        <v>5.0195639999999998E-3</v>
      </c>
      <c r="AA2127">
        <v>0.9999787</v>
      </c>
      <c r="AB2127">
        <v>28</v>
      </c>
      <c r="AC2127">
        <v>0.73159999999995695</v>
      </c>
      <c r="AD2127">
        <v>-0.110430299999999</v>
      </c>
      <c r="AE2127">
        <v>-3.7699999999997402E-2</v>
      </c>
      <c r="AF2127">
        <v>5.6015512958215597E-3</v>
      </c>
      <c r="AG2127">
        <v>-0.110430299999999</v>
      </c>
      <c r="AH2127">
        <v>0.71627202385177402</v>
      </c>
      <c r="AI2127">
        <v>98.764229976936505</v>
      </c>
      <c r="AJ2127">
        <v>89.551931815527496</v>
      </c>
      <c r="AK2127">
        <v>0.72475640092911697</v>
      </c>
      <c r="AL2127">
        <v>81.495632609886997</v>
      </c>
      <c r="AM2127">
        <v>92.877630925708303</v>
      </c>
      <c r="AN2127">
        <v>1.0000000083321601</v>
      </c>
    </row>
    <row r="2128" spans="1:40" x14ac:dyDescent="0.3">
      <c r="A2128" t="str">
        <f>"20200111150358706"</f>
        <v>20200111150358706</v>
      </c>
      <c r="B2128" t="str">
        <f>"1578726238700719"</f>
        <v>1578726238700719</v>
      </c>
      <c r="C2128" t="s">
        <v>40</v>
      </c>
      <c r="D2128">
        <v>5.7100339999999896</v>
      </c>
      <c r="E2128">
        <v>0.52109550000000004</v>
      </c>
      <c r="F2128" t="s">
        <v>42</v>
      </c>
      <c r="G2128">
        <v>-378.0102</v>
      </c>
      <c r="H2128">
        <v>1.0172099999999999</v>
      </c>
      <c r="I2128">
        <v>21.66761</v>
      </c>
      <c r="J2128">
        <v>-378.50360000000001</v>
      </c>
      <c r="K2128">
        <v>1.1073919999999999</v>
      </c>
      <c r="L2128">
        <v>21.693239999999999</v>
      </c>
      <c r="M2128">
        <v>0.99914020000000003</v>
      </c>
      <c r="N2128">
        <v>0</v>
      </c>
      <c r="O2128">
        <v>-3.987417E-2</v>
      </c>
      <c r="P2128">
        <v>0.99050260000000001</v>
      </c>
      <c r="Q2128">
        <v>0.13726250000000001</v>
      </c>
      <c r="R2128">
        <v>7.9979839999999996E-3</v>
      </c>
      <c r="S2128">
        <v>3.0811459999999999</v>
      </c>
      <c r="T2128">
        <v>-0.37430629999999998</v>
      </c>
      <c r="U2128">
        <v>-0.135376</v>
      </c>
      <c r="V2128">
        <v>-4.8650789999999999E-2</v>
      </c>
      <c r="W2128">
        <v>0.148114</v>
      </c>
      <c r="X2128">
        <v>0.98777289999999995</v>
      </c>
      <c r="Y2128">
        <v>4.2822820000000001E-3</v>
      </c>
      <c r="Z2128">
        <v>4.5632440000000002E-3</v>
      </c>
      <c r="AA2128">
        <v>0.99998039999999999</v>
      </c>
      <c r="AB2128">
        <v>28</v>
      </c>
      <c r="AC2128">
        <v>0.493400000000008</v>
      </c>
      <c r="AD2128">
        <v>-9.0181999999999901E-2</v>
      </c>
      <c r="AE2128">
        <v>-2.5629999999999601E-2</v>
      </c>
      <c r="AF2128">
        <v>5.7430856721474204E-3</v>
      </c>
      <c r="AG2128">
        <v>-9.0181999999999901E-2</v>
      </c>
      <c r="AH2128">
        <v>0.47810052611647802</v>
      </c>
      <c r="AI2128">
        <v>100.681191681678</v>
      </c>
      <c r="AJ2128">
        <v>89.311779161945196</v>
      </c>
      <c r="AK2128">
        <v>0.48656540077351401</v>
      </c>
      <c r="AL2128">
        <v>81.482353937779905</v>
      </c>
      <c r="AM2128">
        <v>92.819711086207406</v>
      </c>
      <c r="AN2128">
        <v>0.99999997916901595</v>
      </c>
    </row>
    <row r="2129" spans="1:40" x14ac:dyDescent="0.3">
      <c r="A2129" t="str">
        <f>"20200111150358719"</f>
        <v>20200111150358719</v>
      </c>
      <c r="B2129" t="str">
        <f>"1578726238710479"</f>
        <v>1578726238710479</v>
      </c>
      <c r="C2129" t="s">
        <v>40</v>
      </c>
      <c r="D2129">
        <v>5.510758</v>
      </c>
      <c r="E2129">
        <v>0.52073649999999905</v>
      </c>
      <c r="F2129" t="s">
        <v>42</v>
      </c>
      <c r="G2129">
        <v>-377.75740000000002</v>
      </c>
      <c r="H2129">
        <v>1.0162739999999999</v>
      </c>
      <c r="I2129">
        <v>21.664010000000001</v>
      </c>
      <c r="J2129">
        <v>-378.34140000000002</v>
      </c>
      <c r="K2129">
        <v>1.1074280000000001</v>
      </c>
      <c r="L2129">
        <v>21.689299999999999</v>
      </c>
      <c r="M2129">
        <v>0.99923629999999997</v>
      </c>
      <c r="N2129">
        <v>0</v>
      </c>
      <c r="O2129">
        <v>-3.7385359999999999E-2</v>
      </c>
      <c r="P2129">
        <v>0.99046829999999997</v>
      </c>
      <c r="Q2129">
        <v>0.13738069999999999</v>
      </c>
      <c r="R2129">
        <v>9.9584830000000006E-3</v>
      </c>
      <c r="S2129">
        <v>3.081909</v>
      </c>
      <c r="T2129">
        <v>-0.37675399999999998</v>
      </c>
      <c r="U2129">
        <v>-0.1192932</v>
      </c>
      <c r="V2129">
        <v>-4.815763E-2</v>
      </c>
      <c r="W2129">
        <v>0.1482446</v>
      </c>
      <c r="X2129">
        <v>0.98777749999999997</v>
      </c>
      <c r="Y2129">
        <v>1.5579109999999999E-3</v>
      </c>
      <c r="Z2129">
        <v>4.4554520000000004E-3</v>
      </c>
      <c r="AA2129">
        <v>0.99998889999999996</v>
      </c>
      <c r="AB2129">
        <v>28</v>
      </c>
      <c r="AC2129">
        <v>0.58400000000000296</v>
      </c>
      <c r="AD2129">
        <v>-9.1154000000000096E-2</v>
      </c>
      <c r="AE2129">
        <v>-2.5289999999998199E-2</v>
      </c>
      <c r="AF2129">
        <v>3.3562436255439301E-3</v>
      </c>
      <c r="AG2129">
        <v>-9.1154000000000096E-2</v>
      </c>
      <c r="AH2129">
        <v>0.57066040689043895</v>
      </c>
      <c r="AI2129">
        <v>99.075274488889406</v>
      </c>
      <c r="AJ2129">
        <v>89.663028352277394</v>
      </c>
      <c r="AK2129">
        <v>0.57790450429083495</v>
      </c>
      <c r="AL2129">
        <v>81.474787794491803</v>
      </c>
      <c r="AM2129">
        <v>92.791160884388901</v>
      </c>
      <c r="AN2129">
        <v>1.00000000413131</v>
      </c>
    </row>
    <row r="2130" spans="1:40" x14ac:dyDescent="0.3">
      <c r="A2130" t="str">
        <f>"20200111150358733"</f>
        <v>20200111150358733</v>
      </c>
      <c r="B2130" t="str">
        <f>"1578726238730975"</f>
        <v>1578726238730975</v>
      </c>
      <c r="C2130" t="s">
        <v>40</v>
      </c>
      <c r="D2130">
        <v>5.5271179999999998</v>
      </c>
      <c r="E2130">
        <v>0.52029420000000004</v>
      </c>
      <c r="F2130" t="s">
        <v>42</v>
      </c>
      <c r="G2130">
        <v>-377.5095</v>
      </c>
      <c r="H2130">
        <v>1.0050509999999999</v>
      </c>
      <c r="I2130">
        <v>21.659379999999999</v>
      </c>
      <c r="J2130">
        <v>-378.15629999999999</v>
      </c>
      <c r="K2130">
        <v>1.107459</v>
      </c>
      <c r="L2130">
        <v>21.685210000000001</v>
      </c>
      <c r="M2130">
        <v>0.99933870000000002</v>
      </c>
      <c r="N2130">
        <v>0</v>
      </c>
      <c r="O2130">
        <v>-3.4531539999999999E-2</v>
      </c>
      <c r="P2130">
        <v>0.99036570000000002</v>
      </c>
      <c r="Q2130">
        <v>0.137955299999999</v>
      </c>
      <c r="R2130">
        <v>1.2003450000000001E-2</v>
      </c>
      <c r="S2130">
        <v>3.0826419999999999</v>
      </c>
      <c r="T2130">
        <v>-0.37969900000000001</v>
      </c>
      <c r="U2130">
        <v>-0.1097717</v>
      </c>
      <c r="V2130">
        <v>-4.7388449999999999E-2</v>
      </c>
      <c r="W2130">
        <v>0.148835</v>
      </c>
      <c r="X2130">
        <v>0.98772590000000005</v>
      </c>
      <c r="Y2130">
        <v>1.304588E-3</v>
      </c>
      <c r="Z2130">
        <v>4.1549990000000004E-3</v>
      </c>
      <c r="AA2130">
        <v>0.9999905</v>
      </c>
      <c r="AB2130">
        <v>29</v>
      </c>
      <c r="AC2130">
        <v>0.64679999999998405</v>
      </c>
      <c r="AD2130">
        <v>-0.102408</v>
      </c>
      <c r="AE2130">
        <v>-2.5830000000002601E-2</v>
      </c>
      <c r="AF2130">
        <v>3.3932168789358799E-3</v>
      </c>
      <c r="AG2130">
        <v>-0.102408</v>
      </c>
      <c r="AH2130">
        <v>0.63150066579589303</v>
      </c>
      <c r="AI2130">
        <v>99.211115679559299</v>
      </c>
      <c r="AJ2130">
        <v>89.692137877860901</v>
      </c>
      <c r="AK2130">
        <v>0.639759332316023</v>
      </c>
      <c r="AL2130">
        <v>81.440580749854206</v>
      </c>
      <c r="AM2130">
        <v>92.746792184960299</v>
      </c>
      <c r="AN2130">
        <v>0.99999998797460599</v>
      </c>
    </row>
    <row r="2131" spans="1:40" x14ac:dyDescent="0.3">
      <c r="A2131" t="str">
        <f>"20200111150358751"</f>
        <v>20200111150358751</v>
      </c>
      <c r="B2131" t="str">
        <f>"1578726238740734"</f>
        <v>1578726238740734</v>
      </c>
      <c r="C2131" t="s">
        <v>40</v>
      </c>
      <c r="D2131">
        <v>5.4441769999999998</v>
      </c>
      <c r="E2131">
        <v>0.4796356</v>
      </c>
      <c r="F2131" t="s">
        <v>42</v>
      </c>
      <c r="G2131">
        <v>-377.25959999999998</v>
      </c>
      <c r="H2131">
        <v>0.99782059999999995</v>
      </c>
      <c r="I2131">
        <v>21.65598</v>
      </c>
      <c r="J2131">
        <v>-377.92529999999999</v>
      </c>
      <c r="K2131">
        <v>1.1074809999999999</v>
      </c>
      <c r="L2131">
        <v>21.680910000000001</v>
      </c>
      <c r="M2131">
        <v>0.99945569999999895</v>
      </c>
      <c r="N2131">
        <v>0</v>
      </c>
      <c r="O2131">
        <v>-3.0954280000000001E-2</v>
      </c>
      <c r="P2131">
        <v>0.9903016</v>
      </c>
      <c r="Q2131">
        <v>0.13820299999999999</v>
      </c>
      <c r="R2131">
        <v>1.4240310000000001E-2</v>
      </c>
      <c r="S2131">
        <v>3.0829770000000001</v>
      </c>
      <c r="T2131">
        <v>-0.3773282</v>
      </c>
      <c r="U2131">
        <v>-9.9121089999999995E-2</v>
      </c>
      <c r="V2131">
        <v>-4.6093179999999997E-2</v>
      </c>
      <c r="W2131">
        <v>0.14910519999999999</v>
      </c>
      <c r="X2131">
        <v>0.98774649999999997</v>
      </c>
      <c r="Y2131">
        <v>1.3989969999999999E-3</v>
      </c>
      <c r="Z2131">
        <v>3.687526E-3</v>
      </c>
      <c r="AA2131">
        <v>0.99999229999999995</v>
      </c>
      <c r="AB2131">
        <v>29</v>
      </c>
      <c r="AC2131">
        <v>0.66570000000001495</v>
      </c>
      <c r="AD2131">
        <v>-0.10966039999999901</v>
      </c>
      <c r="AE2131">
        <v>-2.4930000000001201E-2</v>
      </c>
      <c r="AF2131">
        <v>4.1967249126022496E-3</v>
      </c>
      <c r="AG2131">
        <v>-0.10966039999999901</v>
      </c>
      <c r="AH2131">
        <v>0.64857767419830203</v>
      </c>
      <c r="AI2131">
        <v>99.596513249513606</v>
      </c>
      <c r="AJ2131">
        <v>89.629263727352395</v>
      </c>
      <c r="AK2131">
        <v>0.65779633268712501</v>
      </c>
      <c r="AL2131">
        <v>81.424925228919193</v>
      </c>
      <c r="AM2131">
        <v>92.671768704550104</v>
      </c>
      <c r="AN2131">
        <v>1.0000000450858999</v>
      </c>
    </row>
    <row r="2132" spans="1:40" x14ac:dyDescent="0.3">
      <c r="A2132" t="str">
        <f>"20200111150358772"</f>
        <v>20200111150358772</v>
      </c>
      <c r="B2132" t="str">
        <f>"1578726238770993"</f>
        <v>1578726238770993</v>
      </c>
      <c r="C2132" t="s">
        <v>40</v>
      </c>
      <c r="D2132">
        <v>5.4852679999999996</v>
      </c>
      <c r="E2132">
        <v>0.47685569999999999</v>
      </c>
      <c r="F2132" t="s">
        <v>76</v>
      </c>
      <c r="G2132">
        <v>-366.50850000000003</v>
      </c>
      <c r="H2132" s="1">
        <v>-2.428197E-6</v>
      </c>
      <c r="I2132">
        <v>22.53764</v>
      </c>
      <c r="J2132">
        <v>-377.65519999999998</v>
      </c>
      <c r="K2132">
        <v>1.1074980000000001</v>
      </c>
      <c r="L2132">
        <v>21.676970000000001</v>
      </c>
      <c r="M2132">
        <v>0.99957669999999998</v>
      </c>
      <c r="N2132">
        <v>0</v>
      </c>
      <c r="O2132">
        <v>-2.676195E-2</v>
      </c>
      <c r="P2132">
        <v>0.99029330000000004</v>
      </c>
      <c r="Q2132">
        <v>0.13790189999999999</v>
      </c>
      <c r="R2132">
        <v>1.738367E-2</v>
      </c>
      <c r="S2132">
        <v>3.0675659999999998</v>
      </c>
      <c r="T2132">
        <v>-0.29756709999999997</v>
      </c>
      <c r="U2132">
        <v>0.23019410000000001</v>
      </c>
      <c r="V2132">
        <v>-4.5089490000000003E-2</v>
      </c>
      <c r="W2132">
        <v>0.14882699999999999</v>
      </c>
      <c r="X2132">
        <v>0.98783480000000001</v>
      </c>
      <c r="Y2132">
        <v>-0.1008966</v>
      </c>
      <c r="Z2132">
        <v>7.4623550000000004E-3</v>
      </c>
      <c r="AA2132">
        <v>0.99486889999999994</v>
      </c>
      <c r="AB2132">
        <v>29</v>
      </c>
      <c r="AC2132">
        <v>11.1466999999999</v>
      </c>
      <c r="AD2132">
        <v>-1.10750042819699</v>
      </c>
      <c r="AE2132">
        <v>0.86066999999999805</v>
      </c>
      <c r="AF2132">
        <v>-1.14742852651216</v>
      </c>
      <c r="AG2132">
        <v>-1.10750042819699</v>
      </c>
      <c r="AH2132">
        <v>11.0116125059032</v>
      </c>
      <c r="AI2132">
        <v>95.712525470954802</v>
      </c>
      <c r="AJ2132">
        <v>95.948847648957596</v>
      </c>
      <c r="AK2132">
        <v>11.1264890869525</v>
      </c>
      <c r="AL2132">
        <v>81.441044943338099</v>
      </c>
      <c r="AM2132">
        <v>92.613438569952606</v>
      </c>
      <c r="AN2132">
        <v>1.00000006506424</v>
      </c>
    </row>
    <row r="2133" spans="1:40" x14ac:dyDescent="0.3">
      <c r="A2133" t="str">
        <f>"20200111150358786"</f>
        <v>20200111150358786</v>
      </c>
      <c r="B2133" t="str">
        <f>"1578726238780751"</f>
        <v>1578726238780751</v>
      </c>
      <c r="C2133" t="s">
        <v>40</v>
      </c>
      <c r="D2133">
        <v>5.4830240000000003</v>
      </c>
      <c r="E2133">
        <v>0.47670299999999999</v>
      </c>
      <c r="F2133" t="s">
        <v>76</v>
      </c>
      <c r="G2133">
        <v>-366.18119999999999</v>
      </c>
      <c r="H2133" s="1">
        <v>-2.6145850000000001E-6</v>
      </c>
      <c r="I2133">
        <v>22.656659999999999</v>
      </c>
      <c r="J2133">
        <v>-377.4742</v>
      </c>
      <c r="K2133">
        <v>1.107507</v>
      </c>
      <c r="L2133">
        <v>21.67493</v>
      </c>
      <c r="M2133">
        <v>0.99964790000000003</v>
      </c>
      <c r="N2133">
        <v>0</v>
      </c>
      <c r="O2133">
        <v>-2.395197E-2</v>
      </c>
      <c r="P2133">
        <v>0.9903286</v>
      </c>
      <c r="Q2133">
        <v>0.1373441</v>
      </c>
      <c r="R2133">
        <v>1.964788E-2</v>
      </c>
      <c r="S2133">
        <v>3.0659480000000001</v>
      </c>
      <c r="T2133">
        <v>-0.29593229999999998</v>
      </c>
      <c r="U2133">
        <v>0.26177979999999901</v>
      </c>
      <c r="V2133">
        <v>-4.4570779999999997E-2</v>
      </c>
      <c r="W2133">
        <v>0.14828379999999999</v>
      </c>
      <c r="X2133">
        <v>0.98794000000000004</v>
      </c>
      <c r="Y2133">
        <v>-0.1083052</v>
      </c>
      <c r="Z2133">
        <v>7.5083609999999999E-3</v>
      </c>
      <c r="AA2133">
        <v>0.99408940000000001</v>
      </c>
      <c r="AB2133">
        <v>29</v>
      </c>
      <c r="AC2133">
        <v>11.292999999999999</v>
      </c>
      <c r="AD2133">
        <v>-1.1075096145850001</v>
      </c>
      <c r="AE2133">
        <v>0.98173000000000199</v>
      </c>
      <c r="AF2133">
        <v>-1.24011778679023</v>
      </c>
      <c r="AG2133">
        <v>-1.1075096145850001</v>
      </c>
      <c r="AH2133">
        <v>11.159716811618001</v>
      </c>
      <c r="AI2133">
        <v>95.6331254843832</v>
      </c>
      <c r="AJ2133">
        <v>96.340948684470106</v>
      </c>
      <c r="AK2133">
        <v>11.282896303122699</v>
      </c>
      <c r="AL2133">
        <v>81.4725170219522</v>
      </c>
      <c r="AM2133">
        <v>92.583139791651405</v>
      </c>
      <c r="AN2133">
        <v>1.0000000416861199</v>
      </c>
    </row>
    <row r="2134" spans="1:40" x14ac:dyDescent="0.3">
      <c r="A2134" t="str">
        <f>"20200111150358799"</f>
        <v>20200111150358799</v>
      </c>
      <c r="B2134" t="str">
        <f>"1578726238790511"</f>
        <v>1578726238790511</v>
      </c>
      <c r="C2134" t="s">
        <v>40</v>
      </c>
      <c r="D2134">
        <v>5.531066</v>
      </c>
      <c r="E2134">
        <v>0.47675699999999999</v>
      </c>
      <c r="F2134" t="s">
        <v>76</v>
      </c>
      <c r="G2134">
        <v>-366.11849999999998</v>
      </c>
      <c r="H2134" s="1">
        <v>-2.6491230000000002E-6</v>
      </c>
      <c r="I2134">
        <v>22.6752</v>
      </c>
      <c r="J2134">
        <v>-377.31349999999998</v>
      </c>
      <c r="K2134">
        <v>1.10751</v>
      </c>
      <c r="L2134">
        <v>21.673649999999999</v>
      </c>
      <c r="M2134">
        <v>0.99970420000000004</v>
      </c>
      <c r="N2134">
        <v>0</v>
      </c>
      <c r="O2134">
        <v>-2.146292E-2</v>
      </c>
      <c r="P2134">
        <v>0.9903632</v>
      </c>
      <c r="Q2134">
        <v>0.1368414</v>
      </c>
      <c r="R2134">
        <v>2.1328010000000001E-2</v>
      </c>
      <c r="S2134">
        <v>3.0653990000000002</v>
      </c>
      <c r="T2134">
        <v>-0.2989676</v>
      </c>
      <c r="U2134">
        <v>0.27001950000000002</v>
      </c>
      <c r="V2134">
        <v>-4.3784469999999999E-2</v>
      </c>
      <c r="W2134">
        <v>0.1477957</v>
      </c>
      <c r="X2134">
        <v>0.98804829999999999</v>
      </c>
      <c r="Y2134">
        <v>-0.1084956</v>
      </c>
      <c r="Z2134">
        <v>7.352946E-3</v>
      </c>
      <c r="AA2134">
        <v>0.9940698</v>
      </c>
      <c r="AB2134">
        <v>29</v>
      </c>
      <c r="AC2134">
        <v>11.194999999999901</v>
      </c>
      <c r="AD2134">
        <v>-1.1075126491230001</v>
      </c>
      <c r="AE2134">
        <v>1.0015499999999999</v>
      </c>
      <c r="AF2134">
        <v>-1.2296731289968601</v>
      </c>
      <c r="AG2134">
        <v>-1.1075126491230001</v>
      </c>
      <c r="AH2134">
        <v>11.0635045821787</v>
      </c>
      <c r="AI2134">
        <v>95.681795653965494</v>
      </c>
      <c r="AJ2134">
        <v>96.342211613112795</v>
      </c>
      <c r="AK2134">
        <v>11.1865908082862</v>
      </c>
      <c r="AL2134">
        <v>81.500794707259899</v>
      </c>
      <c r="AM2134">
        <v>92.537350805329396</v>
      </c>
      <c r="AN2134">
        <v>1.00000004594227</v>
      </c>
    </row>
    <row r="2135" spans="1:40" x14ac:dyDescent="0.3">
      <c r="A2135" t="str">
        <f>"20200111150358819"</f>
        <v>20200111150358819</v>
      </c>
      <c r="B2135" t="str">
        <f>"1578726238811007"</f>
        <v>1578726238811007</v>
      </c>
      <c r="C2135" t="s">
        <v>40</v>
      </c>
      <c r="D2135">
        <v>5.5115939999999997</v>
      </c>
      <c r="E2135">
        <v>0.47653479999999998</v>
      </c>
      <c r="F2135" t="s">
        <v>76</v>
      </c>
      <c r="G2135">
        <v>-366.10550000000001</v>
      </c>
      <c r="H2135" s="1">
        <v>-2.65675E-6</v>
      </c>
      <c r="I2135">
        <v>22.680769999999999</v>
      </c>
      <c r="J2135">
        <v>-377.07100000000003</v>
      </c>
      <c r="K2135">
        <v>1.1075140000000001</v>
      </c>
      <c r="L2135">
        <v>21.672360000000001</v>
      </c>
      <c r="M2135">
        <v>0.99977760000000004</v>
      </c>
      <c r="N2135">
        <v>0</v>
      </c>
      <c r="O2135">
        <v>-1.7715040000000001E-2</v>
      </c>
      <c r="P2135">
        <v>0.99039149999999998</v>
      </c>
      <c r="Q2135">
        <v>0.13643910000000001</v>
      </c>
      <c r="R2135">
        <v>2.2568040000000001E-2</v>
      </c>
      <c r="S2135">
        <v>3.0650629999999999</v>
      </c>
      <c r="T2135">
        <v>-0.30287370000000002</v>
      </c>
      <c r="U2135">
        <v>0.27542109999999997</v>
      </c>
      <c r="V2135">
        <v>-4.1312219999999997E-2</v>
      </c>
      <c r="W2135">
        <v>0.14742549999999999</v>
      </c>
      <c r="X2135">
        <v>0.98821000000000003</v>
      </c>
      <c r="Y2135">
        <v>-0.1065282</v>
      </c>
      <c r="Z2135">
        <v>6.9831779999999996E-3</v>
      </c>
      <c r="AA2135">
        <v>0.99428519999999998</v>
      </c>
      <c r="AB2135">
        <v>29</v>
      </c>
      <c r="AC2135">
        <v>10.965499999999899</v>
      </c>
      <c r="AD2135">
        <v>-1.1075166567500001</v>
      </c>
      <c r="AE2135">
        <v>1.00841</v>
      </c>
      <c r="AF2135">
        <v>-1.1904764903216001</v>
      </c>
      <c r="AG2135">
        <v>-1.1075166567500001</v>
      </c>
      <c r="AH2135">
        <v>10.836299523689201</v>
      </c>
      <c r="AI2135">
        <v>95.800952208328596</v>
      </c>
      <c r="AJ2135">
        <v>96.269376121976407</v>
      </c>
      <c r="AK2135">
        <v>10.957609902989599</v>
      </c>
      <c r="AL2135">
        <v>81.522240060439998</v>
      </c>
      <c r="AM2135">
        <v>92.393862007360397</v>
      </c>
      <c r="AN2135">
        <v>0.99999999083578905</v>
      </c>
    </row>
    <row r="2136" spans="1:40" x14ac:dyDescent="0.3">
      <c r="A2136" t="str">
        <f>"20200111150358836"</f>
        <v>20200111150358836</v>
      </c>
      <c r="B2136" t="str">
        <f>"1578726238830527"</f>
        <v>1578726238830527</v>
      </c>
      <c r="C2136" t="s">
        <v>40</v>
      </c>
      <c r="D2136">
        <v>5.4667349999999999</v>
      </c>
      <c r="E2136">
        <v>0.47674060000000001</v>
      </c>
      <c r="F2136" t="s">
        <v>76</v>
      </c>
      <c r="G2136">
        <v>-365.92059999999998</v>
      </c>
      <c r="H2136" s="1">
        <v>-2.7492190000000002E-6</v>
      </c>
      <c r="I2136">
        <v>22.699680000000001</v>
      </c>
      <c r="J2136">
        <v>-376.86610000000002</v>
      </c>
      <c r="K2136">
        <v>1.1075120000000001</v>
      </c>
      <c r="L2136">
        <v>21.672000000000001</v>
      </c>
      <c r="M2136">
        <v>0.99982850000000001</v>
      </c>
      <c r="N2136">
        <v>0</v>
      </c>
      <c r="O2136">
        <v>-1.456119E-2</v>
      </c>
      <c r="P2136">
        <v>0.99035519999999999</v>
      </c>
      <c r="Q2136">
        <v>0.1364031</v>
      </c>
      <c r="R2136">
        <v>2.430968E-2</v>
      </c>
      <c r="S2136">
        <v>3.0646059999999999</v>
      </c>
      <c r="T2136">
        <v>-0.30439080000000002</v>
      </c>
      <c r="U2136">
        <v>0.28234860000000001</v>
      </c>
      <c r="V2136">
        <v>-3.9929729999999997E-2</v>
      </c>
      <c r="W2136">
        <v>0.1474104</v>
      </c>
      <c r="X2136">
        <v>0.98826910000000001</v>
      </c>
      <c r="Y2136">
        <v>-0.1056478</v>
      </c>
      <c r="Z2136">
        <v>6.6628649999999996E-3</v>
      </c>
      <c r="AA2136">
        <v>0.99438130000000002</v>
      </c>
      <c r="AB2136">
        <v>29</v>
      </c>
      <c r="AC2136">
        <v>10.945499999999999</v>
      </c>
      <c r="AD2136">
        <v>-1.1075147492190001</v>
      </c>
      <c r="AE2136">
        <v>1.0276799999999999</v>
      </c>
      <c r="AF2136">
        <v>-1.1750357310344901</v>
      </c>
      <c r="AG2136">
        <v>-1.1075147492190001</v>
      </c>
      <c r="AH2136">
        <v>10.819568195935201</v>
      </c>
      <c r="AI2136">
        <v>95.810634626559505</v>
      </c>
      <c r="AJ2136">
        <v>96.198191660550506</v>
      </c>
      <c r="AK2136">
        <v>10.939394582674</v>
      </c>
      <c r="AL2136">
        <v>81.523114961776301</v>
      </c>
      <c r="AM2136">
        <v>92.313703128018602</v>
      </c>
      <c r="AN2136">
        <v>1.00000001169042</v>
      </c>
    </row>
    <row r="2137" spans="1:40" x14ac:dyDescent="0.3">
      <c r="A2137" t="str">
        <f>"20200111150358852"</f>
        <v>20200111150358852</v>
      </c>
      <c r="B2137" t="str">
        <f>"1578726238840287"</f>
        <v>1578726238840287</v>
      </c>
      <c r="C2137" t="s">
        <v>40</v>
      </c>
      <c r="D2137">
        <v>5.4861000000000004</v>
      </c>
      <c r="E2137">
        <v>0.4767382</v>
      </c>
      <c r="F2137" t="s">
        <v>76</v>
      </c>
      <c r="G2137">
        <v>-365.91879999999998</v>
      </c>
      <c r="H2137" s="1">
        <v>-2.7489800000000001E-6</v>
      </c>
      <c r="I2137">
        <v>22.695640000000001</v>
      </c>
      <c r="J2137">
        <v>-376.64460000000003</v>
      </c>
      <c r="K2137">
        <v>1.1075060000000001</v>
      </c>
      <c r="L2137">
        <v>21.672239999999999</v>
      </c>
      <c r="M2137">
        <v>0.99987210000000004</v>
      </c>
      <c r="N2137">
        <v>0</v>
      </c>
      <c r="O2137">
        <v>-1.11705E-2</v>
      </c>
      <c r="P2137">
        <v>0.99019539999999995</v>
      </c>
      <c r="Q2137">
        <v>0.13745379999999999</v>
      </c>
      <c r="R2137">
        <v>2.489558E-2</v>
      </c>
      <c r="S2137">
        <v>3.0649109999999999</v>
      </c>
      <c r="T2137">
        <v>-0.31007099999999999</v>
      </c>
      <c r="U2137">
        <v>0.28659059999999997</v>
      </c>
      <c r="V2137">
        <v>-3.7162010000000002E-2</v>
      </c>
      <c r="W2137">
        <v>0.14849119999999999</v>
      </c>
      <c r="X2137">
        <v>0.98821519999999996</v>
      </c>
      <c r="Y2137">
        <v>-0.1036366</v>
      </c>
      <c r="Z2137">
        <v>6.342706E-3</v>
      </c>
      <c r="AA2137">
        <v>0.99459500000000001</v>
      </c>
      <c r="AB2137">
        <v>29</v>
      </c>
      <c r="AC2137">
        <v>10.7258</v>
      </c>
      <c r="AD2137">
        <v>-1.10750874898</v>
      </c>
      <c r="AE2137">
        <v>1.0234000000000001</v>
      </c>
      <c r="AF2137">
        <v>-1.1312045488376099</v>
      </c>
      <c r="AG2137">
        <v>-1.10750874898</v>
      </c>
      <c r="AH2137">
        <v>10.6016836681135</v>
      </c>
      <c r="AI2137">
        <v>95.930371826582302</v>
      </c>
      <c r="AJ2137">
        <v>96.090442712604101</v>
      </c>
      <c r="AK2137">
        <v>10.719230194333999</v>
      </c>
      <c r="AL2137">
        <v>81.460500203315405</v>
      </c>
      <c r="AM2137">
        <v>92.153603284494693</v>
      </c>
      <c r="AN2137">
        <v>0.99999996648785905</v>
      </c>
    </row>
    <row r="2138" spans="1:40" x14ac:dyDescent="0.3">
      <c r="A2138" t="str">
        <f>"20200111150358874"</f>
        <v>20200111150358874</v>
      </c>
      <c r="B2138" t="str">
        <f>"1578726238870544"</f>
        <v>1578726238870544</v>
      </c>
      <c r="C2138" t="s">
        <v>40</v>
      </c>
      <c r="D2138">
        <v>5.5023589999999896</v>
      </c>
      <c r="E2138">
        <v>0.4769736</v>
      </c>
      <c r="F2138" t="s">
        <v>76</v>
      </c>
      <c r="G2138">
        <v>-365.6497</v>
      </c>
      <c r="H2138" s="1">
        <v>-2.8788619999999999E-6</v>
      </c>
      <c r="I2138">
        <v>22.705670000000001</v>
      </c>
      <c r="J2138">
        <v>-376.37130000000002</v>
      </c>
      <c r="K2138">
        <v>1.1074900000000001</v>
      </c>
      <c r="L2138">
        <v>21.673649999999999</v>
      </c>
      <c r="M2138">
        <v>0.99990970000000001</v>
      </c>
      <c r="N2138">
        <v>0</v>
      </c>
      <c r="O2138">
        <v>-7.0184690000000003E-3</v>
      </c>
      <c r="P2138">
        <v>0.99006539999999998</v>
      </c>
      <c r="Q2138">
        <v>0.13796989999999901</v>
      </c>
      <c r="R2138">
        <v>2.7114510000000001E-2</v>
      </c>
      <c r="S2138">
        <v>3.0653380000000001</v>
      </c>
      <c r="T2138">
        <v>-0.3087685</v>
      </c>
      <c r="U2138">
        <v>0.2881165</v>
      </c>
      <c r="V2138">
        <v>-3.5267100000000003E-2</v>
      </c>
      <c r="W2138">
        <v>0.1490321</v>
      </c>
      <c r="X2138">
        <v>0.98820319999999995</v>
      </c>
      <c r="Y2138">
        <v>-0.10002809999999999</v>
      </c>
      <c r="Z2138">
        <v>5.7179219999999899E-3</v>
      </c>
      <c r="AA2138">
        <v>0.99496819999999997</v>
      </c>
      <c r="AB2138">
        <v>29</v>
      </c>
      <c r="AC2138">
        <v>10.7216</v>
      </c>
      <c r="AD2138">
        <v>-1.10749287886199</v>
      </c>
      <c r="AE2138">
        <v>1.0320199999999999</v>
      </c>
      <c r="AF2138">
        <v>-1.09566535756827</v>
      </c>
      <c r="AG2138">
        <v>-1.10749287886199</v>
      </c>
      <c r="AH2138">
        <v>10.602007738863101</v>
      </c>
      <c r="AI2138">
        <v>95.932160009774194</v>
      </c>
      <c r="AJ2138">
        <v>95.900291074554502</v>
      </c>
      <c r="AK2138">
        <v>10.715856995472601</v>
      </c>
      <c r="AL2138">
        <v>81.429160053175707</v>
      </c>
      <c r="AM2138">
        <v>92.043910379248601</v>
      </c>
      <c r="AN2138">
        <v>0.99999994983152796</v>
      </c>
    </row>
    <row r="2139" spans="1:40" x14ac:dyDescent="0.3">
      <c r="A2139" t="str">
        <f>"20200111150358891"</f>
        <v>20200111150358891</v>
      </c>
      <c r="B2139" t="str">
        <f>"1578726238881280"</f>
        <v>1578726238881280</v>
      </c>
      <c r="C2139" t="s">
        <v>40</v>
      </c>
      <c r="D2139">
        <v>5.3787820000000002</v>
      </c>
      <c r="E2139">
        <v>0.4770375</v>
      </c>
      <c r="F2139" t="s">
        <v>76</v>
      </c>
      <c r="G2139">
        <v>-365.3963</v>
      </c>
      <c r="H2139" s="1">
        <v>-3.0037210000000001E-6</v>
      </c>
      <c r="I2139">
        <v>22.724820000000001</v>
      </c>
      <c r="J2139">
        <v>-376.1651</v>
      </c>
      <c r="K2139">
        <v>1.1074710000000001</v>
      </c>
      <c r="L2139">
        <v>21.675350000000002</v>
      </c>
      <c r="M2139">
        <v>0.99992650000000005</v>
      </c>
      <c r="N2139">
        <v>0</v>
      </c>
      <c r="O2139">
        <v>-3.9118909999999998E-3</v>
      </c>
      <c r="P2139">
        <v>0.98995259999999996</v>
      </c>
      <c r="Q2139">
        <v>0.13826649999999999</v>
      </c>
      <c r="R2139">
        <v>2.9599380000000002E-2</v>
      </c>
      <c r="S2139">
        <v>3.0651549999999999</v>
      </c>
      <c r="T2139">
        <v>-0.30930790000000002</v>
      </c>
      <c r="U2139">
        <v>0.29357909999999998</v>
      </c>
      <c r="V2139">
        <v>-3.4671750000000001E-2</v>
      </c>
      <c r="W2139">
        <v>0.14933949999999999</v>
      </c>
      <c r="X2139">
        <v>0.98817790000000005</v>
      </c>
      <c r="Y2139">
        <v>-9.8720249999999996E-2</v>
      </c>
      <c r="Z2139">
        <v>5.350011E-3</v>
      </c>
      <c r="AA2139">
        <v>0.99510089999999995</v>
      </c>
      <c r="AB2139">
        <v>29</v>
      </c>
      <c r="AC2139">
        <v>10.768800000000001</v>
      </c>
      <c r="AD2139">
        <v>-1.10747400372099</v>
      </c>
      <c r="AE2139">
        <v>1.0494699999999899</v>
      </c>
      <c r="AF2139">
        <v>-1.0802733437446199</v>
      </c>
      <c r="AG2139">
        <v>-1.10747400372099</v>
      </c>
      <c r="AH2139">
        <v>10.653002890005601</v>
      </c>
      <c r="AI2139">
        <v>95.905016385316799</v>
      </c>
      <c r="AJ2139">
        <v>95.790315271136294</v>
      </c>
      <c r="AK2139">
        <v>10.764755442674501</v>
      </c>
      <c r="AL2139">
        <v>81.411348339451095</v>
      </c>
      <c r="AM2139">
        <v>92.009486708601003</v>
      </c>
      <c r="AN2139">
        <v>0.99999998927836098</v>
      </c>
    </row>
    <row r="2140" spans="1:40" x14ac:dyDescent="0.3">
      <c r="A2140" t="str">
        <f>"20200111150358906"</f>
        <v>20200111150358906</v>
      </c>
      <c r="B2140" t="str">
        <f>"1578726238900799"</f>
        <v>1578726238900799</v>
      </c>
      <c r="C2140" t="s">
        <v>40</v>
      </c>
      <c r="D2140">
        <v>5.4726039999999996</v>
      </c>
      <c r="E2140">
        <v>0.47739520000000002</v>
      </c>
      <c r="F2140" t="s">
        <v>76</v>
      </c>
      <c r="G2140">
        <v>-365.16539999999998</v>
      </c>
      <c r="H2140" s="1">
        <v>-3.1208479999999999E-6</v>
      </c>
      <c r="I2140">
        <v>22.754740000000002</v>
      </c>
      <c r="J2140">
        <v>-375.9513</v>
      </c>
      <c r="K2140">
        <v>1.107443</v>
      </c>
      <c r="L2140">
        <v>21.677890000000001</v>
      </c>
      <c r="M2140">
        <v>0.99993399999999999</v>
      </c>
      <c r="N2140">
        <v>0</v>
      </c>
      <c r="O2140">
        <v>-7.2440579999999996E-4</v>
      </c>
      <c r="P2140">
        <v>0.98980990000000002</v>
      </c>
      <c r="Q2140">
        <v>0.1388144</v>
      </c>
      <c r="R2140">
        <v>3.1736180000000003E-2</v>
      </c>
      <c r="S2140">
        <v>3.0645449999999999</v>
      </c>
      <c r="T2140">
        <v>-0.30854480000000001</v>
      </c>
      <c r="U2140">
        <v>0.30072019999999999</v>
      </c>
      <c r="V2140">
        <v>-3.3648209999999998E-2</v>
      </c>
      <c r="W2140">
        <v>0.14990200000000001</v>
      </c>
      <c r="X2140">
        <v>0.98812809999999995</v>
      </c>
      <c r="Y2140">
        <v>-9.7886929999999997E-2</v>
      </c>
      <c r="Z2140">
        <v>4.9762010000000004E-3</v>
      </c>
      <c r="AA2140">
        <v>0.99518510000000004</v>
      </c>
      <c r="AB2140">
        <v>29</v>
      </c>
      <c r="AC2140">
        <v>10.7859</v>
      </c>
      <c r="AD2140">
        <v>-1.107446120848</v>
      </c>
      <c r="AE2140">
        <v>1.0768500000000001</v>
      </c>
      <c r="AF2140">
        <v>-1.0734586414525999</v>
      </c>
      <c r="AG2140">
        <v>-1.107446120848</v>
      </c>
      <c r="AH2140">
        <v>10.6737029729772</v>
      </c>
      <c r="AI2140">
        <v>95.893986397246195</v>
      </c>
      <c r="AJ2140">
        <v>95.742949580039195</v>
      </c>
      <c r="AK2140">
        <v>10.784557734132299</v>
      </c>
      <c r="AL2140">
        <v>81.378752438655994</v>
      </c>
      <c r="AM2140">
        <v>91.950309640931707</v>
      </c>
      <c r="AN2140">
        <v>0.99999997682490605</v>
      </c>
    </row>
    <row r="2141" spans="1:40" x14ac:dyDescent="0.3">
      <c r="A2141" t="str">
        <f>"20200111150358934"</f>
        <v>20200111150358934</v>
      </c>
      <c r="B2141" t="str">
        <f>"1578726238931055"</f>
        <v>1578726238931055</v>
      </c>
      <c r="C2141" t="s">
        <v>40</v>
      </c>
      <c r="D2141">
        <v>5.4228239999999897</v>
      </c>
      <c r="E2141">
        <v>0.47796719999999998</v>
      </c>
      <c r="F2141" t="s">
        <v>76</v>
      </c>
      <c r="G2141">
        <v>-364.9486</v>
      </c>
      <c r="H2141" s="1">
        <v>-3.2270109999999999E-6</v>
      </c>
      <c r="I2141">
        <v>22.76858</v>
      </c>
      <c r="J2141">
        <v>-375.60390000000001</v>
      </c>
      <c r="K2141">
        <v>1.107375</v>
      </c>
      <c r="L2141">
        <v>21.683350000000001</v>
      </c>
      <c r="M2141">
        <v>0.9999247</v>
      </c>
      <c r="N2141">
        <v>0</v>
      </c>
      <c r="O2141">
        <v>4.3368209999999898E-3</v>
      </c>
      <c r="P2141">
        <v>0.98954149999999996</v>
      </c>
      <c r="Q2141">
        <v>0.139684</v>
      </c>
      <c r="R2141">
        <v>3.5999070000000001E-2</v>
      </c>
      <c r="S2141">
        <v>3.0643919999999998</v>
      </c>
      <c r="T2141">
        <v>-0.30843870000000001</v>
      </c>
      <c r="U2141">
        <v>0.30377199999999999</v>
      </c>
      <c r="V2141">
        <v>-3.2883709999999997E-2</v>
      </c>
      <c r="W2141">
        <v>0.1507868</v>
      </c>
      <c r="X2141">
        <v>0.98801919999999999</v>
      </c>
      <c r="Y2141">
        <v>-9.3881229999999996E-2</v>
      </c>
      <c r="Z2141">
        <v>4.2669889999999997E-3</v>
      </c>
      <c r="AA2141">
        <v>0.99557419999999996</v>
      </c>
      <c r="AB2141">
        <v>29</v>
      </c>
      <c r="AC2141">
        <v>10.6553</v>
      </c>
      <c r="AD2141">
        <v>-1.107378227011</v>
      </c>
      <c r="AE2141">
        <v>1.0852299999999899</v>
      </c>
      <c r="AF2141">
        <v>-1.02801708907249</v>
      </c>
      <c r="AG2141">
        <v>-1.107378227011</v>
      </c>
      <c r="AH2141">
        <v>10.547157152084401</v>
      </c>
      <c r="AI2141">
        <v>95.965634368141394</v>
      </c>
      <c r="AJ2141">
        <v>95.566957334603302</v>
      </c>
      <c r="AK2141">
        <v>10.6548406681587</v>
      </c>
      <c r="AL2141">
        <v>81.327474213526699</v>
      </c>
      <c r="AM2141">
        <v>91.906240864655501</v>
      </c>
      <c r="AN2141">
        <v>0.99999996850312101</v>
      </c>
    </row>
    <row r="2142" spans="1:40" x14ac:dyDescent="0.3">
      <c r="A2142" t="str">
        <f>"20200111150358952"</f>
        <v>20200111150358952</v>
      </c>
      <c r="B2142" t="str">
        <f>"1578726238940817"</f>
        <v>1578726238940817</v>
      </c>
      <c r="C2142" t="s">
        <v>40</v>
      </c>
      <c r="D2142">
        <v>5.1275579999999996</v>
      </c>
      <c r="E2142">
        <v>0.47771740000000001</v>
      </c>
      <c r="F2142" t="s">
        <v>76</v>
      </c>
      <c r="G2142">
        <v>-364.59140000000002</v>
      </c>
      <c r="H2142" s="1">
        <v>-3.404825E-6</v>
      </c>
      <c r="I2142">
        <v>22.80228</v>
      </c>
      <c r="J2142">
        <v>-375.37939999999998</v>
      </c>
      <c r="K2142">
        <v>1.1073040000000001</v>
      </c>
      <c r="L2142">
        <v>21.687650000000001</v>
      </c>
      <c r="M2142">
        <v>0.99990610000000002</v>
      </c>
      <c r="N2142">
        <v>0</v>
      </c>
      <c r="O2142">
        <v>7.5028759999999899E-3</v>
      </c>
      <c r="P2142">
        <v>0.98938490000000001</v>
      </c>
      <c r="Q2142">
        <v>0.1400303</v>
      </c>
      <c r="R2142">
        <v>3.8853079999999998E-2</v>
      </c>
      <c r="S2142">
        <v>3.063904</v>
      </c>
      <c r="T2142">
        <v>-0.30809609999999998</v>
      </c>
      <c r="U2142">
        <v>0.31130980000000003</v>
      </c>
      <c r="V2142">
        <v>-3.2582769999999997E-2</v>
      </c>
      <c r="W2142">
        <v>0.15114179999999999</v>
      </c>
      <c r="X2142">
        <v>0.98797489999999999</v>
      </c>
      <c r="Y2142">
        <v>-9.3189750000000002E-2</v>
      </c>
      <c r="Z2142">
        <v>3.9111090000000003E-3</v>
      </c>
      <c r="AA2142">
        <v>0.99564070000000005</v>
      </c>
      <c r="AB2142">
        <v>29</v>
      </c>
      <c r="AC2142">
        <v>10.787999999999901</v>
      </c>
      <c r="AD2142">
        <v>-1.107307404825</v>
      </c>
      <c r="AE2142">
        <v>1.11462999999999</v>
      </c>
      <c r="AF2142">
        <v>-1.02298843407222</v>
      </c>
      <c r="AG2142">
        <v>-1.107307404825</v>
      </c>
      <c r="AH2142">
        <v>10.684680505919101</v>
      </c>
      <c r="AI2142">
        <v>95.889985044350496</v>
      </c>
      <c r="AJ2142">
        <v>95.469026471238294</v>
      </c>
      <c r="AK2142">
        <v>10.7905065932325</v>
      </c>
      <c r="AL2142">
        <v>81.306898162248004</v>
      </c>
      <c r="AM2142">
        <v>91.888892953243896</v>
      </c>
      <c r="AN2142">
        <v>0.99999994181905905</v>
      </c>
    </row>
    <row r="2143" spans="1:40" x14ac:dyDescent="0.3">
      <c r="A2143" t="str">
        <f>"20200111150358973"</f>
        <v>20200111150358973</v>
      </c>
      <c r="B2143" t="str">
        <f>"1578726238971071"</f>
        <v>1578726238971071</v>
      </c>
      <c r="C2143" t="s">
        <v>40</v>
      </c>
      <c r="D2143">
        <v>5.4084110000000001</v>
      </c>
      <c r="E2143">
        <v>0.47867290000000001</v>
      </c>
      <c r="F2143" t="s">
        <v>76</v>
      </c>
      <c r="G2143">
        <v>-364.375</v>
      </c>
      <c r="H2143" s="1">
        <v>-3.5176290000000002E-6</v>
      </c>
      <c r="I2143">
        <v>22.841760000000001</v>
      </c>
      <c r="J2143">
        <v>-375.1046</v>
      </c>
      <c r="K2143">
        <v>1.107194</v>
      </c>
      <c r="L2143">
        <v>21.693819999999999</v>
      </c>
      <c r="M2143">
        <v>0.99987099999999995</v>
      </c>
      <c r="N2143">
        <v>0</v>
      </c>
      <c r="O2143">
        <v>1.123088E-2</v>
      </c>
      <c r="P2143">
        <v>0.98928769999999999</v>
      </c>
      <c r="Q2143">
        <v>0.13945920000000001</v>
      </c>
      <c r="R2143">
        <v>4.313968E-2</v>
      </c>
      <c r="S2143">
        <v>3.063202</v>
      </c>
      <c r="T2143">
        <v>-0.30823099999999998</v>
      </c>
      <c r="U2143">
        <v>0.3212585</v>
      </c>
      <c r="V2143">
        <v>-3.3134490000000003E-2</v>
      </c>
      <c r="W2143">
        <v>0.15057519999999999</v>
      </c>
      <c r="X2143">
        <v>0.98804309999999995</v>
      </c>
      <c r="Y2143">
        <v>-9.2720800000000006E-2</v>
      </c>
      <c r="Z2143">
        <v>3.516501E-3</v>
      </c>
      <c r="AA2143">
        <v>0.99568590000000001</v>
      </c>
      <c r="AB2143">
        <v>29</v>
      </c>
      <c r="AC2143">
        <v>10.7296</v>
      </c>
      <c r="AD2143">
        <v>-1.1071975176289901</v>
      </c>
      <c r="AE2143">
        <v>1.14793999999999</v>
      </c>
      <c r="AF2143">
        <v>-1.0166536064361</v>
      </c>
      <c r="AG2143">
        <v>-1.1071975176289901</v>
      </c>
      <c r="AH2143">
        <v>10.629906237975399</v>
      </c>
      <c r="AI2143">
        <v>95.919594068072499</v>
      </c>
      <c r="AJ2143">
        <v>95.463201690052102</v>
      </c>
      <c r="AK2143">
        <v>10.735659156599199</v>
      </c>
      <c r="AL2143">
        <v>81.339738092356896</v>
      </c>
      <c r="AM2143">
        <v>91.920721093856997</v>
      </c>
      <c r="AN2143">
        <v>0.99999997637010396</v>
      </c>
    </row>
    <row r="2144" spans="1:40" x14ac:dyDescent="0.3">
      <c r="A2144" t="str">
        <f>"20200111150358987"</f>
        <v>20200111150358987</v>
      </c>
      <c r="B2144" t="str">
        <f>"1578726238980831"</f>
        <v>1578726238980831</v>
      </c>
      <c r="C2144" t="s">
        <v>40</v>
      </c>
      <c r="D2144">
        <v>6.0730950000000004</v>
      </c>
      <c r="E2144">
        <v>0.47867290000000001</v>
      </c>
      <c r="F2144" t="s">
        <v>76</v>
      </c>
      <c r="G2144">
        <v>-364.24040000000002</v>
      </c>
      <c r="H2144" s="1">
        <v>-3.5836720000000002E-6</v>
      </c>
      <c r="I2144">
        <v>22.85079</v>
      </c>
      <c r="J2144">
        <v>-374.92450000000002</v>
      </c>
      <c r="K2144">
        <v>1.1071089999999999</v>
      </c>
      <c r="L2144">
        <v>21.698239999999998</v>
      </c>
      <c r="M2144">
        <v>0.9998416</v>
      </c>
      <c r="N2144">
        <v>0</v>
      </c>
      <c r="O2144">
        <v>1.359951E-2</v>
      </c>
      <c r="P2144">
        <v>0.98919579999999996</v>
      </c>
      <c r="Q2144">
        <v>0.13929159999999999</v>
      </c>
      <c r="R2144">
        <v>4.5714739999999997E-2</v>
      </c>
      <c r="S2144">
        <v>3.0622560000000001</v>
      </c>
      <c r="T2144">
        <v>-0.31208059999999999</v>
      </c>
      <c r="U2144">
        <v>0.32611079999999998</v>
      </c>
      <c r="V2144">
        <v>-3.333415E-2</v>
      </c>
      <c r="W2144">
        <v>0.15041109999999999</v>
      </c>
      <c r="X2144">
        <v>0.98806139999999998</v>
      </c>
      <c r="Y2144">
        <v>-9.1959979999999997E-2</v>
      </c>
      <c r="Z2144">
        <v>3.2824170000000001E-3</v>
      </c>
      <c r="AA2144">
        <v>0.99575729999999996</v>
      </c>
      <c r="AB2144">
        <v>29</v>
      </c>
      <c r="AC2144">
        <v>10.684100000000001</v>
      </c>
      <c r="AD2144">
        <v>-1.1071125836719999</v>
      </c>
      <c r="AE2144">
        <v>1.15255</v>
      </c>
      <c r="AF2144">
        <v>-0.99655773987457996</v>
      </c>
      <c r="AG2144">
        <v>-1.1071125836719999</v>
      </c>
      <c r="AH2144">
        <v>10.5864216977217</v>
      </c>
      <c r="AI2144">
        <v>95.944118286294497</v>
      </c>
      <c r="AJ2144">
        <v>95.377717412656594</v>
      </c>
      <c r="AK2144">
        <v>10.690703904038401</v>
      </c>
      <c r="AL2144">
        <v>81.349248828219103</v>
      </c>
      <c r="AM2144">
        <v>91.932250361692596</v>
      </c>
      <c r="AN2144">
        <v>0.99999999736469602</v>
      </c>
    </row>
    <row r="2145" spans="1:40" x14ac:dyDescent="0.3">
      <c r="A2145" t="str">
        <f>"20200111150359008"</f>
        <v>20200111150359008</v>
      </c>
      <c r="B2145" t="str">
        <f>"1578726239000351"</f>
        <v>1578726239000351</v>
      </c>
      <c r="C2145" t="s">
        <v>40</v>
      </c>
      <c r="D2145">
        <v>5.3446870000000004</v>
      </c>
      <c r="E2145">
        <v>0.47943360000000002</v>
      </c>
      <c r="F2145" t="s">
        <v>76</v>
      </c>
      <c r="G2145">
        <v>-364.08800000000002</v>
      </c>
      <c r="H2145" s="1">
        <v>-3.663211E-6</v>
      </c>
      <c r="I2145">
        <v>22.87894</v>
      </c>
      <c r="J2145">
        <v>-374.66239999999999</v>
      </c>
      <c r="K2145">
        <v>1.106976</v>
      </c>
      <c r="L2145">
        <v>21.705380000000002</v>
      </c>
      <c r="M2145">
        <v>0.9997914</v>
      </c>
      <c r="N2145">
        <v>0</v>
      </c>
      <c r="O2145">
        <v>1.6893109999999999E-2</v>
      </c>
      <c r="P2145">
        <v>0.9889367</v>
      </c>
      <c r="Q2145">
        <v>0.1394668</v>
      </c>
      <c r="R2145">
        <v>5.0528610000000002E-2</v>
      </c>
      <c r="S2145">
        <v>3.0614319999999999</v>
      </c>
      <c r="T2145">
        <v>-0.31276910000000002</v>
      </c>
      <c r="U2145">
        <v>0.3335571</v>
      </c>
      <c r="V2145">
        <v>-3.4844149999999997E-2</v>
      </c>
      <c r="W2145">
        <v>0.1505841</v>
      </c>
      <c r="X2145">
        <v>0.9879829</v>
      </c>
      <c r="Y2145">
        <v>-9.1121640000000004E-2</v>
      </c>
      <c r="Z2145">
        <v>2.913002E-3</v>
      </c>
      <c r="AA2145">
        <v>0.99583549999999998</v>
      </c>
      <c r="AB2145">
        <v>29</v>
      </c>
      <c r="AC2145">
        <v>10.574399999999899</v>
      </c>
      <c r="AD2145">
        <v>-1.1069796632110001</v>
      </c>
      <c r="AE2145">
        <v>1.1735599999999999</v>
      </c>
      <c r="AF2145">
        <v>-0.98409285820979198</v>
      </c>
      <c r="AG2145">
        <v>-1.1069796632110001</v>
      </c>
      <c r="AH2145">
        <v>10.479272976241999</v>
      </c>
      <c r="AI2145">
        <v>96.003864488172894</v>
      </c>
      <c r="AJ2145">
        <v>95.364827451205599</v>
      </c>
      <c r="AK2145">
        <v>10.583430674357899</v>
      </c>
      <c r="AL2145">
        <v>81.339222033796005</v>
      </c>
      <c r="AM2145">
        <v>92.0198685790361</v>
      </c>
      <c r="AN2145">
        <v>0.99999994832721995</v>
      </c>
    </row>
    <row r="2146" spans="1:40" x14ac:dyDescent="0.3">
      <c r="A2146" t="str">
        <f>"20200111150359022"</f>
        <v>20200111150359022</v>
      </c>
      <c r="B2146" t="str">
        <f>"1578726239011087"</f>
        <v>1578726239011087</v>
      </c>
      <c r="C2146" t="s">
        <v>40</v>
      </c>
      <c r="D2146">
        <v>5.3524940000000001</v>
      </c>
      <c r="E2146">
        <v>0.47971720000000001</v>
      </c>
      <c r="F2146" t="s">
        <v>76</v>
      </c>
      <c r="G2146">
        <v>-363.8655</v>
      </c>
      <c r="H2146" s="1">
        <v>-3.7772180000000001E-6</v>
      </c>
      <c r="I2146">
        <v>22.912220000000001</v>
      </c>
      <c r="J2146">
        <v>-374.47919999999999</v>
      </c>
      <c r="K2146">
        <v>1.1068720000000001</v>
      </c>
      <c r="L2146">
        <v>21.710819999999998</v>
      </c>
      <c r="M2146">
        <v>0.99975309999999995</v>
      </c>
      <c r="N2146">
        <v>0</v>
      </c>
      <c r="O2146">
        <v>1.9036210000000001E-2</v>
      </c>
      <c r="P2146">
        <v>0.98876359999999996</v>
      </c>
      <c r="Q2146">
        <v>0.1396751</v>
      </c>
      <c r="R2146">
        <v>5.3269950000000003E-2</v>
      </c>
      <c r="S2146">
        <v>3.060333</v>
      </c>
      <c r="T2146">
        <v>-0.31376799999999999</v>
      </c>
      <c r="U2146">
        <v>0.34207149999999997</v>
      </c>
      <c r="V2146">
        <v>-3.5427170000000001E-2</v>
      </c>
      <c r="W2146">
        <v>0.1507944</v>
      </c>
      <c r="X2146">
        <v>0.98793010000000003</v>
      </c>
      <c r="Y2146">
        <v>-9.1767979999999999E-2</v>
      </c>
      <c r="Z2146">
        <v>2.7374560000000001E-3</v>
      </c>
      <c r="AA2146">
        <v>0.99577669999999996</v>
      </c>
      <c r="AB2146">
        <v>29</v>
      </c>
      <c r="AC2146">
        <v>10.6136999999999</v>
      </c>
      <c r="AD2146">
        <v>-1.10687577721799</v>
      </c>
      <c r="AE2146">
        <v>1.20139999999999</v>
      </c>
      <c r="AF2146">
        <v>-0.98850947945877399</v>
      </c>
      <c r="AG2146">
        <v>-1.10687577721799</v>
      </c>
      <c r="AH2146">
        <v>10.5216634559961</v>
      </c>
      <c r="AI2146">
        <v>95.9792712708865</v>
      </c>
      <c r="AJ2146">
        <v>95.367179819386905</v>
      </c>
      <c r="AK2146">
        <v>10.6258047628599</v>
      </c>
      <c r="AL2146">
        <v>81.327033645612701</v>
      </c>
      <c r="AM2146">
        <v>92.053746427524601</v>
      </c>
      <c r="AN2146">
        <v>0.99999995896578797</v>
      </c>
    </row>
    <row r="2147" spans="1:40" x14ac:dyDescent="0.3">
      <c r="A2147" t="str">
        <f>"20200111150359041"</f>
        <v>20200111150359041</v>
      </c>
      <c r="B2147" t="str">
        <f>"1578726239030606"</f>
        <v>1578726239030606</v>
      </c>
      <c r="C2147" t="s">
        <v>40</v>
      </c>
      <c r="D2147">
        <v>7.3296509999999904</v>
      </c>
      <c r="E2147">
        <v>0.45769609999999999</v>
      </c>
      <c r="F2147" t="s">
        <v>76</v>
      </c>
      <c r="G2147">
        <v>-363.67059999999998</v>
      </c>
      <c r="H2147" s="1">
        <v>-3.8765530000000001E-6</v>
      </c>
      <c r="I2147">
        <v>22.93928</v>
      </c>
      <c r="J2147">
        <v>-374.24270000000001</v>
      </c>
      <c r="K2147">
        <v>1.106714</v>
      </c>
      <c r="L2147">
        <v>21.718170000000001</v>
      </c>
      <c r="M2147">
        <v>0.99970000000000003</v>
      </c>
      <c r="N2147">
        <v>0</v>
      </c>
      <c r="O2147">
        <v>2.1644010000000002E-2</v>
      </c>
      <c r="P2147">
        <v>0.98841829999999997</v>
      </c>
      <c r="Q2147">
        <v>0.14053270000000001</v>
      </c>
      <c r="R2147">
        <v>5.7271849999999999E-2</v>
      </c>
      <c r="S2147">
        <v>3.0596619999999999</v>
      </c>
      <c r="T2147">
        <v>-0.31332900000000002</v>
      </c>
      <c r="U2147">
        <v>0.3477478</v>
      </c>
      <c r="V2147">
        <v>-3.6799690000000003E-2</v>
      </c>
      <c r="W2147">
        <v>0.15165129999999999</v>
      </c>
      <c r="X2147">
        <v>0.98774879999999998</v>
      </c>
      <c r="Y2147">
        <v>-9.1037069999999998E-2</v>
      </c>
      <c r="Z2147">
        <v>2.4314219999999999E-3</v>
      </c>
      <c r="AA2147">
        <v>0.99584450000000002</v>
      </c>
      <c r="AB2147">
        <v>29</v>
      </c>
      <c r="AC2147">
        <v>10.572100000000001</v>
      </c>
      <c r="AD2147">
        <v>-1.1067178765529999</v>
      </c>
      <c r="AE2147">
        <v>1.2211099999999899</v>
      </c>
      <c r="AF2147">
        <v>-0.98137342670926897</v>
      </c>
      <c r="AG2147">
        <v>-1.1067178765529999</v>
      </c>
      <c r="AH2147">
        <v>10.482692240986401</v>
      </c>
      <c r="AI2147">
        <v>96.000672003699194</v>
      </c>
      <c r="AJ2147">
        <v>95.3483535078594</v>
      </c>
      <c r="AK2147">
        <v>10.586536491231101</v>
      </c>
      <c r="AL2147">
        <v>81.277366166346596</v>
      </c>
      <c r="AM2147">
        <v>92.133631754908095</v>
      </c>
      <c r="AN2147">
        <v>1.00000001293861</v>
      </c>
    </row>
    <row r="2148" spans="1:40" x14ac:dyDescent="0.3">
      <c r="A2148" t="str">
        <f>"20200111150359075"</f>
        <v>20200111150359075</v>
      </c>
      <c r="B2148" t="str">
        <f>"1578726239070624"</f>
        <v>1578726239070624</v>
      </c>
      <c r="C2148" t="s">
        <v>40</v>
      </c>
      <c r="D2148">
        <v>5.2270269999999996</v>
      </c>
      <c r="E2148">
        <v>0.49280600000000002</v>
      </c>
      <c r="F2148" t="s">
        <v>79</v>
      </c>
      <c r="G2148">
        <v>-280.04239999999999</v>
      </c>
      <c r="H2148">
        <v>33.355969999999999</v>
      </c>
      <c r="I2148">
        <v>37.774630000000002</v>
      </c>
      <c r="J2148">
        <v>-373.81209999999999</v>
      </c>
      <c r="K2148">
        <v>1.1063889999999901</v>
      </c>
      <c r="L2148">
        <v>21.732600000000001</v>
      </c>
      <c r="M2148">
        <v>0.99959949999999997</v>
      </c>
      <c r="N2148">
        <v>0</v>
      </c>
      <c r="O2148">
        <v>2.5873050000000002E-2</v>
      </c>
      <c r="P2148">
        <v>0.98799780000000004</v>
      </c>
      <c r="Q2148">
        <v>0.14131289999999999</v>
      </c>
      <c r="R2148">
        <v>6.2377120000000001E-2</v>
      </c>
      <c r="S2148">
        <v>2.86734</v>
      </c>
      <c r="T2148">
        <v>0.98162780000000005</v>
      </c>
      <c r="U2148">
        <v>0.48873899999999998</v>
      </c>
      <c r="V2148">
        <v>-3.76108E-2</v>
      </c>
      <c r="W2148">
        <v>0.15244489999999999</v>
      </c>
      <c r="X2148">
        <v>0.98759600000000003</v>
      </c>
      <c r="Y2148">
        <v>-0.1363489</v>
      </c>
      <c r="Z2148">
        <v>-1.399252E-2</v>
      </c>
      <c r="AA2148">
        <v>0.9905621</v>
      </c>
      <c r="AB2148">
        <v>29</v>
      </c>
      <c r="AC2148">
        <v>93.7697</v>
      </c>
      <c r="AD2148">
        <v>32.249580999999999</v>
      </c>
      <c r="AE2148">
        <v>16.04203</v>
      </c>
      <c r="AF2148">
        <v>-12.2075078700988</v>
      </c>
      <c r="AG2148">
        <v>32.249580999999999</v>
      </c>
      <c r="AH2148">
        <v>84.448580314233894</v>
      </c>
      <c r="AI2148">
        <v>69.295628334253294</v>
      </c>
      <c r="AJ2148">
        <v>98.225442862993006</v>
      </c>
      <c r="AK2148">
        <v>91.217440438568005</v>
      </c>
      <c r="AL2148">
        <v>81.231360692392002</v>
      </c>
      <c r="AM2148">
        <v>92.180951744546107</v>
      </c>
      <c r="AN2148">
        <v>0.99999993951432298</v>
      </c>
    </row>
    <row r="2149" spans="1:40" x14ac:dyDescent="0.3">
      <c r="A2149" t="str">
        <f>"20200111150359088"</f>
        <v>20200111150359088</v>
      </c>
      <c r="B2149" t="str">
        <f>"1578726239080383"</f>
        <v>1578726239080383</v>
      </c>
      <c r="C2149" t="s">
        <v>40</v>
      </c>
      <c r="D2149">
        <v>5.3951650000000004</v>
      </c>
      <c r="E2149">
        <v>0.49331459999999999</v>
      </c>
      <c r="F2149" t="s">
        <v>43</v>
      </c>
      <c r="G2149">
        <v>-279.9615</v>
      </c>
      <c r="H2149">
        <v>-0.05</v>
      </c>
      <c r="I2149">
        <v>29.82236</v>
      </c>
      <c r="J2149">
        <v>-373.63850000000002</v>
      </c>
      <c r="K2149">
        <v>1.1062590000000001</v>
      </c>
      <c r="L2149">
        <v>21.738710000000001</v>
      </c>
      <c r="M2149">
        <v>0.99955859999999996</v>
      </c>
      <c r="N2149">
        <v>0</v>
      </c>
      <c r="O2149">
        <v>2.7411979999999999E-2</v>
      </c>
      <c r="P2149">
        <v>0.98784190000000005</v>
      </c>
      <c r="Q2149">
        <v>0.14161899999999999</v>
      </c>
      <c r="R2149">
        <v>6.4132679999999997E-2</v>
      </c>
      <c r="S2149">
        <v>3.0252690000000002</v>
      </c>
      <c r="T2149">
        <v>-3.7276150000000001E-2</v>
      </c>
      <c r="U2149">
        <v>0.26077270000000002</v>
      </c>
      <c r="V2149">
        <v>-3.7798720000000001E-2</v>
      </c>
      <c r="W2149">
        <v>0.15275830000000001</v>
      </c>
      <c r="X2149">
        <v>0.98754039999999998</v>
      </c>
      <c r="Y2149">
        <v>-5.8532639999999997E-2</v>
      </c>
      <c r="Z2149" s="1">
        <v>2.2914200000000002E-5</v>
      </c>
      <c r="AA2149">
        <v>0.99828550000000005</v>
      </c>
      <c r="AB2149">
        <v>29</v>
      </c>
      <c r="AC2149">
        <v>93.677000000000007</v>
      </c>
      <c r="AD2149">
        <v>-1.1562589999999999</v>
      </c>
      <c r="AE2149">
        <v>8.0836499999999898</v>
      </c>
      <c r="AF2149">
        <v>-5.5117379211770503</v>
      </c>
      <c r="AG2149">
        <v>-1.1562589999999999</v>
      </c>
      <c r="AH2149">
        <v>93.849204621405704</v>
      </c>
      <c r="AI2149">
        <v>90.704656680806096</v>
      </c>
      <c r="AJ2149">
        <v>93.361104535082305</v>
      </c>
      <c r="AK2149">
        <v>94.018026983431795</v>
      </c>
      <c r="AL2149">
        <v>81.213191409151094</v>
      </c>
      <c r="AM2149">
        <v>92.191961414527796</v>
      </c>
      <c r="AN2149">
        <v>0.99999994154234195</v>
      </c>
    </row>
    <row r="2150" spans="1:40" x14ac:dyDescent="0.3">
      <c r="A2150" t="str">
        <f>"20200111150359101"</f>
        <v>20200111150359101</v>
      </c>
      <c r="B2150" t="str">
        <f>"1578726239091120"</f>
        <v>1578726239091120</v>
      </c>
      <c r="C2150" t="s">
        <v>40</v>
      </c>
      <c r="D2150">
        <v>5.3803609999999997</v>
      </c>
      <c r="E2150">
        <v>0.4931471</v>
      </c>
      <c r="F2150" t="s">
        <v>41</v>
      </c>
      <c r="G2150">
        <v>-339.99459999999999</v>
      </c>
      <c r="H2150" s="1">
        <v>-5.1731529999999996E-6</v>
      </c>
      <c r="I2150">
        <v>24.663409999999999</v>
      </c>
      <c r="J2150">
        <v>-373.47609999999997</v>
      </c>
      <c r="K2150">
        <v>1.106141</v>
      </c>
      <c r="L2150">
        <v>21.744630000000001</v>
      </c>
      <c r="M2150">
        <v>0.99952229999999997</v>
      </c>
      <c r="N2150">
        <v>0</v>
      </c>
      <c r="O2150">
        <v>2.8709019999999998E-2</v>
      </c>
      <c r="P2150">
        <v>0.98776870000000006</v>
      </c>
      <c r="Q2150">
        <v>0.14153589999999999</v>
      </c>
      <c r="R2150">
        <v>6.5431160000000002E-2</v>
      </c>
      <c r="S2150">
        <v>3.0340880000000001</v>
      </c>
      <c r="T2150">
        <v>-9.9765179999999995E-2</v>
      </c>
      <c r="U2150">
        <v>0.26376339999999998</v>
      </c>
      <c r="V2150">
        <v>-3.7769030000000002E-2</v>
      </c>
      <c r="W2150">
        <v>0.15268300000000001</v>
      </c>
      <c r="X2150">
        <v>0.98755320000000002</v>
      </c>
      <c r="Y2150">
        <v>-5.7952299999999998E-2</v>
      </c>
      <c r="Z2150" s="1">
        <v>9.0930840000000006E-6</v>
      </c>
      <c r="AA2150">
        <v>0.99831930000000002</v>
      </c>
      <c r="AB2150">
        <v>29</v>
      </c>
      <c r="AC2150">
        <v>33.481499999999897</v>
      </c>
      <c r="AD2150">
        <v>-1.106146173153</v>
      </c>
      <c r="AE2150">
        <v>2.9187799999999999</v>
      </c>
      <c r="AF2150">
        <v>-1.95417589792404</v>
      </c>
      <c r="AG2150">
        <v>-1.106146173153</v>
      </c>
      <c r="AH2150">
        <v>33.515193081629597</v>
      </c>
      <c r="AI2150">
        <v>91.887119302773399</v>
      </c>
      <c r="AJ2150">
        <v>93.336976299396397</v>
      </c>
      <c r="AK2150">
        <v>33.590333878890199</v>
      </c>
      <c r="AL2150">
        <v>81.217557160102402</v>
      </c>
      <c r="AM2150">
        <v>92.190212997403705</v>
      </c>
      <c r="AN2150">
        <v>0.99999996047318895</v>
      </c>
    </row>
    <row r="2151" spans="1:40" x14ac:dyDescent="0.3">
      <c r="A2151" t="str">
        <f>"20200111150359122"</f>
        <v>20200111150359122</v>
      </c>
      <c r="B2151" t="str">
        <f>"1578726239110638"</f>
        <v>1578726239110638</v>
      </c>
      <c r="C2151" t="s">
        <v>40</v>
      </c>
      <c r="D2151">
        <v>5.2845979999999999</v>
      </c>
      <c r="E2151">
        <v>0.49575190000000002</v>
      </c>
      <c r="F2151" t="s">
        <v>41</v>
      </c>
      <c r="G2151">
        <v>-345.47669999999999</v>
      </c>
      <c r="H2151" s="1">
        <v>-3.1495239999999999E-6</v>
      </c>
      <c r="I2151">
        <v>24.22681</v>
      </c>
      <c r="J2151">
        <v>-373.21690000000001</v>
      </c>
      <c r="K2151">
        <v>1.1059540000000001</v>
      </c>
      <c r="L2151">
        <v>21.75421</v>
      </c>
      <c r="M2151">
        <v>0.99946599999999997</v>
      </c>
      <c r="N2151">
        <v>0</v>
      </c>
      <c r="O2151">
        <v>3.060305E-2</v>
      </c>
      <c r="P2151">
        <v>0.98755340000000003</v>
      </c>
      <c r="Q2151">
        <v>0.14208460000000001</v>
      </c>
      <c r="R2151">
        <v>6.7455390000000004E-2</v>
      </c>
      <c r="S2151">
        <v>3.0364689999999999</v>
      </c>
      <c r="T2151">
        <v>-0.1199588</v>
      </c>
      <c r="U2151">
        <v>0.26919559999999998</v>
      </c>
      <c r="V2151">
        <v>-3.7851419999999997E-2</v>
      </c>
      <c r="W2151">
        <v>0.1532432</v>
      </c>
      <c r="X2151">
        <v>0.98746330000000004</v>
      </c>
      <c r="Y2151">
        <v>-5.7759940000000003E-2</v>
      </c>
      <c r="Z2151" s="1">
        <v>-6.7442310000000004E-5</v>
      </c>
      <c r="AA2151">
        <v>0.99833050000000001</v>
      </c>
      <c r="AB2151">
        <v>29</v>
      </c>
      <c r="AC2151">
        <v>27.740200000000002</v>
      </c>
      <c r="AD2151">
        <v>-1.1059571495239999</v>
      </c>
      <c r="AE2151">
        <v>2.4725999999999999</v>
      </c>
      <c r="AF2151">
        <v>-1.6198968022716</v>
      </c>
      <c r="AG2151">
        <v>-1.1059571495239999</v>
      </c>
      <c r="AH2151">
        <v>27.759104328267501</v>
      </c>
      <c r="AI2151">
        <v>92.277657520831198</v>
      </c>
      <c r="AJ2151">
        <v>93.339737093023402</v>
      </c>
      <c r="AK2151">
        <v>27.828314357399201</v>
      </c>
      <c r="AL2151">
        <v>81.185078092698802</v>
      </c>
      <c r="AM2151">
        <v>92.195185735822903</v>
      </c>
      <c r="AN2151">
        <v>0.99999998859457295</v>
      </c>
    </row>
    <row r="2152" spans="1:40" x14ac:dyDescent="0.3">
      <c r="A2152" t="str">
        <f>"20200111150359141"</f>
        <v>20200111150359141</v>
      </c>
      <c r="B2152" t="str">
        <f>"1578726239131134"</f>
        <v>1578726239131134</v>
      </c>
      <c r="C2152" t="s">
        <v>40</v>
      </c>
      <c r="D2152">
        <v>5.1679589999999997</v>
      </c>
      <c r="E2152">
        <v>0.4968188</v>
      </c>
      <c r="F2152" t="s">
        <v>41</v>
      </c>
      <c r="G2152">
        <v>-344.7946</v>
      </c>
      <c r="H2152" s="1">
        <v>-3.415687E-6</v>
      </c>
      <c r="I2152">
        <v>24.127379999999999</v>
      </c>
      <c r="J2152">
        <v>-372.95679999999999</v>
      </c>
      <c r="K2152">
        <v>1.105756</v>
      </c>
      <c r="L2152">
        <v>21.764130000000002</v>
      </c>
      <c r="M2152">
        <v>0.99941480000000005</v>
      </c>
      <c r="N2152">
        <v>0</v>
      </c>
      <c r="O2152">
        <v>3.2237580000000002E-2</v>
      </c>
      <c r="P2152">
        <v>0.98732489999999995</v>
      </c>
      <c r="Q2152">
        <v>0.14264789999999999</v>
      </c>
      <c r="R2152">
        <v>6.9580669999999997E-2</v>
      </c>
      <c r="S2152">
        <v>3.037506</v>
      </c>
      <c r="T2152">
        <v>-0.11819449999999999</v>
      </c>
      <c r="U2152">
        <v>0.25363160000000001</v>
      </c>
      <c r="V2152">
        <v>-3.8291510000000001E-2</v>
      </c>
      <c r="W2152">
        <v>0.1538167</v>
      </c>
      <c r="X2152">
        <v>0.98735720000000005</v>
      </c>
      <c r="Y2152">
        <v>-5.1025109999999999E-2</v>
      </c>
      <c r="Z2152">
        <v>-2.6062829999999999E-4</v>
      </c>
      <c r="AA2152">
        <v>0.99869730000000001</v>
      </c>
      <c r="AB2152">
        <v>29</v>
      </c>
      <c r="AC2152">
        <v>28.162199999999899</v>
      </c>
      <c r="AD2152">
        <v>-1.1057594156870001</v>
      </c>
      <c r="AE2152">
        <v>2.3632499999999999</v>
      </c>
      <c r="AF2152">
        <v>-1.4518583295290599</v>
      </c>
      <c r="AG2152">
        <v>-1.1057594156870001</v>
      </c>
      <c r="AH2152">
        <v>28.180609699126201</v>
      </c>
      <c r="AI2152">
        <v>92.244063477794896</v>
      </c>
      <c r="AJ2152">
        <v>92.949257428091798</v>
      </c>
      <c r="AK2152">
        <v>28.239641632090301</v>
      </c>
      <c r="AL2152">
        <v>81.151825067381694</v>
      </c>
      <c r="AM2152">
        <v>92.220921656139495</v>
      </c>
      <c r="AN2152">
        <v>1.0000000286644</v>
      </c>
    </row>
    <row r="2153" spans="1:40" x14ac:dyDescent="0.3">
      <c r="A2153" t="str">
        <f>"20200111150359164"</f>
        <v>20200111150359164</v>
      </c>
      <c r="B2153" t="str">
        <f>"1578726239160415"</f>
        <v>1578726239160415</v>
      </c>
      <c r="C2153" t="s">
        <v>40</v>
      </c>
      <c r="D2153">
        <v>5.304538</v>
      </c>
      <c r="E2153">
        <v>0.49931690000000001</v>
      </c>
      <c r="F2153" t="s">
        <v>41</v>
      </c>
      <c r="G2153">
        <v>-345.88350000000003</v>
      </c>
      <c r="H2153" s="1">
        <v>-2.9155880000000002E-6</v>
      </c>
      <c r="I2153">
        <v>24.003409999999999</v>
      </c>
      <c r="J2153">
        <v>-372.67079999999999</v>
      </c>
      <c r="K2153">
        <v>1.1055330000000001</v>
      </c>
      <c r="L2153">
        <v>21.775179999999999</v>
      </c>
      <c r="M2153">
        <v>0.9993649</v>
      </c>
      <c r="N2153">
        <v>0</v>
      </c>
      <c r="O2153">
        <v>3.3750229999999999E-2</v>
      </c>
      <c r="P2153">
        <v>0.98706539999999998</v>
      </c>
      <c r="Q2153">
        <v>0.14322070000000001</v>
      </c>
      <c r="R2153">
        <v>7.2041740000000007E-2</v>
      </c>
      <c r="S2153">
        <v>3.0386660000000001</v>
      </c>
      <c r="T2153">
        <v>-0.1241086</v>
      </c>
      <c r="U2153">
        <v>0.25134279999999998</v>
      </c>
      <c r="V2153">
        <v>-3.9179119999999998E-2</v>
      </c>
      <c r="W2153">
        <v>0.15440039999999999</v>
      </c>
      <c r="X2153">
        <v>0.98723130000000003</v>
      </c>
      <c r="Y2153">
        <v>-4.8736389999999997E-2</v>
      </c>
      <c r="Z2153">
        <v>-3.8179490000000001E-4</v>
      </c>
      <c r="AA2153">
        <v>0.99881160000000002</v>
      </c>
      <c r="AB2153">
        <v>29</v>
      </c>
      <c r="AC2153">
        <v>26.787299999999899</v>
      </c>
      <c r="AD2153">
        <v>-1.105535915588</v>
      </c>
      <c r="AE2153">
        <v>2.2282299999999999</v>
      </c>
      <c r="AF2153">
        <v>-1.32058989007796</v>
      </c>
      <c r="AG2153">
        <v>-1.105535915588</v>
      </c>
      <c r="AH2153">
        <v>26.801907799432801</v>
      </c>
      <c r="AI2153">
        <v>92.3591616965127</v>
      </c>
      <c r="AJ2153">
        <v>92.820809825146</v>
      </c>
      <c r="AK2153">
        <v>26.857185798361801</v>
      </c>
      <c r="AL2153">
        <v>81.117977482181999</v>
      </c>
      <c r="AM2153">
        <v>92.272639490759801</v>
      </c>
      <c r="AN2153">
        <v>1.0000000633319099</v>
      </c>
    </row>
    <row r="2154" spans="1:40" x14ac:dyDescent="0.3">
      <c r="A2154" t="str">
        <f>"20200111150359186"</f>
        <v>20200111150359186</v>
      </c>
      <c r="B2154" t="str">
        <f>"1578726239180911"</f>
        <v>1578726239180911</v>
      </c>
      <c r="C2154" t="s">
        <v>40</v>
      </c>
      <c r="D2154">
        <v>5.2925719999999998</v>
      </c>
      <c r="E2154">
        <v>0.50025949999999997</v>
      </c>
      <c r="F2154" t="s">
        <v>41</v>
      </c>
      <c r="G2154">
        <v>-345.28750000000002</v>
      </c>
      <c r="H2154" s="1">
        <v>-3.1496439999999998E-6</v>
      </c>
      <c r="I2154">
        <v>23.922190000000001</v>
      </c>
      <c r="J2154">
        <v>-372.38150000000002</v>
      </c>
      <c r="K2154">
        <v>1.1053059999999999</v>
      </c>
      <c r="L2154">
        <v>21.7865</v>
      </c>
      <c r="M2154">
        <v>0.9993225</v>
      </c>
      <c r="N2154">
        <v>0</v>
      </c>
      <c r="O2154">
        <v>3.4984649999999999E-2</v>
      </c>
      <c r="P2154">
        <v>0.9868131</v>
      </c>
      <c r="Q2154">
        <v>0.14373520000000001</v>
      </c>
      <c r="R2154">
        <v>7.4432579999999998E-2</v>
      </c>
      <c r="S2154">
        <v>3.0397340000000002</v>
      </c>
      <c r="T2154">
        <v>-0.122722</v>
      </c>
      <c r="U2154">
        <v>0.23834230000000001</v>
      </c>
      <c r="V2154">
        <v>-4.0270239999999999E-2</v>
      </c>
      <c r="W2154">
        <v>0.1549266</v>
      </c>
      <c r="X2154">
        <v>0.98710489999999995</v>
      </c>
      <c r="Y2154">
        <v>-4.3234599999999998E-2</v>
      </c>
      <c r="Z2154">
        <v>-5.3802370000000002E-4</v>
      </c>
      <c r="AA2154">
        <v>0.99906479999999998</v>
      </c>
      <c r="AB2154">
        <v>29</v>
      </c>
      <c r="AC2154">
        <v>27.093999999999902</v>
      </c>
      <c r="AD2154">
        <v>-1.105309149644</v>
      </c>
      <c r="AE2154">
        <v>2.1356899999999999</v>
      </c>
      <c r="AF2154">
        <v>-1.1844873269538301</v>
      </c>
      <c r="AG2154">
        <v>-1.105309149644</v>
      </c>
      <c r="AH2154">
        <v>27.107298456889801</v>
      </c>
      <c r="AI2154">
        <v>92.332737569085296</v>
      </c>
      <c r="AJ2154">
        <v>92.502019172802903</v>
      </c>
      <c r="AK2154">
        <v>27.155668803675201</v>
      </c>
      <c r="AL2154">
        <v>81.087460802302104</v>
      </c>
      <c r="AM2154">
        <v>92.336161047629901</v>
      </c>
      <c r="AN2154">
        <v>1.00000001361061</v>
      </c>
    </row>
    <row r="2155" spans="1:40" x14ac:dyDescent="0.3">
      <c r="A2155" t="str">
        <f>"20200111150359200"</f>
        <v>20200111150359200</v>
      </c>
      <c r="B2155" t="str">
        <f>"1578726239190671"</f>
        <v>1578726239190671</v>
      </c>
      <c r="C2155" t="s">
        <v>40</v>
      </c>
      <c r="D2155">
        <v>5.2675929999999997</v>
      </c>
      <c r="E2155">
        <v>0.50062070000000003</v>
      </c>
      <c r="F2155" t="s">
        <v>41</v>
      </c>
      <c r="G2155">
        <v>-345.0283</v>
      </c>
      <c r="H2155" s="1">
        <v>-3.261337E-6</v>
      </c>
      <c r="I2155">
        <v>23.924029999999998</v>
      </c>
      <c r="J2155">
        <v>-372.2047</v>
      </c>
      <c r="K2155">
        <v>1.105167</v>
      </c>
      <c r="L2155">
        <v>21.793399999999998</v>
      </c>
      <c r="M2155">
        <v>0.99930200000000002</v>
      </c>
      <c r="N2155">
        <v>0</v>
      </c>
      <c r="O2155">
        <v>3.5568599999999999E-2</v>
      </c>
      <c r="P2155">
        <v>0.98670179999999996</v>
      </c>
      <c r="Q2155">
        <v>0.14400279999999999</v>
      </c>
      <c r="R2155">
        <v>7.5385010000000002E-2</v>
      </c>
      <c r="S2155">
        <v>3.0400999999999998</v>
      </c>
      <c r="T2155">
        <v>-0.1228465</v>
      </c>
      <c r="U2155">
        <v>0.23757929999999999</v>
      </c>
      <c r="V2155">
        <v>-4.0595590000000001E-2</v>
      </c>
      <c r="W2155">
        <v>0.155200799999999</v>
      </c>
      <c r="X2155">
        <v>0.9870485</v>
      </c>
      <c r="Y2155">
        <v>-4.2393359999999998E-2</v>
      </c>
      <c r="Z2155">
        <v>-5.7900099999999999E-4</v>
      </c>
      <c r="AA2155">
        <v>0.99910080000000001</v>
      </c>
      <c r="AB2155">
        <v>29</v>
      </c>
      <c r="AC2155">
        <v>27.176400000000001</v>
      </c>
      <c r="AD2155">
        <v>-1.105170261337</v>
      </c>
      <c r="AE2155">
        <v>2.13063</v>
      </c>
      <c r="AF2155">
        <v>-1.1606843393177599</v>
      </c>
      <c r="AG2155">
        <v>-1.105170261337</v>
      </c>
      <c r="AH2155">
        <v>27.190298269044099</v>
      </c>
      <c r="AI2155">
        <v>92.325433711255201</v>
      </c>
      <c r="AJ2155">
        <v>92.444326411450504</v>
      </c>
      <c r="AK2155">
        <v>27.237490879331499</v>
      </c>
      <c r="AL2155">
        <v>81.0715579660191</v>
      </c>
      <c r="AM2155">
        <v>92.355148531625602</v>
      </c>
      <c r="AN2155">
        <v>1.0000000158001601</v>
      </c>
    </row>
    <row r="2156" spans="1:40" x14ac:dyDescent="0.3">
      <c r="A2156" t="str">
        <f>"20200111150359220"</f>
        <v>20200111150359220</v>
      </c>
      <c r="B2156" t="str">
        <f>"1578726239211167"</f>
        <v>1578726239211167</v>
      </c>
      <c r="C2156" t="s">
        <v>40</v>
      </c>
      <c r="D2156">
        <v>5.561388</v>
      </c>
      <c r="E2156">
        <v>0.50150490000000003</v>
      </c>
      <c r="F2156" t="s">
        <v>41</v>
      </c>
      <c r="G2156">
        <v>-344.7407</v>
      </c>
      <c r="H2156" s="1">
        <v>-3.3880649999999999E-6</v>
      </c>
      <c r="I2156">
        <v>23.936509999999998</v>
      </c>
      <c r="J2156">
        <v>-371.9443</v>
      </c>
      <c r="K2156">
        <v>1.1049629999999999</v>
      </c>
      <c r="L2156">
        <v>21.803619999999999</v>
      </c>
      <c r="M2156">
        <v>0.99927750000000004</v>
      </c>
      <c r="N2156">
        <v>0</v>
      </c>
      <c r="O2156">
        <v>3.6253390000000003E-2</v>
      </c>
      <c r="P2156">
        <v>0.98658489999999999</v>
      </c>
      <c r="Q2156">
        <v>0.1443575</v>
      </c>
      <c r="R2156">
        <v>7.623307E-2</v>
      </c>
      <c r="S2156">
        <v>3.0401609999999999</v>
      </c>
      <c r="T2156">
        <v>-0.1223378</v>
      </c>
      <c r="U2156">
        <v>0.2372437</v>
      </c>
      <c r="V2156">
        <v>-4.0692550000000001E-2</v>
      </c>
      <c r="W2156">
        <v>0.15556439999999999</v>
      </c>
      <c r="X2156">
        <v>0.98698719999999995</v>
      </c>
      <c r="Y2156">
        <v>-4.1598700000000002E-2</v>
      </c>
      <c r="Z2156">
        <v>-6.2002699999999999E-4</v>
      </c>
      <c r="AA2156">
        <v>0.99913419999999997</v>
      </c>
      <c r="AB2156">
        <v>29</v>
      </c>
      <c r="AC2156">
        <v>27.203599999999899</v>
      </c>
      <c r="AD2156">
        <v>-1.104966388065</v>
      </c>
      <c r="AE2156">
        <v>2.1328900000000002</v>
      </c>
      <c r="AF2156">
        <v>-1.14332600896544</v>
      </c>
      <c r="AG2156">
        <v>-1.104966388065</v>
      </c>
      <c r="AH2156">
        <v>27.2184123352922</v>
      </c>
      <c r="AI2156">
        <v>92.3226731920888</v>
      </c>
      <c r="AJ2156">
        <v>92.405330112683203</v>
      </c>
      <c r="AK2156">
        <v>27.264814599324101</v>
      </c>
      <c r="AL2156">
        <v>81.050468485323194</v>
      </c>
      <c r="AM2156">
        <v>92.360913755303102</v>
      </c>
      <c r="AN2156">
        <v>0.99999994956835003</v>
      </c>
    </row>
    <row r="2157" spans="1:40" x14ac:dyDescent="0.3">
      <c r="A2157" t="str">
        <f>"20200111150359243"</f>
        <v>20200111150359243</v>
      </c>
      <c r="B2157" t="str">
        <f>"1578726239240447"</f>
        <v>1578726239240447</v>
      </c>
      <c r="C2157" t="s">
        <v>40</v>
      </c>
      <c r="D2157">
        <v>5.3675660000000001</v>
      </c>
      <c r="E2157">
        <v>0.52932250000000003</v>
      </c>
      <c r="F2157" t="s">
        <v>41</v>
      </c>
      <c r="G2157">
        <v>-342.09739999999999</v>
      </c>
      <c r="H2157" s="1">
        <v>-4.3543659999999997E-6</v>
      </c>
      <c r="I2157">
        <v>24.081790000000002</v>
      </c>
      <c r="J2157">
        <v>-371.65339999999998</v>
      </c>
      <c r="K2157">
        <v>1.1047439999999999</v>
      </c>
      <c r="L2157">
        <v>21.814910000000001</v>
      </c>
      <c r="M2157">
        <v>0.99925920000000001</v>
      </c>
      <c r="N2157">
        <v>0</v>
      </c>
      <c r="O2157">
        <v>3.6760099999999997E-2</v>
      </c>
      <c r="P2157">
        <v>0.98647609999999997</v>
      </c>
      <c r="Q2157">
        <v>0.1448586</v>
      </c>
      <c r="R2157">
        <v>7.6689519999999997E-2</v>
      </c>
      <c r="S2157">
        <v>3.039307</v>
      </c>
      <c r="T2157">
        <v>-0.11251849999999999</v>
      </c>
      <c r="U2157">
        <v>0.2319946</v>
      </c>
      <c r="V2157">
        <v>-4.0568300000000002E-2</v>
      </c>
      <c r="W2157">
        <v>0.15607270000000001</v>
      </c>
      <c r="X2157">
        <v>0.98691209999999996</v>
      </c>
      <c r="Y2157">
        <v>-3.9400919999999999E-2</v>
      </c>
      <c r="Z2157">
        <v>-6.2981790000000005E-4</v>
      </c>
      <c r="AA2157">
        <v>0.99922330000000004</v>
      </c>
      <c r="AB2157">
        <v>29</v>
      </c>
      <c r="AC2157">
        <v>29.555999999999901</v>
      </c>
      <c r="AD2157">
        <v>-1.1047483543659999</v>
      </c>
      <c r="AE2157">
        <v>2.2668799999999898</v>
      </c>
      <c r="AF2157">
        <v>-1.17716063134611</v>
      </c>
      <c r="AG2157">
        <v>-1.1047483543659999</v>
      </c>
      <c r="AH2157">
        <v>29.578274325194801</v>
      </c>
      <c r="AI2157">
        <v>92.137312315214203</v>
      </c>
      <c r="AJ2157">
        <v>92.2790633351498</v>
      </c>
      <c r="AK2157">
        <v>29.622297144802001</v>
      </c>
      <c r="AL2157">
        <v>81.020985228166197</v>
      </c>
      <c r="AM2157">
        <v>92.3538920043285</v>
      </c>
      <c r="AN2157">
        <v>0.99999998388829403</v>
      </c>
    </row>
    <row r="2158" spans="1:40" x14ac:dyDescent="0.3">
      <c r="A2158" t="str">
        <f>"20200111150359258"</f>
        <v>20200111150359258</v>
      </c>
      <c r="B2158" t="str">
        <f>"1578726239251183"</f>
        <v>1578726239251183</v>
      </c>
      <c r="C2158" t="s">
        <v>40</v>
      </c>
      <c r="D2158">
        <v>5.2631990000000002</v>
      </c>
      <c r="E2158">
        <v>0.52932250000000003</v>
      </c>
      <c r="F2158" t="s">
        <v>44</v>
      </c>
      <c r="G2158">
        <v>0</v>
      </c>
      <c r="H2158">
        <v>0</v>
      </c>
      <c r="I2158">
        <v>0</v>
      </c>
      <c r="J2158">
        <v>-371.4554</v>
      </c>
      <c r="K2158">
        <v>1.104614</v>
      </c>
      <c r="L2158">
        <v>21.822510000000001</v>
      </c>
      <c r="M2158">
        <v>0.99925160000000002</v>
      </c>
      <c r="N2158">
        <v>0</v>
      </c>
      <c r="O2158">
        <v>3.6962769999999999E-2</v>
      </c>
      <c r="P2158">
        <v>0.986425</v>
      </c>
      <c r="Q2158">
        <v>0.1451711</v>
      </c>
      <c r="R2158">
        <v>7.6752799999999996E-2</v>
      </c>
      <c r="S2158">
        <v>2.9114990000000001</v>
      </c>
      <c r="T2158">
        <v>0.89102789999999998</v>
      </c>
      <c r="U2158">
        <v>-1.5686039999999998E-2</v>
      </c>
      <c r="V2158">
        <v>-4.038224E-2</v>
      </c>
      <c r="W2158">
        <v>0.15638920000000001</v>
      </c>
      <c r="X2158">
        <v>0.98686960000000001</v>
      </c>
      <c r="Y2158">
        <v>3.8876840000000003E-2</v>
      </c>
      <c r="Z2158">
        <v>1.6873550000000001E-2</v>
      </c>
      <c r="AA2158">
        <v>0.99910149999999998</v>
      </c>
      <c r="AB2158">
        <v>29</v>
      </c>
      <c r="AC2158">
        <v>2.9114990000000001</v>
      </c>
      <c r="AD2158">
        <v>0.89102789999999998</v>
      </c>
      <c r="AE2158">
        <v>-1.5686039999999998E-2</v>
      </c>
      <c r="AF2158">
        <v>0.112740528956535</v>
      </c>
      <c r="AG2158">
        <v>0.89102789999999998</v>
      </c>
      <c r="AH2158">
        <v>2.6598205271714801</v>
      </c>
      <c r="AI2158">
        <v>71.494865306293704</v>
      </c>
      <c r="AJ2158">
        <v>87.572884283465896</v>
      </c>
      <c r="AK2158">
        <v>2.8073628875174901</v>
      </c>
      <c r="AL2158">
        <v>81.002625427055904</v>
      </c>
      <c r="AM2158">
        <v>92.343209111005294</v>
      </c>
      <c r="AN2158">
        <v>0.99999995729410796</v>
      </c>
    </row>
    <row r="2159" spans="1:40" x14ac:dyDescent="0.3">
      <c r="A2159" t="str">
        <f>"20200111150359277"</f>
        <v>20200111150359277</v>
      </c>
      <c r="B2159" t="str">
        <f>"1578726239270704"</f>
        <v>1578726239270704</v>
      </c>
      <c r="C2159" t="s">
        <v>40</v>
      </c>
      <c r="D2159">
        <v>5.2869679999999999</v>
      </c>
      <c r="E2159">
        <v>0.51091350000000002</v>
      </c>
      <c r="F2159" t="s">
        <v>44</v>
      </c>
      <c r="G2159">
        <v>0</v>
      </c>
      <c r="H2159">
        <v>0</v>
      </c>
      <c r="I2159">
        <v>0</v>
      </c>
      <c r="J2159">
        <v>-371.22550000000001</v>
      </c>
      <c r="K2159">
        <v>1.104479</v>
      </c>
      <c r="L2159">
        <v>21.831299999999999</v>
      </c>
      <c r="M2159">
        <v>0.9992472</v>
      </c>
      <c r="N2159">
        <v>0</v>
      </c>
      <c r="O2159">
        <v>3.708877E-2</v>
      </c>
      <c r="P2159">
        <v>0.9864079</v>
      </c>
      <c r="Q2159">
        <v>0.1453554</v>
      </c>
      <c r="R2159">
        <v>7.6628150000000006E-2</v>
      </c>
      <c r="S2159">
        <v>2.9111630000000002</v>
      </c>
      <c r="T2159">
        <v>0.89210279999999997</v>
      </c>
      <c r="U2159">
        <v>-1.5411380000000001E-2</v>
      </c>
      <c r="V2159">
        <v>-4.0081279999999997E-2</v>
      </c>
      <c r="W2159">
        <v>0.15657750000000001</v>
      </c>
      <c r="X2159">
        <v>0.98685199999999995</v>
      </c>
      <c r="Y2159">
        <v>3.8893650000000002E-2</v>
      </c>
      <c r="Z2159">
        <v>1.6935120000000001E-2</v>
      </c>
      <c r="AA2159">
        <v>0.99909990000000004</v>
      </c>
      <c r="AB2159">
        <v>29</v>
      </c>
      <c r="AC2159">
        <v>2.9111630000000002</v>
      </c>
      <c r="AD2159">
        <v>0.89210279999999997</v>
      </c>
      <c r="AE2159">
        <v>-1.5411380000000001E-2</v>
      </c>
      <c r="AF2159">
        <v>0.112787966340751</v>
      </c>
      <c r="AG2159">
        <v>0.89210279999999997</v>
      </c>
      <c r="AH2159">
        <v>2.6589059698369999</v>
      </c>
      <c r="AI2159">
        <v>71.468151024420393</v>
      </c>
      <c r="AJ2159">
        <v>87.571030076226094</v>
      </c>
      <c r="AK2159">
        <v>2.8068397687709101</v>
      </c>
      <c r="AL2159">
        <v>80.991701961248907</v>
      </c>
      <c r="AM2159">
        <v>92.325806368321494</v>
      </c>
      <c r="AN2159">
        <v>0.99999994620834198</v>
      </c>
    </row>
    <row r="2160" spans="1:40" x14ac:dyDescent="0.3">
      <c r="A2160" t="str">
        <f>"20200111150359299"</f>
        <v>20200111150359299</v>
      </c>
      <c r="B2160" t="str">
        <f>"1578726239291199"</f>
        <v>1578726239291199</v>
      </c>
      <c r="C2160" t="s">
        <v>40</v>
      </c>
      <c r="D2160">
        <v>5.2118679999999999</v>
      </c>
      <c r="E2160">
        <v>0.51098049999999995</v>
      </c>
      <c r="F2160" t="s">
        <v>41</v>
      </c>
      <c r="G2160">
        <v>-325.91430000000003</v>
      </c>
      <c r="H2160" s="1">
        <v>-3.1243220000000001E-6</v>
      </c>
      <c r="I2160">
        <v>24.173369999999998</v>
      </c>
      <c r="J2160">
        <v>-370.93900000000002</v>
      </c>
      <c r="K2160">
        <v>1.1043400000000001</v>
      </c>
      <c r="L2160">
        <v>21.84207</v>
      </c>
      <c r="M2160">
        <v>0.99924669999999904</v>
      </c>
      <c r="N2160">
        <v>0</v>
      </c>
      <c r="O2160">
        <v>3.7103589999999999E-2</v>
      </c>
      <c r="P2160">
        <v>0.98643729999999996</v>
      </c>
      <c r="Q2160">
        <v>0.1451433</v>
      </c>
      <c r="R2160">
        <v>7.664791E-2</v>
      </c>
      <c r="S2160">
        <v>3.0400390000000002</v>
      </c>
      <c r="T2160">
        <v>-7.4102399999999902E-2</v>
      </c>
      <c r="U2160">
        <v>0.157135</v>
      </c>
      <c r="V2160">
        <v>-4.003321E-2</v>
      </c>
      <c r="W2160">
        <v>0.15636749999999999</v>
      </c>
      <c r="X2160">
        <v>0.98688730000000002</v>
      </c>
      <c r="Y2160">
        <v>-1.4534190000000001E-2</v>
      </c>
      <c r="Z2160">
        <v>-7.2637250000000004E-4</v>
      </c>
      <c r="AA2160">
        <v>0.99989410000000001</v>
      </c>
      <c r="AB2160">
        <v>29</v>
      </c>
      <c r="AC2160">
        <v>45.024700000000003</v>
      </c>
      <c r="AD2160">
        <v>-1.1043431243220001</v>
      </c>
      <c r="AE2160">
        <v>2.3313000000000001</v>
      </c>
      <c r="AF2160">
        <v>-0.65861328677641295</v>
      </c>
      <c r="AG2160">
        <v>-1.1043431243220001</v>
      </c>
      <c r="AH2160">
        <v>45.053166861891</v>
      </c>
      <c r="AI2160">
        <v>91.404002888553805</v>
      </c>
      <c r="AJ2160">
        <v>90.837523232135695</v>
      </c>
      <c r="AK2160">
        <v>45.071511950267997</v>
      </c>
      <c r="AL2160">
        <v>81.003884600922703</v>
      </c>
      <c r="AM2160">
        <v>92.322937055058901</v>
      </c>
      <c r="AN2160">
        <v>0.99999999793022198</v>
      </c>
    </row>
    <row r="2161" spans="1:40" x14ac:dyDescent="0.3">
      <c r="A2161" t="str">
        <f>"20200111150359321"</f>
        <v>20200111150359321</v>
      </c>
      <c r="B2161" t="str">
        <f>"1578726239310718"</f>
        <v>1578726239310718</v>
      </c>
      <c r="C2161" t="s">
        <v>40</v>
      </c>
      <c r="D2161">
        <v>5.1498999999999997</v>
      </c>
      <c r="E2161">
        <v>0.51138240000000001</v>
      </c>
      <c r="F2161" t="s">
        <v>41</v>
      </c>
      <c r="G2161">
        <v>-335.4529</v>
      </c>
      <c r="H2161" s="1">
        <v>-3.0134470000000001E-6</v>
      </c>
      <c r="I2161">
        <v>23.676939999999998</v>
      </c>
      <c r="J2161">
        <v>-370.65179999999998</v>
      </c>
      <c r="K2161">
        <v>1.104233</v>
      </c>
      <c r="L2161">
        <v>21.852779999999999</v>
      </c>
      <c r="M2161">
        <v>0.99925059999999999</v>
      </c>
      <c r="N2161">
        <v>0</v>
      </c>
      <c r="O2161">
        <v>3.7005839999999998E-2</v>
      </c>
      <c r="P2161">
        <v>0.98648800000000003</v>
      </c>
      <c r="Q2161">
        <v>0.1449839</v>
      </c>
      <c r="R2161">
        <v>7.629611E-2</v>
      </c>
      <c r="S2161">
        <v>3.0429689999999998</v>
      </c>
      <c r="T2161">
        <v>-9.4698309999999994E-2</v>
      </c>
      <c r="U2161">
        <v>0.15734860000000001</v>
      </c>
      <c r="V2161">
        <v>-3.9738229999999999E-2</v>
      </c>
      <c r="W2161">
        <v>0.15620780000000001</v>
      </c>
      <c r="X2161">
        <v>0.98692449999999998</v>
      </c>
      <c r="Y2161">
        <v>-1.4656489999999999E-2</v>
      </c>
      <c r="Z2161">
        <v>-9.2234040000000004E-4</v>
      </c>
      <c r="AA2161">
        <v>0.99989220000000001</v>
      </c>
      <c r="AB2161">
        <v>29</v>
      </c>
      <c r="AC2161">
        <v>35.198899999999902</v>
      </c>
      <c r="AD2161">
        <v>-1.104236013447</v>
      </c>
      <c r="AE2161">
        <v>1.82415999999999</v>
      </c>
      <c r="AF2161">
        <v>-0.519751472083118</v>
      </c>
      <c r="AG2161">
        <v>-1.104236013447</v>
      </c>
      <c r="AH2161">
        <v>35.207739074072698</v>
      </c>
      <c r="AI2161">
        <v>91.796208620718602</v>
      </c>
      <c r="AJ2161">
        <v>90.845762992291895</v>
      </c>
      <c r="AK2161">
        <v>35.228885441837598</v>
      </c>
      <c r="AL2161">
        <v>81.013148470270096</v>
      </c>
      <c r="AM2161">
        <v>92.305752490400593</v>
      </c>
      <c r="AN2161">
        <v>0.99999998620231101</v>
      </c>
    </row>
    <row r="2162" spans="1:40" x14ac:dyDescent="0.3">
      <c r="A2162" t="str">
        <f>"20200111150359334"</f>
        <v>20200111150359334</v>
      </c>
      <c r="B2162" t="str">
        <f>"1578726239331215"</f>
        <v>1578726239331215</v>
      </c>
      <c r="C2162" t="s">
        <v>40</v>
      </c>
      <c r="D2162">
        <v>5.2240849999999996</v>
      </c>
      <c r="E2162">
        <v>0.51241239999999999</v>
      </c>
      <c r="F2162" t="s">
        <v>41</v>
      </c>
      <c r="G2162">
        <v>-337.26</v>
      </c>
      <c r="H2162" s="1">
        <v>-2.2009279999999999E-6</v>
      </c>
      <c r="I2162">
        <v>23.536909999999999</v>
      </c>
      <c r="J2162">
        <v>-370.48390000000001</v>
      </c>
      <c r="K2162">
        <v>1.1041840000000001</v>
      </c>
      <c r="L2162">
        <v>21.858979999999999</v>
      </c>
      <c r="M2162">
        <v>0.99925390000000003</v>
      </c>
      <c r="N2162">
        <v>0</v>
      </c>
      <c r="O2162">
        <v>3.691705E-2</v>
      </c>
      <c r="P2162">
        <v>0.98655720000000002</v>
      </c>
      <c r="Q2162">
        <v>0.1446897</v>
      </c>
      <c r="R2162">
        <v>7.595884E-2</v>
      </c>
      <c r="S2162">
        <v>3.0440369999999999</v>
      </c>
      <c r="T2162">
        <v>-0.1006634</v>
      </c>
      <c r="U2162">
        <v>0.1535339</v>
      </c>
      <c r="V2162">
        <v>-3.946997E-2</v>
      </c>
      <c r="W2162">
        <v>0.15591250000000001</v>
      </c>
      <c r="X2162">
        <v>0.98698200000000003</v>
      </c>
      <c r="Y2162">
        <v>-1.3479440000000001E-2</v>
      </c>
      <c r="Z2162">
        <v>-9.9661710000000002E-4</v>
      </c>
      <c r="AA2162">
        <v>0.99990860000000004</v>
      </c>
      <c r="AB2162">
        <v>29</v>
      </c>
      <c r="AC2162">
        <v>33.2239</v>
      </c>
      <c r="AD2162">
        <v>-1.1041862009279999</v>
      </c>
      <c r="AE2162">
        <v>1.6779299999999999</v>
      </c>
      <c r="AF2162">
        <v>-0.449683273945364</v>
      </c>
      <c r="AG2162">
        <v>-1.1041862009279999</v>
      </c>
      <c r="AH2162">
        <v>33.226590779059997</v>
      </c>
      <c r="AI2162">
        <v>91.903178958097001</v>
      </c>
      <c r="AJ2162">
        <v>90.775384419717994</v>
      </c>
      <c r="AK2162">
        <v>33.247974028687899</v>
      </c>
      <c r="AL2162">
        <v>81.030278161622405</v>
      </c>
      <c r="AM2162">
        <v>92.290070446381094</v>
      </c>
      <c r="AN2162">
        <v>1.0000000272560201</v>
      </c>
    </row>
    <row r="2163" spans="1:40" x14ac:dyDescent="0.3">
      <c r="A2163" t="str">
        <f>"20200111150359346"</f>
        <v>20200111150359346</v>
      </c>
      <c r="B2163" t="str">
        <f>"1578726239340976"</f>
        <v>1578726239340976</v>
      </c>
      <c r="C2163" t="s">
        <v>40</v>
      </c>
      <c r="D2163">
        <v>5.1888920000000001</v>
      </c>
      <c r="E2163">
        <v>0.51278310000000005</v>
      </c>
      <c r="F2163" t="s">
        <v>41</v>
      </c>
      <c r="G2163">
        <v>-339.11989999999997</v>
      </c>
      <c r="H2163" s="1">
        <v>-1.3533100000000001E-6</v>
      </c>
      <c r="I2163">
        <v>23.349900000000002</v>
      </c>
      <c r="J2163">
        <v>-370.31459999999998</v>
      </c>
      <c r="K2163">
        <v>1.1041449999999999</v>
      </c>
      <c r="L2163">
        <v>21.865169999999999</v>
      </c>
      <c r="M2163">
        <v>0.99925779999999997</v>
      </c>
      <c r="N2163">
        <v>0</v>
      </c>
      <c r="O2163">
        <v>3.6811869999999997E-2</v>
      </c>
      <c r="P2163">
        <v>0.98664949999999996</v>
      </c>
      <c r="Q2163">
        <v>0.14432429999999999</v>
      </c>
      <c r="R2163">
        <v>7.5454880000000002E-2</v>
      </c>
      <c r="S2163">
        <v>3.0454409999999998</v>
      </c>
      <c r="T2163">
        <v>-0.10721600000000001</v>
      </c>
      <c r="U2163">
        <v>0.1447754</v>
      </c>
      <c r="V2163">
        <v>-3.905339E-2</v>
      </c>
      <c r="W2163">
        <v>0.15554560000000001</v>
      </c>
      <c r="X2163">
        <v>0.98705639999999994</v>
      </c>
      <c r="Y2163">
        <v>-1.0696020000000001E-2</v>
      </c>
      <c r="Z2163">
        <v>-1.1063119999999999E-3</v>
      </c>
      <c r="AA2163">
        <v>0.9999422</v>
      </c>
      <c r="AB2163">
        <v>29</v>
      </c>
      <c r="AC2163">
        <v>31.194700000000001</v>
      </c>
      <c r="AD2163">
        <v>-1.10414635331</v>
      </c>
      <c r="AE2163">
        <v>1.4847299999999899</v>
      </c>
      <c r="AF2163">
        <v>-0.33489575774028102</v>
      </c>
      <c r="AG2163">
        <v>-1.10414635331</v>
      </c>
      <c r="AH2163">
        <v>31.1892266962208</v>
      </c>
      <c r="AI2163">
        <v>92.027394777685103</v>
      </c>
      <c r="AJ2163">
        <v>90.615192428550202</v>
      </c>
      <c r="AK2163">
        <v>31.210561613760401</v>
      </c>
      <c r="AL2163">
        <v>81.051559093733104</v>
      </c>
      <c r="AM2163">
        <v>92.2657549449942</v>
      </c>
      <c r="AN2163">
        <v>0.99999996886540499</v>
      </c>
    </row>
    <row r="2164" spans="1:40" x14ac:dyDescent="0.3">
      <c r="A2164" t="str">
        <f>"20200111150359365"</f>
        <v>20200111150359365</v>
      </c>
      <c r="B2164" t="str">
        <f>"1578726239360494"</f>
        <v>1578726239360494</v>
      </c>
      <c r="C2164" t="s">
        <v>40</v>
      </c>
      <c r="D2164">
        <v>5.1749419999999997</v>
      </c>
      <c r="E2164">
        <v>0.51347549999999997</v>
      </c>
      <c r="F2164" t="s">
        <v>41</v>
      </c>
      <c r="G2164">
        <v>-339.36939999999998</v>
      </c>
      <c r="H2164" s="1">
        <v>-1.2309539999999999E-6</v>
      </c>
      <c r="I2164">
        <v>23.292310000000001</v>
      </c>
      <c r="J2164">
        <v>-370.08150000000001</v>
      </c>
      <c r="K2164">
        <v>1.1041030000000001</v>
      </c>
      <c r="L2164">
        <v>21.87369</v>
      </c>
      <c r="M2164">
        <v>0.99926360000000003</v>
      </c>
      <c r="N2164">
        <v>0</v>
      </c>
      <c r="O2164">
        <v>3.665558E-2</v>
      </c>
      <c r="P2164">
        <v>0.98692939999999996</v>
      </c>
      <c r="Q2164">
        <v>0.14287230000000001</v>
      </c>
      <c r="R2164">
        <v>7.4552579999999993E-2</v>
      </c>
      <c r="S2164">
        <v>3.0457459999999998</v>
      </c>
      <c r="T2164">
        <v>-0.1086742</v>
      </c>
      <c r="U2164">
        <v>0.1404724</v>
      </c>
      <c r="V2164">
        <v>-3.8284190000000003E-2</v>
      </c>
      <c r="W2164">
        <v>0.1540928</v>
      </c>
      <c r="X2164">
        <v>0.98731440000000004</v>
      </c>
      <c r="Y2164">
        <v>-9.4391730000000004E-3</v>
      </c>
      <c r="Z2164">
        <v>-1.138118E-3</v>
      </c>
      <c r="AA2164">
        <v>0.99995480000000003</v>
      </c>
      <c r="AB2164">
        <v>29</v>
      </c>
      <c r="AC2164">
        <v>30.7121</v>
      </c>
      <c r="AD2164">
        <v>-1.1041042309539999</v>
      </c>
      <c r="AE2164">
        <v>1.41862</v>
      </c>
      <c r="AF2164">
        <v>-0.29144838887477398</v>
      </c>
      <c r="AG2164">
        <v>-1.1041042309539999</v>
      </c>
      <c r="AH2164">
        <v>30.703863649650899</v>
      </c>
      <c r="AI2164">
        <v>92.059363630095106</v>
      </c>
      <c r="AJ2164">
        <v>90.543848856031801</v>
      </c>
      <c r="AK2164">
        <v>30.725091233917301</v>
      </c>
      <c r="AL2164">
        <v>81.135814547395398</v>
      </c>
      <c r="AM2164">
        <v>92.220593680504393</v>
      </c>
      <c r="AN2164">
        <v>0.99999999733157796</v>
      </c>
    </row>
    <row r="2165" spans="1:40" x14ac:dyDescent="0.3">
      <c r="A2165" t="str">
        <f>"20200111150359380"</f>
        <v>20200111150359380</v>
      </c>
      <c r="B2165" t="str">
        <f>"1578726239371231"</f>
        <v>1578726239371231</v>
      </c>
      <c r="C2165" t="s">
        <v>40</v>
      </c>
      <c r="D2165">
        <v>6.055269</v>
      </c>
      <c r="E2165">
        <v>0.51347549999999997</v>
      </c>
      <c r="F2165" t="s">
        <v>41</v>
      </c>
      <c r="G2165">
        <v>-340.40019999999998</v>
      </c>
      <c r="H2165" s="1">
        <v>-4.7690509999999999E-6</v>
      </c>
      <c r="I2165">
        <v>23.16356</v>
      </c>
      <c r="J2165">
        <v>-369.9006</v>
      </c>
      <c r="K2165">
        <v>1.104087</v>
      </c>
      <c r="L2165">
        <v>21.88025</v>
      </c>
      <c r="M2165">
        <v>0.99926789999999999</v>
      </c>
      <c r="N2165">
        <v>0</v>
      </c>
      <c r="O2165">
        <v>3.6539240000000001E-2</v>
      </c>
      <c r="P2165">
        <v>0.98703410000000003</v>
      </c>
      <c r="Q2165">
        <v>0.1422638</v>
      </c>
      <c r="R2165">
        <v>7.4329019999999996E-2</v>
      </c>
      <c r="S2165">
        <v>3.0461119999999999</v>
      </c>
      <c r="T2165">
        <v>-0.1133118</v>
      </c>
      <c r="U2165">
        <v>0.13238529999999901</v>
      </c>
      <c r="V2165">
        <v>-3.816688E-2</v>
      </c>
      <c r="W2165">
        <v>0.1534817</v>
      </c>
      <c r="X2165">
        <v>0.98741409999999996</v>
      </c>
      <c r="Y2165">
        <v>-6.9037350000000003E-3</v>
      </c>
      <c r="Z2165">
        <v>-1.2293969999999999E-3</v>
      </c>
      <c r="AA2165">
        <v>0.99997539999999996</v>
      </c>
      <c r="AB2165">
        <v>29</v>
      </c>
      <c r="AC2165">
        <v>29.500399999999999</v>
      </c>
      <c r="AD2165">
        <v>-1.1040917690509999</v>
      </c>
      <c r="AE2165">
        <v>1.28331</v>
      </c>
      <c r="AF2165">
        <v>-0.204175979726018</v>
      </c>
      <c r="AG2165">
        <v>-1.1040917690509999</v>
      </c>
      <c r="AH2165">
        <v>29.486367408952901</v>
      </c>
      <c r="AI2165">
        <v>92.144338207958398</v>
      </c>
      <c r="AJ2165">
        <v>90.396733676584006</v>
      </c>
      <c r="AK2165">
        <v>29.5077374503865</v>
      </c>
      <c r="AL2165">
        <v>81.171249325810805</v>
      </c>
      <c r="AM2165">
        <v>92.213572835470202</v>
      </c>
      <c r="AN2165">
        <v>0.99999997392131601</v>
      </c>
    </row>
    <row r="2166" spans="1:40" x14ac:dyDescent="0.3">
      <c r="A2166" t="str">
        <f>"20200111150359399"</f>
        <v>20200111150359399</v>
      </c>
      <c r="B2166" t="str">
        <f>"1578726239390750"</f>
        <v>1578726239390750</v>
      </c>
      <c r="C2166" t="s">
        <v>40</v>
      </c>
      <c r="D2166">
        <v>5.365837</v>
      </c>
      <c r="E2166">
        <v>0.51279790000000003</v>
      </c>
      <c r="F2166" t="s">
        <v>41</v>
      </c>
      <c r="G2166">
        <v>-340.69299999999998</v>
      </c>
      <c r="H2166" s="1">
        <v>-4.6653710000000001E-6</v>
      </c>
      <c r="I2166">
        <v>23.14076</v>
      </c>
      <c r="J2166">
        <v>-369.6377</v>
      </c>
      <c r="K2166">
        <v>1.104077</v>
      </c>
      <c r="L2166">
        <v>21.88974</v>
      </c>
      <c r="M2166">
        <v>0.99927359999999998</v>
      </c>
      <c r="N2166">
        <v>0</v>
      </c>
      <c r="O2166">
        <v>3.638744E-2</v>
      </c>
      <c r="P2166">
        <v>0.9870913</v>
      </c>
      <c r="Q2166">
        <v>0.14199579999999901</v>
      </c>
      <c r="R2166">
        <v>7.4082110000000007E-2</v>
      </c>
      <c r="S2166">
        <v>3.0461119999999999</v>
      </c>
      <c r="T2166">
        <v>-0.11514770000000001</v>
      </c>
      <c r="U2166">
        <v>0.13146969999999999</v>
      </c>
      <c r="V2166">
        <v>-3.8065870000000002E-2</v>
      </c>
      <c r="W2166">
        <v>0.15320839999999999</v>
      </c>
      <c r="X2166">
        <v>0.98746049999999996</v>
      </c>
      <c r="Y2166">
        <v>-6.756326E-3</v>
      </c>
      <c r="Z2166">
        <v>-1.2463660000000001E-3</v>
      </c>
      <c r="AA2166">
        <v>0.99997639999999999</v>
      </c>
      <c r="AB2166">
        <v>29</v>
      </c>
      <c r="AC2166">
        <v>28.944699999999902</v>
      </c>
      <c r="AD2166">
        <v>-1.1040816653709999</v>
      </c>
      <c r="AE2166">
        <v>1.25102</v>
      </c>
      <c r="AF2166">
        <v>-0.19661480684579399</v>
      </c>
      <c r="AG2166">
        <v>-1.1040816653709999</v>
      </c>
      <c r="AH2166">
        <v>28.929040078241801</v>
      </c>
      <c r="AI2166">
        <v>92.185591828041197</v>
      </c>
      <c r="AJ2166">
        <v>90.389401969208507</v>
      </c>
      <c r="AK2166">
        <v>28.950768790389699</v>
      </c>
      <c r="AL2166">
        <v>81.187096195379496</v>
      </c>
      <c r="AM2166">
        <v>92.207616704685705</v>
      </c>
      <c r="AN2166">
        <v>1.0000000316748301</v>
      </c>
    </row>
    <row r="2167" spans="1:40" x14ac:dyDescent="0.3">
      <c r="A2167" t="str">
        <f>"20200111150359421"</f>
        <v>20200111150359421</v>
      </c>
      <c r="B2167" t="str">
        <f>"1578726239411246"</f>
        <v>1578726239411246</v>
      </c>
      <c r="C2167" t="s">
        <v>40</v>
      </c>
      <c r="D2167">
        <v>5.1293049999999996</v>
      </c>
      <c r="E2167">
        <v>0.51216159999999999</v>
      </c>
      <c r="F2167" t="s">
        <v>41</v>
      </c>
      <c r="G2167">
        <v>-335.37549999999999</v>
      </c>
      <c r="H2167" s="1">
        <v>-2.9761519999999999E-6</v>
      </c>
      <c r="I2167">
        <v>23.412089999999999</v>
      </c>
      <c r="J2167">
        <v>-369.34969999999998</v>
      </c>
      <c r="K2167">
        <v>1.1040920000000001</v>
      </c>
      <c r="L2167">
        <v>21.90005</v>
      </c>
      <c r="M2167">
        <v>0.99927840000000001</v>
      </c>
      <c r="N2167">
        <v>0</v>
      </c>
      <c r="O2167">
        <v>3.6256919999999998E-2</v>
      </c>
      <c r="P2167">
        <v>0.98697729999999995</v>
      </c>
      <c r="Q2167">
        <v>0.1424976</v>
      </c>
      <c r="R2167">
        <v>7.4634519999999996E-2</v>
      </c>
      <c r="S2167">
        <v>3.0431819999999998</v>
      </c>
      <c r="T2167">
        <v>-9.8065020000000003E-2</v>
      </c>
      <c r="U2167">
        <v>0.13522339999999999</v>
      </c>
      <c r="V2167">
        <v>-3.8755009999999999E-2</v>
      </c>
      <c r="W2167">
        <v>0.15370220000000001</v>
      </c>
      <c r="X2167">
        <v>0.98735689999999998</v>
      </c>
      <c r="Y2167">
        <v>-8.1529129999999995E-3</v>
      </c>
      <c r="Z2167">
        <v>-1.0358679999999999E-3</v>
      </c>
      <c r="AA2167">
        <v>0.99996620000000003</v>
      </c>
      <c r="AB2167">
        <v>29</v>
      </c>
      <c r="AC2167">
        <v>33.974200000000003</v>
      </c>
      <c r="AD2167">
        <v>-1.104094976152</v>
      </c>
      <c r="AE2167">
        <v>1.5120399999999901</v>
      </c>
      <c r="AF2167">
        <v>-0.27887300189504799</v>
      </c>
      <c r="AG2167">
        <v>-1.104094976152</v>
      </c>
      <c r="AH2167">
        <v>33.970878091310297</v>
      </c>
      <c r="AI2167">
        <v>91.861464769528396</v>
      </c>
      <c r="AJ2167">
        <v>90.470340715726294</v>
      </c>
      <c r="AK2167">
        <v>33.9899596081287</v>
      </c>
      <c r="AL2167">
        <v>81.158463975520206</v>
      </c>
      <c r="AM2167">
        <v>92.247778098333399</v>
      </c>
      <c r="AN2167">
        <v>0.99999998253127498</v>
      </c>
    </row>
    <row r="2168" spans="1:40" x14ac:dyDescent="0.3">
      <c r="A2168" t="str">
        <f>"20200111150359443"</f>
        <v>20200111150359443</v>
      </c>
      <c r="B2168" t="str">
        <f>"1578726239440528"</f>
        <v>1578726239440528</v>
      </c>
      <c r="C2168" t="s">
        <v>40</v>
      </c>
      <c r="D2168">
        <v>5.3084949999999997</v>
      </c>
      <c r="E2168">
        <v>0.51187399999999905</v>
      </c>
      <c r="F2168" t="s">
        <v>41</v>
      </c>
      <c r="G2168">
        <v>-329.01299999999998</v>
      </c>
      <c r="H2168" s="1">
        <v>-1.553689E-6</v>
      </c>
      <c r="I2168">
        <v>23.775500000000001</v>
      </c>
      <c r="J2168">
        <v>-369.07650000000001</v>
      </c>
      <c r="K2168">
        <v>1.104117</v>
      </c>
      <c r="L2168">
        <v>21.90991</v>
      </c>
      <c r="M2168">
        <v>0.99928150000000004</v>
      </c>
      <c r="N2168">
        <v>0</v>
      </c>
      <c r="O2168">
        <v>3.6171370000000001E-2</v>
      </c>
      <c r="P2168">
        <v>0.98684559999999999</v>
      </c>
      <c r="Q2168">
        <v>0.1429242</v>
      </c>
      <c r="R2168">
        <v>7.5552880000000003E-2</v>
      </c>
      <c r="S2168">
        <v>3.040924</v>
      </c>
      <c r="T2168">
        <v>-8.3235980000000001E-2</v>
      </c>
      <c r="U2168">
        <v>0.14138789999999901</v>
      </c>
      <c r="V2168">
        <v>-3.9769779999999998E-2</v>
      </c>
      <c r="W2168">
        <v>0.15412100000000001</v>
      </c>
      <c r="X2168">
        <v>0.98725130000000005</v>
      </c>
      <c r="Y2168">
        <v>-1.02895E-2</v>
      </c>
      <c r="Z2168">
        <v>-8.4833529999999997E-4</v>
      </c>
      <c r="AA2168">
        <v>0.99994669999999997</v>
      </c>
      <c r="AB2168">
        <v>29</v>
      </c>
      <c r="AC2168">
        <v>40.063499999999898</v>
      </c>
      <c r="AD2168">
        <v>-1.1041185536889999</v>
      </c>
      <c r="AE2168">
        <v>1.8655900000000001</v>
      </c>
      <c r="AF2168">
        <v>-0.41481011357380299</v>
      </c>
      <c r="AG2168">
        <v>-1.1041185536889999</v>
      </c>
      <c r="AH2168">
        <v>40.0743933728833</v>
      </c>
      <c r="AI2168">
        <v>91.578113648937403</v>
      </c>
      <c r="AJ2168">
        <v>90.593047530895902</v>
      </c>
      <c r="AK2168">
        <v>40.091746649597603</v>
      </c>
      <c r="AL2168">
        <v>81.134179507334693</v>
      </c>
      <c r="AM2168">
        <v>92.306818124319804</v>
      </c>
      <c r="AN2168">
        <v>1.0000000236969599</v>
      </c>
    </row>
    <row r="2169" spans="1:40" x14ac:dyDescent="0.3">
      <c r="A2169" t="str">
        <f>"20200111150359458"</f>
        <v>20200111150359458</v>
      </c>
      <c r="B2169" t="str">
        <f>"1578726239451263"</f>
        <v>1578726239451263</v>
      </c>
      <c r="C2169" t="s">
        <v>40</v>
      </c>
      <c r="D2169">
        <v>5.0750019999999996</v>
      </c>
      <c r="E2169">
        <v>0.51179449999999904</v>
      </c>
      <c r="F2169" t="s">
        <v>41</v>
      </c>
      <c r="G2169">
        <v>-327.19310000000002</v>
      </c>
      <c r="H2169" s="1">
        <v>-2.453267E-6</v>
      </c>
      <c r="I2169">
        <v>23.923200000000001</v>
      </c>
      <c r="J2169">
        <v>-368.89229999999998</v>
      </c>
      <c r="K2169">
        <v>1.1041350000000001</v>
      </c>
      <c r="L2169">
        <v>21.916499999999999</v>
      </c>
      <c r="M2169">
        <v>0.99928300000000003</v>
      </c>
      <c r="N2169">
        <v>0</v>
      </c>
      <c r="O2169">
        <v>3.6133350000000002E-2</v>
      </c>
      <c r="P2169">
        <v>0.9867551</v>
      </c>
      <c r="Q2169">
        <v>0.14346979999999901</v>
      </c>
      <c r="R2169">
        <v>7.5703820000000005E-2</v>
      </c>
      <c r="S2169">
        <v>3.0404049999999998</v>
      </c>
      <c r="T2169">
        <v>-8.0150369999999999E-2</v>
      </c>
      <c r="U2169">
        <v>0.14614869999999999</v>
      </c>
      <c r="V2169">
        <v>-3.9967849999999999E-2</v>
      </c>
      <c r="W2169">
        <v>0.15466089999999999</v>
      </c>
      <c r="X2169">
        <v>0.9871588</v>
      </c>
      <c r="Y2169">
        <v>-1.189643E-2</v>
      </c>
      <c r="Z2169">
        <v>-7.9483449999999997E-4</v>
      </c>
      <c r="AA2169">
        <v>0.99992890000000001</v>
      </c>
      <c r="AB2169">
        <v>29</v>
      </c>
      <c r="AC2169">
        <v>41.699199999999898</v>
      </c>
      <c r="AD2169">
        <v>-1.1041374532670001</v>
      </c>
      <c r="AE2169">
        <v>2.0066999999999999</v>
      </c>
      <c r="AF2169">
        <v>-0.49821278489152998</v>
      </c>
      <c r="AG2169">
        <v>-1.1041374532670001</v>
      </c>
      <c r="AH2169">
        <v>41.715299668697</v>
      </c>
      <c r="AI2169">
        <v>91.516065836426804</v>
      </c>
      <c r="AJ2169">
        <v>90.684260522661305</v>
      </c>
      <c r="AK2169">
        <v>41.732883460694701</v>
      </c>
      <c r="AL2169">
        <v>81.102869537667502</v>
      </c>
      <c r="AM2169">
        <v>92.318511525734806</v>
      </c>
      <c r="AN2169">
        <v>0.99999995971993505</v>
      </c>
    </row>
    <row r="2170" spans="1:40" x14ac:dyDescent="0.3">
      <c r="A2170" t="str">
        <f>"20200111150359479"</f>
        <v>20200111150359479</v>
      </c>
      <c r="B2170" t="str">
        <f>"1578726239470783"</f>
        <v>1578726239470783</v>
      </c>
      <c r="C2170" t="s">
        <v>40</v>
      </c>
      <c r="D2170">
        <v>5.5743549999999997</v>
      </c>
      <c r="E2170">
        <v>0.5118393</v>
      </c>
      <c r="F2170" t="s">
        <v>41</v>
      </c>
      <c r="G2170">
        <v>-326.74250000000001</v>
      </c>
      <c r="H2170" s="1">
        <v>-2.6760490000000002E-6</v>
      </c>
      <c r="I2170">
        <v>23.959859999999999</v>
      </c>
      <c r="J2170">
        <v>-368.61059999999998</v>
      </c>
      <c r="K2170">
        <v>1.1041609999999999</v>
      </c>
      <c r="L2170">
        <v>21.926670000000001</v>
      </c>
      <c r="M2170">
        <v>0.99928410000000001</v>
      </c>
      <c r="N2170">
        <v>0</v>
      </c>
      <c r="O2170">
        <v>3.6101750000000002E-2</v>
      </c>
      <c r="P2170">
        <v>0.98671989999999998</v>
      </c>
      <c r="Q2170">
        <v>0.143819899999999</v>
      </c>
      <c r="R2170">
        <v>7.5495510000000002E-2</v>
      </c>
      <c r="S2170">
        <v>3.040527</v>
      </c>
      <c r="T2170">
        <v>-7.9648259999999999E-2</v>
      </c>
      <c r="U2170">
        <v>0.1473999</v>
      </c>
      <c r="V2170">
        <v>-3.9800929999999998E-2</v>
      </c>
      <c r="W2170">
        <v>0.15500439999999999</v>
      </c>
      <c r="X2170">
        <v>0.98711170000000004</v>
      </c>
      <c r="Y2170">
        <v>-1.2336379999999999E-2</v>
      </c>
      <c r="Z2170">
        <v>-7.8323149999999996E-4</v>
      </c>
      <c r="AA2170">
        <v>0.99992360000000002</v>
      </c>
      <c r="AB2170">
        <v>29</v>
      </c>
      <c r="AC2170">
        <v>41.868099999999899</v>
      </c>
      <c r="AD2170">
        <v>-1.1041636760489999</v>
      </c>
      <c r="AE2170">
        <v>2.0331899999999901</v>
      </c>
      <c r="AF2170">
        <v>-0.519895305647324</v>
      </c>
      <c r="AG2170">
        <v>-1.1041636760489999</v>
      </c>
      <c r="AH2170">
        <v>41.885147113414298</v>
      </c>
      <c r="AI2170">
        <v>91.509948146740498</v>
      </c>
      <c r="AJ2170">
        <v>90.711141758270799</v>
      </c>
      <c r="AK2170">
        <v>41.902923731700298</v>
      </c>
      <c r="AL2170">
        <v>81.082948499971295</v>
      </c>
      <c r="AM2170">
        <v>92.308949142284703</v>
      </c>
      <c r="AN2170">
        <v>0.99999999316255705</v>
      </c>
    </row>
    <row r="2171" spans="1:40" x14ac:dyDescent="0.3">
      <c r="A2171" t="str">
        <f>"20200111150359493"</f>
        <v>20200111150359493</v>
      </c>
      <c r="B2171" t="str">
        <f>"1578726239480543"</f>
        <v>1578726239480543</v>
      </c>
      <c r="C2171" t="s">
        <v>40</v>
      </c>
      <c r="D2171">
        <v>5.2471589999999999</v>
      </c>
      <c r="E2171">
        <v>0.512015</v>
      </c>
      <c r="F2171" t="s">
        <v>41</v>
      </c>
      <c r="G2171">
        <v>-323.9932</v>
      </c>
      <c r="H2171" s="1">
        <v>-3.9712199999999999E-6</v>
      </c>
      <c r="I2171">
        <v>24.089099999999998</v>
      </c>
      <c r="J2171">
        <v>-368.4289</v>
      </c>
      <c r="K2171">
        <v>1.104177</v>
      </c>
      <c r="L2171">
        <v>21.933199999999999</v>
      </c>
      <c r="M2171">
        <v>0.99928430000000001</v>
      </c>
      <c r="N2171">
        <v>0</v>
      </c>
      <c r="O2171">
        <v>3.6096830000000003E-2</v>
      </c>
      <c r="P2171">
        <v>0.98670579999999997</v>
      </c>
      <c r="Q2171">
        <v>0.14409459999999999</v>
      </c>
      <c r="R2171">
        <v>7.5156529999999999E-2</v>
      </c>
      <c r="S2171">
        <v>3.0400390000000002</v>
      </c>
      <c r="T2171">
        <v>-7.5233220000000003E-2</v>
      </c>
      <c r="U2171">
        <v>0.14733889999999999</v>
      </c>
      <c r="V2171">
        <v>-3.9473040000000001E-2</v>
      </c>
      <c r="W2171">
        <v>0.1552762</v>
      </c>
      <c r="X2171">
        <v>0.98708220000000002</v>
      </c>
      <c r="Y2171">
        <v>-1.2328179999999999E-2</v>
      </c>
      <c r="Z2171">
        <v>-7.3992789999999904E-4</v>
      </c>
      <c r="AA2171">
        <v>0.99992369999999997</v>
      </c>
      <c r="AB2171">
        <v>29</v>
      </c>
      <c r="AC2171">
        <v>44.435699999999997</v>
      </c>
      <c r="AD2171">
        <v>-1.1041809712199999</v>
      </c>
      <c r="AE2171">
        <v>2.1558999999999902</v>
      </c>
      <c r="AF2171">
        <v>-0.55006546308692905</v>
      </c>
      <c r="AG2171">
        <v>-1.1041809712199999</v>
      </c>
      <c r="AH2171">
        <v>44.4571770065211</v>
      </c>
      <c r="AI2171">
        <v>91.4226514289752</v>
      </c>
      <c r="AJ2171">
        <v>90.708880398709496</v>
      </c>
      <c r="AK2171">
        <v>44.474288920903902</v>
      </c>
      <c r="AL2171">
        <v>81.067185106359602</v>
      </c>
      <c r="AM2171">
        <v>92.290016141315206</v>
      </c>
      <c r="AN2171">
        <v>1.0000000443650501</v>
      </c>
    </row>
    <row r="2172" spans="1:40" x14ac:dyDescent="0.3">
      <c r="A2172" t="str">
        <f>"20200111150359512"</f>
        <v>20200111150359512</v>
      </c>
      <c r="B2172" t="str">
        <f>"1578726239500496"</f>
        <v>1578726239500496</v>
      </c>
      <c r="C2172" t="s">
        <v>40</v>
      </c>
      <c r="D2172">
        <v>5.2755890000000001</v>
      </c>
      <c r="E2172">
        <v>0.52041700000000002</v>
      </c>
      <c r="F2172" t="s">
        <v>41</v>
      </c>
      <c r="G2172">
        <v>-324.56029999999998</v>
      </c>
      <c r="H2172" s="1">
        <v>-3.7252719999999998E-6</v>
      </c>
      <c r="I2172">
        <v>24.026409999999998</v>
      </c>
      <c r="J2172">
        <v>-368.18950000000001</v>
      </c>
      <c r="K2172">
        <v>1.1041939999999999</v>
      </c>
      <c r="L2172">
        <v>21.94183</v>
      </c>
      <c r="M2172">
        <v>0.99928380000000006</v>
      </c>
      <c r="N2172">
        <v>0</v>
      </c>
      <c r="O2172">
        <v>3.6111320000000002E-2</v>
      </c>
      <c r="P2172">
        <v>0.98675349999999995</v>
      </c>
      <c r="Q2172">
        <v>0.14416770000000001</v>
      </c>
      <c r="R2172">
        <v>7.4388330000000003E-2</v>
      </c>
      <c r="S2172">
        <v>3.040527</v>
      </c>
      <c r="T2172">
        <v>-7.6530689999999998E-2</v>
      </c>
      <c r="U2172">
        <v>0.1450806</v>
      </c>
      <c r="V2172">
        <v>-3.8695510000000002E-2</v>
      </c>
      <c r="W2172">
        <v>0.15534489999999901</v>
      </c>
      <c r="X2172">
        <v>0.98710220000000004</v>
      </c>
      <c r="Y2172">
        <v>-1.156544E-2</v>
      </c>
      <c r="Z2172">
        <v>-7.6253689999999995E-4</v>
      </c>
      <c r="AA2172">
        <v>0.99993279999999995</v>
      </c>
      <c r="AB2172">
        <v>29</v>
      </c>
      <c r="AC2172">
        <v>43.629199999999997</v>
      </c>
      <c r="AD2172">
        <v>-1.1041977252719899</v>
      </c>
      <c r="AE2172">
        <v>2.0845799999999999</v>
      </c>
      <c r="AF2172">
        <v>-0.5072872813814</v>
      </c>
      <c r="AG2172">
        <v>-1.1041977252719899</v>
      </c>
      <c r="AH2172">
        <v>43.648127753353599</v>
      </c>
      <c r="AI2172">
        <v>91.449045170926397</v>
      </c>
      <c r="AJ2172">
        <v>90.665873043131199</v>
      </c>
      <c r="AK2172">
        <v>43.665039211884597</v>
      </c>
      <c r="AL2172">
        <v>81.063200739069103</v>
      </c>
      <c r="AM2172">
        <v>92.2449091568825</v>
      </c>
      <c r="AN2172">
        <v>1.0000000668475</v>
      </c>
    </row>
    <row r="2173" spans="1:40" x14ac:dyDescent="0.3">
      <c r="A2173" t="str">
        <f>"20200111150359532"</f>
        <v>20200111150359532</v>
      </c>
      <c r="B2173" t="str">
        <f>"1578726239520996"</f>
        <v>1578726239520996</v>
      </c>
      <c r="C2173" t="s">
        <v>40</v>
      </c>
      <c r="D2173">
        <v>5.522049</v>
      </c>
      <c r="E2173">
        <v>0.51963599999999999</v>
      </c>
      <c r="F2173" t="s">
        <v>42</v>
      </c>
      <c r="G2173">
        <v>-367.2482</v>
      </c>
      <c r="H2173">
        <v>1.0278700000000001</v>
      </c>
      <c r="I2173">
        <v>21.966460000000001</v>
      </c>
      <c r="J2173">
        <v>-367.92070000000001</v>
      </c>
      <c r="K2173">
        <v>1.104212</v>
      </c>
      <c r="L2173">
        <v>21.95157</v>
      </c>
      <c r="M2173">
        <v>0.99928220000000001</v>
      </c>
      <c r="N2173">
        <v>0</v>
      </c>
      <c r="O2173">
        <v>3.6156130000000002E-2</v>
      </c>
      <c r="P2173">
        <v>0.98692820000000003</v>
      </c>
      <c r="Q2173">
        <v>0.1435042</v>
      </c>
      <c r="R2173">
        <v>7.3344629999999994E-2</v>
      </c>
      <c r="S2173">
        <v>3.0705870000000002</v>
      </c>
      <c r="T2173">
        <v>-0.24907309999999999</v>
      </c>
      <c r="U2173">
        <v>8.0505370000000007E-2</v>
      </c>
      <c r="V2173">
        <v>-3.7608879999999997E-2</v>
      </c>
      <c r="W2173">
        <v>0.15467929999999999</v>
      </c>
      <c r="X2173">
        <v>0.98724869999999998</v>
      </c>
      <c r="Y2173">
        <v>9.8031449999999992E-3</v>
      </c>
      <c r="Z2173">
        <v>-3.3237599999999998E-3</v>
      </c>
      <c r="AA2173">
        <v>0.99994640000000001</v>
      </c>
      <c r="AB2173">
        <v>29</v>
      </c>
      <c r="AC2173">
        <v>0.67250000000001298</v>
      </c>
      <c r="AD2173">
        <v>-7.6341999999999896E-2</v>
      </c>
      <c r="AE2173">
        <v>1.48900000000011E-2</v>
      </c>
      <c r="AF2173">
        <v>9.3162909226089403E-3</v>
      </c>
      <c r="AG2173">
        <v>-7.6341999999999896E-2</v>
      </c>
      <c r="AH2173">
        <v>0.66404545442185303</v>
      </c>
      <c r="AI2173">
        <v>96.557578726013702</v>
      </c>
      <c r="AJ2173">
        <v>89.196215967369199</v>
      </c>
      <c r="AK2173">
        <v>0.668484300323411</v>
      </c>
      <c r="AL2173">
        <v>81.101803305994196</v>
      </c>
      <c r="AM2173">
        <v>92.181606963677694</v>
      </c>
      <c r="AN2173">
        <v>1.0000000546775101</v>
      </c>
    </row>
    <row r="2174" spans="1:40" x14ac:dyDescent="0.3">
      <c r="A2174" t="str">
        <f>"20200111150359546"</f>
        <v>20200111150359546</v>
      </c>
      <c r="B2174" t="str">
        <f>"1578726239540513"</f>
        <v>1578726239540513</v>
      </c>
      <c r="C2174" t="s">
        <v>40</v>
      </c>
      <c r="D2174">
        <v>5.1991189999999996</v>
      </c>
      <c r="E2174">
        <v>0.51961449999999998</v>
      </c>
      <c r="F2174" t="s">
        <v>42</v>
      </c>
      <c r="G2174">
        <v>-366.99189999999999</v>
      </c>
      <c r="H2174">
        <v>1.0221559999999901</v>
      </c>
      <c r="I2174">
        <v>21.976600000000001</v>
      </c>
      <c r="J2174">
        <v>-367.73660000000001</v>
      </c>
      <c r="K2174">
        <v>1.1042240000000001</v>
      </c>
      <c r="L2174">
        <v>21.95825</v>
      </c>
      <c r="M2174">
        <v>0.99928070000000002</v>
      </c>
      <c r="N2174">
        <v>0</v>
      </c>
      <c r="O2174">
        <v>3.6200860000000001E-2</v>
      </c>
      <c r="P2174">
        <v>0.98703099999999999</v>
      </c>
      <c r="Q2174">
        <v>0.143033299999999</v>
      </c>
      <c r="R2174">
        <v>7.2880799999999996E-2</v>
      </c>
      <c r="S2174">
        <v>3.0729679999999999</v>
      </c>
      <c r="T2174">
        <v>-0.27161590000000002</v>
      </c>
      <c r="U2174">
        <v>8.4075929999999993E-2</v>
      </c>
      <c r="V2174">
        <v>-3.7103240000000003E-2</v>
      </c>
      <c r="W2174">
        <v>0.1542068</v>
      </c>
      <c r="X2174">
        <v>0.98734169999999999</v>
      </c>
      <c r="Y2174">
        <v>8.6831689999999993E-3</v>
      </c>
      <c r="Z2174">
        <v>-3.575146E-3</v>
      </c>
      <c r="AA2174">
        <v>0.99995590000000001</v>
      </c>
      <c r="AB2174">
        <v>29</v>
      </c>
      <c r="AC2174">
        <v>0.74470000000002201</v>
      </c>
      <c r="AD2174">
        <v>-8.2068000000000002E-2</v>
      </c>
      <c r="AE2174">
        <v>1.8350000000001601E-2</v>
      </c>
      <c r="AF2174">
        <v>8.5191305714973405E-3</v>
      </c>
      <c r="AG2174">
        <v>-8.2068000000000002E-2</v>
      </c>
      <c r="AH2174">
        <v>0.735943784364678</v>
      </c>
      <c r="AI2174">
        <v>96.362567576647805</v>
      </c>
      <c r="AJ2174">
        <v>89.336785720715994</v>
      </c>
      <c r="AK2174">
        <v>0.74055451248014004</v>
      </c>
      <c r="AL2174">
        <v>81.129203927564504</v>
      </c>
      <c r="AM2174">
        <v>92.152101151861999</v>
      </c>
      <c r="AN2174">
        <v>1.0000000100718101</v>
      </c>
    </row>
    <row r="2175" spans="1:40" x14ac:dyDescent="0.3">
      <c r="A2175" t="str">
        <f>"20200111150359578"</f>
        <v>20200111150359578</v>
      </c>
      <c r="B2175" t="str">
        <f>"1578726239570769"</f>
        <v>1578726239570769</v>
      </c>
      <c r="C2175" t="s">
        <v>40</v>
      </c>
      <c r="D2175">
        <v>5.2292079999999999</v>
      </c>
      <c r="E2175">
        <v>0.51937709999999904</v>
      </c>
      <c r="F2175" t="s">
        <v>42</v>
      </c>
      <c r="G2175">
        <v>-366.98590000000002</v>
      </c>
      <c r="H2175">
        <v>1.034489</v>
      </c>
      <c r="I2175">
        <v>21.978339999999999</v>
      </c>
      <c r="J2175">
        <v>-367.33170000000001</v>
      </c>
      <c r="K2175">
        <v>1.1042529999999999</v>
      </c>
      <c r="L2175">
        <v>21.973020000000002</v>
      </c>
      <c r="M2175">
        <v>0.99927589999999999</v>
      </c>
      <c r="N2175">
        <v>0</v>
      </c>
      <c r="O2175">
        <v>3.6332749999999997E-2</v>
      </c>
      <c r="P2175">
        <v>0.98724889999999998</v>
      </c>
      <c r="Q2175">
        <v>0.142046799999999</v>
      </c>
      <c r="R2175">
        <v>7.1849380000000004E-2</v>
      </c>
      <c r="S2175">
        <v>3.0746769999999999</v>
      </c>
      <c r="T2175">
        <v>-0.28575590000000001</v>
      </c>
      <c r="U2175">
        <v>8.3831790000000003E-2</v>
      </c>
      <c r="V2175">
        <v>-3.5946400000000003E-2</v>
      </c>
      <c r="W2175">
        <v>0.153217299999999</v>
      </c>
      <c r="X2175">
        <v>0.98753849999999999</v>
      </c>
      <c r="Y2175">
        <v>8.8898080000000008E-3</v>
      </c>
      <c r="Z2175">
        <v>-3.78021E-3</v>
      </c>
      <c r="AA2175">
        <v>0.99995330000000004</v>
      </c>
      <c r="AB2175">
        <v>29</v>
      </c>
      <c r="AC2175">
        <v>0.345799999999997</v>
      </c>
      <c r="AD2175">
        <v>-6.9764000000000104E-2</v>
      </c>
      <c r="AE2175">
        <v>5.3199999999975402E-3</v>
      </c>
      <c r="AF2175">
        <v>6.9647686476541097E-3</v>
      </c>
      <c r="AG2175">
        <v>-6.9764000000000104E-2</v>
      </c>
      <c r="AH2175">
        <v>0.33224520652773198</v>
      </c>
      <c r="AI2175">
        <v>101.856010509432</v>
      </c>
      <c r="AJ2175">
        <v>88.799099569417294</v>
      </c>
      <c r="AK2175">
        <v>0.33956207232105701</v>
      </c>
      <c r="AL2175">
        <v>81.186579772040901</v>
      </c>
      <c r="AM2175">
        <v>92.084645927374297</v>
      </c>
      <c r="AN2175">
        <v>0.99999998683725</v>
      </c>
    </row>
    <row r="2176" spans="1:40" x14ac:dyDescent="0.3">
      <c r="A2176" t="str">
        <f>"20200111150359612"</f>
        <v>20200111150359612</v>
      </c>
      <c r="B2176" t="str">
        <f>"1578726239600945"</f>
        <v>1578726239600945</v>
      </c>
      <c r="C2176" t="s">
        <v>40</v>
      </c>
      <c r="D2176">
        <v>5.2030770000000004</v>
      </c>
      <c r="E2176">
        <v>0.52004879999999998</v>
      </c>
      <c r="F2176" t="s">
        <v>42</v>
      </c>
      <c r="G2176">
        <v>-366.47340000000003</v>
      </c>
      <c r="H2176">
        <v>1.0223009999999999</v>
      </c>
      <c r="I2176">
        <v>21.996099999999998</v>
      </c>
      <c r="J2176">
        <v>-366.8931</v>
      </c>
      <c r="K2176">
        <v>1.104276</v>
      </c>
      <c r="L2176">
        <v>21.989170000000001</v>
      </c>
      <c r="M2176">
        <v>0.99926939999999997</v>
      </c>
      <c r="N2176">
        <v>0</v>
      </c>
      <c r="O2176">
        <v>3.6510029999999999E-2</v>
      </c>
      <c r="P2176">
        <v>0.9870411</v>
      </c>
      <c r="Q2176">
        <v>0.14264879999999999</v>
      </c>
      <c r="R2176">
        <v>7.3495370000000004E-2</v>
      </c>
      <c r="S2176">
        <v>3.0749209999999998</v>
      </c>
      <c r="T2176">
        <v>-0.2935817</v>
      </c>
      <c r="U2176">
        <v>8.3343509999999996E-2</v>
      </c>
      <c r="V2176">
        <v>-3.74337E-2</v>
      </c>
      <c r="W2176">
        <v>0.1538138</v>
      </c>
      <c r="X2176">
        <v>0.98739049999999995</v>
      </c>
      <c r="Y2176">
        <v>9.2150089999999997E-3</v>
      </c>
      <c r="Z2176">
        <v>-3.9153369999999996E-3</v>
      </c>
      <c r="AA2176">
        <v>0.99994989999999995</v>
      </c>
      <c r="AB2176">
        <v>29</v>
      </c>
      <c r="AC2176">
        <v>0.41969999999997698</v>
      </c>
      <c r="AD2176">
        <v>-8.1974999999999895E-2</v>
      </c>
      <c r="AE2176">
        <v>6.9299999999969898E-3</v>
      </c>
      <c r="AF2176">
        <v>8.0903047089532498E-3</v>
      </c>
      <c r="AG2176">
        <v>-8.1974999999999895E-2</v>
      </c>
      <c r="AH2176">
        <v>0.40425537809838702</v>
      </c>
      <c r="AI2176">
        <v>101.460785023753</v>
      </c>
      <c r="AJ2176">
        <v>88.853500856347793</v>
      </c>
      <c r="AK2176">
        <v>0.41256243694349298</v>
      </c>
      <c r="AL2176">
        <v>81.151992821045098</v>
      </c>
      <c r="AM2176">
        <v>92.171143368307796</v>
      </c>
      <c r="AN2176">
        <v>0.99999998322818895</v>
      </c>
    </row>
    <row r="2177" spans="1:40" x14ac:dyDescent="0.3">
      <c r="A2177" t="str">
        <f>"20200111150359634"</f>
        <v>20200111150359634</v>
      </c>
      <c r="B2177" t="str">
        <f>"1578726239631198"</f>
        <v>1578726239631198</v>
      </c>
      <c r="C2177" t="s">
        <v>40</v>
      </c>
      <c r="D2177">
        <v>5.3921020000000004</v>
      </c>
      <c r="E2177">
        <v>0.51967470000000004</v>
      </c>
      <c r="F2177" t="s">
        <v>42</v>
      </c>
      <c r="G2177">
        <v>-365.9581</v>
      </c>
      <c r="H2177">
        <v>1.0146569999999999</v>
      </c>
      <c r="I2177">
        <v>22.01426</v>
      </c>
      <c r="J2177">
        <v>-366.61169999999998</v>
      </c>
      <c r="K2177">
        <v>1.1042829999999999</v>
      </c>
      <c r="L2177">
        <v>21.999569999999999</v>
      </c>
      <c r="M2177">
        <v>0.99926479999999995</v>
      </c>
      <c r="N2177">
        <v>0</v>
      </c>
      <c r="O2177">
        <v>3.6638200000000003E-2</v>
      </c>
      <c r="P2177">
        <v>0.98689190000000004</v>
      </c>
      <c r="Q2177">
        <v>0.14350160000000001</v>
      </c>
      <c r="R2177">
        <v>7.3836620000000006E-2</v>
      </c>
      <c r="S2177">
        <v>3.075806</v>
      </c>
      <c r="T2177">
        <v>-0.29486250000000003</v>
      </c>
      <c r="U2177">
        <v>8.3129880000000003E-2</v>
      </c>
      <c r="V2177">
        <v>-3.7657459999999997E-2</v>
      </c>
      <c r="W2177">
        <v>0.154663299999999</v>
      </c>
      <c r="X2177">
        <v>0.9872493</v>
      </c>
      <c r="Y2177">
        <v>9.4172530000000004E-3</v>
      </c>
      <c r="Z2177">
        <v>-3.9531380000000001E-3</v>
      </c>
      <c r="AA2177">
        <v>0.99994780000000005</v>
      </c>
      <c r="AB2177">
        <v>29</v>
      </c>
      <c r="AC2177">
        <v>0.65359999999998297</v>
      </c>
      <c r="AD2177">
        <v>-8.96259999999999E-2</v>
      </c>
      <c r="AE2177">
        <v>1.4689999999998E-2</v>
      </c>
      <c r="AF2177">
        <v>9.0971446193192293E-3</v>
      </c>
      <c r="AG2177">
        <v>-8.96259999999999E-2</v>
      </c>
      <c r="AH2177">
        <v>0.641640227552848</v>
      </c>
      <c r="AI2177">
        <v>97.950986822379505</v>
      </c>
      <c r="AJ2177">
        <v>89.187717587875497</v>
      </c>
      <c r="AK2177">
        <v>0.64793345301064298</v>
      </c>
      <c r="AL2177">
        <v>81.102730718867306</v>
      </c>
      <c r="AM2177">
        <v>92.184420926277696</v>
      </c>
      <c r="AN2177">
        <v>1.0000000005055101</v>
      </c>
    </row>
    <row r="2178" spans="1:40" x14ac:dyDescent="0.3">
      <c r="A2178" t="str">
        <f>"20200111150359655"</f>
        <v>20200111150359655</v>
      </c>
      <c r="B2178" t="str">
        <f>"1578726239650719"</f>
        <v>1578726239650719</v>
      </c>
      <c r="C2178" t="s">
        <v>40</v>
      </c>
      <c r="D2178">
        <v>5.6374870000000001</v>
      </c>
      <c r="E2178">
        <v>0.51973709999999995</v>
      </c>
      <c r="F2178" t="s">
        <v>42</v>
      </c>
      <c r="G2178">
        <v>-365.6977</v>
      </c>
      <c r="H2178">
        <v>1.016238</v>
      </c>
      <c r="I2178">
        <v>22.025680000000001</v>
      </c>
      <c r="J2178">
        <v>-366.33049999999997</v>
      </c>
      <c r="K2178">
        <v>1.1042940000000001</v>
      </c>
      <c r="L2178">
        <v>22.010010000000001</v>
      </c>
      <c r="M2178">
        <v>0.99925989999999998</v>
      </c>
      <c r="N2178">
        <v>0</v>
      </c>
      <c r="O2178">
        <v>3.6772319999999997E-2</v>
      </c>
      <c r="P2178">
        <v>0.98686560000000001</v>
      </c>
      <c r="Q2178">
        <v>0.14375209999999999</v>
      </c>
      <c r="R2178">
        <v>7.3704439999999996E-2</v>
      </c>
      <c r="S2178">
        <v>3.076355</v>
      </c>
      <c r="T2178">
        <v>-0.29636659999999998</v>
      </c>
      <c r="U2178">
        <v>8.8104249999999995E-2</v>
      </c>
      <c r="V2178">
        <v>-3.7395650000000002E-2</v>
      </c>
      <c r="W2178">
        <v>0.154913</v>
      </c>
      <c r="X2178">
        <v>0.98722010000000004</v>
      </c>
      <c r="Y2178">
        <v>7.9447739999999999E-3</v>
      </c>
      <c r="Z2178">
        <v>-3.9145200000000003E-3</v>
      </c>
      <c r="AA2178">
        <v>0.99996079999999998</v>
      </c>
      <c r="AB2178">
        <v>29</v>
      </c>
      <c r="AC2178">
        <v>0.63279999999997405</v>
      </c>
      <c r="AD2178">
        <v>-8.8056000000000106E-2</v>
      </c>
      <c r="AE2178">
        <v>1.5669999999996499E-2</v>
      </c>
      <c r="AF2178">
        <v>7.46710546694362E-3</v>
      </c>
      <c r="AG2178">
        <v>-8.8056000000000106E-2</v>
      </c>
      <c r="AH2178">
        <v>0.62093214066691604</v>
      </c>
      <c r="AI2178">
        <v>98.0708668631721</v>
      </c>
      <c r="AJ2178">
        <v>89.311014878526393</v>
      </c>
      <c r="AK2178">
        <v>0.62718923788060499</v>
      </c>
      <c r="AL2178">
        <v>81.088249416339593</v>
      </c>
      <c r="AM2178">
        <v>92.169312602444506</v>
      </c>
      <c r="AN2178">
        <v>0.99999999902596604</v>
      </c>
    </row>
    <row r="2179" spans="1:40" x14ac:dyDescent="0.3">
      <c r="A2179" t="str">
        <f>"20200111150359679"</f>
        <v>20200111150359679</v>
      </c>
      <c r="B2179" t="str">
        <f>"1578726239671214"</f>
        <v>1578726239671214</v>
      </c>
      <c r="C2179" t="s">
        <v>40</v>
      </c>
      <c r="D2179">
        <v>5.5445089999999997</v>
      </c>
      <c r="E2179">
        <v>0.51588140000000005</v>
      </c>
      <c r="F2179" t="s">
        <v>42</v>
      </c>
      <c r="G2179">
        <v>-365.43700000000001</v>
      </c>
      <c r="H2179">
        <v>1.018103</v>
      </c>
      <c r="I2179">
        <v>22.035270000000001</v>
      </c>
      <c r="J2179">
        <v>-366.02480000000003</v>
      </c>
      <c r="K2179">
        <v>1.104298</v>
      </c>
      <c r="L2179">
        <v>22.021419999999999</v>
      </c>
      <c r="M2179">
        <v>0.99925430000000004</v>
      </c>
      <c r="N2179">
        <v>0</v>
      </c>
      <c r="O2179">
        <v>3.6920290000000001E-2</v>
      </c>
      <c r="P2179">
        <v>0.98684170000000004</v>
      </c>
      <c r="Q2179">
        <v>0.14401739999999999</v>
      </c>
      <c r="R2179">
        <v>7.3501239999999995E-2</v>
      </c>
      <c r="S2179">
        <v>3.0765989999999999</v>
      </c>
      <c r="T2179">
        <v>-0.29682500000000001</v>
      </c>
      <c r="U2179">
        <v>8.7707519999999997E-2</v>
      </c>
      <c r="V2179">
        <v>-3.7048089999999999E-2</v>
      </c>
      <c r="W2179">
        <v>0.15517819999999999</v>
      </c>
      <c r="X2179">
        <v>0.98719159999999995</v>
      </c>
      <c r="Y2179">
        <v>8.2213830000000005E-3</v>
      </c>
      <c r="Z2179">
        <v>-3.947786E-3</v>
      </c>
      <c r="AA2179">
        <v>0.99995840000000003</v>
      </c>
      <c r="AB2179">
        <v>29</v>
      </c>
      <c r="AC2179">
        <v>0.58780000000007204</v>
      </c>
      <c r="AD2179">
        <v>-8.6194999999999994E-2</v>
      </c>
      <c r="AE2179">
        <v>1.38499999999979E-2</v>
      </c>
      <c r="AF2179">
        <v>7.6971542631638201E-3</v>
      </c>
      <c r="AG2179">
        <v>-8.6194999999999994E-2</v>
      </c>
      <c r="AH2179">
        <v>0.57554140487858396</v>
      </c>
      <c r="AI2179">
        <v>98.516753168441198</v>
      </c>
      <c r="AJ2179">
        <v>89.233785510990899</v>
      </c>
      <c r="AK2179">
        <v>0.58201093884768595</v>
      </c>
      <c r="AL2179">
        <v>81.072868992973</v>
      </c>
      <c r="AM2179">
        <v>92.149231714010696</v>
      </c>
      <c r="AN2179">
        <v>1.0000000449192199</v>
      </c>
    </row>
    <row r="2180" spans="1:40" x14ac:dyDescent="0.3">
      <c r="A2180" t="str">
        <f>"20200111150359700"</f>
        <v>20200111150359700</v>
      </c>
      <c r="B2180" t="str">
        <f>"1578726239690734"</f>
        <v>1578726239690734</v>
      </c>
      <c r="C2180" t="s">
        <v>40</v>
      </c>
      <c r="D2180">
        <v>5.3174099999999997</v>
      </c>
      <c r="E2180">
        <v>0.51884350000000001</v>
      </c>
      <c r="F2180" t="s">
        <v>41</v>
      </c>
      <c r="G2180">
        <v>-344.13389999999998</v>
      </c>
      <c r="H2180" s="1">
        <v>-3.3546130000000002E-6</v>
      </c>
      <c r="I2180">
        <v>22.832429999999999</v>
      </c>
      <c r="J2180">
        <v>-365.73669999999998</v>
      </c>
      <c r="K2180">
        <v>1.1043050000000001</v>
      </c>
      <c r="L2180">
        <v>22.032229999999998</v>
      </c>
      <c r="M2180">
        <v>0.99924919999999995</v>
      </c>
      <c r="N2180">
        <v>0</v>
      </c>
      <c r="O2180">
        <v>3.7058399999999998E-2</v>
      </c>
      <c r="P2180">
        <v>0.98685940000000005</v>
      </c>
      <c r="Q2180">
        <v>0.1436916</v>
      </c>
      <c r="R2180">
        <v>7.3903010000000005E-2</v>
      </c>
      <c r="S2180">
        <v>3.0541079999999998</v>
      </c>
      <c r="T2180">
        <v>-0.1540658</v>
      </c>
      <c r="U2180">
        <v>0.1131592</v>
      </c>
      <c r="V2180">
        <v>-3.7312209999999998E-2</v>
      </c>
      <c r="W2180">
        <v>0.15485309999999999</v>
      </c>
      <c r="X2180">
        <v>0.98723260000000002</v>
      </c>
      <c r="Y2180" s="1">
        <v>-1.22860899999999E-5</v>
      </c>
      <c r="Z2180">
        <v>-1.866768E-3</v>
      </c>
      <c r="AA2180">
        <v>0.99999830000000001</v>
      </c>
      <c r="AB2180">
        <v>29</v>
      </c>
      <c r="AC2180">
        <v>21.602799999999998</v>
      </c>
      <c r="AD2180">
        <v>-1.1043083546129999</v>
      </c>
      <c r="AE2180">
        <v>0.80020000000000002</v>
      </c>
      <c r="AF2180">
        <v>9.6354096446504801E-4</v>
      </c>
      <c r="AG2180">
        <v>-1.1043083546129999</v>
      </c>
      <c r="AH2180">
        <v>21.561349840907901</v>
      </c>
      <c r="AI2180">
        <v>92.931957898158501</v>
      </c>
      <c r="AJ2180">
        <v>89.997439546641402</v>
      </c>
      <c r="AK2180">
        <v>21.5896110393981</v>
      </c>
      <c r="AL2180">
        <v>81.091722869441298</v>
      </c>
      <c r="AM2180">
        <v>92.164449497435996</v>
      </c>
      <c r="AN2180">
        <v>0.99999994504872503</v>
      </c>
    </row>
    <row r="2181" spans="1:40" x14ac:dyDescent="0.3">
      <c r="A2181" t="str">
        <f>"20200111150359721"</f>
        <v>20200111150359721</v>
      </c>
      <c r="B2181" t="str">
        <f>"1578726239711230"</f>
        <v>1578726239711230</v>
      </c>
      <c r="C2181" t="s">
        <v>40</v>
      </c>
      <c r="D2181">
        <v>5.2054169999999997</v>
      </c>
      <c r="E2181">
        <v>0.51946510000000001</v>
      </c>
      <c r="F2181" t="s">
        <v>42</v>
      </c>
      <c r="G2181">
        <v>-364.90390000000002</v>
      </c>
      <c r="H2181">
        <v>1.0407090000000001</v>
      </c>
      <c r="I2181">
        <v>22.057099999999998</v>
      </c>
      <c r="J2181">
        <v>-365.46109999999999</v>
      </c>
      <c r="K2181">
        <v>1.1043080000000001</v>
      </c>
      <c r="L2181">
        <v>22.042570000000001</v>
      </c>
      <c r="M2181">
        <v>0.99924440000000003</v>
      </c>
      <c r="N2181">
        <v>0</v>
      </c>
      <c r="O2181">
        <v>3.7188279999999997E-2</v>
      </c>
      <c r="P2181">
        <v>0.98678279999999996</v>
      </c>
      <c r="Q2181">
        <v>0.14400850000000001</v>
      </c>
      <c r="R2181">
        <v>7.4303430000000004E-2</v>
      </c>
      <c r="S2181">
        <v>3.0671390000000001</v>
      </c>
      <c r="T2181">
        <v>-0.23428650000000001</v>
      </c>
      <c r="U2181">
        <v>9.2407230000000007E-2</v>
      </c>
      <c r="V2181">
        <v>-3.7587120000000002E-2</v>
      </c>
      <c r="W2181">
        <v>0.15516920000000001</v>
      </c>
      <c r="X2181">
        <v>0.98717259999999996</v>
      </c>
      <c r="Y2181">
        <v>6.9517229999999999E-3</v>
      </c>
      <c r="Z2181">
        <v>-3.100247E-3</v>
      </c>
      <c r="AA2181">
        <v>0.99997100000000005</v>
      </c>
      <c r="AB2181">
        <v>29</v>
      </c>
      <c r="AC2181">
        <v>0.55719999999996594</v>
      </c>
      <c r="AD2181">
        <v>-6.3598999999999906E-2</v>
      </c>
      <c r="AE2181">
        <v>1.4529999999997E-2</v>
      </c>
      <c r="AF2181">
        <v>6.1229684784760404E-3</v>
      </c>
      <c r="AG2181">
        <v>-6.3598999999999906E-2</v>
      </c>
      <c r="AH2181">
        <v>0.55019186395483499</v>
      </c>
      <c r="AI2181">
        <v>96.593391421213994</v>
      </c>
      <c r="AJ2181">
        <v>89.362393752166398</v>
      </c>
      <c r="AK2181">
        <v>0.55388934879277396</v>
      </c>
      <c r="AL2181">
        <v>81.073390638246295</v>
      </c>
      <c r="AM2181">
        <v>92.180513851488797</v>
      </c>
      <c r="AN2181">
        <v>1.00000000720464</v>
      </c>
    </row>
    <row r="2182" spans="1:40" x14ac:dyDescent="0.3">
      <c r="A2182" t="str">
        <f>"20200111150359746"</f>
        <v>20200111150359746</v>
      </c>
      <c r="B2182" t="str">
        <f>"1578726239740511"</f>
        <v>1578726239740511</v>
      </c>
      <c r="C2182" t="s">
        <v>40</v>
      </c>
      <c r="D2182">
        <v>5.3455050000000002</v>
      </c>
      <c r="E2182">
        <v>0.52029700000000001</v>
      </c>
      <c r="F2182" t="s">
        <v>42</v>
      </c>
      <c r="G2182">
        <v>-364.64920000000001</v>
      </c>
      <c r="H2182">
        <v>1.0341940000000001</v>
      </c>
      <c r="I2182">
        <v>22.06606</v>
      </c>
      <c r="J2182">
        <v>-365.15440000000001</v>
      </c>
      <c r="K2182">
        <v>1.1043099999999999</v>
      </c>
      <c r="L2182">
        <v>22.05414</v>
      </c>
      <c r="M2182">
        <v>0.99923930000000005</v>
      </c>
      <c r="N2182">
        <v>0</v>
      </c>
      <c r="O2182">
        <v>3.7328220000000002E-2</v>
      </c>
      <c r="P2182">
        <v>0.98670939999999996</v>
      </c>
      <c r="Q2182">
        <v>0.14454529999999999</v>
      </c>
      <c r="R2182">
        <v>7.4240089999999995E-2</v>
      </c>
      <c r="S2182">
        <v>3.0721440000000002</v>
      </c>
      <c r="T2182">
        <v>-0.26533959999999901</v>
      </c>
      <c r="U2182">
        <v>8.9599609999999996E-2</v>
      </c>
      <c r="V2182">
        <v>-3.7388119999999997E-2</v>
      </c>
      <c r="W2182">
        <v>0.15570529999999999</v>
      </c>
      <c r="X2182">
        <v>0.98709570000000002</v>
      </c>
      <c r="Y2182">
        <v>8.0137019999999993E-3</v>
      </c>
      <c r="Z2182">
        <v>-3.5619100000000002E-3</v>
      </c>
      <c r="AA2182">
        <v>0.99996160000000001</v>
      </c>
      <c r="AB2182">
        <v>29</v>
      </c>
      <c r="AC2182">
        <v>0.50520000000000198</v>
      </c>
      <c r="AD2182">
        <v>-7.0115999999999998E-2</v>
      </c>
      <c r="AE2182">
        <v>1.1919999999999899E-2</v>
      </c>
      <c r="AF2182">
        <v>6.8164987418705804E-3</v>
      </c>
      <c r="AG2182">
        <v>-7.0115999999999998E-2</v>
      </c>
      <c r="AH2182">
        <v>0.49574890274538003</v>
      </c>
      <c r="AI2182">
        <v>98.049454591163197</v>
      </c>
      <c r="AJ2182">
        <v>89.212238298979898</v>
      </c>
      <c r="AK2182">
        <v>0.50072916100857001</v>
      </c>
      <c r="AL2182">
        <v>81.042296076662694</v>
      </c>
      <c r="AM2182">
        <v>92.169149280485797</v>
      </c>
      <c r="AN2182">
        <v>0.99999996646185596</v>
      </c>
    </row>
    <row r="2183" spans="1:40" x14ac:dyDescent="0.3">
      <c r="A2183" t="str">
        <f>"20200111150359768"</f>
        <v>20200111150359768</v>
      </c>
      <c r="B2183" t="str">
        <f>"1578726239761006"</f>
        <v>1578726239761006</v>
      </c>
      <c r="C2183" t="s">
        <v>40</v>
      </c>
      <c r="D2183">
        <v>5.3157389999999998</v>
      </c>
      <c r="E2183">
        <v>0.52040540000000002</v>
      </c>
      <c r="F2183" t="s">
        <v>42</v>
      </c>
      <c r="G2183">
        <v>-364.38929999999999</v>
      </c>
      <c r="H2183">
        <v>1.033514</v>
      </c>
      <c r="I2183">
        <v>22.074629999999999</v>
      </c>
      <c r="J2183">
        <v>-364.84989999999999</v>
      </c>
      <c r="K2183">
        <v>1.104312</v>
      </c>
      <c r="L2183">
        <v>22.065670000000001</v>
      </c>
      <c r="M2183">
        <v>0.99923410000000001</v>
      </c>
      <c r="N2183">
        <v>0</v>
      </c>
      <c r="O2183">
        <v>3.7461469999999997E-2</v>
      </c>
      <c r="P2183">
        <v>0.98654989999999998</v>
      </c>
      <c r="Q2183">
        <v>0.14529529999999999</v>
      </c>
      <c r="R2183">
        <v>7.4891230000000003E-2</v>
      </c>
      <c r="S2183">
        <v>3.075806</v>
      </c>
      <c r="T2183">
        <v>-0.28461199999999998</v>
      </c>
      <c r="U2183">
        <v>8.3526610000000001E-2</v>
      </c>
      <c r="V2183">
        <v>-3.7912609999999999E-2</v>
      </c>
      <c r="W2183">
        <v>0.1564546</v>
      </c>
      <c r="X2183">
        <v>0.98695730000000004</v>
      </c>
      <c r="Y2183">
        <v>1.012009E-2</v>
      </c>
      <c r="Z2183">
        <v>-3.9246919999999996E-3</v>
      </c>
      <c r="AA2183">
        <v>0.99994110000000003</v>
      </c>
      <c r="AB2183">
        <v>29</v>
      </c>
      <c r="AC2183">
        <v>0.46059999999999901</v>
      </c>
      <c r="AD2183">
        <v>-7.0798000000000097E-2</v>
      </c>
      <c r="AE2183">
        <v>8.9599999999982992E-3</v>
      </c>
      <c r="AF2183">
        <v>8.1105961005695695E-3</v>
      </c>
      <c r="AG2183">
        <v>-7.0798000000000097E-2</v>
      </c>
      <c r="AH2183">
        <v>0.44998490953993298</v>
      </c>
      <c r="AI2183">
        <v>98.939858198453194</v>
      </c>
      <c r="AJ2183">
        <v>88.967404010292</v>
      </c>
      <c r="AK2183">
        <v>0.45559253438436398</v>
      </c>
      <c r="AL2183">
        <v>80.998832513548095</v>
      </c>
      <c r="AM2183">
        <v>92.199857110957794</v>
      </c>
      <c r="AN2183">
        <v>1.0000000599407199</v>
      </c>
    </row>
    <row r="2184" spans="1:40" x14ac:dyDescent="0.3">
      <c r="A2184" t="str">
        <f>"20200111150359791"</f>
        <v>20200111150359791</v>
      </c>
      <c r="B2184" t="str">
        <f>"1578726239780526"</f>
        <v>1578726239780526</v>
      </c>
      <c r="C2184" t="s">
        <v>40</v>
      </c>
      <c r="D2184">
        <v>5.3043399999999998</v>
      </c>
      <c r="E2184">
        <v>0.52067319999999995</v>
      </c>
      <c r="F2184" t="s">
        <v>42</v>
      </c>
      <c r="G2184">
        <v>-364.12630000000001</v>
      </c>
      <c r="H2184">
        <v>1.037312</v>
      </c>
      <c r="I2184">
        <v>22.085380000000001</v>
      </c>
      <c r="J2184">
        <v>-364.56299999999999</v>
      </c>
      <c r="K2184">
        <v>1.104314</v>
      </c>
      <c r="L2184">
        <v>22.07657</v>
      </c>
      <c r="M2184">
        <v>0.99922979999999995</v>
      </c>
      <c r="N2184">
        <v>0</v>
      </c>
      <c r="O2184">
        <v>3.7581530000000002E-2</v>
      </c>
      <c r="P2184">
        <v>0.98644339999999997</v>
      </c>
      <c r="Q2184">
        <v>0.14574509999999999</v>
      </c>
      <c r="R2184">
        <v>7.5420379999999995E-2</v>
      </c>
      <c r="S2184">
        <v>3.0764469999999999</v>
      </c>
      <c r="T2184">
        <v>-0.28487649999999998</v>
      </c>
      <c r="U2184">
        <v>8.3984379999999997E-2</v>
      </c>
      <c r="V2184">
        <v>-3.8325860000000003E-2</v>
      </c>
      <c r="W2184">
        <v>0.1569044</v>
      </c>
      <c r="X2184">
        <v>0.98686989999999997</v>
      </c>
      <c r="Y2184">
        <v>1.00965E-2</v>
      </c>
      <c r="Z2184">
        <v>-3.9374919999999999E-3</v>
      </c>
      <c r="AA2184">
        <v>0.99994130000000003</v>
      </c>
      <c r="AB2184">
        <v>29</v>
      </c>
      <c r="AC2184">
        <v>0.43670000000003001</v>
      </c>
      <c r="AD2184">
        <v>-6.7001999999999895E-2</v>
      </c>
      <c r="AE2184">
        <v>8.8099999999968707E-3</v>
      </c>
      <c r="AF2184">
        <v>7.4341936567975204E-3</v>
      </c>
      <c r="AG2184">
        <v>-6.7001999999999895E-2</v>
      </c>
      <c r="AH2184">
        <v>0.426682492899844</v>
      </c>
      <c r="AI2184">
        <v>98.922953421034094</v>
      </c>
      <c r="AJ2184">
        <v>89.001822587149206</v>
      </c>
      <c r="AK2184">
        <v>0.43197509764632502</v>
      </c>
      <c r="AL2184">
        <v>80.972738336081903</v>
      </c>
      <c r="AM2184">
        <v>92.224008506170094</v>
      </c>
      <c r="AN2184">
        <v>1.0000000309050501</v>
      </c>
    </row>
    <row r="2185" spans="1:40" x14ac:dyDescent="0.3">
      <c r="A2185" t="str">
        <f>"20200111150359811"</f>
        <v>20200111150359811</v>
      </c>
      <c r="B2185" t="str">
        <f>"1578726239801022"</f>
        <v>1578726239801022</v>
      </c>
      <c r="C2185" t="s">
        <v>40</v>
      </c>
      <c r="D2185">
        <v>5.1413710000000004</v>
      </c>
      <c r="E2185">
        <v>0.52086670000000002</v>
      </c>
      <c r="F2185" t="s">
        <v>42</v>
      </c>
      <c r="G2185">
        <v>-363.61689999999999</v>
      </c>
      <c r="H2185">
        <v>1.0151600000000001</v>
      </c>
      <c r="I2185">
        <v>22.10201</v>
      </c>
      <c r="J2185">
        <v>-364.28870000000001</v>
      </c>
      <c r="K2185">
        <v>1.1043069999999999</v>
      </c>
      <c r="L2185">
        <v>22.087039999999998</v>
      </c>
      <c r="M2185">
        <v>0.99922540000000004</v>
      </c>
      <c r="N2185">
        <v>0</v>
      </c>
      <c r="O2185">
        <v>3.7694070000000003E-2</v>
      </c>
      <c r="P2185">
        <v>0.98646560000000005</v>
      </c>
      <c r="Q2185">
        <v>0.14585709999999999</v>
      </c>
      <c r="R2185">
        <v>7.4910560000000001E-2</v>
      </c>
      <c r="S2185">
        <v>3.077728</v>
      </c>
      <c r="T2185">
        <v>-0.29004839999999998</v>
      </c>
      <c r="U2185">
        <v>8.3312990000000003E-2</v>
      </c>
      <c r="V2185">
        <v>-3.7702600000000003E-2</v>
      </c>
      <c r="W2185">
        <v>0.1570174</v>
      </c>
      <c r="X2185">
        <v>0.98687590000000003</v>
      </c>
      <c r="Y2185">
        <v>1.042921E-2</v>
      </c>
      <c r="Z2185">
        <v>-4.0332299999999996E-3</v>
      </c>
      <c r="AA2185">
        <v>0.99993750000000003</v>
      </c>
      <c r="AB2185">
        <v>29</v>
      </c>
      <c r="AC2185">
        <v>0.67180000000001805</v>
      </c>
      <c r="AD2185">
        <v>-8.9146999999999796E-2</v>
      </c>
      <c r="AE2185">
        <v>1.4970000000001701E-2</v>
      </c>
      <c r="AF2185">
        <v>1.0185860820612E-2</v>
      </c>
      <c r="AG2185">
        <v>-8.9146999999999796E-2</v>
      </c>
      <c r="AH2185">
        <v>0.66026600358552001</v>
      </c>
      <c r="AI2185">
        <v>97.688488966037895</v>
      </c>
      <c r="AJ2185">
        <v>89.1161735698077</v>
      </c>
      <c r="AK2185">
        <v>0.66633485190289299</v>
      </c>
      <c r="AL2185">
        <v>80.966182336136299</v>
      </c>
      <c r="AM2185">
        <v>92.187863546349604</v>
      </c>
      <c r="AN2185">
        <v>0.99999999597516498</v>
      </c>
    </row>
    <row r="2186" spans="1:40" x14ac:dyDescent="0.3">
      <c r="A2186" t="str">
        <f>"20200111150359834"</f>
        <v>20200111150359834</v>
      </c>
      <c r="B2186" t="str">
        <f>"1578726239830302"</f>
        <v>1578726239830302</v>
      </c>
      <c r="C2186" t="s">
        <v>40</v>
      </c>
      <c r="D2186">
        <v>5.1453989999999896</v>
      </c>
      <c r="E2186">
        <v>0.52062280000000005</v>
      </c>
      <c r="F2186" t="s">
        <v>42</v>
      </c>
      <c r="G2186">
        <v>-363.35590000000002</v>
      </c>
      <c r="H2186">
        <v>1.015809</v>
      </c>
      <c r="I2186">
        <v>22.111080000000001</v>
      </c>
      <c r="J2186">
        <v>-364.00420000000003</v>
      </c>
      <c r="K2186">
        <v>1.104293</v>
      </c>
      <c r="L2186">
        <v>22.097899999999999</v>
      </c>
      <c r="M2186">
        <v>0.99922100000000003</v>
      </c>
      <c r="N2186">
        <v>0</v>
      </c>
      <c r="O2186">
        <v>3.7808649999999999E-2</v>
      </c>
      <c r="P2186">
        <v>0.9865891</v>
      </c>
      <c r="Q2186">
        <v>0.14498339999999901</v>
      </c>
      <c r="R2186">
        <v>7.497906E-2</v>
      </c>
      <c r="S2186">
        <v>3.078217</v>
      </c>
      <c r="T2186">
        <v>-0.29205429999999999</v>
      </c>
      <c r="U2186">
        <v>8.0596920000000002E-2</v>
      </c>
      <c r="V2186">
        <v>-3.7652339999999999E-2</v>
      </c>
      <c r="W2186">
        <v>0.15614610000000001</v>
      </c>
      <c r="X2186">
        <v>0.987016</v>
      </c>
      <c r="Y2186">
        <v>1.142198E-2</v>
      </c>
      <c r="Z2186">
        <v>-4.1182399999999996E-3</v>
      </c>
      <c r="AA2186">
        <v>0.99992630000000005</v>
      </c>
      <c r="AB2186">
        <v>29</v>
      </c>
      <c r="AC2186">
        <v>0.64830000000000598</v>
      </c>
      <c r="AD2186">
        <v>-8.8483999999999993E-2</v>
      </c>
      <c r="AE2186">
        <v>1.31799999999984E-2</v>
      </c>
      <c r="AF2186">
        <v>1.1134997971404E-2</v>
      </c>
      <c r="AG2186">
        <v>-8.8483999999999993E-2</v>
      </c>
      <c r="AH2186">
        <v>0.63648294225866098</v>
      </c>
      <c r="AI2186">
        <v>97.913349457860406</v>
      </c>
      <c r="AJ2186">
        <v>88.997736984540396</v>
      </c>
      <c r="AK2186">
        <v>0.64270050740766105</v>
      </c>
      <c r="AL2186">
        <v>81.016727153852202</v>
      </c>
      <c r="AM2186">
        <v>92.184639973869807</v>
      </c>
      <c r="AN2186">
        <v>0.99999994375434098</v>
      </c>
    </row>
    <row r="2187" spans="1:40" x14ac:dyDescent="0.3">
      <c r="A2187" t="str">
        <f>"20200111150359858"</f>
        <v>20200111150359858</v>
      </c>
      <c r="B2187" t="str">
        <f>"1578726239850798"</f>
        <v>1578726239850798</v>
      </c>
      <c r="C2187" t="s">
        <v>40</v>
      </c>
      <c r="D2187">
        <v>5.2572799999999997</v>
      </c>
      <c r="E2187">
        <v>0.52107829999999999</v>
      </c>
      <c r="F2187" t="s">
        <v>42</v>
      </c>
      <c r="G2187">
        <v>-363.09500000000003</v>
      </c>
      <c r="H2187">
        <v>1.016122</v>
      </c>
      <c r="I2187">
        <v>22.122140000000002</v>
      </c>
      <c r="J2187">
        <v>-363.69119999999998</v>
      </c>
      <c r="K2187">
        <v>1.10429</v>
      </c>
      <c r="L2187">
        <v>22.10989</v>
      </c>
      <c r="M2187">
        <v>0.99921649999999995</v>
      </c>
      <c r="N2187">
        <v>0</v>
      </c>
      <c r="O2187">
        <v>3.7932300000000002E-2</v>
      </c>
      <c r="P2187">
        <v>0.98672709999999997</v>
      </c>
      <c r="Q2187">
        <v>0.14383799999999999</v>
      </c>
      <c r="R2187">
        <v>7.536967E-2</v>
      </c>
      <c r="S2187">
        <v>3.0783689999999999</v>
      </c>
      <c r="T2187">
        <v>-0.2985525</v>
      </c>
      <c r="U2187">
        <v>8.2641599999999996E-2</v>
      </c>
      <c r="V2187">
        <v>-3.7914339999999998E-2</v>
      </c>
      <c r="W2187">
        <v>0.15500340000000001</v>
      </c>
      <c r="X2187">
        <v>0.98718609999999896</v>
      </c>
      <c r="Y2187">
        <v>1.087541E-2</v>
      </c>
      <c r="Z2187">
        <v>-4.1947069999999998E-3</v>
      </c>
      <c r="AA2187">
        <v>0.99993209999999999</v>
      </c>
      <c r="AB2187">
        <v>29</v>
      </c>
      <c r="AC2187">
        <v>0.59619999999995299</v>
      </c>
      <c r="AD2187">
        <v>-8.8167999999999996E-2</v>
      </c>
      <c r="AE2187">
        <v>1.2249999999998E-2</v>
      </c>
      <c r="AF2187">
        <v>1.0153538055257601E-2</v>
      </c>
      <c r="AG2187">
        <v>-8.8167999999999996E-2</v>
      </c>
      <c r="AH2187">
        <v>0.58348054817691497</v>
      </c>
      <c r="AI2187">
        <v>98.591505392647804</v>
      </c>
      <c r="AJ2187">
        <v>89.003058168469707</v>
      </c>
      <c r="AK2187">
        <v>0.590191698230221</v>
      </c>
      <c r="AL2187">
        <v>81.083006320947305</v>
      </c>
      <c r="AM2187">
        <v>92.199448011540198</v>
      </c>
      <c r="AN2187">
        <v>0.99999997361120196</v>
      </c>
    </row>
    <row r="2188" spans="1:40" x14ac:dyDescent="0.3">
      <c r="A2188" t="str">
        <f>"20200111150359880"</f>
        <v>20200111150359880</v>
      </c>
      <c r="B2188" t="str">
        <f>"1578726239870319"</f>
        <v>1578726239870319</v>
      </c>
      <c r="C2188" t="s">
        <v>40</v>
      </c>
      <c r="D2188">
        <v>5.4346819999999996</v>
      </c>
      <c r="E2188">
        <v>0.52139499999999905</v>
      </c>
      <c r="F2188" t="s">
        <v>42</v>
      </c>
      <c r="G2188">
        <v>-362.83240000000001</v>
      </c>
      <c r="H2188">
        <v>1.0195669999999999</v>
      </c>
      <c r="I2188">
        <v>22.13175</v>
      </c>
      <c r="J2188">
        <v>-363.40379999999999</v>
      </c>
      <c r="K2188">
        <v>1.10429</v>
      </c>
      <c r="L2188">
        <v>22.120909999999999</v>
      </c>
      <c r="M2188">
        <v>0.99921210000000005</v>
      </c>
      <c r="N2188">
        <v>0</v>
      </c>
      <c r="O2188">
        <v>3.8044399999999999E-2</v>
      </c>
      <c r="P2188">
        <v>0.98679209999999995</v>
      </c>
      <c r="Q2188">
        <v>0.1433857</v>
      </c>
      <c r="R2188">
        <v>7.5376940000000003E-2</v>
      </c>
      <c r="S2188">
        <v>3.0785520000000002</v>
      </c>
      <c r="T2188">
        <v>-0.30372310000000002</v>
      </c>
      <c r="U2188">
        <v>7.9620360000000001E-2</v>
      </c>
      <c r="V2188">
        <v>-3.7807350000000003E-2</v>
      </c>
      <c r="W2188">
        <v>0.154553</v>
      </c>
      <c r="X2188">
        <v>0.98726080000000005</v>
      </c>
      <c r="Y2188">
        <v>1.1956090000000001E-2</v>
      </c>
      <c r="Z2188">
        <v>-4.331021E-3</v>
      </c>
      <c r="AA2188">
        <v>0.99991909999999895</v>
      </c>
      <c r="AB2188">
        <v>29</v>
      </c>
      <c r="AC2188">
        <v>0.57139999999998203</v>
      </c>
      <c r="AD2188">
        <v>-8.4722999999999798E-2</v>
      </c>
      <c r="AE2188">
        <v>1.0839999999998099E-2</v>
      </c>
      <c r="AF2188">
        <v>1.06732435213649E-2</v>
      </c>
      <c r="AG2188">
        <v>-8.4722999999999798E-2</v>
      </c>
      <c r="AH2188">
        <v>0.55911119368741402</v>
      </c>
      <c r="AI2188">
        <v>98.6150220600002</v>
      </c>
      <c r="AJ2188">
        <v>88.906375785700703</v>
      </c>
      <c r="AK2188">
        <v>0.56559458250838202</v>
      </c>
      <c r="AL2188">
        <v>81.109126961774805</v>
      </c>
      <c r="AM2188">
        <v>92.193081699055497</v>
      </c>
      <c r="AN2188">
        <v>0.99999995636982997</v>
      </c>
    </row>
    <row r="2189" spans="1:40" x14ac:dyDescent="0.3">
      <c r="A2189" t="str">
        <f>"20200111150359901"</f>
        <v>20200111150359901</v>
      </c>
      <c r="B2189" t="str">
        <f>"1578726239890817"</f>
        <v>1578726239890817</v>
      </c>
      <c r="C2189" t="s">
        <v>40</v>
      </c>
      <c r="D2189">
        <v>5.4092640000000003</v>
      </c>
      <c r="E2189">
        <v>0.52128640000000004</v>
      </c>
      <c r="F2189" t="s">
        <v>42</v>
      </c>
      <c r="G2189">
        <v>-362.57089999999999</v>
      </c>
      <c r="H2189">
        <v>1.020845</v>
      </c>
      <c r="I2189">
        <v>22.141459999999999</v>
      </c>
      <c r="J2189">
        <v>-363.11869999999999</v>
      </c>
      <c r="K2189">
        <v>1.104293</v>
      </c>
      <c r="L2189">
        <v>22.131900000000002</v>
      </c>
      <c r="M2189">
        <v>0.99920779999999998</v>
      </c>
      <c r="N2189">
        <v>0</v>
      </c>
      <c r="O2189">
        <v>3.8154359999999998E-2</v>
      </c>
      <c r="P2189">
        <v>0.98677400000000004</v>
      </c>
      <c r="Q2189">
        <v>0.1437252</v>
      </c>
      <c r="R2189">
        <v>7.4967480000000003E-2</v>
      </c>
      <c r="S2189">
        <v>3.0791019999999998</v>
      </c>
      <c r="T2189">
        <v>-0.3084962</v>
      </c>
      <c r="U2189">
        <v>7.7026369999999997E-2</v>
      </c>
      <c r="V2189">
        <v>-3.7290320000000002E-2</v>
      </c>
      <c r="W2189">
        <v>0.1548937</v>
      </c>
      <c r="X2189">
        <v>0.98722710000000002</v>
      </c>
      <c r="Y2189">
        <v>1.289972E-2</v>
      </c>
      <c r="Z2189">
        <v>-4.4561549999999998E-3</v>
      </c>
      <c r="AA2189">
        <v>0.99990679999999998</v>
      </c>
      <c r="AB2189">
        <v>29</v>
      </c>
      <c r="AC2189">
        <v>0.54779999999999496</v>
      </c>
      <c r="AD2189">
        <v>-8.3447999999999897E-2</v>
      </c>
      <c r="AE2189">
        <v>9.5600000000004501E-3</v>
      </c>
      <c r="AF2189">
        <v>1.1091944414773401E-2</v>
      </c>
      <c r="AG2189">
        <v>-8.3447999999999897E-2</v>
      </c>
      <c r="AH2189">
        <v>0.53534673437916003</v>
      </c>
      <c r="AI2189">
        <v>98.857899665459101</v>
      </c>
      <c r="AJ2189">
        <v>88.813048358484707</v>
      </c>
      <c r="AK2189">
        <v>0.54192501874828702</v>
      </c>
      <c r="AL2189">
        <v>81.089368624036595</v>
      </c>
      <c r="AM2189">
        <v>92.163192923859995</v>
      </c>
      <c r="AN2189">
        <v>0.99999998661990097</v>
      </c>
    </row>
    <row r="2190" spans="1:40" x14ac:dyDescent="0.3">
      <c r="A2190" t="str">
        <f>"20200111150359924"</f>
        <v>20200111150359924</v>
      </c>
      <c r="B2190" t="str">
        <f>"1578726239921155"</f>
        <v>1578726239921155</v>
      </c>
      <c r="C2190" t="s">
        <v>40</v>
      </c>
      <c r="D2190">
        <v>5.2733970000000001</v>
      </c>
      <c r="E2190">
        <v>0.52227170000000001</v>
      </c>
      <c r="F2190" t="s">
        <v>42</v>
      </c>
      <c r="G2190">
        <v>-362.30889999999999</v>
      </c>
      <c r="H2190">
        <v>1.0225470000000001</v>
      </c>
      <c r="I2190">
        <v>22.151820000000001</v>
      </c>
      <c r="J2190">
        <v>-362.8322</v>
      </c>
      <c r="K2190">
        <v>1.104293</v>
      </c>
      <c r="L2190">
        <v>22.142939999999999</v>
      </c>
      <c r="M2190">
        <v>0.99920390000000003</v>
      </c>
      <c r="N2190">
        <v>0</v>
      </c>
      <c r="O2190">
        <v>3.8260290000000002E-2</v>
      </c>
      <c r="P2190">
        <v>0.98679059999999996</v>
      </c>
      <c r="Q2190">
        <v>0.1436984</v>
      </c>
      <c r="R2190">
        <v>7.4802820000000006E-2</v>
      </c>
      <c r="S2190">
        <v>3.0796809999999999</v>
      </c>
      <c r="T2190">
        <v>-0.3109672</v>
      </c>
      <c r="U2190">
        <v>7.6538090000000003E-2</v>
      </c>
      <c r="V2190">
        <v>-3.7019320000000001E-2</v>
      </c>
      <c r="W2190">
        <v>0.1548678</v>
      </c>
      <c r="X2190">
        <v>0.98724140000000005</v>
      </c>
      <c r="Y2190">
        <v>1.3162979999999999E-2</v>
      </c>
      <c r="Z2190">
        <v>-4.5147529999999998E-3</v>
      </c>
      <c r="AA2190">
        <v>0.99990310000000004</v>
      </c>
      <c r="AB2190">
        <v>29</v>
      </c>
      <c r="AC2190">
        <v>0.52330000000000598</v>
      </c>
      <c r="AD2190">
        <v>-8.1746000000000096E-2</v>
      </c>
      <c r="AE2190">
        <v>8.8800000000013295E-3</v>
      </c>
      <c r="AF2190">
        <v>1.0883875505883499E-2</v>
      </c>
      <c r="AG2190">
        <v>-8.1746000000000096E-2</v>
      </c>
      <c r="AH2190">
        <v>0.51079554689697904</v>
      </c>
      <c r="AI2190">
        <v>99.090294610462195</v>
      </c>
      <c r="AJ2190">
        <v>88.779343740319206</v>
      </c>
      <c r="AK2190">
        <v>0.51740985494268699</v>
      </c>
      <c r="AL2190">
        <v>81.090871043218598</v>
      </c>
      <c r="AM2190">
        <v>92.147456044326304</v>
      </c>
      <c r="AN2190">
        <v>1.0000000237020299</v>
      </c>
    </row>
    <row r="2191" spans="1:40" x14ac:dyDescent="0.3">
      <c r="A2191" t="str">
        <f>"20200111150359946"</f>
        <v>20200111150359946</v>
      </c>
      <c r="B2191" t="str">
        <f>"1578726239940676"</f>
        <v>1578726239940676</v>
      </c>
      <c r="C2191" t="s">
        <v>40</v>
      </c>
      <c r="D2191">
        <v>5.117928</v>
      </c>
      <c r="E2191">
        <v>0.52252770000000004</v>
      </c>
      <c r="F2191" t="s">
        <v>42</v>
      </c>
      <c r="G2191">
        <v>-362.04660000000001</v>
      </c>
      <c r="H2191">
        <v>1.0248200000000001</v>
      </c>
      <c r="I2191">
        <v>22.160309999999999</v>
      </c>
      <c r="J2191">
        <v>-362.53769999999997</v>
      </c>
      <c r="K2191">
        <v>1.1042879999999999</v>
      </c>
      <c r="L2191">
        <v>22.154389999999999</v>
      </c>
      <c r="M2191">
        <v>0.99919990000000003</v>
      </c>
      <c r="N2191">
        <v>0</v>
      </c>
      <c r="O2191">
        <v>3.8360690000000003E-2</v>
      </c>
      <c r="P2191">
        <v>0.9866994</v>
      </c>
      <c r="Q2191">
        <v>0.14410220000000001</v>
      </c>
      <c r="R2191">
        <v>7.5224680000000002E-2</v>
      </c>
      <c r="S2191">
        <v>3.0803530000000001</v>
      </c>
      <c r="T2191">
        <v>-0.31165369999999998</v>
      </c>
      <c r="U2191">
        <v>6.7993159999999997E-2</v>
      </c>
      <c r="V2191">
        <v>-3.7342680000000003E-2</v>
      </c>
      <c r="W2191">
        <v>0.1552724</v>
      </c>
      <c r="X2191">
        <v>0.98716559999999998</v>
      </c>
      <c r="Y2191">
        <v>1.6024859999999998E-2</v>
      </c>
      <c r="Z2191">
        <v>-4.6783980000000003E-3</v>
      </c>
      <c r="AA2191">
        <v>0.99986059999999999</v>
      </c>
      <c r="AB2191">
        <v>29</v>
      </c>
      <c r="AC2191">
        <v>0.49109999999996001</v>
      </c>
      <c r="AD2191">
        <v>-7.9467999999999803E-2</v>
      </c>
      <c r="AE2191">
        <v>5.9199999999996998E-3</v>
      </c>
      <c r="AF2191">
        <v>1.2594758894995801E-2</v>
      </c>
      <c r="AG2191">
        <v>-7.9467999999999803E-2</v>
      </c>
      <c r="AH2191">
        <v>0.47843969724323798</v>
      </c>
      <c r="AI2191">
        <v>99.427424722915106</v>
      </c>
      <c r="AJ2191">
        <v>88.492056764066803</v>
      </c>
      <c r="AK2191">
        <v>0.48515805143666801</v>
      </c>
      <c r="AL2191">
        <v>81.067404724630606</v>
      </c>
      <c r="AM2191">
        <v>92.166362236274693</v>
      </c>
      <c r="AN2191">
        <v>0.99999995788734997</v>
      </c>
    </row>
    <row r="2192" spans="1:40" x14ac:dyDescent="0.3">
      <c r="A2192" t="str">
        <f>"20200111150359969"</f>
        <v>20200111150359969</v>
      </c>
      <c r="B2192" t="str">
        <f>"1578726239961171"</f>
        <v>1578726239961171</v>
      </c>
      <c r="C2192" t="s">
        <v>40</v>
      </c>
      <c r="D2192">
        <v>5.1116219999999997</v>
      </c>
      <c r="E2192">
        <v>0.52277829999999903</v>
      </c>
      <c r="F2192" t="s">
        <v>42</v>
      </c>
      <c r="G2192">
        <v>-361.7835</v>
      </c>
      <c r="H2192">
        <v>1.02826</v>
      </c>
      <c r="I2192">
        <v>22.170390000000001</v>
      </c>
      <c r="J2192">
        <v>-362.23239999999998</v>
      </c>
      <c r="K2192">
        <v>1.1042749999999999</v>
      </c>
      <c r="L2192">
        <v>22.1662</v>
      </c>
      <c r="M2192">
        <v>0.99919659999999999</v>
      </c>
      <c r="N2192">
        <v>0</v>
      </c>
      <c r="O2192">
        <v>3.8447839999999997E-2</v>
      </c>
      <c r="P2192">
        <v>0.98662450000000002</v>
      </c>
      <c r="Q2192">
        <v>0.14417179999999999</v>
      </c>
      <c r="R2192">
        <v>7.6071349999999996E-2</v>
      </c>
      <c r="S2192">
        <v>3.0807190000000002</v>
      </c>
      <c r="T2192">
        <v>-0.31065419999999999</v>
      </c>
      <c r="U2192">
        <v>6.6558839999999994E-2</v>
      </c>
      <c r="V2192">
        <v>-3.8101030000000001E-2</v>
      </c>
      <c r="W2192">
        <v>0.1553435</v>
      </c>
      <c r="X2192">
        <v>0.98712549999999999</v>
      </c>
      <c r="Y2192">
        <v>1.6578559999999999E-2</v>
      </c>
      <c r="Z2192">
        <v>-4.6995530000000004E-3</v>
      </c>
      <c r="AA2192">
        <v>0.9998515</v>
      </c>
      <c r="AB2192">
        <v>29</v>
      </c>
      <c r="AC2192">
        <v>0.44889999999997998</v>
      </c>
      <c r="AD2192">
        <v>-7.6014999999999902E-2</v>
      </c>
      <c r="AE2192">
        <v>4.1900000000012396E-3</v>
      </c>
      <c r="AF2192">
        <v>1.2709041192708E-2</v>
      </c>
      <c r="AG2192">
        <v>-7.6014999999999902E-2</v>
      </c>
      <c r="AH2192">
        <v>0.43622170012815198</v>
      </c>
      <c r="AI2192">
        <v>99.880864787366306</v>
      </c>
      <c r="AJ2192">
        <v>88.331196042877707</v>
      </c>
      <c r="AK2192">
        <v>0.442977619768463</v>
      </c>
      <c r="AL2192">
        <v>81.063281535850393</v>
      </c>
      <c r="AM2192">
        <v>92.2104029209179</v>
      </c>
      <c r="AN2192">
        <v>1.00000002211478</v>
      </c>
    </row>
    <row r="2193" spans="1:40" x14ac:dyDescent="0.3">
      <c r="A2193" t="str">
        <f>"20200111150359991"</f>
        <v>20200111150359991</v>
      </c>
      <c r="B2193" t="str">
        <f>"1578726239980691"</f>
        <v>1578726239980691</v>
      </c>
      <c r="C2193" t="s">
        <v>40</v>
      </c>
      <c r="D2193">
        <v>6.0584610000000003</v>
      </c>
      <c r="E2193">
        <v>0.52307090000000001</v>
      </c>
      <c r="F2193" t="s">
        <v>42</v>
      </c>
      <c r="G2193">
        <v>-361.27069999999998</v>
      </c>
      <c r="H2193">
        <v>1.007166</v>
      </c>
      <c r="I2193">
        <v>22.186699999999998</v>
      </c>
      <c r="J2193">
        <v>-361.9477</v>
      </c>
      <c r="K2193">
        <v>1.1042479999999999</v>
      </c>
      <c r="L2193">
        <v>22.177250000000001</v>
      </c>
      <c r="M2193">
        <v>0.99919460000000004</v>
      </c>
      <c r="N2193">
        <v>0</v>
      </c>
      <c r="O2193">
        <v>3.850365E-2</v>
      </c>
      <c r="P2193">
        <v>0.9865777</v>
      </c>
      <c r="Q2193">
        <v>0.14400399999999999</v>
      </c>
      <c r="R2193">
        <v>7.6990890000000006E-2</v>
      </c>
      <c r="S2193">
        <v>3.0810240000000002</v>
      </c>
      <c r="T2193">
        <v>-0.311116</v>
      </c>
      <c r="U2193">
        <v>6.6802979999999998E-2</v>
      </c>
      <c r="V2193">
        <v>-3.8959220000000003E-2</v>
      </c>
      <c r="W2193">
        <v>0.15517300000000001</v>
      </c>
      <c r="X2193">
        <v>0.98711879999999996</v>
      </c>
      <c r="Y2193">
        <v>1.6556419999999999E-2</v>
      </c>
      <c r="Z2193">
        <v>-4.7105360000000004E-3</v>
      </c>
      <c r="AA2193">
        <v>0.99985179999999996</v>
      </c>
      <c r="AB2193">
        <v>29</v>
      </c>
      <c r="AC2193">
        <v>0.67700000000002003</v>
      </c>
      <c r="AD2193">
        <v>-9.7081999999999793E-2</v>
      </c>
      <c r="AE2193">
        <v>9.4499999999975107E-3</v>
      </c>
      <c r="AF2193">
        <v>1.6290711846803401E-2</v>
      </c>
      <c r="AG2193">
        <v>-9.7081999999999793E-2</v>
      </c>
      <c r="AH2193">
        <v>0.66322610651205705</v>
      </c>
      <c r="AI2193">
        <v>98.325248403311306</v>
      </c>
      <c r="AJ2193">
        <v>88.5929362880578</v>
      </c>
      <c r="AK2193">
        <v>0.670491737738519</v>
      </c>
      <c r="AL2193">
        <v>81.073170207247998</v>
      </c>
      <c r="AM2193">
        <v>92.260154436184294</v>
      </c>
      <c r="AN2193">
        <v>1.0000000030327201</v>
      </c>
    </row>
    <row r="2194" spans="1:40" x14ac:dyDescent="0.3">
      <c r="A2194" t="str">
        <f>"20200111150400012"</f>
        <v>20200111150400012</v>
      </c>
      <c r="B2194" t="str">
        <f>"1578726240001187"</f>
        <v>1578726240001187</v>
      </c>
      <c r="C2194" t="s">
        <v>40</v>
      </c>
      <c r="D2194">
        <v>5.4489080000000003</v>
      </c>
      <c r="E2194">
        <v>0.52204529999999905</v>
      </c>
      <c r="F2194" t="s">
        <v>42</v>
      </c>
      <c r="G2194">
        <v>-361.00810000000001</v>
      </c>
      <c r="H2194">
        <v>1.0089980000000001</v>
      </c>
      <c r="I2194">
        <v>22.197410000000001</v>
      </c>
      <c r="J2194">
        <v>-361.66160000000002</v>
      </c>
      <c r="K2194">
        <v>1.1042240000000001</v>
      </c>
      <c r="L2194">
        <v>22.188320000000001</v>
      </c>
      <c r="M2194">
        <v>0.99919329999999995</v>
      </c>
      <c r="N2194">
        <v>0</v>
      </c>
      <c r="O2194">
        <v>3.8539329999999997E-2</v>
      </c>
      <c r="P2194">
        <v>0.98665150000000001</v>
      </c>
      <c r="Q2194">
        <v>0.14321900000000001</v>
      </c>
      <c r="R2194">
        <v>7.750717E-2</v>
      </c>
      <c r="S2194">
        <v>3.081207</v>
      </c>
      <c r="T2194">
        <v>-0.31240610000000002</v>
      </c>
      <c r="U2194">
        <v>6.6833500000000004E-2</v>
      </c>
      <c r="V2194">
        <v>-3.9430149999999997E-2</v>
      </c>
      <c r="W2194">
        <v>0.15438299999999999</v>
      </c>
      <c r="X2194">
        <v>0.98722399999999999</v>
      </c>
      <c r="Y2194">
        <v>1.6580910000000001E-2</v>
      </c>
      <c r="Z2194">
        <v>-4.7345319999999996E-3</v>
      </c>
      <c r="AA2194">
        <v>0.9998513</v>
      </c>
      <c r="AB2194">
        <v>29</v>
      </c>
      <c r="AC2194">
        <v>0.65350000000000796</v>
      </c>
      <c r="AD2194">
        <v>-9.5225999999999797E-2</v>
      </c>
      <c r="AE2194">
        <v>9.0900000000004796E-3</v>
      </c>
      <c r="AF2194">
        <v>1.5769045504286299E-2</v>
      </c>
      <c r="AG2194">
        <v>-9.5225999999999797E-2</v>
      </c>
      <c r="AH2194">
        <v>0.63978264322436595</v>
      </c>
      <c r="AI2194">
        <v>98.463286726418701</v>
      </c>
      <c r="AJ2194">
        <v>88.588087888863498</v>
      </c>
      <c r="AK2194">
        <v>0.64702278510364097</v>
      </c>
      <c r="AL2194">
        <v>81.1189862898553</v>
      </c>
      <c r="AM2194">
        <v>92.287202315414106</v>
      </c>
      <c r="AN2194">
        <v>1.0000000367970101</v>
      </c>
    </row>
    <row r="2195" spans="1:40" x14ac:dyDescent="0.3">
      <c r="A2195" t="str">
        <f>"20200111150400036"</f>
        <v>20200111150400036</v>
      </c>
      <c r="B2195" t="str">
        <f>"1578726240030468"</f>
        <v>1578726240030468</v>
      </c>
      <c r="C2195" t="s">
        <v>40</v>
      </c>
      <c r="D2195">
        <v>5.3517299999999999</v>
      </c>
      <c r="E2195">
        <v>0.52232900000000004</v>
      </c>
      <c r="F2195" t="s">
        <v>42</v>
      </c>
      <c r="G2195">
        <v>-360.74700000000001</v>
      </c>
      <c r="H2195">
        <v>1.007711</v>
      </c>
      <c r="I2195">
        <v>22.210640000000001</v>
      </c>
      <c r="J2195">
        <v>-361.36619999999999</v>
      </c>
      <c r="K2195">
        <v>1.10416</v>
      </c>
      <c r="L2195">
        <v>22.199680000000001</v>
      </c>
      <c r="M2195">
        <v>0.99918340000000005</v>
      </c>
      <c r="N2195">
        <v>0</v>
      </c>
      <c r="O2195">
        <v>3.8827639999999997E-2</v>
      </c>
      <c r="P2195">
        <v>0.98678779999999999</v>
      </c>
      <c r="Q2195">
        <v>0.14223729999999901</v>
      </c>
      <c r="R2195">
        <v>7.7578739999999993E-2</v>
      </c>
      <c r="S2195">
        <v>3.0817869999999998</v>
      </c>
      <c r="T2195">
        <v>-0.3252102</v>
      </c>
      <c r="U2195">
        <v>7.6507569999999997E-2</v>
      </c>
      <c r="V2195">
        <v>-3.9198259999999999E-2</v>
      </c>
      <c r="W2195">
        <v>0.1532847</v>
      </c>
      <c r="X2195">
        <v>0.98740430000000001</v>
      </c>
      <c r="Y2195">
        <v>1.372726E-2</v>
      </c>
      <c r="Z2195">
        <v>-4.8065490000000002E-3</v>
      </c>
      <c r="AA2195">
        <v>0.99989419999999996</v>
      </c>
      <c r="AB2195">
        <v>29</v>
      </c>
      <c r="AC2195">
        <v>0.61920000000003395</v>
      </c>
      <c r="AD2195">
        <v>-9.6448999999999993E-2</v>
      </c>
      <c r="AE2195">
        <v>1.09600000000007E-2</v>
      </c>
      <c r="AF2195">
        <v>1.2781822133638101E-2</v>
      </c>
      <c r="AG2195">
        <v>-9.6448999999999993E-2</v>
      </c>
      <c r="AH2195">
        <v>0.60449665512127204</v>
      </c>
      <c r="AI2195">
        <v>99.063287493670103</v>
      </c>
      <c r="AJ2195">
        <v>88.788685853236998</v>
      </c>
      <c r="AK2195">
        <v>0.61227607386771399</v>
      </c>
      <c r="AL2195">
        <v>81.182671788389996</v>
      </c>
      <c r="AM2195">
        <v>92.273350609840193</v>
      </c>
      <c r="AN2195">
        <v>0.99999997724980305</v>
      </c>
    </row>
    <row r="2196" spans="1:40" x14ac:dyDescent="0.3">
      <c r="A2196" t="str">
        <f>"20200111150400057"</f>
        <v>20200111150400057</v>
      </c>
      <c r="B2196" t="str">
        <f>"1578726240050964"</f>
        <v>1578726240050964</v>
      </c>
      <c r="C2196" t="s">
        <v>40</v>
      </c>
      <c r="D2196">
        <v>5.3305509999999998</v>
      </c>
      <c r="E2196">
        <v>0.52208160000000003</v>
      </c>
      <c r="F2196" t="s">
        <v>42</v>
      </c>
      <c r="G2196">
        <v>-360.4837</v>
      </c>
      <c r="H2196">
        <v>1.0084649999999999</v>
      </c>
      <c r="I2196">
        <v>22.221050000000002</v>
      </c>
      <c r="J2196">
        <v>-361.07319999999999</v>
      </c>
      <c r="K2196">
        <v>1.104114</v>
      </c>
      <c r="L2196">
        <v>22.21088</v>
      </c>
      <c r="M2196">
        <v>0.99916389999999999</v>
      </c>
      <c r="N2196">
        <v>0</v>
      </c>
      <c r="O2196">
        <v>3.9366079999999998E-2</v>
      </c>
      <c r="P2196">
        <v>0.98676319999999995</v>
      </c>
      <c r="Q2196">
        <v>0.14209050000000001</v>
      </c>
      <c r="R2196">
        <v>7.8158110000000003E-2</v>
      </c>
      <c r="S2196">
        <v>3.0824889999999998</v>
      </c>
      <c r="T2196">
        <v>-0.33430399999999999</v>
      </c>
      <c r="U2196">
        <v>7.4646000000000004E-2</v>
      </c>
      <c r="V2196">
        <v>-3.9249829999999999E-2</v>
      </c>
      <c r="W2196">
        <v>0.1530147</v>
      </c>
      <c r="X2196">
        <v>0.98744419999999999</v>
      </c>
      <c r="Y2196">
        <v>1.4849090000000001E-2</v>
      </c>
      <c r="Z2196">
        <v>-5.0579209999999999E-3</v>
      </c>
      <c r="AA2196">
        <v>0.99987700000000002</v>
      </c>
      <c r="AB2196">
        <v>29</v>
      </c>
      <c r="AC2196">
        <v>0.58949999999998604</v>
      </c>
      <c r="AD2196">
        <v>-9.5649000000000095E-2</v>
      </c>
      <c r="AE2196">
        <v>1.01700000000022E-2</v>
      </c>
      <c r="AF2196">
        <v>1.2711063539628399E-2</v>
      </c>
      <c r="AG2196">
        <v>-9.5649000000000095E-2</v>
      </c>
      <c r="AH2196">
        <v>0.57432782698988805</v>
      </c>
      <c r="AI2196">
        <v>99.453030711150106</v>
      </c>
      <c r="AJ2196">
        <v>88.732132795575794</v>
      </c>
      <c r="AK2196">
        <v>0.58237681546592801</v>
      </c>
      <c r="AL2196">
        <v>81.1983269521143</v>
      </c>
      <c r="AM2196">
        <v>92.276246446260402</v>
      </c>
      <c r="AN2196">
        <v>1.0000000478423701</v>
      </c>
    </row>
    <row r="2197" spans="1:40" x14ac:dyDescent="0.3">
      <c r="A2197" t="str">
        <f>"20200111150400080"</f>
        <v>20200111150400080</v>
      </c>
      <c r="B2197" t="str">
        <f>"1578726240070483"</f>
        <v>1578726240070483</v>
      </c>
      <c r="C2197" t="s">
        <v>40</v>
      </c>
      <c r="D2197">
        <v>5.4929079999999999</v>
      </c>
      <c r="E2197">
        <v>0.52339740000000001</v>
      </c>
      <c r="F2197" t="s">
        <v>42</v>
      </c>
      <c r="G2197">
        <v>-360.21960000000001</v>
      </c>
      <c r="H2197">
        <v>1.013128</v>
      </c>
      <c r="I2197">
        <v>22.232340000000001</v>
      </c>
      <c r="J2197">
        <v>-360.77719999999999</v>
      </c>
      <c r="K2197">
        <v>1.104309</v>
      </c>
      <c r="L2197">
        <v>22.222259999999999</v>
      </c>
      <c r="M2197">
        <v>0.99917699999999998</v>
      </c>
      <c r="N2197">
        <v>0</v>
      </c>
      <c r="O2197">
        <v>3.8935560000000001E-2</v>
      </c>
      <c r="P2197">
        <v>0.98672870000000001</v>
      </c>
      <c r="Q2197">
        <v>0.14226040000000001</v>
      </c>
      <c r="R2197">
        <v>7.8284759999999995E-2</v>
      </c>
      <c r="S2197">
        <v>3.0813600000000001</v>
      </c>
      <c r="T2197">
        <v>-0.32841300000000001</v>
      </c>
      <c r="U2197">
        <v>7.8247070000000002E-2</v>
      </c>
      <c r="V2197">
        <v>-3.9866970000000002E-2</v>
      </c>
      <c r="W2197">
        <v>0.15348919999999999</v>
      </c>
      <c r="X2197">
        <v>0.98734580000000005</v>
      </c>
      <c r="Y2197">
        <v>1.326397E-2</v>
      </c>
      <c r="Z2197">
        <v>-4.8410969999999999E-3</v>
      </c>
      <c r="AA2197">
        <v>0.99990029999999996</v>
      </c>
      <c r="AB2197">
        <v>29</v>
      </c>
      <c r="AC2197">
        <v>0.557599999999979</v>
      </c>
      <c r="AD2197">
        <v>-9.1180999999999901E-2</v>
      </c>
      <c r="AE2197">
        <v>1.00799999999985E-2</v>
      </c>
      <c r="AF2197">
        <v>1.1336477271155601E-2</v>
      </c>
      <c r="AG2197">
        <v>-9.1180999999999901E-2</v>
      </c>
      <c r="AH2197">
        <v>0.54305307184723095</v>
      </c>
      <c r="AI2197">
        <v>99.529270490325899</v>
      </c>
      <c r="AJ2197">
        <v>88.804098515419994</v>
      </c>
      <c r="AK2197">
        <v>0.55077139479155302</v>
      </c>
      <c r="AL2197">
        <v>81.170814858443904</v>
      </c>
      <c r="AM2197">
        <v>92.3122283624663</v>
      </c>
      <c r="AN2197">
        <v>1.00000001929563</v>
      </c>
    </row>
    <row r="2198" spans="1:40" x14ac:dyDescent="0.3">
      <c r="A2198" t="str">
        <f>"20200111150400102"</f>
        <v>20200111150400102</v>
      </c>
      <c r="B2198" t="str">
        <f>"1578726240090980"</f>
        <v>1578726240090980</v>
      </c>
      <c r="C2198" t="s">
        <v>40</v>
      </c>
      <c r="D2198">
        <v>5.4330480000000003</v>
      </c>
      <c r="E2198">
        <v>0.52550540000000001</v>
      </c>
      <c r="F2198" t="s">
        <v>42</v>
      </c>
      <c r="G2198">
        <v>-359.95460000000003</v>
      </c>
      <c r="H2198">
        <v>1.0195259999999999</v>
      </c>
      <c r="I2198">
        <v>22.240359999999999</v>
      </c>
      <c r="J2198">
        <v>-360.48719999999997</v>
      </c>
      <c r="K2198">
        <v>1.104368</v>
      </c>
      <c r="L2198">
        <v>22.23349</v>
      </c>
      <c r="M2198">
        <v>0.99920799999999999</v>
      </c>
      <c r="N2198">
        <v>0</v>
      </c>
      <c r="O2198">
        <v>3.8070449999999999E-2</v>
      </c>
      <c r="P2198">
        <v>0.98669209999999996</v>
      </c>
      <c r="Q2198">
        <v>0.14262449999999999</v>
      </c>
      <c r="R2198">
        <v>7.8080999999999998E-2</v>
      </c>
      <c r="S2198">
        <v>3.0806580000000001</v>
      </c>
      <c r="T2198">
        <v>-0.31749319999999998</v>
      </c>
      <c r="U2198">
        <v>6.8359379999999997E-2</v>
      </c>
      <c r="V2198">
        <v>-4.0554609999999998E-2</v>
      </c>
      <c r="W2198">
        <v>0.1540329</v>
      </c>
      <c r="X2198">
        <v>0.98723309999999997</v>
      </c>
      <c r="Y2198">
        <v>1.561124E-2</v>
      </c>
      <c r="Z2198">
        <v>-4.7140719999999997E-3</v>
      </c>
      <c r="AA2198">
        <v>0.99986699999999995</v>
      </c>
      <c r="AB2198">
        <v>29</v>
      </c>
      <c r="AC2198">
        <v>0.53259999999994501</v>
      </c>
      <c r="AD2198">
        <v>-8.4842000000000001E-2</v>
      </c>
      <c r="AE2198">
        <v>6.8699999999992604E-3</v>
      </c>
      <c r="AF2198">
        <v>1.3080781608528699E-2</v>
      </c>
      <c r="AG2198">
        <v>-8.4842000000000001E-2</v>
      </c>
      <c r="AH2198">
        <v>0.51929995409997298</v>
      </c>
      <c r="AI2198">
        <v>99.275979547968404</v>
      </c>
      <c r="AJ2198">
        <v>88.557066835967206</v>
      </c>
      <c r="AK2198">
        <v>0.52634752221296099</v>
      </c>
      <c r="AL2198">
        <v>81.139288077917001</v>
      </c>
      <c r="AM2198">
        <v>92.352334310208505</v>
      </c>
      <c r="AN2198">
        <v>1.0000000022051301</v>
      </c>
    </row>
    <row r="2199" spans="1:40" x14ac:dyDescent="0.3">
      <c r="A2199" t="str">
        <f>"20200111150400126"</f>
        <v>20200111150400126</v>
      </c>
      <c r="B2199" t="str">
        <f>"1578726240121235"</f>
        <v>1578726240121235</v>
      </c>
      <c r="C2199" t="s">
        <v>40</v>
      </c>
      <c r="D2199">
        <v>5.411537</v>
      </c>
      <c r="E2199">
        <v>0.52827639999999998</v>
      </c>
      <c r="F2199" t="s">
        <v>42</v>
      </c>
      <c r="G2199">
        <v>-359.69049999999999</v>
      </c>
      <c r="H2199">
        <v>1.0225789999999999</v>
      </c>
      <c r="I2199">
        <v>22.24643</v>
      </c>
      <c r="J2199">
        <v>-360.18939999999998</v>
      </c>
      <c r="K2199">
        <v>1.104158</v>
      </c>
      <c r="L2199">
        <v>22.244810000000001</v>
      </c>
      <c r="M2199">
        <v>0.99923240000000002</v>
      </c>
      <c r="N2199">
        <v>0</v>
      </c>
      <c r="O2199">
        <v>3.7441879999999997E-2</v>
      </c>
      <c r="P2199">
        <v>0.9866471</v>
      </c>
      <c r="Q2199">
        <v>0.14276429999999901</v>
      </c>
      <c r="R2199">
        <v>7.8395210000000007E-2</v>
      </c>
      <c r="S2199">
        <v>3.0821230000000002</v>
      </c>
      <c r="T2199">
        <v>-0.31638500000000003</v>
      </c>
      <c r="U2199">
        <v>5.1330569999999999E-2</v>
      </c>
      <c r="V2199">
        <v>-4.1447449999999997E-2</v>
      </c>
      <c r="W2199">
        <v>0.15413089999999999</v>
      </c>
      <c r="X2199">
        <v>0.98718070000000002</v>
      </c>
      <c r="Y2199">
        <v>2.049461E-2</v>
      </c>
      <c r="Z2199">
        <v>-4.881491E-3</v>
      </c>
      <c r="AA2199">
        <v>0.99977800000000006</v>
      </c>
      <c r="AB2199">
        <v>29</v>
      </c>
      <c r="AC2199">
        <v>0.49889999999999102</v>
      </c>
      <c r="AD2199">
        <v>-8.1578999999999804E-2</v>
      </c>
      <c r="AE2199">
        <v>1.6199999999990599E-3</v>
      </c>
      <c r="AF2199">
        <v>1.6617806618332901E-2</v>
      </c>
      <c r="AG2199">
        <v>-8.1578999999999804E-2</v>
      </c>
      <c r="AH2199">
        <v>0.485626226334332</v>
      </c>
      <c r="AI2199">
        <v>99.530447794349797</v>
      </c>
      <c r="AJ2199">
        <v>88.040141250833301</v>
      </c>
      <c r="AK2199">
        <v>0.49271098672703501</v>
      </c>
      <c r="AL2199">
        <v>81.133605028466107</v>
      </c>
      <c r="AM2199">
        <v>92.404190055208801</v>
      </c>
      <c r="AN2199">
        <v>0.99999997994940104</v>
      </c>
    </row>
    <row r="2200" spans="1:40" x14ac:dyDescent="0.3">
      <c r="A2200" t="str">
        <f>"20200111150400147"</f>
        <v>20200111150400147</v>
      </c>
      <c r="B2200" t="str">
        <f>"1578726240140755"</f>
        <v>1578726240140755</v>
      </c>
      <c r="C2200" t="s">
        <v>40</v>
      </c>
      <c r="D2200">
        <v>5.4294260000000003</v>
      </c>
      <c r="E2200">
        <v>0.52997919999999998</v>
      </c>
      <c r="F2200" t="s">
        <v>42</v>
      </c>
      <c r="G2200">
        <v>-359.42579999999998</v>
      </c>
      <c r="H2200">
        <v>1.025755</v>
      </c>
      <c r="I2200">
        <v>22.252009999999999</v>
      </c>
      <c r="J2200">
        <v>-359.89789999999999</v>
      </c>
      <c r="K2200">
        <v>1.103855</v>
      </c>
      <c r="L2200">
        <v>22.255490000000002</v>
      </c>
      <c r="M2200">
        <v>0.99924400000000002</v>
      </c>
      <c r="N2200">
        <v>0</v>
      </c>
      <c r="O2200">
        <v>3.7165579999999997E-2</v>
      </c>
      <c r="P2200">
        <v>0.98667249999999995</v>
      </c>
      <c r="Q2200">
        <v>0.14299539999999999</v>
      </c>
      <c r="R2200">
        <v>7.7654020000000004E-2</v>
      </c>
      <c r="S2200">
        <v>3.0840450000000001</v>
      </c>
      <c r="T2200">
        <v>-0.31664399999999998</v>
      </c>
      <c r="U2200">
        <v>2.9876710000000001E-2</v>
      </c>
      <c r="V2200">
        <v>-4.0894300000000001E-2</v>
      </c>
      <c r="W2200">
        <v>0.15428210000000001</v>
      </c>
      <c r="X2200">
        <v>0.98718019999999995</v>
      </c>
      <c r="Y2200">
        <v>2.7147930000000001E-2</v>
      </c>
      <c r="Z2200">
        <v>-5.1951509999999899E-3</v>
      </c>
      <c r="AA2200">
        <v>0.99961789999999995</v>
      </c>
      <c r="AB2200">
        <v>29</v>
      </c>
      <c r="AC2200">
        <v>0.47210000000001101</v>
      </c>
      <c r="AD2200">
        <v>-7.8100000000000003E-2</v>
      </c>
      <c r="AE2200">
        <v>-3.4799999999961498E-3</v>
      </c>
      <c r="AF2200">
        <v>2.0464575174985501E-2</v>
      </c>
      <c r="AG2200">
        <v>-7.8100000000000003E-2</v>
      </c>
      <c r="AH2200">
        <v>0.459081256026243</v>
      </c>
      <c r="AI2200">
        <v>99.645462156694194</v>
      </c>
      <c r="AJ2200">
        <v>87.447602059073802</v>
      </c>
      <c r="AK2200">
        <v>0.466126601334579</v>
      </c>
      <c r="AL2200">
        <v>81.124837465501898</v>
      </c>
      <c r="AM2200">
        <v>92.3721422800337</v>
      </c>
      <c r="AN2200">
        <v>1.00000002871246</v>
      </c>
    </row>
    <row r="2201" spans="1:40" x14ac:dyDescent="0.3">
      <c r="A2201" t="str">
        <f>"20200111150400171"</f>
        <v>20200111150400171</v>
      </c>
      <c r="B2201" t="str">
        <f>"1578726240161251"</f>
        <v>1578726240161251</v>
      </c>
      <c r="C2201" t="s">
        <v>40</v>
      </c>
      <c r="D2201">
        <v>6.0151339999999998</v>
      </c>
      <c r="E2201">
        <v>0.53080090000000002</v>
      </c>
      <c r="F2201" t="s">
        <v>42</v>
      </c>
      <c r="G2201">
        <v>-359.16129999999998</v>
      </c>
      <c r="H2201">
        <v>1.0282910000000001</v>
      </c>
      <c r="I2201">
        <v>22.25863</v>
      </c>
      <c r="J2201">
        <v>-359.59550000000002</v>
      </c>
      <c r="K2201">
        <v>1.103602</v>
      </c>
      <c r="L2201">
        <v>22.266200000000001</v>
      </c>
      <c r="M2201">
        <v>0.99925450000000005</v>
      </c>
      <c r="N2201">
        <v>0</v>
      </c>
      <c r="O2201">
        <v>3.6909869999999997E-2</v>
      </c>
      <c r="P2201">
        <v>0.98676629999999999</v>
      </c>
      <c r="Q2201">
        <v>0.1431962</v>
      </c>
      <c r="R2201">
        <v>7.6074039999999996E-2</v>
      </c>
      <c r="S2201">
        <v>3.085175</v>
      </c>
      <c r="T2201">
        <v>-0.3164303</v>
      </c>
      <c r="U2201">
        <v>1.4770510000000001E-2</v>
      </c>
      <c r="V2201">
        <v>-3.948687E-2</v>
      </c>
      <c r="W2201">
        <v>0.15441930000000001</v>
      </c>
      <c r="X2201">
        <v>0.98721610000000004</v>
      </c>
      <c r="Y2201">
        <v>3.176735E-2</v>
      </c>
      <c r="Z2201">
        <v>-5.4000760000000002E-3</v>
      </c>
      <c r="AA2201">
        <v>0.9994807</v>
      </c>
      <c r="AB2201">
        <v>29</v>
      </c>
      <c r="AC2201">
        <v>0.434200000000032</v>
      </c>
      <c r="AD2201">
        <v>-7.5310999999999906E-2</v>
      </c>
      <c r="AE2201">
        <v>-7.57000000000118E-3</v>
      </c>
      <c r="AF2201">
        <v>2.2903316745755301E-2</v>
      </c>
      <c r="AG2201">
        <v>-7.5310999999999906E-2</v>
      </c>
      <c r="AH2201">
        <v>0.42096418666645802</v>
      </c>
      <c r="AI2201">
        <v>100.128312925779</v>
      </c>
      <c r="AJ2201">
        <v>86.885790021554996</v>
      </c>
      <c r="AK2201">
        <v>0.42826061585757402</v>
      </c>
      <c r="AL2201">
        <v>81.116881601840106</v>
      </c>
      <c r="AM2201">
        <v>92.290507248172702</v>
      </c>
      <c r="AN2201">
        <v>1.0000000806070399</v>
      </c>
    </row>
    <row r="2202" spans="1:40" x14ac:dyDescent="0.3">
      <c r="A2202" t="str">
        <f>"20200111150400191"</f>
        <v>20200111150400191</v>
      </c>
      <c r="B2202" t="str">
        <f>"1578726240180774"</f>
        <v>1578726240180774</v>
      </c>
      <c r="C2202" t="s">
        <v>40</v>
      </c>
      <c r="D2202">
        <v>5.4462479999999998</v>
      </c>
      <c r="E2202">
        <v>0.53251079999999995</v>
      </c>
      <c r="F2202" t="s">
        <v>42</v>
      </c>
      <c r="G2202">
        <v>-358.64479999999998</v>
      </c>
      <c r="H2202">
        <v>1.0062009999999999</v>
      </c>
      <c r="I2202">
        <v>22.26737</v>
      </c>
      <c r="J2202">
        <v>-359.31549999999999</v>
      </c>
      <c r="K2202">
        <v>1.1034619999999999</v>
      </c>
      <c r="L2202">
        <v>22.27582</v>
      </c>
      <c r="M2202">
        <v>0.99927180000000004</v>
      </c>
      <c r="N2202">
        <v>0</v>
      </c>
      <c r="O2202">
        <v>3.6465600000000001E-2</v>
      </c>
      <c r="P2202">
        <v>0.98700109999999996</v>
      </c>
      <c r="Q2202">
        <v>0.14267270000000001</v>
      </c>
      <c r="R2202">
        <v>7.3982980000000004E-2</v>
      </c>
      <c r="S2202">
        <v>3.0857540000000001</v>
      </c>
      <c r="T2202">
        <v>-0.3161041</v>
      </c>
      <c r="U2202">
        <v>4.8522950000000004E-3</v>
      </c>
      <c r="V2202">
        <v>-3.7784869999999998E-2</v>
      </c>
      <c r="W2202">
        <v>0.1538223</v>
      </c>
      <c r="X2202">
        <v>0.98737580000000003</v>
      </c>
      <c r="Y2202">
        <v>3.4524970000000002E-2</v>
      </c>
      <c r="Z2202">
        <v>-5.4891159999999996E-3</v>
      </c>
      <c r="AA2202">
        <v>0.99938879999999997</v>
      </c>
      <c r="AB2202">
        <v>29</v>
      </c>
      <c r="AC2202">
        <v>0.67070000000000995</v>
      </c>
      <c r="AD2202">
        <v>-9.7261E-2</v>
      </c>
      <c r="AE2202">
        <v>-8.4499999999998396E-3</v>
      </c>
      <c r="AF2202">
        <v>3.2225826905152299E-2</v>
      </c>
      <c r="AG2202">
        <v>-9.7261E-2</v>
      </c>
      <c r="AH2202">
        <v>0.65614966115851803</v>
      </c>
      <c r="AI2202">
        <v>98.421547496532696</v>
      </c>
      <c r="AJ2202">
        <v>87.188261256700898</v>
      </c>
      <c r="AK2202">
        <v>0.66410133554989903</v>
      </c>
      <c r="AL2202">
        <v>81.151499942791105</v>
      </c>
      <c r="AM2202">
        <v>92.191523951003404</v>
      </c>
      <c r="AN2202">
        <v>0.99999998340192298</v>
      </c>
    </row>
    <row r="2203" spans="1:40" x14ac:dyDescent="0.3">
      <c r="A2203" t="str">
        <f>"20200111150400206"</f>
        <v>20200111150400206</v>
      </c>
      <c r="B2203" t="str">
        <f>"1578726240200292"</f>
        <v>1578726240200292</v>
      </c>
      <c r="C2203" t="s">
        <v>40</v>
      </c>
      <c r="D2203">
        <v>5.4791559999999997</v>
      </c>
      <c r="E2203">
        <v>0.53397380000000005</v>
      </c>
      <c r="F2203" t="s">
        <v>42</v>
      </c>
      <c r="G2203">
        <v>-358.3802</v>
      </c>
      <c r="H2203">
        <v>1.007226</v>
      </c>
      <c r="I2203">
        <v>22.270600000000002</v>
      </c>
      <c r="J2203">
        <v>-359.12880000000001</v>
      </c>
      <c r="K2203">
        <v>1.1034060000000001</v>
      </c>
      <c r="L2203">
        <v>22.2821</v>
      </c>
      <c r="M2203">
        <v>0.99928779999999995</v>
      </c>
      <c r="N2203">
        <v>0</v>
      </c>
      <c r="O2203">
        <v>3.6042690000000002E-2</v>
      </c>
      <c r="P2203">
        <v>0.98710609999999999</v>
      </c>
      <c r="Q2203">
        <v>0.14248129999999901</v>
      </c>
      <c r="R2203">
        <v>7.2945670000000004E-2</v>
      </c>
      <c r="S2203">
        <v>3.0865779999999998</v>
      </c>
      <c r="T2203">
        <v>-0.31747540000000002</v>
      </c>
      <c r="U2203">
        <v>-1.6326899999999998E-2</v>
      </c>
      <c r="V2203">
        <v>-3.7147899999999998E-2</v>
      </c>
      <c r="W2203">
        <v>0.15357170000000001</v>
      </c>
      <c r="X2203">
        <v>0.98743899999999996</v>
      </c>
      <c r="Y2203">
        <v>4.0924549999999997E-2</v>
      </c>
      <c r="Z2203">
        <v>-5.7963009999999898E-3</v>
      </c>
      <c r="AA2203">
        <v>0.99914539999999996</v>
      </c>
      <c r="AB2203">
        <v>29</v>
      </c>
      <c r="AC2203">
        <v>0.74860000000001004</v>
      </c>
      <c r="AD2203">
        <v>-9.6179999999999904E-2</v>
      </c>
      <c r="AE2203">
        <v>-1.1499999999998E-2</v>
      </c>
      <c r="AF2203">
        <v>3.7851105431162699E-2</v>
      </c>
      <c r="AG2203">
        <v>-9.6179999999999904E-2</v>
      </c>
      <c r="AH2203">
        <v>0.73555994823822202</v>
      </c>
      <c r="AI2203">
        <v>97.439856351774495</v>
      </c>
      <c r="AJ2203">
        <v>87.054220567719298</v>
      </c>
      <c r="AK2203">
        <v>0.74278646732057296</v>
      </c>
      <c r="AL2203">
        <v>81.166031124429495</v>
      </c>
      <c r="AM2203">
        <v>92.154477009906103</v>
      </c>
      <c r="AN2203">
        <v>1.00000000611814</v>
      </c>
    </row>
    <row r="2204" spans="1:40" x14ac:dyDescent="0.3">
      <c r="A2204" t="str">
        <f>"20200111150400217"</f>
        <v>20200111150400217</v>
      </c>
      <c r="B2204" t="str">
        <f>"1578726240211027"</f>
        <v>1578726240211027</v>
      </c>
      <c r="C2204" t="s">
        <v>40</v>
      </c>
      <c r="D2204">
        <v>5.4902569999999997</v>
      </c>
      <c r="E2204">
        <v>0.53467119999999901</v>
      </c>
      <c r="F2204" t="s">
        <v>42</v>
      </c>
      <c r="G2204">
        <v>-358.37150000000003</v>
      </c>
      <c r="H2204">
        <v>1.0250859999999999</v>
      </c>
      <c r="I2204">
        <v>22.27412</v>
      </c>
      <c r="J2204">
        <v>-358.9658</v>
      </c>
      <c r="K2204">
        <v>1.1033740000000001</v>
      </c>
      <c r="L2204">
        <v>22.28754</v>
      </c>
      <c r="M2204">
        <v>0.99930419999999998</v>
      </c>
      <c r="N2204">
        <v>0</v>
      </c>
      <c r="O2204">
        <v>3.5604070000000002E-2</v>
      </c>
      <c r="P2204">
        <v>0.98727450000000005</v>
      </c>
      <c r="Q2204">
        <v>0.14190539999999999</v>
      </c>
      <c r="R2204">
        <v>7.1778060000000005E-2</v>
      </c>
      <c r="S2204">
        <v>3.087555</v>
      </c>
      <c r="T2204">
        <v>-0.31920019999999999</v>
      </c>
      <c r="U2204">
        <v>-3.143311E-2</v>
      </c>
      <c r="V2204">
        <v>-3.6400969999999998E-2</v>
      </c>
      <c r="W2204">
        <v>0.1529421</v>
      </c>
      <c r="X2204">
        <v>0.98756449999999996</v>
      </c>
      <c r="Y2204">
        <v>4.5346640000000001E-2</v>
      </c>
      <c r="Z2204">
        <v>-6.0085240000000003E-3</v>
      </c>
      <c r="AA2204">
        <v>0.99895319999999999</v>
      </c>
      <c r="AB2204">
        <v>29</v>
      </c>
      <c r="AC2204">
        <v>0.59429999999997496</v>
      </c>
      <c r="AD2204">
        <v>-7.8287999999999899E-2</v>
      </c>
      <c r="AE2204">
        <v>-1.3419999999999901E-2</v>
      </c>
      <c r="AF2204">
        <v>3.3982885091570401E-2</v>
      </c>
      <c r="AG2204">
        <v>-7.8287999999999899E-2</v>
      </c>
      <c r="AH2204">
        <v>0.583327884111418</v>
      </c>
      <c r="AI2204">
        <v>97.631161862750005</v>
      </c>
      <c r="AJ2204">
        <v>86.665892866748294</v>
      </c>
      <c r="AK2204">
        <v>0.589538181804241</v>
      </c>
      <c r="AL2204">
        <v>81.202535560540397</v>
      </c>
      <c r="AM2204">
        <v>92.110928657721004</v>
      </c>
      <c r="AN2204">
        <v>0.99999997911479999</v>
      </c>
    </row>
    <row r="2205" spans="1:40" x14ac:dyDescent="0.3">
      <c r="A2205" t="str">
        <f>"20200111150400239"</f>
        <v>20200111150400239</v>
      </c>
      <c r="B2205" t="str">
        <f>"1578726240230548"</f>
        <v>1578726240230548</v>
      </c>
      <c r="C2205" t="s">
        <v>40</v>
      </c>
      <c r="D2205">
        <v>5.4655930000000001</v>
      </c>
      <c r="E2205">
        <v>0.53587200000000001</v>
      </c>
      <c r="F2205" t="s">
        <v>42</v>
      </c>
      <c r="G2205">
        <v>-358.11219999999997</v>
      </c>
      <c r="H2205">
        <v>1.014637</v>
      </c>
      <c r="I2205">
        <v>22.275929999999999</v>
      </c>
      <c r="J2205">
        <v>-358.69260000000003</v>
      </c>
      <c r="K2205">
        <v>1.1033189999999999</v>
      </c>
      <c r="L2205">
        <v>22.296510000000001</v>
      </c>
      <c r="M2205">
        <v>0.99934449999999997</v>
      </c>
      <c r="N2205">
        <v>0</v>
      </c>
      <c r="O2205">
        <v>3.4517329999999999E-2</v>
      </c>
      <c r="P2205">
        <v>0.98765979999999998</v>
      </c>
      <c r="Q2205">
        <v>0.14086119999999999</v>
      </c>
      <c r="R2205">
        <v>6.8456459999999997E-2</v>
      </c>
      <c r="S2205">
        <v>3.0877080000000001</v>
      </c>
      <c r="T2205">
        <v>-0.32094139999999999</v>
      </c>
      <c r="U2205">
        <v>-4.0313719999999997E-2</v>
      </c>
      <c r="V2205">
        <v>-3.4139620000000002E-2</v>
      </c>
      <c r="W2205">
        <v>0.1516961</v>
      </c>
      <c r="X2205">
        <v>0.98783739999999998</v>
      </c>
      <c r="Y2205">
        <v>4.7123980000000003E-2</v>
      </c>
      <c r="Z2205">
        <v>-6.020269E-3</v>
      </c>
      <c r="AA2205">
        <v>0.99887090000000001</v>
      </c>
      <c r="AB2205">
        <v>30</v>
      </c>
      <c r="AC2205">
        <v>0.58040000000005398</v>
      </c>
      <c r="AD2205">
        <v>-8.8682000000000094E-2</v>
      </c>
      <c r="AE2205">
        <v>-2.0580000000002398E-2</v>
      </c>
      <c r="AF2205">
        <v>3.9677628065105199E-2</v>
      </c>
      <c r="AG2205">
        <v>-8.8682000000000094E-2</v>
      </c>
      <c r="AH2205">
        <v>0.56614300008123497</v>
      </c>
      <c r="AI2205">
        <v>98.881169107058696</v>
      </c>
      <c r="AJ2205">
        <v>85.991031461059904</v>
      </c>
      <c r="AK2205">
        <v>0.574418582423875</v>
      </c>
      <c r="AL2205">
        <v>81.274768934072995</v>
      </c>
      <c r="AM2205">
        <v>91.979351999292604</v>
      </c>
      <c r="AN2205">
        <v>0.99999997462385604</v>
      </c>
    </row>
    <row r="2206" spans="1:40" x14ac:dyDescent="0.3">
      <c r="A2206" t="str">
        <f>"20200111150400259"</f>
        <v>20200111150400259</v>
      </c>
      <c r="B2206" t="str">
        <f>"1578726240251043"</f>
        <v>1578726240251043</v>
      </c>
      <c r="C2206" t="s">
        <v>40</v>
      </c>
      <c r="D2206">
        <v>5.5026619999999999</v>
      </c>
      <c r="E2206">
        <v>0.53704269999999998</v>
      </c>
      <c r="F2206" t="s">
        <v>42</v>
      </c>
      <c r="G2206">
        <v>-357.846</v>
      </c>
      <c r="H2206">
        <v>1.0154559999999999</v>
      </c>
      <c r="I2206">
        <v>22.280149999999999</v>
      </c>
      <c r="J2206">
        <v>-358.41199999999998</v>
      </c>
      <c r="K2206">
        <v>1.1032</v>
      </c>
      <c r="L2206">
        <v>22.305540000000001</v>
      </c>
      <c r="M2206">
        <v>0.99938629999999995</v>
      </c>
      <c r="N2206">
        <v>0</v>
      </c>
      <c r="O2206">
        <v>3.3343709999999999E-2</v>
      </c>
      <c r="P2206">
        <v>0.98785460000000003</v>
      </c>
      <c r="Q2206">
        <v>0.1406145</v>
      </c>
      <c r="R2206">
        <v>6.6112660000000004E-2</v>
      </c>
      <c r="S2206">
        <v>3.0873110000000001</v>
      </c>
      <c r="T2206">
        <v>-0.32046629999999998</v>
      </c>
      <c r="U2206">
        <v>-5.9478759999999999E-2</v>
      </c>
      <c r="V2206">
        <v>-3.2924589999999997E-2</v>
      </c>
      <c r="W2206">
        <v>0.15127380000000001</v>
      </c>
      <c r="X2206">
        <v>0.98794340000000003</v>
      </c>
      <c r="Y2206">
        <v>5.2131610000000002E-2</v>
      </c>
      <c r="Z2206">
        <v>-6.1496800000000003E-3</v>
      </c>
      <c r="AA2206">
        <v>0.99862130000000005</v>
      </c>
      <c r="AB2206">
        <v>30</v>
      </c>
      <c r="AC2206">
        <v>0.56599999999997397</v>
      </c>
      <c r="AD2206">
        <v>-8.7744000000000003E-2</v>
      </c>
      <c r="AE2206">
        <v>-2.5390000000001502E-2</v>
      </c>
      <c r="AF2206">
        <v>4.3213067612655198E-2</v>
      </c>
      <c r="AG2206">
        <v>-8.7744000000000003E-2</v>
      </c>
      <c r="AH2206">
        <v>0.55160858683728697</v>
      </c>
      <c r="AI2206">
        <v>99.011122057086993</v>
      </c>
      <c r="AJ2206">
        <v>85.5205920244141</v>
      </c>
      <c r="AK2206">
        <v>0.56021282725507504</v>
      </c>
      <c r="AL2206">
        <v>81.2992474507178</v>
      </c>
      <c r="AM2206">
        <v>91.908755221852701</v>
      </c>
      <c r="AN2206">
        <v>0.99999997639833305</v>
      </c>
    </row>
    <row r="2207" spans="1:40" x14ac:dyDescent="0.3">
      <c r="A2207" t="str">
        <f>"20200111150400283"</f>
        <v>20200111150400283</v>
      </c>
      <c r="B2207" t="str">
        <f>"1578726240270633"</f>
        <v>1578726240270633</v>
      </c>
      <c r="C2207" t="s">
        <v>40</v>
      </c>
      <c r="D2207">
        <v>5.5017009999999997</v>
      </c>
      <c r="E2207">
        <v>0.53806799999999999</v>
      </c>
      <c r="F2207" t="s">
        <v>42</v>
      </c>
      <c r="G2207">
        <v>-357.5804</v>
      </c>
      <c r="H2207">
        <v>1.0165360000000001</v>
      </c>
      <c r="I2207">
        <v>22.28464</v>
      </c>
      <c r="J2207">
        <v>-358.11329999999998</v>
      </c>
      <c r="K2207">
        <v>1.1029789999999999</v>
      </c>
      <c r="L2207">
        <v>22.314789999999999</v>
      </c>
      <c r="M2207">
        <v>0.99940859999999998</v>
      </c>
      <c r="N2207">
        <v>0</v>
      </c>
      <c r="O2207">
        <v>3.2667099999999998E-2</v>
      </c>
      <c r="P2207">
        <v>0.98786640000000003</v>
      </c>
      <c r="Q2207">
        <v>0.14075199999999999</v>
      </c>
      <c r="R2207">
        <v>6.5643480000000004E-2</v>
      </c>
      <c r="S2207">
        <v>3.0877690000000002</v>
      </c>
      <c r="T2207">
        <v>-0.32174920000000001</v>
      </c>
      <c r="U2207">
        <v>-7.6446529999999999E-2</v>
      </c>
      <c r="V2207">
        <v>-3.3050469999999998E-2</v>
      </c>
      <c r="W2207">
        <v>0.15143690000000001</v>
      </c>
      <c r="X2207">
        <v>0.98791430000000002</v>
      </c>
      <c r="Y2207">
        <v>5.6911259999999998E-2</v>
      </c>
      <c r="Z2207">
        <v>-6.350985E-3</v>
      </c>
      <c r="AA2207">
        <v>0.998359</v>
      </c>
      <c r="AB2207">
        <v>30</v>
      </c>
      <c r="AC2207">
        <v>0.53289999999998305</v>
      </c>
      <c r="AD2207">
        <v>-8.6443000000000006E-2</v>
      </c>
      <c r="AE2207">
        <v>-3.0149999999999001E-2</v>
      </c>
      <c r="AF2207">
        <v>4.63280731391107E-2</v>
      </c>
      <c r="AG2207">
        <v>-8.6443000000000006E-2</v>
      </c>
      <c r="AH2207">
        <v>0.51804288111347996</v>
      </c>
      <c r="AI2207">
        <v>99.436376606534594</v>
      </c>
      <c r="AJ2207">
        <v>84.889688322605394</v>
      </c>
      <c r="AK2207">
        <v>0.52724482859686606</v>
      </c>
      <c r="AL2207">
        <v>81.289794383156107</v>
      </c>
      <c r="AM2207">
        <v>91.916103899563893</v>
      </c>
      <c r="AN2207">
        <v>1.0000000661966499</v>
      </c>
    </row>
    <row r="2208" spans="1:40" x14ac:dyDescent="0.3">
      <c r="A2208" t="str">
        <f>"20200111150400302"</f>
        <v>20200111150400302</v>
      </c>
      <c r="B2208" t="str">
        <f>"1578726240300890"</f>
        <v>1578726240300890</v>
      </c>
      <c r="C2208" t="s">
        <v>40</v>
      </c>
      <c r="D2208">
        <v>5.4973450000000001</v>
      </c>
      <c r="E2208">
        <v>0.53958240000000002</v>
      </c>
      <c r="F2208" t="s">
        <v>42</v>
      </c>
      <c r="G2208">
        <v>-357.31400000000002</v>
      </c>
      <c r="H2208">
        <v>1.0197419999999999</v>
      </c>
      <c r="I2208">
        <v>22.292280000000002</v>
      </c>
      <c r="J2208">
        <v>-357.84249999999997</v>
      </c>
      <c r="K2208">
        <v>1.1027990000000001</v>
      </c>
      <c r="L2208">
        <v>22.32281</v>
      </c>
      <c r="M2208">
        <v>0.99942299999999995</v>
      </c>
      <c r="N2208">
        <v>0</v>
      </c>
      <c r="O2208">
        <v>3.2228890000000003E-2</v>
      </c>
      <c r="P2208">
        <v>0.98783460000000001</v>
      </c>
      <c r="Q2208">
        <v>0.14074139999999999</v>
      </c>
      <c r="R2208">
        <v>6.6143950000000007E-2</v>
      </c>
      <c r="S2208">
        <v>3.08847</v>
      </c>
      <c r="T2208">
        <v>-0.32158340000000002</v>
      </c>
      <c r="U2208">
        <v>-8.6791989999999999E-2</v>
      </c>
      <c r="V2208">
        <v>-3.3930450000000001E-2</v>
      </c>
      <c r="W2208">
        <v>0.15143119999999999</v>
      </c>
      <c r="X2208">
        <v>0.98788529999999997</v>
      </c>
      <c r="Y2208">
        <v>5.9797070000000001E-2</v>
      </c>
      <c r="Z2208">
        <v>-6.4503800000000003E-3</v>
      </c>
      <c r="AA2208">
        <v>0.99818969999999996</v>
      </c>
      <c r="AB2208">
        <v>30</v>
      </c>
      <c r="AC2208">
        <v>0.52849999999995101</v>
      </c>
      <c r="AD2208">
        <v>-8.3057000000000103E-2</v>
      </c>
      <c r="AE2208">
        <v>-3.0530000000002298E-2</v>
      </c>
      <c r="AF2208">
        <v>4.64057663249864E-2</v>
      </c>
      <c r="AG2208">
        <v>-8.3057000000000103E-2</v>
      </c>
      <c r="AH2208">
        <v>0.51457469854146198</v>
      </c>
      <c r="AI2208">
        <v>99.132541906835598</v>
      </c>
      <c r="AJ2208">
        <v>84.846848395505901</v>
      </c>
      <c r="AK2208">
        <v>0.52329636036976801</v>
      </c>
      <c r="AL2208">
        <v>81.290124416610396</v>
      </c>
      <c r="AM2208">
        <v>91.967138956672201</v>
      </c>
      <c r="AN2208">
        <v>1.00000002486336</v>
      </c>
    </row>
    <row r="2209" spans="1:40" x14ac:dyDescent="0.3">
      <c r="A2209" t="str">
        <f>"20200111150400316"</f>
        <v>20200111150400316</v>
      </c>
      <c r="B2209" t="str">
        <f>"1578726240310649"</f>
        <v>1578726240310649</v>
      </c>
      <c r="C2209" t="s">
        <v>40</v>
      </c>
      <c r="D2209">
        <v>5.4690669999999999</v>
      </c>
      <c r="E2209">
        <v>0.5400026</v>
      </c>
      <c r="F2209" t="s">
        <v>42</v>
      </c>
      <c r="G2209">
        <v>-357.04860000000002</v>
      </c>
      <c r="H2209">
        <v>1.020159</v>
      </c>
      <c r="I2209">
        <v>22.297370000000001</v>
      </c>
      <c r="J2209">
        <v>-357.6669</v>
      </c>
      <c r="K2209">
        <v>1.102741</v>
      </c>
      <c r="L2209">
        <v>22.327940000000002</v>
      </c>
      <c r="M2209">
        <v>0.99943570000000004</v>
      </c>
      <c r="N2209">
        <v>0</v>
      </c>
      <c r="O2209">
        <v>3.1847060000000003E-2</v>
      </c>
      <c r="P2209">
        <v>0.98783540000000003</v>
      </c>
      <c r="Q2209">
        <v>0.14058010000000001</v>
      </c>
      <c r="R2209">
        <v>6.6473760000000007E-2</v>
      </c>
      <c r="S2209">
        <v>3.0892330000000001</v>
      </c>
      <c r="T2209">
        <v>-0.32142480000000001</v>
      </c>
      <c r="U2209">
        <v>-9.732056E-2</v>
      </c>
      <c r="V2209">
        <v>-3.46249E-2</v>
      </c>
      <c r="W2209">
        <v>0.15123320000000001</v>
      </c>
      <c r="X2209">
        <v>0.98789150000000003</v>
      </c>
      <c r="Y2209">
        <v>6.2794130000000004E-2</v>
      </c>
      <c r="Z2209">
        <v>-6.5612029999999998E-3</v>
      </c>
      <c r="AA2209">
        <v>0.99800489999999997</v>
      </c>
      <c r="AB2209">
        <v>30</v>
      </c>
      <c r="AC2209">
        <v>0.61829999999997598</v>
      </c>
      <c r="AD2209">
        <v>-8.2581999999999905E-2</v>
      </c>
      <c r="AE2209">
        <v>-3.0569999999997301E-2</v>
      </c>
      <c r="AF2209">
        <v>4.93681179444211E-2</v>
      </c>
      <c r="AG2209">
        <v>-8.2581999999999905E-2</v>
      </c>
      <c r="AH2209">
        <v>0.60622460006525203</v>
      </c>
      <c r="AI2209">
        <v>97.731995113017007</v>
      </c>
      <c r="AJ2209">
        <v>85.344371094053301</v>
      </c>
      <c r="AK2209">
        <v>0.61381207508295998</v>
      </c>
      <c r="AL2209">
        <v>81.301600854274994</v>
      </c>
      <c r="AM2209">
        <v>92.007354931620497</v>
      </c>
      <c r="AN2209">
        <v>0.99999999012724905</v>
      </c>
    </row>
    <row r="2210" spans="1:40" x14ac:dyDescent="0.3">
      <c r="A2210" t="str">
        <f>"20200111150400330"</f>
        <v>20200111150400330</v>
      </c>
      <c r="B2210" t="str">
        <f>"1578726240320410"</f>
        <v>1578726240320410</v>
      </c>
      <c r="C2210" t="s">
        <v>40</v>
      </c>
      <c r="D2210">
        <v>5.4554669999999996</v>
      </c>
      <c r="E2210">
        <v>0.54047690000000004</v>
      </c>
      <c r="F2210" t="s">
        <v>42</v>
      </c>
      <c r="G2210">
        <v>-356.78730000000002</v>
      </c>
      <c r="H2210">
        <v>1.011093</v>
      </c>
      <c r="I2210">
        <v>22.29928</v>
      </c>
      <c r="J2210">
        <v>-357.48599999999999</v>
      </c>
      <c r="K2210">
        <v>1.102722</v>
      </c>
      <c r="L2210">
        <v>22.333069999999999</v>
      </c>
      <c r="M2210">
        <v>0.9994516</v>
      </c>
      <c r="N2210">
        <v>0</v>
      </c>
      <c r="O2210">
        <v>3.1361399999999998E-2</v>
      </c>
      <c r="P2210">
        <v>0.987784</v>
      </c>
      <c r="Q2210">
        <v>0.14088499999999901</v>
      </c>
      <c r="R2210">
        <v>6.6588140000000004E-2</v>
      </c>
      <c r="S2210">
        <v>3.0894469999999998</v>
      </c>
      <c r="T2210">
        <v>-0.32182519999999998</v>
      </c>
      <c r="U2210">
        <v>-9.9884029999999999E-2</v>
      </c>
      <c r="V2210">
        <v>-3.5220870000000001E-2</v>
      </c>
      <c r="W2210">
        <v>0.15147829999999901</v>
      </c>
      <c r="X2210">
        <v>0.98783290000000001</v>
      </c>
      <c r="Y2210">
        <v>6.3133869999999995E-2</v>
      </c>
      <c r="Z2210">
        <v>-6.5360069999999999E-3</v>
      </c>
      <c r="AA2210">
        <v>0.99798370000000003</v>
      </c>
      <c r="AB2210">
        <v>30</v>
      </c>
      <c r="AC2210">
        <v>0.69869999999997301</v>
      </c>
      <c r="AD2210">
        <v>-9.1628999999999905E-2</v>
      </c>
      <c r="AE2210">
        <v>-3.3790000000003297E-2</v>
      </c>
      <c r="AF2210">
        <v>5.4747461220361303E-2</v>
      </c>
      <c r="AG2210">
        <v>-9.1628999999999905E-2</v>
      </c>
      <c r="AH2210">
        <v>0.68553403667380497</v>
      </c>
      <c r="AI2210">
        <v>97.589195315889597</v>
      </c>
      <c r="AJ2210">
        <v>85.433990009354602</v>
      </c>
      <c r="AK2210">
        <v>0.69379397056284398</v>
      </c>
      <c r="AL2210">
        <v>81.287394175580602</v>
      </c>
      <c r="AM2210">
        <v>92.041997911308101</v>
      </c>
      <c r="AN2210">
        <v>1.00000001168842</v>
      </c>
    </row>
    <row r="2211" spans="1:40" x14ac:dyDescent="0.3">
      <c r="A2211" t="str">
        <f>"20200111150400347"</f>
        <v>20200111150400347</v>
      </c>
      <c r="B2211" t="str">
        <f>"1578726240340905"</f>
        <v>1578726240340905</v>
      </c>
      <c r="C2211" t="s">
        <v>40</v>
      </c>
      <c r="D2211">
        <v>5.464798</v>
      </c>
      <c r="E2211">
        <v>0.54134349999999998</v>
      </c>
      <c r="F2211" t="s">
        <v>42</v>
      </c>
      <c r="G2211">
        <v>-356.52519999999998</v>
      </c>
      <c r="H2211">
        <v>1.0029779999999999</v>
      </c>
      <c r="I2211">
        <v>22.300660000000001</v>
      </c>
      <c r="J2211">
        <v>-357.24310000000003</v>
      </c>
      <c r="K2211">
        <v>1.1027579999999999</v>
      </c>
      <c r="L2211">
        <v>22.339839999999999</v>
      </c>
      <c r="M2211">
        <v>0.9994788</v>
      </c>
      <c r="N2211">
        <v>0</v>
      </c>
      <c r="O2211">
        <v>3.0508569999999999E-2</v>
      </c>
      <c r="P2211">
        <v>0.9877399</v>
      </c>
      <c r="Q2211">
        <v>0.141034299999999</v>
      </c>
      <c r="R2211">
        <v>6.6929749999999996E-2</v>
      </c>
      <c r="S2211">
        <v>3.0898129999999999</v>
      </c>
      <c r="T2211">
        <v>-0.32069690000000001</v>
      </c>
      <c r="U2211">
        <v>-0.10357669999999999</v>
      </c>
      <c r="V2211">
        <v>-3.6425829999999999E-2</v>
      </c>
      <c r="W2211">
        <v>0.1515485</v>
      </c>
      <c r="X2211">
        <v>0.98777839999999995</v>
      </c>
      <c r="Y2211">
        <v>6.3476309999999994E-2</v>
      </c>
      <c r="Z2211">
        <v>-6.4418009999999996E-3</v>
      </c>
      <c r="AA2211">
        <v>0.99796249999999997</v>
      </c>
      <c r="AB2211">
        <v>30</v>
      </c>
      <c r="AC2211">
        <v>0.71790000000004195</v>
      </c>
      <c r="AD2211">
        <v>-9.9779999999999702E-2</v>
      </c>
      <c r="AE2211">
        <v>-3.9179999999998202E-2</v>
      </c>
      <c r="AF2211">
        <v>5.9911163150999203E-2</v>
      </c>
      <c r="AG2211">
        <v>-9.9779999999999702E-2</v>
      </c>
      <c r="AH2211">
        <v>0.702833470746278</v>
      </c>
      <c r="AI2211">
        <v>98.051368135148806</v>
      </c>
      <c r="AJ2211">
        <v>85.127752432037894</v>
      </c>
      <c r="AK2211">
        <v>0.71240457850252803</v>
      </c>
      <c r="AL2211">
        <v>81.283324740539697</v>
      </c>
      <c r="AM2211">
        <v>92.111911996461203</v>
      </c>
      <c r="AN2211">
        <v>0.99999997822499898</v>
      </c>
    </row>
    <row r="2212" spans="1:40" x14ac:dyDescent="0.3">
      <c r="A2212" t="str">
        <f>"20200111150400360"</f>
        <v>20200111150400360</v>
      </c>
      <c r="B2212" t="str">
        <f>"1578726240350668"</f>
        <v>1578726240350668</v>
      </c>
      <c r="C2212" t="s">
        <v>40</v>
      </c>
      <c r="D2212">
        <v>5.4692220000000002</v>
      </c>
      <c r="E2212">
        <v>0.54170810000000003</v>
      </c>
      <c r="F2212" t="s">
        <v>42</v>
      </c>
      <c r="G2212">
        <v>-356.5136</v>
      </c>
      <c r="H2212">
        <v>1.027185</v>
      </c>
      <c r="I2212">
        <v>22.31363</v>
      </c>
      <c r="J2212">
        <v>-357.07569999999998</v>
      </c>
      <c r="K2212">
        <v>1.102787</v>
      </c>
      <c r="L2212">
        <v>22.344390000000001</v>
      </c>
      <c r="M2212">
        <v>0.99949840000000001</v>
      </c>
      <c r="N2212">
        <v>0</v>
      </c>
      <c r="O2212">
        <v>2.9876099999999999E-2</v>
      </c>
      <c r="P2212">
        <v>0.98771880000000001</v>
      </c>
      <c r="Q2212">
        <v>0.14128279999999999</v>
      </c>
      <c r="R2212">
        <v>6.671697E-2</v>
      </c>
      <c r="S2212">
        <v>3.0904240000000001</v>
      </c>
      <c r="T2212">
        <v>-0.32009100000000001</v>
      </c>
      <c r="U2212">
        <v>-0.11022949999999999</v>
      </c>
      <c r="V2212">
        <v>-3.6850910000000001E-2</v>
      </c>
      <c r="W2212">
        <v>0.1517541</v>
      </c>
      <c r="X2212">
        <v>0.98773109999999997</v>
      </c>
      <c r="Y2212">
        <v>6.4981360000000002E-2</v>
      </c>
      <c r="Z2212">
        <v>-6.4406200000000002E-3</v>
      </c>
      <c r="AA2212">
        <v>0.99786569999999997</v>
      </c>
      <c r="AB2212">
        <v>30</v>
      </c>
      <c r="AC2212">
        <v>0.56209999999998606</v>
      </c>
      <c r="AD2212">
        <v>-7.56020000000001E-2</v>
      </c>
      <c r="AE2212">
        <v>-3.07600000000007E-2</v>
      </c>
      <c r="AF2212">
        <v>4.6698298528443302E-2</v>
      </c>
      <c r="AG2212">
        <v>-7.56020000000001E-2</v>
      </c>
      <c r="AH2212">
        <v>0.55099230675643496</v>
      </c>
      <c r="AI2212">
        <v>97.785236795729602</v>
      </c>
      <c r="AJ2212">
        <v>85.155583006236299</v>
      </c>
      <c r="AK2212">
        <v>0.55811192031189305</v>
      </c>
      <c r="AL2212">
        <v>81.271407176575096</v>
      </c>
      <c r="AM2212">
        <v>92.136636972262707</v>
      </c>
      <c r="AN2212">
        <v>1.00000001117092</v>
      </c>
    </row>
    <row r="2213" spans="1:40" x14ac:dyDescent="0.3">
      <c r="A2213" t="str">
        <f>"20200111150400375"</f>
        <v>20200111150400375</v>
      </c>
      <c r="B2213" t="str">
        <f>"1578726240371161"</f>
        <v>1578726240371161</v>
      </c>
      <c r="C2213" t="s">
        <v>40</v>
      </c>
      <c r="D2213">
        <v>5.4991159999999999</v>
      </c>
      <c r="E2213">
        <v>0.54251749999999999</v>
      </c>
      <c r="F2213" t="s">
        <v>42</v>
      </c>
      <c r="G2213">
        <v>-356.2518</v>
      </c>
      <c r="H2213">
        <v>1.0177</v>
      </c>
      <c r="I2213">
        <v>22.3139</v>
      </c>
      <c r="J2213">
        <v>-356.88189999999997</v>
      </c>
      <c r="K2213">
        <v>1.1028199999999999</v>
      </c>
      <c r="L2213">
        <v>22.349609999999998</v>
      </c>
      <c r="M2213">
        <v>0.99952019999999997</v>
      </c>
      <c r="N2213">
        <v>0</v>
      </c>
      <c r="O2213">
        <v>2.9151719999999999E-2</v>
      </c>
      <c r="P2213">
        <v>0.98772969999999904</v>
      </c>
      <c r="Q2213">
        <v>0.1413605</v>
      </c>
      <c r="R2213">
        <v>6.6387779999999993E-2</v>
      </c>
      <c r="S2213">
        <v>3.0907290000000001</v>
      </c>
      <c r="T2213">
        <v>-0.31928400000000001</v>
      </c>
      <c r="U2213">
        <v>-0.1141663</v>
      </c>
      <c r="V2213">
        <v>-3.7248690000000001E-2</v>
      </c>
      <c r="W2213">
        <v>0.15178800000000001</v>
      </c>
      <c r="X2213">
        <v>0.98771100000000001</v>
      </c>
      <c r="Y2213">
        <v>6.5527599999999894E-2</v>
      </c>
      <c r="Z2213">
        <v>-6.3772229999999996E-3</v>
      </c>
      <c r="AA2213">
        <v>0.99783040000000001</v>
      </c>
      <c r="AB2213">
        <v>30</v>
      </c>
      <c r="AC2213">
        <v>0.63009999999997002</v>
      </c>
      <c r="AD2213">
        <v>-8.5120000000000001E-2</v>
      </c>
      <c r="AE2213">
        <v>-3.5710000000001602E-2</v>
      </c>
      <c r="AF2213">
        <v>5.3098424117726098E-2</v>
      </c>
      <c r="AG2213">
        <v>-8.5120000000000001E-2</v>
      </c>
      <c r="AH2213">
        <v>0.61755725674613804</v>
      </c>
      <c r="AI2213">
        <v>97.819330827740401</v>
      </c>
      <c r="AJ2213">
        <v>85.085716225828506</v>
      </c>
      <c r="AK2213">
        <v>0.62565311667376999</v>
      </c>
      <c r="AL2213">
        <v>81.269442345113703</v>
      </c>
      <c r="AM2213">
        <v>92.159722670516501</v>
      </c>
      <c r="AN2213">
        <v>1.00000004068585</v>
      </c>
    </row>
    <row r="2214" spans="1:40" x14ac:dyDescent="0.3">
      <c r="A2214" t="str">
        <f>"20200111150400392"</f>
        <v>20200111150400392</v>
      </c>
      <c r="B2214" t="str">
        <f>"1578726240380926"</f>
        <v>1578726240380926</v>
      </c>
      <c r="C2214" t="s">
        <v>40</v>
      </c>
      <c r="D2214">
        <v>5.5033399999999997</v>
      </c>
      <c r="E2214">
        <v>0.54290300000000002</v>
      </c>
      <c r="F2214" t="s">
        <v>42</v>
      </c>
      <c r="G2214">
        <v>-355.98860000000002</v>
      </c>
      <c r="H2214">
        <v>1.010586</v>
      </c>
      <c r="I2214">
        <v>22.314119999999999</v>
      </c>
      <c r="J2214">
        <v>-356.6533</v>
      </c>
      <c r="K2214">
        <v>1.1028480000000001</v>
      </c>
      <c r="L2214">
        <v>22.355589999999999</v>
      </c>
      <c r="M2214">
        <v>0.99954449999999995</v>
      </c>
      <c r="N2214">
        <v>0</v>
      </c>
      <c r="O2214">
        <v>2.8326339999999998E-2</v>
      </c>
      <c r="P2214">
        <v>0.9876355</v>
      </c>
      <c r="Q2214">
        <v>0.14247019999999999</v>
      </c>
      <c r="R2214">
        <v>6.5413460000000007E-2</v>
      </c>
      <c r="S2214">
        <v>3.0911559999999998</v>
      </c>
      <c r="T2214">
        <v>-0.31909219999999999</v>
      </c>
      <c r="U2214">
        <v>-0.1218872</v>
      </c>
      <c r="V2214">
        <v>-3.709747E-2</v>
      </c>
      <c r="W2214">
        <v>0.1528535</v>
      </c>
      <c r="X2214">
        <v>0.98755230000000005</v>
      </c>
      <c r="Y2214">
        <v>6.718354E-2</v>
      </c>
      <c r="Z2214">
        <v>-6.3725269999999898E-3</v>
      </c>
      <c r="AA2214">
        <v>0.9977203</v>
      </c>
      <c r="AB2214">
        <v>30</v>
      </c>
      <c r="AC2214">
        <v>0.66469999999998197</v>
      </c>
      <c r="AD2214">
        <v>-9.2261999999999997E-2</v>
      </c>
      <c r="AE2214">
        <v>-4.1469999999996697E-2</v>
      </c>
      <c r="AF2214">
        <v>5.9147766479601099E-2</v>
      </c>
      <c r="AG2214">
        <v>-9.2261999999999997E-2</v>
      </c>
      <c r="AH2214">
        <v>0.65076929927924099</v>
      </c>
      <c r="AI2214">
        <v>98.036569848676294</v>
      </c>
      <c r="AJ2214">
        <v>84.806713164134806</v>
      </c>
      <c r="AK2214">
        <v>0.65993288735137301</v>
      </c>
      <c r="AL2214">
        <v>81.207672372980397</v>
      </c>
      <c r="AM2214">
        <v>92.151308346072497</v>
      </c>
      <c r="AN2214">
        <v>0.99999997998896994</v>
      </c>
    </row>
    <row r="2215" spans="1:40" x14ac:dyDescent="0.3">
      <c r="A2215" t="str">
        <f>"20200111150400406"</f>
        <v>20200111150400406</v>
      </c>
      <c r="B2215" t="str">
        <f>"1578726240400442"</f>
        <v>1578726240400442</v>
      </c>
      <c r="C2215" t="s">
        <v>40</v>
      </c>
      <c r="D2215">
        <v>5.5161559999999996</v>
      </c>
      <c r="E2215">
        <v>0.54370629999999998</v>
      </c>
      <c r="F2215" t="s">
        <v>42</v>
      </c>
      <c r="G2215">
        <v>-355.72300000000001</v>
      </c>
      <c r="H2215">
        <v>1.007906</v>
      </c>
      <c r="I2215">
        <v>22.31701</v>
      </c>
      <c r="J2215">
        <v>-356.46690000000001</v>
      </c>
      <c r="K2215">
        <v>1.102859</v>
      </c>
      <c r="L2215">
        <v>22.360320000000002</v>
      </c>
      <c r="M2215">
        <v>0.99956250000000002</v>
      </c>
      <c r="N2215">
        <v>0</v>
      </c>
      <c r="O2215">
        <v>2.7692600000000001E-2</v>
      </c>
      <c r="P2215">
        <v>0.98764960000000002</v>
      </c>
      <c r="Q2215">
        <v>0.14272960000000001</v>
      </c>
      <c r="R2215">
        <v>6.4628359999999996E-2</v>
      </c>
      <c r="S2215">
        <v>3.0915219999999999</v>
      </c>
      <c r="T2215">
        <v>-0.31546239999999998</v>
      </c>
      <c r="U2215">
        <v>-0.12805179999999999</v>
      </c>
      <c r="V2215">
        <v>-3.6937449999999997E-2</v>
      </c>
      <c r="W2215">
        <v>0.153084</v>
      </c>
      <c r="X2215">
        <v>0.98752260000000003</v>
      </c>
      <c r="Y2215">
        <v>6.8540320000000002E-2</v>
      </c>
      <c r="Z2215">
        <v>-6.3039769999999997E-3</v>
      </c>
      <c r="AA2215">
        <v>0.99762850000000003</v>
      </c>
      <c r="AB2215">
        <v>30</v>
      </c>
      <c r="AC2215">
        <v>0.74389999999999601</v>
      </c>
      <c r="AD2215">
        <v>-9.4952999999999996E-2</v>
      </c>
      <c r="AE2215">
        <v>-4.3310000000001701E-2</v>
      </c>
      <c r="AF2215">
        <v>6.2874107982084204E-2</v>
      </c>
      <c r="AG2215">
        <v>-9.4952999999999996E-2</v>
      </c>
      <c r="AH2215">
        <v>0.730552902870099</v>
      </c>
      <c r="AI2215">
        <v>97.378482751998007</v>
      </c>
      <c r="AJ2215">
        <v>85.081032464991907</v>
      </c>
      <c r="AK2215">
        <v>0.73937593249677203</v>
      </c>
      <c r="AL2215">
        <v>81.194308467808696</v>
      </c>
      <c r="AM2215">
        <v>92.142101699152903</v>
      </c>
      <c r="AN2215">
        <v>0.99999998588963102</v>
      </c>
    </row>
    <row r="2216" spans="1:40" x14ac:dyDescent="0.3">
      <c r="A2216" t="str">
        <f>"20200111150400419"</f>
        <v>20200111150400419</v>
      </c>
      <c r="B2216" t="str">
        <f>"1578726240411178"</f>
        <v>1578726240411178</v>
      </c>
      <c r="C2216" t="s">
        <v>40</v>
      </c>
      <c r="D2216">
        <v>5.5022339999999996</v>
      </c>
      <c r="E2216">
        <v>0.54409350000000001</v>
      </c>
      <c r="F2216" t="s">
        <v>42</v>
      </c>
      <c r="G2216">
        <v>-355.71420000000001</v>
      </c>
      <c r="H2216">
        <v>1.026278</v>
      </c>
      <c r="I2216">
        <v>22.327010000000001</v>
      </c>
      <c r="J2216">
        <v>-356.2901</v>
      </c>
      <c r="K2216">
        <v>1.1028659999999999</v>
      </c>
      <c r="L2216">
        <v>22.364650000000001</v>
      </c>
      <c r="M2216">
        <v>0.99957839999999998</v>
      </c>
      <c r="N2216">
        <v>0</v>
      </c>
      <c r="O2216">
        <v>2.7117369999999998E-2</v>
      </c>
      <c r="P2216">
        <v>0.98763160000000005</v>
      </c>
      <c r="Q2216">
        <v>0.14330090000000001</v>
      </c>
      <c r="R2216">
        <v>6.3630220000000001E-2</v>
      </c>
      <c r="S2216">
        <v>3.0919189999999999</v>
      </c>
      <c r="T2216">
        <v>-0.31454520000000002</v>
      </c>
      <c r="U2216">
        <v>-0.1366272</v>
      </c>
      <c r="V2216">
        <v>-3.6504849999999998E-2</v>
      </c>
      <c r="W2216">
        <v>0.15363199999999999</v>
      </c>
      <c r="X2216">
        <v>0.98745360000000004</v>
      </c>
      <c r="Y2216">
        <v>7.0717450000000001E-2</v>
      </c>
      <c r="Z2216">
        <v>-6.3366560000000004E-3</v>
      </c>
      <c r="AA2216">
        <v>0.99747629999999998</v>
      </c>
      <c r="AB2216">
        <v>30</v>
      </c>
      <c r="AC2216">
        <v>0.57589999999998998</v>
      </c>
      <c r="AD2216">
        <v>-7.6587999999999795E-2</v>
      </c>
      <c r="AE2216">
        <v>-3.7639999999999597E-2</v>
      </c>
      <c r="AF2216">
        <v>5.2322456933785302E-2</v>
      </c>
      <c r="AG2216">
        <v>-7.6587999999999795E-2</v>
      </c>
      <c r="AH2216">
        <v>0.56472229882636704</v>
      </c>
      <c r="AI2216">
        <v>97.690825496668694</v>
      </c>
      <c r="AJ2216">
        <v>84.706563418101695</v>
      </c>
      <c r="AK2216">
        <v>0.57228894453354995</v>
      </c>
      <c r="AL2216">
        <v>81.162534675780094</v>
      </c>
      <c r="AM2216">
        <v>92.117184825673306</v>
      </c>
      <c r="AN2216">
        <v>1.0000000038252399</v>
      </c>
    </row>
    <row r="2217" spans="1:40" x14ac:dyDescent="0.3">
      <c r="A2217" t="str">
        <f>"20200111150400437"</f>
        <v>20200111150400437</v>
      </c>
      <c r="B2217" t="str">
        <f>"1578726240431202"</f>
        <v>1578726240431202</v>
      </c>
      <c r="C2217" t="s">
        <v>40</v>
      </c>
      <c r="D2217">
        <v>5.4978199999999999</v>
      </c>
      <c r="E2217">
        <v>0.54484619999999995</v>
      </c>
      <c r="F2217" t="s">
        <v>42</v>
      </c>
      <c r="G2217">
        <v>-355.45100000000002</v>
      </c>
      <c r="H2217">
        <v>1.0179590000000001</v>
      </c>
      <c r="I2217">
        <v>22.325690000000002</v>
      </c>
      <c r="J2217">
        <v>-356.05349999999999</v>
      </c>
      <c r="K2217">
        <v>1.102881</v>
      </c>
      <c r="L2217">
        <v>22.3703</v>
      </c>
      <c r="M2217">
        <v>0.99959909999999996</v>
      </c>
      <c r="N2217">
        <v>0</v>
      </c>
      <c r="O2217">
        <v>2.6356589999999999E-2</v>
      </c>
      <c r="P2217">
        <v>0.98766790000000004</v>
      </c>
      <c r="Q2217">
        <v>0.14358760000000001</v>
      </c>
      <c r="R2217">
        <v>6.2408819999999997E-2</v>
      </c>
      <c r="S2217">
        <v>3.092133</v>
      </c>
      <c r="T2217">
        <v>-0.31276979999999999</v>
      </c>
      <c r="U2217">
        <v>-0.14233399999999999</v>
      </c>
      <c r="V2217">
        <v>-3.6029680000000001E-2</v>
      </c>
      <c r="W2217">
        <v>0.153893899999999</v>
      </c>
      <c r="X2217">
        <v>0.98743029999999998</v>
      </c>
      <c r="Y2217">
        <v>7.1796540000000006E-2</v>
      </c>
      <c r="Z2217">
        <v>-6.2780809999999996E-3</v>
      </c>
      <c r="AA2217">
        <v>0.99739960000000005</v>
      </c>
      <c r="AB2217">
        <v>30</v>
      </c>
      <c r="AC2217">
        <v>0.60250000000002002</v>
      </c>
      <c r="AD2217">
        <v>-8.49219999999999E-2</v>
      </c>
      <c r="AE2217">
        <v>-4.4610000000002203E-2</v>
      </c>
      <c r="AF2217">
        <v>5.9303454033756198E-2</v>
      </c>
      <c r="AG2217">
        <v>-8.49219999999999E-2</v>
      </c>
      <c r="AH2217">
        <v>0.58946789406667999</v>
      </c>
      <c r="AI2217">
        <v>98.157321771750006</v>
      </c>
      <c r="AJ2217">
        <v>84.255084665969207</v>
      </c>
      <c r="AK2217">
        <v>0.59849899237988802</v>
      </c>
      <c r="AL2217">
        <v>81.147348579060804</v>
      </c>
      <c r="AM2217">
        <v>92.089700078900293</v>
      </c>
      <c r="AN2217">
        <v>1.0000000338281001</v>
      </c>
    </row>
    <row r="2218" spans="1:40" x14ac:dyDescent="0.3">
      <c r="A2218" t="str">
        <f>"20200111150400450"</f>
        <v>20200111150400450</v>
      </c>
      <c r="B2218" t="str">
        <f>"1578726240440963"</f>
        <v>1578726240440963</v>
      </c>
      <c r="C2218" t="s">
        <v>40</v>
      </c>
      <c r="D2218">
        <v>5.4978249999999997</v>
      </c>
      <c r="E2218">
        <v>0.54522419999999905</v>
      </c>
      <c r="F2218" t="s">
        <v>42</v>
      </c>
      <c r="G2218">
        <v>-355.18470000000002</v>
      </c>
      <c r="H2218">
        <v>1.015306</v>
      </c>
      <c r="I2218">
        <v>22.32742</v>
      </c>
      <c r="J2218">
        <v>-355.87650000000002</v>
      </c>
      <c r="K2218">
        <v>1.1028880000000001</v>
      </c>
      <c r="L2218">
        <v>22.37445</v>
      </c>
      <c r="M2218">
        <v>0.99961409999999995</v>
      </c>
      <c r="N2218">
        <v>0</v>
      </c>
      <c r="O2218">
        <v>2.578635E-2</v>
      </c>
      <c r="P2218">
        <v>0.98766019999999999</v>
      </c>
      <c r="Q2218">
        <v>0.14385629999999999</v>
      </c>
      <c r="R2218">
        <v>6.1912160000000001E-2</v>
      </c>
      <c r="S2218">
        <v>3.092346</v>
      </c>
      <c r="T2218">
        <v>-0.3116987</v>
      </c>
      <c r="U2218">
        <v>-0.15200810000000001</v>
      </c>
      <c r="V2218">
        <v>-3.6092739999999998E-2</v>
      </c>
      <c r="W2218">
        <v>0.15414839999999999</v>
      </c>
      <c r="X2218">
        <v>0.9873883</v>
      </c>
      <c r="Y2218">
        <v>7.433099E-2</v>
      </c>
      <c r="Z2218">
        <v>-6.3258519999999999E-3</v>
      </c>
      <c r="AA2218">
        <v>0.99721349999999997</v>
      </c>
      <c r="AB2218">
        <v>30</v>
      </c>
      <c r="AC2218">
        <v>0.69179999999999997</v>
      </c>
      <c r="AD2218">
        <v>-8.7581999999999799E-2</v>
      </c>
      <c r="AE2218">
        <v>-4.7029999999999399E-2</v>
      </c>
      <c r="AF2218">
        <v>6.3835879165043796E-2</v>
      </c>
      <c r="AG2218">
        <v>-8.7581999999999799E-2</v>
      </c>
      <c r="AH2218">
        <v>0.67951622420275604</v>
      </c>
      <c r="AI2218">
        <v>97.312446063649801</v>
      </c>
      <c r="AJ2218">
        <v>84.633206180897204</v>
      </c>
      <c r="AK2218">
        <v>0.688104588814479</v>
      </c>
      <c r="AL2218">
        <v>81.132590716903806</v>
      </c>
      <c r="AM2218">
        <v>92.0934432350534</v>
      </c>
      <c r="AN2218">
        <v>1.00000003504007</v>
      </c>
    </row>
    <row r="2219" spans="1:40" x14ac:dyDescent="0.3">
      <c r="A2219" t="str">
        <f>"20200111150400471"</f>
        <v>20200111150400471</v>
      </c>
      <c r="B2219" t="str">
        <f>"1578726240460482"</f>
        <v>1578726240460482</v>
      </c>
      <c r="C2219" t="s">
        <v>40</v>
      </c>
      <c r="D2219">
        <v>5.4700790000000001</v>
      </c>
      <c r="E2219">
        <v>0.54592149999999995</v>
      </c>
      <c r="F2219" t="s">
        <v>42</v>
      </c>
      <c r="G2219">
        <v>-354.92099999999999</v>
      </c>
      <c r="H2219">
        <v>1.00698</v>
      </c>
      <c r="I2219">
        <v>22.325600000000001</v>
      </c>
      <c r="J2219">
        <v>-355.5949</v>
      </c>
      <c r="K2219">
        <v>1.102902</v>
      </c>
      <c r="L2219">
        <v>22.380680000000002</v>
      </c>
      <c r="M2219">
        <v>0.99963809999999997</v>
      </c>
      <c r="N2219">
        <v>0</v>
      </c>
      <c r="O2219">
        <v>2.4848249999999999E-2</v>
      </c>
      <c r="P2219">
        <v>0.98772470000000001</v>
      </c>
      <c r="Q2219">
        <v>0.1437225</v>
      </c>
      <c r="R2219">
        <v>6.1191530000000001E-2</v>
      </c>
      <c r="S2219">
        <v>3.0925289999999999</v>
      </c>
      <c r="T2219">
        <v>-0.31034119999999998</v>
      </c>
      <c r="U2219">
        <v>-0.15686040000000001</v>
      </c>
      <c r="V2219">
        <v>-3.6293220000000001E-2</v>
      </c>
      <c r="W2219">
        <v>0.15399949999999901</v>
      </c>
      <c r="X2219">
        <v>0.98740419999999995</v>
      </c>
      <c r="Y2219">
        <v>7.4959109999999995E-2</v>
      </c>
      <c r="Z2219">
        <v>-6.2353979999999996E-3</v>
      </c>
      <c r="AA2219">
        <v>0.99716709999999997</v>
      </c>
      <c r="AB2219">
        <v>30</v>
      </c>
      <c r="AC2219">
        <v>0.67390000000000305</v>
      </c>
      <c r="AD2219">
        <v>-9.5921999999999993E-2</v>
      </c>
      <c r="AE2219">
        <v>-5.5079999999996597E-2</v>
      </c>
      <c r="AF2219">
        <v>7.0392410379467099E-2</v>
      </c>
      <c r="AG2219">
        <v>-9.5921999999999993E-2</v>
      </c>
      <c r="AH2219">
        <v>0.65905907079685699</v>
      </c>
      <c r="AI2219">
        <v>98.234714802966394</v>
      </c>
      <c r="AJ2219">
        <v>83.903497137040901</v>
      </c>
      <c r="AK2219">
        <v>0.66971261024610196</v>
      </c>
      <c r="AL2219">
        <v>81.141225283941907</v>
      </c>
      <c r="AM2219">
        <v>92.105027132852697</v>
      </c>
      <c r="AN2219">
        <v>1.0000000489979199</v>
      </c>
    </row>
    <row r="2220" spans="1:40" x14ac:dyDescent="0.3">
      <c r="A2220" t="str">
        <f>"20200111150400492"</f>
        <v>20200111150400492</v>
      </c>
      <c r="B2220" t="str">
        <f>"1578726240480981"</f>
        <v>1578726240480981</v>
      </c>
      <c r="C2220" t="s">
        <v>40</v>
      </c>
      <c r="D2220">
        <v>5.4576719999999996</v>
      </c>
      <c r="E2220">
        <v>0.54664650000000004</v>
      </c>
      <c r="F2220" t="s">
        <v>42</v>
      </c>
      <c r="G2220">
        <v>-354.65230000000003</v>
      </c>
      <c r="H2220">
        <v>1.0082549999999999</v>
      </c>
      <c r="I2220">
        <v>22.330100000000002</v>
      </c>
      <c r="J2220">
        <v>-355.31299999999999</v>
      </c>
      <c r="K2220">
        <v>1.10292099999999</v>
      </c>
      <c r="L2220">
        <v>22.38663</v>
      </c>
      <c r="M2220">
        <v>0.99966219999999995</v>
      </c>
      <c r="N2220">
        <v>0</v>
      </c>
      <c r="O2220">
        <v>2.3861779999999999E-2</v>
      </c>
      <c r="P2220">
        <v>0.98770840000000004</v>
      </c>
      <c r="Q2220">
        <v>0.1443063</v>
      </c>
      <c r="R2220">
        <v>6.006682E-2</v>
      </c>
      <c r="S2220">
        <v>3.0927120000000001</v>
      </c>
      <c r="T2220">
        <v>-0.3105001</v>
      </c>
      <c r="U2220">
        <v>-0.16537479999999999</v>
      </c>
      <c r="V2220">
        <v>-3.6137879999999997E-2</v>
      </c>
      <c r="W2220">
        <v>0.1545705</v>
      </c>
      <c r="X2220">
        <v>0.98732059999999999</v>
      </c>
      <c r="Y2220">
        <v>7.6705629999999997E-2</v>
      </c>
      <c r="Z2220">
        <v>-6.2264399999999998E-3</v>
      </c>
      <c r="AA2220">
        <v>0.99703439999999999</v>
      </c>
      <c r="AB2220">
        <v>30</v>
      </c>
      <c r="AC2220">
        <v>0.66070000000001905</v>
      </c>
      <c r="AD2220">
        <v>-9.4665999999999903E-2</v>
      </c>
      <c r="AE2220">
        <v>-5.6529999999998602E-2</v>
      </c>
      <c r="AF2220">
        <v>7.0836543064129398E-2</v>
      </c>
      <c r="AG2220">
        <v>-9.4665999999999903E-2</v>
      </c>
      <c r="AH2220">
        <v>0.64599722744780197</v>
      </c>
      <c r="AI2220">
        <v>98.287940308701593</v>
      </c>
      <c r="AJ2220">
        <v>83.742257758501495</v>
      </c>
      <c r="AK2220">
        <v>0.656728166945444</v>
      </c>
      <c r="AL2220">
        <v>81.108112270567005</v>
      </c>
      <c r="AM2220">
        <v>92.096202698910403</v>
      </c>
      <c r="AN2220">
        <v>0.99999997651275196</v>
      </c>
    </row>
    <row r="2221" spans="1:40" x14ac:dyDescent="0.3">
      <c r="A2221" t="str">
        <f>"20200111150400506"</f>
        <v>20200111150400506</v>
      </c>
      <c r="B2221" t="str">
        <f>"1578726240500499"</f>
        <v>1578726240500499</v>
      </c>
      <c r="C2221" t="s">
        <v>40</v>
      </c>
      <c r="D2221">
        <v>5.4991820000000002</v>
      </c>
      <c r="E2221">
        <v>0.54705439999999905</v>
      </c>
      <c r="F2221" t="s">
        <v>42</v>
      </c>
      <c r="G2221">
        <v>-354.38310000000001</v>
      </c>
      <c r="H2221">
        <v>1.0101690000000001</v>
      </c>
      <c r="I2221">
        <v>22.3337</v>
      </c>
      <c r="J2221">
        <v>-355.12419999999997</v>
      </c>
      <c r="K2221">
        <v>1.1029279999999999</v>
      </c>
      <c r="L2221">
        <v>22.390440000000002</v>
      </c>
      <c r="M2221">
        <v>0.99967850000000003</v>
      </c>
      <c r="N2221">
        <v>0</v>
      </c>
      <c r="O2221">
        <v>2.3174360000000001E-2</v>
      </c>
      <c r="P2221">
        <v>0.98767059999999995</v>
      </c>
      <c r="Q2221">
        <v>0.14476449999999999</v>
      </c>
      <c r="R2221">
        <v>5.9582469999999998E-2</v>
      </c>
      <c r="S2221">
        <v>3.093048</v>
      </c>
      <c r="T2221">
        <v>-0.3084363</v>
      </c>
      <c r="U2221">
        <v>-0.1751404</v>
      </c>
      <c r="V2221">
        <v>-3.6328770000000003E-2</v>
      </c>
      <c r="W2221">
        <v>0.15502270000000001</v>
      </c>
      <c r="X2221">
        <v>0.98724270000000003</v>
      </c>
      <c r="Y2221">
        <v>7.9150620000000005E-2</v>
      </c>
      <c r="Z2221">
        <v>-6.2372540000000002E-3</v>
      </c>
      <c r="AA2221">
        <v>0.99684320000000004</v>
      </c>
      <c r="AB2221">
        <v>30</v>
      </c>
      <c r="AC2221">
        <v>0.74109999999996001</v>
      </c>
      <c r="AD2221">
        <v>-9.2758999999999994E-2</v>
      </c>
      <c r="AE2221">
        <v>-5.6739999999997702E-2</v>
      </c>
      <c r="AF2221">
        <v>7.2766863966231193E-2</v>
      </c>
      <c r="AG2221">
        <v>-9.2758999999999994E-2</v>
      </c>
      <c r="AH2221">
        <v>0.72824377333339196</v>
      </c>
      <c r="AI2221">
        <v>97.223292435875706</v>
      </c>
      <c r="AJ2221">
        <v>84.293887054928106</v>
      </c>
      <c r="AK2221">
        <v>0.73772504496684699</v>
      </c>
      <c r="AL2221">
        <v>81.081887065561503</v>
      </c>
      <c r="AM2221">
        <v>92.1074315762732</v>
      </c>
      <c r="AN2221">
        <v>0.99999998287414604</v>
      </c>
    </row>
    <row r="2222" spans="1:40" x14ac:dyDescent="0.3">
      <c r="A2222" t="str">
        <f>"20200111150400526"</f>
        <v>20200111150400526</v>
      </c>
      <c r="B2222" t="str">
        <f>"1578726240520994"</f>
        <v>1578726240520994</v>
      </c>
      <c r="C2222" t="s">
        <v>40</v>
      </c>
      <c r="D2222">
        <v>5.6622469999999998</v>
      </c>
      <c r="E2222">
        <v>0.48050999999999999</v>
      </c>
      <c r="F2222" t="s">
        <v>42</v>
      </c>
      <c r="G2222">
        <v>-354.37450000000001</v>
      </c>
      <c r="H2222">
        <v>1.028389</v>
      </c>
      <c r="I2222">
        <v>22.34648</v>
      </c>
      <c r="J2222">
        <v>-354.85359999999997</v>
      </c>
      <c r="K2222">
        <v>1.102938</v>
      </c>
      <c r="L2222">
        <v>22.395659999999999</v>
      </c>
      <c r="M2222">
        <v>0.99970190000000003</v>
      </c>
      <c r="N2222">
        <v>0</v>
      </c>
      <c r="O2222">
        <v>2.214182E-2</v>
      </c>
      <c r="P2222">
        <v>0.98761180000000004</v>
      </c>
      <c r="Q2222">
        <v>0.14530970000000001</v>
      </c>
      <c r="R2222">
        <v>5.9232069999999998E-2</v>
      </c>
      <c r="S2222">
        <v>3.0933839999999999</v>
      </c>
      <c r="T2222">
        <v>-0.30747829999999998</v>
      </c>
      <c r="U2222">
        <v>-0.1802368</v>
      </c>
      <c r="V2222">
        <v>-3.699069E-2</v>
      </c>
      <c r="W2222">
        <v>0.1555724</v>
      </c>
      <c r="X2222">
        <v>0.98713169999999995</v>
      </c>
      <c r="Y2222">
        <v>7.9757239999999993E-2</v>
      </c>
      <c r="Z2222">
        <v>-6.14476E-3</v>
      </c>
      <c r="AA2222">
        <v>0.9967954</v>
      </c>
      <c r="AB2222">
        <v>30</v>
      </c>
      <c r="AC2222">
        <v>0.479099999999959</v>
      </c>
      <c r="AD2222">
        <v>-7.4548999999999893E-2</v>
      </c>
      <c r="AE2222">
        <v>-4.9179999999999703E-2</v>
      </c>
      <c r="AF2222">
        <v>5.8377938935182498E-2</v>
      </c>
      <c r="AG2222">
        <v>-7.4548999999999893E-2</v>
      </c>
      <c r="AH2222">
        <v>0.46671133649173902</v>
      </c>
      <c r="AI2222">
        <v>99.006317041388101</v>
      </c>
      <c r="AJ2222">
        <v>82.870266882737297</v>
      </c>
      <c r="AK2222">
        <v>0.476219496414442</v>
      </c>
      <c r="AL2222">
        <v>81.050005267393303</v>
      </c>
      <c r="AM2222">
        <v>92.146035037549197</v>
      </c>
      <c r="AN2222">
        <v>1.00000003796666</v>
      </c>
    </row>
    <row r="2223" spans="1:40" x14ac:dyDescent="0.3">
      <c r="A2223" t="str">
        <f>"20200111150400551"</f>
        <v>20200111150400551</v>
      </c>
      <c r="B2223" t="str">
        <f>"1578726240540514"</f>
        <v>1578726240540514</v>
      </c>
      <c r="C2223" t="s">
        <v>40</v>
      </c>
      <c r="D2223">
        <v>5.6875339999999897</v>
      </c>
      <c r="E2223">
        <v>0.46006249999999999</v>
      </c>
      <c r="F2223" t="s">
        <v>41</v>
      </c>
      <c r="G2223">
        <v>-333.85500000000002</v>
      </c>
      <c r="H2223" s="1">
        <v>-3.8800290000000003E-6</v>
      </c>
      <c r="I2223">
        <v>24.779589999999999</v>
      </c>
      <c r="J2223">
        <v>-354.53750000000002</v>
      </c>
      <c r="K2223">
        <v>1.1029260000000001</v>
      </c>
      <c r="L2223">
        <v>22.401309999999999</v>
      </c>
      <c r="M2223">
        <v>0.9997296</v>
      </c>
      <c r="N2223">
        <v>0</v>
      </c>
      <c r="O2223">
        <v>2.084577E-2</v>
      </c>
      <c r="P2223">
        <v>0.98764130000000006</v>
      </c>
      <c r="Q2223">
        <v>0.14532210000000001</v>
      </c>
      <c r="R2223">
        <v>5.8707170000000003E-2</v>
      </c>
      <c r="S2223">
        <v>3.0404360000000001</v>
      </c>
      <c r="T2223">
        <v>-0.15969700000000001</v>
      </c>
      <c r="U2223">
        <v>0.3451843</v>
      </c>
      <c r="V2223">
        <v>-3.7727139999999999E-2</v>
      </c>
      <c r="W2223">
        <v>0.15560399999999999</v>
      </c>
      <c r="X2223">
        <v>0.98709880000000005</v>
      </c>
      <c r="Y2223">
        <v>-9.1971460000000005E-2</v>
      </c>
      <c r="Z2223">
        <v>1.315657E-3</v>
      </c>
      <c r="AA2223">
        <v>0.9957608</v>
      </c>
      <c r="AB2223">
        <v>30</v>
      </c>
      <c r="AC2223">
        <v>20.682500000000001</v>
      </c>
      <c r="AD2223">
        <v>-1.1029298800289999</v>
      </c>
      <c r="AE2223">
        <v>2.37827999999999</v>
      </c>
      <c r="AF2223">
        <v>-1.9411495390425899</v>
      </c>
      <c r="AG2223">
        <v>-1.1029298800289999</v>
      </c>
      <c r="AH2223">
        <v>20.6695731945265</v>
      </c>
      <c r="AI2223">
        <v>93.041054180137493</v>
      </c>
      <c r="AJ2223">
        <v>95.365104486012001</v>
      </c>
      <c r="AK2223">
        <v>20.789799707959499</v>
      </c>
      <c r="AL2223">
        <v>81.048171980215798</v>
      </c>
      <c r="AM2223">
        <v>92.188792316412105</v>
      </c>
      <c r="AN2223">
        <v>0.99999999143500995</v>
      </c>
    </row>
    <row r="2224" spans="1:40" x14ac:dyDescent="0.3">
      <c r="A2224" t="str">
        <f>"20200111150400562"</f>
        <v>20200111150400562</v>
      </c>
      <c r="B2224" t="str">
        <f>"1578726240561010"</f>
        <v>1578726240561010</v>
      </c>
      <c r="C2224" t="s">
        <v>40</v>
      </c>
      <c r="D2224">
        <v>5.5635209999999997</v>
      </c>
      <c r="E2224">
        <v>0.45199400000000001</v>
      </c>
      <c r="F2224" t="s">
        <v>41</v>
      </c>
      <c r="G2224">
        <v>-335.28019999999998</v>
      </c>
      <c r="H2224" s="1">
        <v>-3.5434440000000002E-6</v>
      </c>
      <c r="I2224">
        <v>25.616219999999998</v>
      </c>
      <c r="J2224">
        <v>-354.3587</v>
      </c>
      <c r="K2224">
        <v>1.102902</v>
      </c>
      <c r="L2224">
        <v>22.404240000000001</v>
      </c>
      <c r="M2224">
        <v>0.99974549999999995</v>
      </c>
      <c r="N2224">
        <v>0</v>
      </c>
      <c r="O2224">
        <v>2.005784E-2</v>
      </c>
      <c r="P2224">
        <v>0.98763230000000002</v>
      </c>
      <c r="Q2224">
        <v>0.1455246</v>
      </c>
      <c r="R2224">
        <v>5.835332E-2</v>
      </c>
      <c r="S2224">
        <v>3.032959</v>
      </c>
      <c r="T2224">
        <v>-0.17370669999999999</v>
      </c>
      <c r="U2224">
        <v>0.50634769999999996</v>
      </c>
      <c r="V2224">
        <v>-3.8136730000000001E-2</v>
      </c>
      <c r="W2224">
        <v>0.15582109999999999</v>
      </c>
      <c r="X2224">
        <v>0.98704879999999995</v>
      </c>
      <c r="Y2224">
        <v>-0.1446527</v>
      </c>
      <c r="Z2224">
        <v>2.9710869999999999E-3</v>
      </c>
      <c r="AA2224">
        <v>0.98947810000000003</v>
      </c>
      <c r="AB2224">
        <v>30</v>
      </c>
      <c r="AC2224">
        <v>19.078499999999998</v>
      </c>
      <c r="AD2224">
        <v>-1.102905543444</v>
      </c>
      <c r="AE2224">
        <v>3.2119800000000001</v>
      </c>
      <c r="AF2224">
        <v>-2.81947725244027</v>
      </c>
      <c r="AG2224">
        <v>-1.102905543444</v>
      </c>
      <c r="AH2224">
        <v>19.0770944415708</v>
      </c>
      <c r="AI2224">
        <v>93.273284757804504</v>
      </c>
      <c r="AJ2224">
        <v>98.407104235246806</v>
      </c>
      <c r="AK2224">
        <v>19.315832494288099</v>
      </c>
      <c r="AL2224">
        <v>81.035579360005599</v>
      </c>
      <c r="AM2224">
        <v>92.212643724946304</v>
      </c>
      <c r="AN2224">
        <v>0.99999997948087105</v>
      </c>
    </row>
    <row r="2225" spans="1:40" x14ac:dyDescent="0.3">
      <c r="A2225" t="str">
        <f>"20200111150400582"</f>
        <v>20200111150400582</v>
      </c>
      <c r="B2225" t="str">
        <f>"1578726240570773"</f>
        <v>1578726240570773</v>
      </c>
      <c r="C2225" t="s">
        <v>40</v>
      </c>
      <c r="D2225">
        <v>5.5739559999999999</v>
      </c>
      <c r="E2225">
        <v>0.44992280000000001</v>
      </c>
      <c r="F2225" t="s">
        <v>41</v>
      </c>
      <c r="G2225">
        <v>-334.56240000000003</v>
      </c>
      <c r="H2225" s="1">
        <v>-3.8777329999999996E-6</v>
      </c>
      <c r="I2225">
        <v>26.123750000000001</v>
      </c>
      <c r="J2225">
        <v>-354.10829999999999</v>
      </c>
      <c r="K2225">
        <v>1.102867</v>
      </c>
      <c r="L2225">
        <v>22.408110000000001</v>
      </c>
      <c r="M2225">
        <v>0.99976770000000004</v>
      </c>
      <c r="N2225">
        <v>0</v>
      </c>
      <c r="O2225">
        <v>1.891106E-2</v>
      </c>
      <c r="P2225">
        <v>0.98764779999999996</v>
      </c>
      <c r="Q2225">
        <v>0.1455668</v>
      </c>
      <c r="R2225">
        <v>5.7985429999999998E-2</v>
      </c>
      <c r="S2225">
        <v>3.0288089999999999</v>
      </c>
      <c r="T2225">
        <v>-0.168742899999999</v>
      </c>
      <c r="U2225">
        <v>0.56909180000000004</v>
      </c>
      <c r="V2225">
        <v>-3.8880430000000001E-2</v>
      </c>
      <c r="W2225">
        <v>0.15588479999999999</v>
      </c>
      <c r="X2225">
        <v>0.98700980000000005</v>
      </c>
      <c r="Y2225">
        <v>-0.16582189999999999</v>
      </c>
      <c r="Z2225">
        <v>3.532458E-3</v>
      </c>
      <c r="AA2225">
        <v>0.98614939999999995</v>
      </c>
      <c r="AB2225">
        <v>30</v>
      </c>
      <c r="AC2225">
        <v>19.5458999999999</v>
      </c>
      <c r="AD2225">
        <v>-1.1028708777330001</v>
      </c>
      <c r="AE2225">
        <v>3.7156400000000001</v>
      </c>
      <c r="AF2225">
        <v>-3.3350743162203802</v>
      </c>
      <c r="AG2225">
        <v>-1.1028708777330001</v>
      </c>
      <c r="AH2225">
        <v>19.5525953476829</v>
      </c>
      <c r="AI2225">
        <v>93.182500089318296</v>
      </c>
      <c r="AJ2225">
        <v>99.679749789228097</v>
      </c>
      <c r="AK2225">
        <v>19.8656243218756</v>
      </c>
      <c r="AL2225">
        <v>81.031885123927594</v>
      </c>
      <c r="AM2225">
        <v>92.255837128718198</v>
      </c>
      <c r="AN2225">
        <v>1.00000005200203</v>
      </c>
    </row>
    <row r="2226" spans="1:40" x14ac:dyDescent="0.3">
      <c r="A2226" t="str">
        <f>"20200111150400596"</f>
        <v>20200111150400596</v>
      </c>
      <c r="B2226" t="str">
        <f>"1578726240591267"</f>
        <v>1578726240591267</v>
      </c>
      <c r="C2226" t="s">
        <v>40</v>
      </c>
      <c r="D2226">
        <v>5.5606619999999998</v>
      </c>
      <c r="E2226">
        <v>0.44684109999999999</v>
      </c>
      <c r="F2226" t="s">
        <v>41</v>
      </c>
      <c r="G2226">
        <v>-335.39409999999998</v>
      </c>
      <c r="H2226" s="1">
        <v>-3.5759980000000001E-6</v>
      </c>
      <c r="I2226">
        <v>26.018319999999999</v>
      </c>
      <c r="J2226">
        <v>-353.93490000000003</v>
      </c>
      <c r="K2226">
        <v>1.1028359999999999</v>
      </c>
      <c r="L2226">
        <v>22.41058</v>
      </c>
      <c r="M2226">
        <v>0.99978299999999998</v>
      </c>
      <c r="N2226">
        <v>0</v>
      </c>
      <c r="O2226">
        <v>1.8079390000000001E-2</v>
      </c>
      <c r="P2226">
        <v>0.98763869999999998</v>
      </c>
      <c r="Q2226">
        <v>0.14585970000000001</v>
      </c>
      <c r="R2226">
        <v>5.7403679999999999E-2</v>
      </c>
      <c r="S2226">
        <v>3.0295100000000001</v>
      </c>
      <c r="T2226">
        <v>-0.17853540000000001</v>
      </c>
      <c r="U2226">
        <v>0.58444209999999996</v>
      </c>
      <c r="V2226">
        <v>-3.910396E-2</v>
      </c>
      <c r="W2226">
        <v>0.15619179999999999</v>
      </c>
      <c r="X2226">
        <v>0.98695239999999995</v>
      </c>
      <c r="Y2226">
        <v>-0.17138349999999999</v>
      </c>
      <c r="Z2226">
        <v>3.9452519999999998E-3</v>
      </c>
      <c r="AA2226">
        <v>0.98519650000000003</v>
      </c>
      <c r="AB2226">
        <v>30</v>
      </c>
      <c r="AC2226">
        <v>18.540800000000001</v>
      </c>
      <c r="AD2226">
        <v>-1.1028395759980001</v>
      </c>
      <c r="AE2226">
        <v>3.6077400000000002</v>
      </c>
      <c r="AF2226">
        <v>-3.2608098434500001</v>
      </c>
      <c r="AG2226">
        <v>-1.1028395759980001</v>
      </c>
      <c r="AH2226">
        <v>18.539796218323001</v>
      </c>
      <c r="AI2226">
        <v>93.352882822830495</v>
      </c>
      <c r="AJ2226">
        <v>99.975251617290098</v>
      </c>
      <c r="AK2226">
        <v>18.856648158738999</v>
      </c>
      <c r="AL2226">
        <v>81.014076891931197</v>
      </c>
      <c r="AM2226">
        <v>92.268924606458199</v>
      </c>
      <c r="AN2226">
        <v>1.00000001897034</v>
      </c>
    </row>
    <row r="2227" spans="1:40" x14ac:dyDescent="0.3">
      <c r="A2227" t="str">
        <f>"20200111150400616"</f>
        <v>20200111150400616</v>
      </c>
      <c r="B2227" t="str">
        <f>"1578726240610786"</f>
        <v>1578726240610786</v>
      </c>
      <c r="C2227" t="s">
        <v>40</v>
      </c>
      <c r="D2227">
        <v>5.5336990000000004</v>
      </c>
      <c r="E2227">
        <v>0.4445326</v>
      </c>
      <c r="F2227" t="s">
        <v>41</v>
      </c>
      <c r="G2227">
        <v>-335.5412</v>
      </c>
      <c r="H2227" s="1">
        <v>-3.5397210000000001E-6</v>
      </c>
      <c r="I2227">
        <v>26.09599</v>
      </c>
      <c r="J2227">
        <v>-353.65179999999998</v>
      </c>
      <c r="K2227">
        <v>1.102784</v>
      </c>
      <c r="L2227">
        <v>22.41422</v>
      </c>
      <c r="M2227">
        <v>0.99980769999999997</v>
      </c>
      <c r="N2227">
        <v>0</v>
      </c>
      <c r="O2227">
        <v>1.6649690000000002E-2</v>
      </c>
      <c r="P2227">
        <v>0.98753040000000003</v>
      </c>
      <c r="Q2227">
        <v>0.1467899</v>
      </c>
      <c r="R2227">
        <v>5.689168E-2</v>
      </c>
      <c r="S2227">
        <v>3.0291139999999999</v>
      </c>
      <c r="T2227">
        <v>-0.1816179</v>
      </c>
      <c r="U2227">
        <v>0.60693359999999996</v>
      </c>
      <c r="V2227">
        <v>-3.9977859999999997E-2</v>
      </c>
      <c r="W2227">
        <v>0.15714639999999999</v>
      </c>
      <c r="X2227">
        <v>0.98676580000000003</v>
      </c>
      <c r="Y2227">
        <v>-0.17982699999999999</v>
      </c>
      <c r="Z2227">
        <v>4.3460859999999999E-3</v>
      </c>
      <c r="AA2227">
        <v>0.98368869999999997</v>
      </c>
      <c r="AB2227">
        <v>30</v>
      </c>
      <c r="AC2227">
        <v>18.110599999999899</v>
      </c>
      <c r="AD2227">
        <v>-1.1027875397210001</v>
      </c>
      <c r="AE2227">
        <v>3.68176999999999</v>
      </c>
      <c r="AF2227">
        <v>-3.3677162438282502</v>
      </c>
      <c r="AG2227">
        <v>-1.1027875397210001</v>
      </c>
      <c r="AH2227">
        <v>18.104927469054299</v>
      </c>
      <c r="AI2227">
        <v>93.426992106966395</v>
      </c>
      <c r="AJ2227">
        <v>100.537218895336</v>
      </c>
      <c r="AK2227">
        <v>18.448470172792799</v>
      </c>
      <c r="AL2227">
        <v>80.958698144487101</v>
      </c>
      <c r="AM2227">
        <v>92.320014183433102</v>
      </c>
      <c r="AN2227">
        <v>0.99999998218638897</v>
      </c>
    </row>
    <row r="2228" spans="1:40" x14ac:dyDescent="0.3">
      <c r="A2228" t="str">
        <f>"20200111150400629"</f>
        <v>20200111150400629</v>
      </c>
      <c r="B2228" t="str">
        <f>"1578726240620547"</f>
        <v>1578726240620547</v>
      </c>
      <c r="C2228" t="s">
        <v>40</v>
      </c>
      <c r="D2228">
        <v>5.5345420000000001</v>
      </c>
      <c r="E2228">
        <v>0.44403939999999997</v>
      </c>
      <c r="F2228" t="s">
        <v>41</v>
      </c>
      <c r="G2228">
        <v>-334.39210000000003</v>
      </c>
      <c r="H2228" s="1">
        <v>-3.9814170000000004E-6</v>
      </c>
      <c r="I2228">
        <v>26.381489999999999</v>
      </c>
      <c r="J2228">
        <v>-353.4665</v>
      </c>
      <c r="K2228">
        <v>1.102752</v>
      </c>
      <c r="L2228">
        <v>22.41638</v>
      </c>
      <c r="M2228">
        <v>0.99982340000000003</v>
      </c>
      <c r="N2228">
        <v>0</v>
      </c>
      <c r="O2228">
        <v>1.5674560000000001E-2</v>
      </c>
      <c r="P2228">
        <v>0.98753679999999999</v>
      </c>
      <c r="Q2228">
        <v>0.14705029999999999</v>
      </c>
      <c r="R2228">
        <v>5.6102489999999998E-2</v>
      </c>
      <c r="S2228">
        <v>3.0277400000000001</v>
      </c>
      <c r="T2228">
        <v>-0.17336409999999999</v>
      </c>
      <c r="U2228">
        <v>0.62368769999999996</v>
      </c>
      <c r="V2228">
        <v>-4.0134169999999997E-2</v>
      </c>
      <c r="W2228">
        <v>0.15742239999999999</v>
      </c>
      <c r="X2228">
        <v>0.98671549999999997</v>
      </c>
      <c r="Y2228">
        <v>-0.18610969999999999</v>
      </c>
      <c r="Z2228">
        <v>4.3815119999999997E-3</v>
      </c>
      <c r="AA2228">
        <v>0.98251920000000004</v>
      </c>
      <c r="AB2228">
        <v>30</v>
      </c>
      <c r="AC2228">
        <v>19.074399999999901</v>
      </c>
      <c r="AD2228">
        <v>-1.102755981417</v>
      </c>
      <c r="AE2228">
        <v>3.9651100000000001</v>
      </c>
      <c r="AF2228">
        <v>-3.6539169953840198</v>
      </c>
      <c r="AG2228">
        <v>-1.102755981417</v>
      </c>
      <c r="AH2228">
        <v>19.0731020201689</v>
      </c>
      <c r="AI2228">
        <v>93.250033796136293</v>
      </c>
      <c r="AJ2228">
        <v>100.84500224555001</v>
      </c>
      <c r="AK2228">
        <v>19.451231344968399</v>
      </c>
      <c r="AL2228">
        <v>80.942685553999496</v>
      </c>
      <c r="AM2228">
        <v>92.329193868571593</v>
      </c>
      <c r="AN2228">
        <v>1.0000000207817901</v>
      </c>
    </row>
    <row r="2229" spans="1:40" x14ac:dyDescent="0.3">
      <c r="A2229" t="str">
        <f>"20200111150400642"</f>
        <v>20200111150400642</v>
      </c>
      <c r="B2229" t="str">
        <f>"1578726240631283"</f>
        <v>1578726240631283</v>
      </c>
      <c r="C2229" t="s">
        <v>40</v>
      </c>
      <c r="D2229">
        <v>5.5591269999999904</v>
      </c>
      <c r="E2229">
        <v>0.44346619999999998</v>
      </c>
      <c r="F2229" t="s">
        <v>41</v>
      </c>
      <c r="G2229">
        <v>-334.93470000000002</v>
      </c>
      <c r="H2229" s="1">
        <v>-3.7722399999999999E-6</v>
      </c>
      <c r="I2229">
        <v>26.243279999999999</v>
      </c>
      <c r="J2229">
        <v>-353.30250000000001</v>
      </c>
      <c r="K2229">
        <v>1.1027260000000001</v>
      </c>
      <c r="L2229">
        <v>22.418060000000001</v>
      </c>
      <c r="M2229">
        <v>0.99983690000000003</v>
      </c>
      <c r="N2229">
        <v>0</v>
      </c>
      <c r="O2229">
        <v>1.477557E-2</v>
      </c>
      <c r="P2229">
        <v>0.98750660000000001</v>
      </c>
      <c r="Q2229">
        <v>0.14758309999999999</v>
      </c>
      <c r="R2229">
        <v>5.5225549999999998E-2</v>
      </c>
      <c r="S2229">
        <v>3.029175</v>
      </c>
      <c r="T2229">
        <v>-0.1802542</v>
      </c>
      <c r="U2229">
        <v>0.62554929999999997</v>
      </c>
      <c r="V2229">
        <v>-4.0131559999999997E-2</v>
      </c>
      <c r="W2229">
        <v>0.15797</v>
      </c>
      <c r="X2229">
        <v>0.98662810000000001</v>
      </c>
      <c r="Y2229">
        <v>-0.18745500000000001</v>
      </c>
      <c r="Z2229">
        <v>4.6453930000000003E-3</v>
      </c>
      <c r="AA2229">
        <v>0.98226219999999997</v>
      </c>
      <c r="AB2229">
        <v>30</v>
      </c>
      <c r="AC2229">
        <v>18.3677999999999</v>
      </c>
      <c r="AD2229">
        <v>-1.10272977224</v>
      </c>
      <c r="AE2229">
        <v>3.8252199999999901</v>
      </c>
      <c r="AF2229">
        <v>-3.54116008702358</v>
      </c>
      <c r="AG2229">
        <v>-1.10272977224</v>
      </c>
      <c r="AH2229">
        <v>18.3588967146577</v>
      </c>
      <c r="AI2229">
        <v>93.375282434944694</v>
      </c>
      <c r="AJ2229">
        <v>100.91743420522999</v>
      </c>
      <c r="AK2229">
        <v>18.729786872572301</v>
      </c>
      <c r="AL2229">
        <v>80.910912968403295</v>
      </c>
      <c r="AM2229">
        <v>92.329248653497004</v>
      </c>
      <c r="AN2229">
        <v>1.0000000353588201</v>
      </c>
    </row>
    <row r="2230" spans="1:40" x14ac:dyDescent="0.3">
      <c r="A2230" t="str">
        <f>"20200111150400661"</f>
        <v>20200111150400661</v>
      </c>
      <c r="B2230" t="str">
        <f>"1578726240650802"</f>
        <v>1578726240650802</v>
      </c>
      <c r="C2230" t="s">
        <v>40</v>
      </c>
      <c r="D2230">
        <v>5.54108</v>
      </c>
      <c r="E2230">
        <v>0.44276539999999998</v>
      </c>
      <c r="F2230" t="s">
        <v>41</v>
      </c>
      <c r="G2230">
        <v>-335.21809999999999</v>
      </c>
      <c r="H2230" s="1">
        <v>-3.6615E-6</v>
      </c>
      <c r="I2230">
        <v>26.16273</v>
      </c>
      <c r="J2230">
        <v>-353.0428</v>
      </c>
      <c r="K2230">
        <v>1.102687</v>
      </c>
      <c r="L2230">
        <v>22.42041</v>
      </c>
      <c r="M2230">
        <v>0.9998572</v>
      </c>
      <c r="N2230">
        <v>0</v>
      </c>
      <c r="O2230">
        <v>1.332522E-2</v>
      </c>
      <c r="P2230">
        <v>0.98769989999999996</v>
      </c>
      <c r="Q2230">
        <v>0.14706610000000001</v>
      </c>
      <c r="R2230">
        <v>5.3111779999999997E-2</v>
      </c>
      <c r="S2230">
        <v>3.0305179999999998</v>
      </c>
      <c r="T2230">
        <v>-0.1847917</v>
      </c>
      <c r="U2230">
        <v>0.62753300000000001</v>
      </c>
      <c r="V2230">
        <v>-3.9432759999999997E-2</v>
      </c>
      <c r="W2230">
        <v>0.15747700000000001</v>
      </c>
      <c r="X2230">
        <v>0.98673500000000003</v>
      </c>
      <c r="Y2230">
        <v>-0.1893891</v>
      </c>
      <c r="Z2230">
        <v>4.905413E-3</v>
      </c>
      <c r="AA2230">
        <v>0.98188980000000003</v>
      </c>
      <c r="AB2230">
        <v>30</v>
      </c>
      <c r="AC2230">
        <v>17.8247</v>
      </c>
      <c r="AD2230">
        <v>-1.1026906615000001</v>
      </c>
      <c r="AE2230">
        <v>3.7423199999999999</v>
      </c>
      <c r="AF2230">
        <v>-3.4916582665075402</v>
      </c>
      <c r="AG2230">
        <v>-1.1026906615000001</v>
      </c>
      <c r="AH2230">
        <v>17.807713609603098</v>
      </c>
      <c r="AI2230">
        <v>93.477303578580006</v>
      </c>
      <c r="AJ2230">
        <v>101.09356721290401</v>
      </c>
      <c r="AK2230">
        <v>18.180271399147799</v>
      </c>
      <c r="AL2230">
        <v>80.939517083055094</v>
      </c>
      <c r="AM2230">
        <v>92.288485898946007</v>
      </c>
      <c r="AN2230">
        <v>0.99999995415760701</v>
      </c>
    </row>
    <row r="2231" spans="1:40" x14ac:dyDescent="0.3">
      <c r="A2231" t="str">
        <f>"20200111150400674"</f>
        <v>20200111150400674</v>
      </c>
      <c r="B2231" t="str">
        <f>"1578726240671299"</f>
        <v>1578726240671299</v>
      </c>
      <c r="C2231" t="s">
        <v>40</v>
      </c>
      <c r="D2231">
        <v>5.5215249999999996</v>
      </c>
      <c r="E2231">
        <v>0.44207010000000002</v>
      </c>
      <c r="F2231" t="s">
        <v>41</v>
      </c>
      <c r="G2231">
        <v>-335.93639999999999</v>
      </c>
      <c r="H2231" s="1">
        <v>-3.3808560000000002E-6</v>
      </c>
      <c r="I2231">
        <v>25.958580000000001</v>
      </c>
      <c r="J2231">
        <v>-352.86279999999999</v>
      </c>
      <c r="K2231">
        <v>1.1026689999999999</v>
      </c>
      <c r="L2231">
        <v>22.421810000000001</v>
      </c>
      <c r="M2231">
        <v>0.99987009999999998</v>
      </c>
      <c r="N2231">
        <v>0</v>
      </c>
      <c r="O2231">
        <v>1.23001E-2</v>
      </c>
      <c r="P2231">
        <v>0.98787860000000005</v>
      </c>
      <c r="Q2231">
        <v>0.14629110000000001</v>
      </c>
      <c r="R2231">
        <v>5.1913019999999997E-2</v>
      </c>
      <c r="S2231">
        <v>3.0327760000000001</v>
      </c>
      <c r="T2231">
        <v>-0.1954941</v>
      </c>
      <c r="U2231">
        <v>0.62728879999999998</v>
      </c>
      <c r="V2231">
        <v>-3.9238040000000002E-2</v>
      </c>
      <c r="W2231">
        <v>0.15672159999999999</v>
      </c>
      <c r="X2231">
        <v>0.98686309999999999</v>
      </c>
      <c r="Y2231">
        <v>-0.19013440000000001</v>
      </c>
      <c r="Z2231">
        <v>5.2742450000000003E-3</v>
      </c>
      <c r="AA2231">
        <v>0.9817439</v>
      </c>
      <c r="AB2231">
        <v>30</v>
      </c>
      <c r="AC2231">
        <v>16.926400000000001</v>
      </c>
      <c r="AD2231">
        <v>-1.1026723808559999</v>
      </c>
      <c r="AE2231">
        <v>3.53676999999999</v>
      </c>
      <c r="AF2231">
        <v>-3.3148155111959099</v>
      </c>
      <c r="AG2231">
        <v>-1.1026723808559999</v>
      </c>
      <c r="AH2231">
        <v>16.899903461422301</v>
      </c>
      <c r="AI2231">
        <v>93.663489892325998</v>
      </c>
      <c r="AJ2231">
        <v>101.097343447038</v>
      </c>
      <c r="AK2231">
        <v>17.257190537806601</v>
      </c>
      <c r="AL2231">
        <v>80.983343204476995</v>
      </c>
      <c r="AM2231">
        <v>92.276901940975605</v>
      </c>
      <c r="AN2231">
        <v>1.0000000309156001</v>
      </c>
    </row>
    <row r="2232" spans="1:40" x14ac:dyDescent="0.3">
      <c r="A2232" t="str">
        <f>"20200111150400686"</f>
        <v>20200111150400686</v>
      </c>
      <c r="B2232" t="str">
        <f>"1578726240681058"</f>
        <v>1578726240681058</v>
      </c>
      <c r="C2232" t="s">
        <v>40</v>
      </c>
      <c r="D2232">
        <v>5.4725830000000002</v>
      </c>
      <c r="E2232">
        <v>0.4416351</v>
      </c>
      <c r="F2232" t="s">
        <v>41</v>
      </c>
      <c r="G2232">
        <v>-336.47140000000002</v>
      </c>
      <c r="H2232" s="1">
        <v>-3.1473279999999998E-6</v>
      </c>
      <c r="I2232">
        <v>25.822279999999999</v>
      </c>
      <c r="J2232">
        <v>-352.6925</v>
      </c>
      <c r="K2232">
        <v>1.102646</v>
      </c>
      <c r="L2232">
        <v>22.422969999999999</v>
      </c>
      <c r="M2232">
        <v>0.99988140000000003</v>
      </c>
      <c r="N2232">
        <v>0</v>
      </c>
      <c r="O2232">
        <v>1.131997E-2</v>
      </c>
      <c r="P2232">
        <v>0.98807540000000005</v>
      </c>
      <c r="Q2232">
        <v>0.14530460000000001</v>
      </c>
      <c r="R2232">
        <v>5.0928250000000001E-2</v>
      </c>
      <c r="S2232">
        <v>3.0339659999999999</v>
      </c>
      <c r="T2232">
        <v>-0.20409930000000001</v>
      </c>
      <c r="U2232">
        <v>0.62942500000000001</v>
      </c>
      <c r="V2232">
        <v>-3.9215409999999999E-2</v>
      </c>
      <c r="W2232">
        <v>0.15575520000000001</v>
      </c>
      <c r="X2232">
        <v>0.98701700000000003</v>
      </c>
      <c r="Y2232">
        <v>-0.19164600000000001</v>
      </c>
      <c r="Z2232">
        <v>5.6187969999999896E-3</v>
      </c>
      <c r="AA2232">
        <v>0.98144799999999999</v>
      </c>
      <c r="AB2232">
        <v>30</v>
      </c>
      <c r="AC2232">
        <v>16.2210999999999</v>
      </c>
      <c r="AD2232">
        <v>-1.102649147328</v>
      </c>
      <c r="AE2232">
        <v>3.3993099999999998</v>
      </c>
      <c r="AF2232">
        <v>-3.2012896730153702</v>
      </c>
      <c r="AG2232">
        <v>-1.102649147328</v>
      </c>
      <c r="AH2232">
        <v>16.186893411372498</v>
      </c>
      <c r="AI2232">
        <v>93.823136697747699</v>
      </c>
      <c r="AJ2232">
        <v>101.18705102459801</v>
      </c>
      <c r="AK2232">
        <v>16.537218902336399</v>
      </c>
      <c r="AL2232">
        <v>81.039402409743303</v>
      </c>
      <c r="AM2232">
        <v>92.275235702961197</v>
      </c>
      <c r="AN2232">
        <v>1.00000004449875</v>
      </c>
    </row>
    <row r="2233" spans="1:40" x14ac:dyDescent="0.3">
      <c r="A2233" t="str">
        <f>"20200111150400705"</f>
        <v>20200111150400705</v>
      </c>
      <c r="B2233" t="str">
        <f>"1578726240700578"</f>
        <v>1578726240700578</v>
      </c>
      <c r="C2233" t="s">
        <v>40</v>
      </c>
      <c r="D2233">
        <v>5.5468970000000004</v>
      </c>
      <c r="E2233">
        <v>0.44125969999999998</v>
      </c>
      <c r="F2233" t="s">
        <v>41</v>
      </c>
      <c r="G2233">
        <v>-336.30610000000001</v>
      </c>
      <c r="H2233" s="1">
        <v>-3.2185429999999999E-6</v>
      </c>
      <c r="I2233">
        <v>25.8233</v>
      </c>
      <c r="J2233">
        <v>-352.44709999999998</v>
      </c>
      <c r="K2233">
        <v>1.1026339999999999</v>
      </c>
      <c r="L2233">
        <v>22.424320000000002</v>
      </c>
      <c r="M2233">
        <v>0.99989620000000001</v>
      </c>
      <c r="N2233">
        <v>0</v>
      </c>
      <c r="O2233">
        <v>9.8951779999999993E-3</v>
      </c>
      <c r="P2233">
        <v>0.98847050000000003</v>
      </c>
      <c r="Q2233">
        <v>0.1429898</v>
      </c>
      <c r="R2233">
        <v>4.980296E-2</v>
      </c>
      <c r="S2233">
        <v>3.0337830000000001</v>
      </c>
      <c r="T2233">
        <v>-0.2041432</v>
      </c>
      <c r="U2233">
        <v>0.62954709999999903</v>
      </c>
      <c r="V2233">
        <v>-3.9496509999999999E-2</v>
      </c>
      <c r="W2233">
        <v>0.153476</v>
      </c>
      <c r="X2233">
        <v>0.98736270000000004</v>
      </c>
      <c r="Y2233">
        <v>-0.19308739999999999</v>
      </c>
      <c r="Z2233">
        <v>5.7629509999999997E-3</v>
      </c>
      <c r="AA2233">
        <v>0.98116460000000005</v>
      </c>
      <c r="AB2233">
        <v>30</v>
      </c>
      <c r="AC2233">
        <v>16.140999999999899</v>
      </c>
      <c r="AD2233">
        <v>-1.102637218543</v>
      </c>
      <c r="AE2233">
        <v>3.3989799999999901</v>
      </c>
      <c r="AF2233">
        <v>-3.2246773075383599</v>
      </c>
      <c r="AG2233">
        <v>-1.102637218543</v>
      </c>
      <c r="AH2233">
        <v>16.101893880940899</v>
      </c>
      <c r="AI2233">
        <v>93.841385900903802</v>
      </c>
      <c r="AJ2233">
        <v>101.32463900109001</v>
      </c>
      <c r="AK2233">
        <v>16.4585946886892</v>
      </c>
      <c r="AL2233">
        <v>81.171579873785703</v>
      </c>
      <c r="AM2233">
        <v>92.290726031326997</v>
      </c>
      <c r="AN2233">
        <v>0.99999997911473404</v>
      </c>
    </row>
    <row r="2234" spans="1:40" x14ac:dyDescent="0.3">
      <c r="A2234" t="str">
        <f>"20200111150400718"</f>
        <v>20200111150400718</v>
      </c>
      <c r="B2234" t="str">
        <f>"1578726240711314"</f>
        <v>1578726240711314</v>
      </c>
      <c r="C2234" t="s">
        <v>40</v>
      </c>
      <c r="D2234">
        <v>5.5321939999999996</v>
      </c>
      <c r="E2234">
        <v>0.44102659999999999</v>
      </c>
      <c r="F2234" t="s">
        <v>41</v>
      </c>
      <c r="G2234">
        <v>-337.01569999999998</v>
      </c>
      <c r="H2234" s="1">
        <v>-2.8604120000000001E-6</v>
      </c>
      <c r="I2234">
        <v>25.621490000000001</v>
      </c>
      <c r="J2234">
        <v>-352.26440000000002</v>
      </c>
      <c r="K2234">
        <v>1.1026339999999999</v>
      </c>
      <c r="L2234">
        <v>22.425049999999999</v>
      </c>
      <c r="M2234">
        <v>0.99990590000000001</v>
      </c>
      <c r="N2234">
        <v>0</v>
      </c>
      <c r="O2234">
        <v>8.8347640000000002E-3</v>
      </c>
      <c r="P2234">
        <v>0.98858089999999998</v>
      </c>
      <c r="Q2234">
        <v>0.14243729999999999</v>
      </c>
      <c r="R2234">
        <v>4.918819E-2</v>
      </c>
      <c r="S2234">
        <v>3.0346679999999999</v>
      </c>
      <c r="T2234">
        <v>-0.21683820000000001</v>
      </c>
      <c r="U2234">
        <v>0.62875369999999997</v>
      </c>
      <c r="V2234">
        <v>-3.9928230000000002E-2</v>
      </c>
      <c r="W2234">
        <v>0.15295249999999999</v>
      </c>
      <c r="X2234">
        <v>0.98742660000000004</v>
      </c>
      <c r="Y2234">
        <v>-0.1937701</v>
      </c>
      <c r="Z2234">
        <v>6.2178399999999997E-3</v>
      </c>
      <c r="AA2234">
        <v>0.98102719999999999</v>
      </c>
      <c r="AB2234">
        <v>30</v>
      </c>
      <c r="AC2234">
        <v>15.248699999999999</v>
      </c>
      <c r="AD2234">
        <v>-1.102636860412</v>
      </c>
      <c r="AE2234">
        <v>3.1964399999999902</v>
      </c>
      <c r="AF2234">
        <v>-3.0463310469490601</v>
      </c>
      <c r="AG2234">
        <v>-1.102636860412</v>
      </c>
      <c r="AH2234">
        <v>15.200213122526099</v>
      </c>
      <c r="AI2234">
        <v>94.068398120204193</v>
      </c>
      <c r="AJ2234">
        <v>101.332722601339</v>
      </c>
      <c r="AK2234">
        <v>15.5416350447358</v>
      </c>
      <c r="AL2234">
        <v>81.201932869262706</v>
      </c>
      <c r="AM2234">
        <v>92.3155882001641</v>
      </c>
      <c r="AN2234">
        <v>1.0000000105973701</v>
      </c>
    </row>
    <row r="2235" spans="1:40" x14ac:dyDescent="0.3">
      <c r="A2235" t="str">
        <f>"20200111150400739"</f>
        <v>20200111150400739</v>
      </c>
      <c r="B2235" t="str">
        <f>"1578726240730837"</f>
        <v>1578726240730837</v>
      </c>
      <c r="C2235" t="s">
        <v>40</v>
      </c>
      <c r="D2235">
        <v>5.5264579999999999</v>
      </c>
      <c r="E2235">
        <v>0.44092049999999999</v>
      </c>
      <c r="F2235" t="s">
        <v>41</v>
      </c>
      <c r="G2235">
        <v>-337.17439999999999</v>
      </c>
      <c r="H2235" s="1">
        <v>-2.7732439999999999E-6</v>
      </c>
      <c r="I2235">
        <v>25.54974</v>
      </c>
      <c r="J2235">
        <v>-351.9821</v>
      </c>
      <c r="K2235">
        <v>1.1026419999999999</v>
      </c>
      <c r="L2235">
        <v>22.425840000000001</v>
      </c>
      <c r="M2235">
        <v>0.99991859999999999</v>
      </c>
      <c r="N2235">
        <v>0</v>
      </c>
      <c r="O2235">
        <v>7.2025680000000003E-3</v>
      </c>
      <c r="P2235">
        <v>0.98875139999999995</v>
      </c>
      <c r="Q2235">
        <v>0.14168229999999901</v>
      </c>
      <c r="R2235">
        <v>4.793203E-2</v>
      </c>
      <c r="S2235">
        <v>3.035339</v>
      </c>
      <c r="T2235">
        <v>-0.22179289999999999</v>
      </c>
      <c r="U2235">
        <v>0.62853999999999999</v>
      </c>
      <c r="V2235">
        <v>-4.0286299999999997E-2</v>
      </c>
      <c r="W2235">
        <v>0.1522433</v>
      </c>
      <c r="X2235">
        <v>0.9875216</v>
      </c>
      <c r="Y2235">
        <v>-0.1952332</v>
      </c>
      <c r="Z2235">
        <v>6.5288669999999998E-3</v>
      </c>
      <c r="AA2235">
        <v>0.98073509999999997</v>
      </c>
      <c r="AB2235">
        <v>30</v>
      </c>
      <c r="AC2235">
        <v>14.807700000000001</v>
      </c>
      <c r="AD2235">
        <v>-1.1026447732439999</v>
      </c>
      <c r="AE2235">
        <v>3.1238999999999901</v>
      </c>
      <c r="AF2235">
        <v>-3.0012270791481499</v>
      </c>
      <c r="AG2235">
        <v>-1.1026447732439999</v>
      </c>
      <c r="AH2235">
        <v>14.7515064516775</v>
      </c>
      <c r="AI2235">
        <v>94.189283050347399</v>
      </c>
      <c r="AJ2235">
        <v>101.49999691029799</v>
      </c>
      <c r="AK2235">
        <v>15.094042933238899</v>
      </c>
      <c r="AL2235">
        <v>81.243048117164193</v>
      </c>
      <c r="AM2235">
        <v>92.336106609888105</v>
      </c>
      <c r="AN2235">
        <v>0.99999995941456898</v>
      </c>
    </row>
    <row r="2236" spans="1:40" x14ac:dyDescent="0.3">
      <c r="A2236" t="str">
        <f>"20200111150400752"</f>
        <v>20200111150400752</v>
      </c>
      <c r="B2236" t="str">
        <f>"1578726240740595"</f>
        <v>1578726240740595</v>
      </c>
      <c r="C2236" t="s">
        <v>40</v>
      </c>
      <c r="D2236">
        <v>5.5215800000000002</v>
      </c>
      <c r="E2236">
        <v>0.4407568</v>
      </c>
      <c r="F2236" t="s">
        <v>41</v>
      </c>
      <c r="G2236">
        <v>-337.74619999999999</v>
      </c>
      <c r="H2236" s="1">
        <v>-2.4768499999999998E-6</v>
      </c>
      <c r="I2236">
        <v>25.357800000000001</v>
      </c>
      <c r="J2236">
        <v>-351.80650000000003</v>
      </c>
      <c r="K2236">
        <v>1.1026480000000001</v>
      </c>
      <c r="L2236">
        <v>22.42615</v>
      </c>
      <c r="M2236">
        <v>0.99992499999999995</v>
      </c>
      <c r="N2236">
        <v>0</v>
      </c>
      <c r="O2236">
        <v>6.1951559999999899E-3</v>
      </c>
      <c r="P2236">
        <v>0.98876980000000003</v>
      </c>
      <c r="Q2236">
        <v>0.1418095</v>
      </c>
      <c r="R2236">
        <v>4.7165480000000003E-2</v>
      </c>
      <c r="S2236">
        <v>3.037506</v>
      </c>
      <c r="T2236">
        <v>-0.23527129999999999</v>
      </c>
      <c r="U2236">
        <v>0.62561040000000001</v>
      </c>
      <c r="V2236">
        <v>-4.0515570000000001E-2</v>
      </c>
      <c r="W2236">
        <v>0.152398799999999</v>
      </c>
      <c r="X2236">
        <v>0.98748829999999999</v>
      </c>
      <c r="Y2236">
        <v>-0.19511290000000001</v>
      </c>
      <c r="Z2236">
        <v>6.9928330000000004E-3</v>
      </c>
      <c r="AA2236">
        <v>0.98075590000000001</v>
      </c>
      <c r="AB2236">
        <v>30</v>
      </c>
      <c r="AC2236">
        <v>14.0603</v>
      </c>
      <c r="AD2236">
        <v>-1.1026504768499901</v>
      </c>
      <c r="AE2236">
        <v>2.9316499999999999</v>
      </c>
      <c r="AF2236">
        <v>-2.8278161811238398</v>
      </c>
      <c r="AG2236">
        <v>-1.1026504768499901</v>
      </c>
      <c r="AH2236">
        <v>13.995703547206899</v>
      </c>
      <c r="AI2236">
        <v>94.415867898825894</v>
      </c>
      <c r="AJ2236">
        <v>101.422764784799</v>
      </c>
      <c r="AK2236">
        <v>14.321036980945999</v>
      </c>
      <c r="AL2236">
        <v>81.234034003200605</v>
      </c>
      <c r="AM2236">
        <v>92.349465713037503</v>
      </c>
      <c r="AN2236">
        <v>1.0000000241453699</v>
      </c>
    </row>
    <row r="2237" spans="1:40" x14ac:dyDescent="0.3">
      <c r="A2237" t="str">
        <f>"20200111150400764"</f>
        <v>20200111150400764</v>
      </c>
      <c r="B2237" t="str">
        <f>"1578726240761090"</f>
        <v>1578726240761090</v>
      </c>
      <c r="C2237" t="s">
        <v>40</v>
      </c>
      <c r="D2237">
        <v>5.5571169999999999</v>
      </c>
      <c r="E2237">
        <v>0.44066159999999999</v>
      </c>
      <c r="F2237" t="s">
        <v>41</v>
      </c>
      <c r="G2237">
        <v>-337.66460000000001</v>
      </c>
      <c r="H2237" s="1">
        <v>-2.5050679999999999E-6</v>
      </c>
      <c r="I2237">
        <v>25.33221</v>
      </c>
      <c r="J2237">
        <v>-351.62790000000001</v>
      </c>
      <c r="K2237">
        <v>1.1026609999999999</v>
      </c>
      <c r="L2237">
        <v>22.426269999999999</v>
      </c>
      <c r="M2237">
        <v>0.9999304</v>
      </c>
      <c r="N2237">
        <v>0</v>
      </c>
      <c r="O2237">
        <v>5.1796860000000002E-3</v>
      </c>
      <c r="P2237">
        <v>0.98880840000000003</v>
      </c>
      <c r="Q2237">
        <v>0.14182719999999999</v>
      </c>
      <c r="R2237">
        <v>4.6292170000000001E-2</v>
      </c>
      <c r="S2237">
        <v>3.0382690000000001</v>
      </c>
      <c r="T2237">
        <v>-0.23689460000000001</v>
      </c>
      <c r="U2237">
        <v>0.62435909999999994</v>
      </c>
      <c r="V2237">
        <v>-4.0647599999999999E-2</v>
      </c>
      <c r="W2237">
        <v>0.15244349999999901</v>
      </c>
      <c r="X2237">
        <v>0.98747589999999996</v>
      </c>
      <c r="Y2237">
        <v>-0.1956608</v>
      </c>
      <c r="Z2237">
        <v>7.1388290000000002E-3</v>
      </c>
      <c r="AA2237">
        <v>0.98064569999999995</v>
      </c>
      <c r="AB2237">
        <v>30</v>
      </c>
      <c r="AC2237">
        <v>13.9633</v>
      </c>
      <c r="AD2237">
        <v>-1.102663505068</v>
      </c>
      <c r="AE2237">
        <v>2.90593999999999</v>
      </c>
      <c r="AF2237">
        <v>-2.8167353143413498</v>
      </c>
      <c r="AG2237">
        <v>-1.102663505068</v>
      </c>
      <c r="AH2237">
        <v>13.895111824627101</v>
      </c>
      <c r="AI2237">
        <v>94.447187579949002</v>
      </c>
      <c r="AJ2237">
        <v>101.459380485802</v>
      </c>
      <c r="AK2237">
        <v>14.2205484161251</v>
      </c>
      <c r="AL2237">
        <v>81.231441952901207</v>
      </c>
      <c r="AM2237">
        <v>92.357142971661006</v>
      </c>
      <c r="AN2237">
        <v>0.99999995057940805</v>
      </c>
    </row>
    <row r="2238" spans="1:40" x14ac:dyDescent="0.3">
      <c r="A2238" t="str">
        <f>"20200111150400783"</f>
        <v>20200111150400783</v>
      </c>
      <c r="B2238" t="str">
        <f>"1578726240770855"</f>
        <v>1578726240770855</v>
      </c>
      <c r="C2238" t="s">
        <v>40</v>
      </c>
      <c r="D2238">
        <v>5.5555089999999998</v>
      </c>
      <c r="E2238">
        <v>0.44048280000000001</v>
      </c>
      <c r="F2238" t="s">
        <v>41</v>
      </c>
      <c r="G2238">
        <v>-338.01960000000003</v>
      </c>
      <c r="H2238" s="1">
        <v>-2.320758E-6</v>
      </c>
      <c r="I2238">
        <v>25.211929999999999</v>
      </c>
      <c r="J2238">
        <v>-351.39069999999998</v>
      </c>
      <c r="K2238">
        <v>1.1026750000000001</v>
      </c>
      <c r="L2238">
        <v>22.426120000000001</v>
      </c>
      <c r="M2238">
        <v>0.99993600000000005</v>
      </c>
      <c r="N2238">
        <v>0</v>
      </c>
      <c r="O2238">
        <v>3.8452019999999998E-3</v>
      </c>
      <c r="P2238">
        <v>0.98877230000000005</v>
      </c>
      <c r="Q2238">
        <v>0.142295799999999</v>
      </c>
      <c r="R2238">
        <v>4.5623980000000001E-2</v>
      </c>
      <c r="S2238">
        <v>3.0401609999999999</v>
      </c>
      <c r="T2238">
        <v>-0.24633930000000001</v>
      </c>
      <c r="U2238">
        <v>0.62234500000000004</v>
      </c>
      <c r="V2238">
        <v>-4.1300240000000002E-2</v>
      </c>
      <c r="W2238">
        <v>0.15294969999999999</v>
      </c>
      <c r="X2238">
        <v>0.98737059999999999</v>
      </c>
      <c r="Y2238">
        <v>-0.1961753</v>
      </c>
      <c r="Z2238">
        <v>7.5459669999999998E-3</v>
      </c>
      <c r="AA2238">
        <v>0.98053979999999996</v>
      </c>
      <c r="AB2238">
        <v>30</v>
      </c>
      <c r="AC2238">
        <v>13.371099999999901</v>
      </c>
      <c r="AD2238">
        <v>-1.1026773207580001</v>
      </c>
      <c r="AE2238">
        <v>2.7858099999999899</v>
      </c>
      <c r="AF2238">
        <v>-2.7166649286893101</v>
      </c>
      <c r="AG2238">
        <v>-1.1026773207580001</v>
      </c>
      <c r="AH2238">
        <v>13.295057730895801</v>
      </c>
      <c r="AI2238">
        <v>94.645636299772605</v>
      </c>
      <c r="AJ2238">
        <v>101.54863626901999</v>
      </c>
      <c r="AK2238">
        <v>13.614504239095</v>
      </c>
      <c r="AL2238">
        <v>81.202095212449095</v>
      </c>
      <c r="AM2238">
        <v>92.395200778139696</v>
      </c>
      <c r="AN2238">
        <v>1.00000001114925</v>
      </c>
    </row>
    <row r="2239" spans="1:40" x14ac:dyDescent="0.3">
      <c r="A2239" t="str">
        <f>"20200111150400795"</f>
        <v>20200111150400795</v>
      </c>
      <c r="B2239" t="str">
        <f>"1578726240791348"</f>
        <v>1578726240791348</v>
      </c>
      <c r="C2239" t="s">
        <v>40</v>
      </c>
      <c r="D2239">
        <v>5.5370869999999996</v>
      </c>
      <c r="E2239">
        <v>0.44013770000000002</v>
      </c>
      <c r="F2239" t="s">
        <v>41</v>
      </c>
      <c r="G2239">
        <v>-337.73390000000001</v>
      </c>
      <c r="H2239" s="1">
        <v>-2.4450439999999998E-6</v>
      </c>
      <c r="I2239">
        <v>25.218409999999999</v>
      </c>
      <c r="J2239">
        <v>-351.22379999999998</v>
      </c>
      <c r="K2239">
        <v>1.1026860000000001</v>
      </c>
      <c r="L2239">
        <v>22.425840000000001</v>
      </c>
      <c r="M2239">
        <v>0.99993900000000002</v>
      </c>
      <c r="N2239">
        <v>0</v>
      </c>
      <c r="O2239">
        <v>2.915834E-3</v>
      </c>
      <c r="P2239">
        <v>0.98878659999999996</v>
      </c>
      <c r="Q2239">
        <v>0.1423566</v>
      </c>
      <c r="R2239">
        <v>4.511743E-2</v>
      </c>
      <c r="S2239">
        <v>3.0407410000000001</v>
      </c>
      <c r="T2239">
        <v>-0.24551609999999999</v>
      </c>
      <c r="U2239">
        <v>0.62173459999999903</v>
      </c>
      <c r="V2239">
        <v>-4.1714439999999998E-2</v>
      </c>
      <c r="W2239">
        <v>0.15303820000000001</v>
      </c>
      <c r="X2239">
        <v>0.98733939999999998</v>
      </c>
      <c r="Y2239">
        <v>-0.19686000000000001</v>
      </c>
      <c r="Z2239">
        <v>7.6210369999999998E-3</v>
      </c>
      <c r="AA2239">
        <v>0.980402</v>
      </c>
      <c r="AB2239">
        <v>30</v>
      </c>
      <c r="AC2239">
        <v>13.489899999999899</v>
      </c>
      <c r="AD2239">
        <v>-1.102688445044</v>
      </c>
      <c r="AE2239">
        <v>2.79257</v>
      </c>
      <c r="AF2239">
        <v>-2.73569359427723</v>
      </c>
      <c r="AG2239">
        <v>-1.102688445044</v>
      </c>
      <c r="AH2239">
        <v>13.412052783024</v>
      </c>
      <c r="AI2239">
        <v>94.605660006098901</v>
      </c>
      <c r="AJ2239">
        <v>101.52863270111899</v>
      </c>
      <c r="AK2239">
        <v>13.732556247954101</v>
      </c>
      <c r="AL2239">
        <v>81.1969634791636</v>
      </c>
      <c r="AM2239">
        <v>92.419270198144204</v>
      </c>
      <c r="AN2239">
        <v>0.99999993797805498</v>
      </c>
    </row>
    <row r="2240" spans="1:40" x14ac:dyDescent="0.3">
      <c r="A2240" t="str">
        <f>"20200111150400809"</f>
        <v>20200111150400809</v>
      </c>
      <c r="B2240" t="str">
        <f>"1578726240801107"</f>
        <v>1578726240801107</v>
      </c>
      <c r="C2240" t="s">
        <v>40</v>
      </c>
      <c r="D2240">
        <v>5.5492549999999996</v>
      </c>
      <c r="E2240">
        <v>0.4400635</v>
      </c>
      <c r="F2240" t="s">
        <v>41</v>
      </c>
      <c r="G2240">
        <v>-337.63909999999998</v>
      </c>
      <c r="H2240" s="1">
        <v>-2.4833859999999998E-6</v>
      </c>
      <c r="I2240">
        <v>25.209630000000001</v>
      </c>
      <c r="J2240">
        <v>-351.02350000000001</v>
      </c>
      <c r="K2240">
        <v>1.102697</v>
      </c>
      <c r="L2240">
        <v>22.425350000000002</v>
      </c>
      <c r="M2240">
        <v>0.99994119999999997</v>
      </c>
      <c r="N2240">
        <v>0</v>
      </c>
      <c r="O2240">
        <v>1.8087750000000001E-3</v>
      </c>
      <c r="P2240">
        <v>0.98877099999999996</v>
      </c>
      <c r="Q2240">
        <v>0.1427456</v>
      </c>
      <c r="R2240">
        <v>4.4220919999999997E-2</v>
      </c>
      <c r="S2240">
        <v>3.0411069999999998</v>
      </c>
      <c r="T2240">
        <v>-0.24684980000000001</v>
      </c>
      <c r="U2240">
        <v>0.62319950000000002</v>
      </c>
      <c r="V2240">
        <v>-4.1914590000000002E-2</v>
      </c>
      <c r="W2240">
        <v>0.15345899999999901</v>
      </c>
      <c r="X2240">
        <v>0.98726559999999997</v>
      </c>
      <c r="Y2240">
        <v>-0.1983605</v>
      </c>
      <c r="Z2240">
        <v>7.8100089999999997E-3</v>
      </c>
      <c r="AA2240">
        <v>0.98009800000000002</v>
      </c>
      <c r="AB2240">
        <v>30</v>
      </c>
      <c r="AC2240">
        <v>13.384399999999999</v>
      </c>
      <c r="AD2240">
        <v>-1.102699483386</v>
      </c>
      <c r="AE2240">
        <v>2.7842799999999901</v>
      </c>
      <c r="AF2240">
        <v>-2.74222361973538</v>
      </c>
      <c r="AG2240">
        <v>-1.102699483386</v>
      </c>
      <c r="AH2240">
        <v>13.3028652792361</v>
      </c>
      <c r="AI2240">
        <v>94.641374892705898</v>
      </c>
      <c r="AJ2240">
        <v>101.647675150954</v>
      </c>
      <c r="AK2240">
        <v>13.627250682687301</v>
      </c>
      <c r="AL2240">
        <v>81.172565153031996</v>
      </c>
      <c r="AM2240">
        <v>92.431045697687793</v>
      </c>
      <c r="AN2240">
        <v>0.99999993123961095</v>
      </c>
    </row>
    <row r="2241" spans="1:40" x14ac:dyDescent="0.3">
      <c r="A2241" t="str">
        <f>"20200111150400830"</f>
        <v>20200111150400830</v>
      </c>
      <c r="B2241" t="str">
        <f>"1578726240820626"</f>
        <v>1578726240820626</v>
      </c>
      <c r="C2241" t="s">
        <v>40</v>
      </c>
      <c r="D2241">
        <v>5.5788970000000004</v>
      </c>
      <c r="E2241">
        <v>0.44038389999999999</v>
      </c>
      <c r="F2241" t="s">
        <v>41</v>
      </c>
      <c r="G2241">
        <v>-337.39350000000002</v>
      </c>
      <c r="H2241" s="1">
        <v>-2.5883770000000001E-6</v>
      </c>
      <c r="I2241">
        <v>25.208179999999999</v>
      </c>
      <c r="J2241">
        <v>-350.75659999999999</v>
      </c>
      <c r="K2241">
        <v>1.102716</v>
      </c>
      <c r="L2241">
        <v>22.424289999999999</v>
      </c>
      <c r="M2241">
        <v>0.9999422</v>
      </c>
      <c r="N2241">
        <v>0</v>
      </c>
      <c r="O2241">
        <v>3.503879E-4</v>
      </c>
      <c r="P2241">
        <v>0.98877839999999995</v>
      </c>
      <c r="Q2241">
        <v>0.1430719</v>
      </c>
      <c r="R2241">
        <v>4.2984139999999997E-2</v>
      </c>
      <c r="S2241">
        <v>3.0418400000000001</v>
      </c>
      <c r="T2241">
        <v>-0.24609030000000001</v>
      </c>
      <c r="U2241">
        <v>0.62106319999999904</v>
      </c>
      <c r="V2241">
        <v>-4.2121649999999997E-2</v>
      </c>
      <c r="W2241">
        <v>0.15382560000000001</v>
      </c>
      <c r="X2241">
        <v>0.98719979999999996</v>
      </c>
      <c r="Y2241">
        <v>-0.1990798</v>
      </c>
      <c r="Z2241">
        <v>7.9301130000000008E-3</v>
      </c>
      <c r="AA2241">
        <v>0.97995120000000002</v>
      </c>
      <c r="AB2241">
        <v>30</v>
      </c>
      <c r="AC2241">
        <v>13.3630999999999</v>
      </c>
      <c r="AD2241">
        <v>-1.1027185883769901</v>
      </c>
      <c r="AE2241">
        <v>2.7838899999999902</v>
      </c>
      <c r="AF2241">
        <v>-2.76118707573927</v>
      </c>
      <c r="AG2241">
        <v>-1.1027185883769901</v>
      </c>
      <c r="AH2241">
        <v>13.2774228135332</v>
      </c>
      <c r="AI2241">
        <v>94.648634373402899</v>
      </c>
      <c r="AJ2241">
        <v>101.747845615194</v>
      </c>
      <c r="AK2241">
        <v>13.6062521996953</v>
      </c>
      <c r="AL2241">
        <v>81.151308709383002</v>
      </c>
      <c r="AM2241">
        <v>92.443203298961095</v>
      </c>
      <c r="AN2241">
        <v>0.99999999686706098</v>
      </c>
    </row>
    <row r="2242" spans="1:40" x14ac:dyDescent="0.3">
      <c r="A2242" t="str">
        <f>"20200111150400843"</f>
        <v>20200111150400843</v>
      </c>
      <c r="B2242" t="str">
        <f>"1578726240830386"</f>
        <v>1578726240830386</v>
      </c>
      <c r="C2242" t="s">
        <v>40</v>
      </c>
      <c r="D2242">
        <v>5.7662360000000001</v>
      </c>
      <c r="E2242">
        <v>0.44038389999999999</v>
      </c>
      <c r="F2242" t="s">
        <v>41</v>
      </c>
      <c r="G2242">
        <v>-337.18009999999998</v>
      </c>
      <c r="H2242" s="1">
        <v>-2.668311E-6</v>
      </c>
      <c r="I2242">
        <v>25.164539999999999</v>
      </c>
      <c r="J2242">
        <v>-350.56720000000001</v>
      </c>
      <c r="K2242">
        <v>1.1027290000000001</v>
      </c>
      <c r="L2242">
        <v>22.423310000000001</v>
      </c>
      <c r="M2242">
        <v>0.99994179999999999</v>
      </c>
      <c r="N2242">
        <v>0</v>
      </c>
      <c r="O2242">
        <v>-6.747872E-4</v>
      </c>
      <c r="P2242">
        <v>0.98884709999999998</v>
      </c>
      <c r="Q2242">
        <v>0.1428828</v>
      </c>
      <c r="R2242">
        <v>4.2024329999999999E-2</v>
      </c>
      <c r="S2242">
        <v>3.043091</v>
      </c>
      <c r="T2242">
        <v>-0.2471672</v>
      </c>
      <c r="U2242">
        <v>0.61422730000000003</v>
      </c>
      <c r="V2242">
        <v>-4.2178720000000003E-2</v>
      </c>
      <c r="W2242">
        <v>0.15366679999999999</v>
      </c>
      <c r="X2242">
        <v>0.98722209999999999</v>
      </c>
      <c r="Y2242">
        <v>-0.19788620000000001</v>
      </c>
      <c r="Z2242">
        <v>7.9976560000000006E-3</v>
      </c>
      <c r="AA2242">
        <v>0.98019239999999996</v>
      </c>
      <c r="AB2242">
        <v>30</v>
      </c>
      <c r="AC2242">
        <v>13.3871</v>
      </c>
      <c r="AD2242">
        <v>-1.102731668311</v>
      </c>
      <c r="AE2242">
        <v>2.7412299999999901</v>
      </c>
      <c r="AF2242">
        <v>-2.7324689310552701</v>
      </c>
      <c r="AG2242">
        <v>-1.102731668311</v>
      </c>
      <c r="AH2242">
        <v>13.298643534711401</v>
      </c>
      <c r="AI2242">
        <v>94.643586599793394</v>
      </c>
      <c r="AJ2242">
        <v>101.610952926154</v>
      </c>
      <c r="AK2242">
        <v>13.6211718825804</v>
      </c>
      <c r="AL2242">
        <v>81.1605168077879</v>
      </c>
      <c r="AM2242">
        <v>92.446454343315295</v>
      </c>
      <c r="AN2242">
        <v>1.00000000228574</v>
      </c>
    </row>
    <row r="2243" spans="1:40" x14ac:dyDescent="0.3">
      <c r="A2243" t="str">
        <f>"20200111150400862"</f>
        <v>20200111150400862</v>
      </c>
      <c r="B2243" t="str">
        <f>"1578726240850883"</f>
        <v>1578726240850883</v>
      </c>
      <c r="C2243" t="s">
        <v>40</v>
      </c>
      <c r="D2243">
        <v>5.54976</v>
      </c>
      <c r="E2243">
        <v>0.4406138</v>
      </c>
      <c r="F2243" t="s">
        <v>41</v>
      </c>
      <c r="G2243">
        <v>-337.00450000000001</v>
      </c>
      <c r="H2243" s="1">
        <v>-2.7393709999999998E-6</v>
      </c>
      <c r="I2243">
        <v>25.148489999999999</v>
      </c>
      <c r="J2243">
        <v>-350.30860000000001</v>
      </c>
      <c r="K2243">
        <v>1.1027400000000001</v>
      </c>
      <c r="L2243">
        <v>22.421659999999999</v>
      </c>
      <c r="M2243">
        <v>0.99993949999999998</v>
      </c>
      <c r="N2243">
        <v>0</v>
      </c>
      <c r="O2243">
        <v>-2.0676589999999999E-3</v>
      </c>
      <c r="P2243">
        <v>0.98900350000000004</v>
      </c>
      <c r="Q2243">
        <v>0.142571</v>
      </c>
      <c r="R2243">
        <v>3.9316480000000001E-2</v>
      </c>
      <c r="S2243">
        <v>3.0436100000000001</v>
      </c>
      <c r="T2243">
        <v>-0.2474626</v>
      </c>
      <c r="U2243">
        <v>0.61157229999999996</v>
      </c>
      <c r="V2243">
        <v>-4.0851539999999999E-2</v>
      </c>
      <c r="W2243">
        <v>0.15339259999999999</v>
      </c>
      <c r="X2243">
        <v>0.98732050000000005</v>
      </c>
      <c r="Y2243">
        <v>-0.19838990000000001</v>
      </c>
      <c r="Z2243">
        <v>8.1387330000000004E-3</v>
      </c>
      <c r="AA2243">
        <v>0.9800894</v>
      </c>
      <c r="AB2243">
        <v>30</v>
      </c>
      <c r="AC2243">
        <v>13.3041</v>
      </c>
      <c r="AD2243">
        <v>-1.1027427393709901</v>
      </c>
      <c r="AE2243">
        <v>2.7268300000000001</v>
      </c>
      <c r="AF2243">
        <v>-2.7362927944234099</v>
      </c>
      <c r="AG2243">
        <v>-1.1027427393709901</v>
      </c>
      <c r="AH2243">
        <v>13.2113262363285</v>
      </c>
      <c r="AI2243">
        <v>94.672671804721901</v>
      </c>
      <c r="AJ2243">
        <v>101.701491476651</v>
      </c>
      <c r="AK2243">
        <v>13.5367086372113</v>
      </c>
      <c r="AL2243">
        <v>81.176415378113504</v>
      </c>
      <c r="AM2243">
        <v>92.369328393896097</v>
      </c>
      <c r="AN2243">
        <v>0.99999995388768903</v>
      </c>
    </row>
    <row r="2244" spans="1:40" x14ac:dyDescent="0.3">
      <c r="A2244" t="str">
        <f>"20200111150400884"</f>
        <v>20200111150400884</v>
      </c>
      <c r="B2244" t="str">
        <f>"1578726240881138"</f>
        <v>1578726240881138</v>
      </c>
      <c r="C2244" t="s">
        <v>40</v>
      </c>
      <c r="D2244">
        <v>5.5603809999999996</v>
      </c>
      <c r="E2244">
        <v>0.44072549999999999</v>
      </c>
      <c r="F2244" t="s">
        <v>41</v>
      </c>
      <c r="G2244">
        <v>-336.988</v>
      </c>
      <c r="H2244" s="1">
        <v>-2.7228489999999999E-6</v>
      </c>
      <c r="I2244">
        <v>25.059920000000002</v>
      </c>
      <c r="J2244">
        <v>-350.02359999999999</v>
      </c>
      <c r="K2244">
        <v>1.1027559999999901</v>
      </c>
      <c r="L2244">
        <v>22.419460000000001</v>
      </c>
      <c r="M2244">
        <v>0.99993460000000001</v>
      </c>
      <c r="N2244">
        <v>0</v>
      </c>
      <c r="O2244">
        <v>-3.5944359999999999E-3</v>
      </c>
      <c r="P2244">
        <v>0.98923419999999895</v>
      </c>
      <c r="Q2244">
        <v>0.1418596</v>
      </c>
      <c r="R2244">
        <v>3.5935979999999999E-2</v>
      </c>
      <c r="S2244">
        <v>3.0456850000000002</v>
      </c>
      <c r="T2244">
        <v>-0.25213649999999999</v>
      </c>
      <c r="U2244">
        <v>0.60324100000000003</v>
      </c>
      <c r="V2244">
        <v>-3.8986060000000003E-2</v>
      </c>
      <c r="W2244">
        <v>0.1527202</v>
      </c>
      <c r="X2244">
        <v>0.98750020000000005</v>
      </c>
      <c r="Y2244">
        <v>-0.19715379999999999</v>
      </c>
      <c r="Z2244">
        <v>8.3630170000000004E-3</v>
      </c>
      <c r="AA2244">
        <v>0.98033689999999996</v>
      </c>
      <c r="AB2244">
        <v>30</v>
      </c>
      <c r="AC2244">
        <v>13.035599999999899</v>
      </c>
      <c r="AD2244">
        <v>-1.1027587228489999</v>
      </c>
      <c r="AE2244">
        <v>2.64046</v>
      </c>
      <c r="AF2244">
        <v>-2.66895383044805</v>
      </c>
      <c r="AG2244">
        <v>-1.1027587228489999</v>
      </c>
      <c r="AH2244">
        <v>12.937089307956301</v>
      </c>
      <c r="AI2244">
        <v>94.7721052040974</v>
      </c>
      <c r="AJ2244">
        <v>101.65672569164001</v>
      </c>
      <c r="AK2244">
        <v>13.255477023175001</v>
      </c>
      <c r="AL2244">
        <v>81.215400890861304</v>
      </c>
      <c r="AM2244">
        <v>92.260837269211706</v>
      </c>
      <c r="AN2244">
        <v>1.0000000086812</v>
      </c>
    </row>
    <row r="2245" spans="1:40" x14ac:dyDescent="0.3">
      <c r="A2245" t="str">
        <f>"20200111150400896"</f>
        <v>20200111150400896</v>
      </c>
      <c r="B2245" t="str">
        <f>"1578726240890899"</f>
        <v>1578726240890899</v>
      </c>
      <c r="C2245" t="s">
        <v>40</v>
      </c>
      <c r="D2245">
        <v>5.5627019999999998</v>
      </c>
      <c r="E2245">
        <v>0.44073129999999999</v>
      </c>
      <c r="F2245" t="s">
        <v>41</v>
      </c>
      <c r="G2245">
        <v>-336.8356</v>
      </c>
      <c r="H2245" s="1">
        <v>-2.7678520000000002E-6</v>
      </c>
      <c r="I2245">
        <v>24.983270000000001</v>
      </c>
      <c r="J2245">
        <v>-349.85079999999999</v>
      </c>
      <c r="K2245">
        <v>1.1027629999999999</v>
      </c>
      <c r="L2245">
        <v>22.417909999999999</v>
      </c>
      <c r="M2245">
        <v>0.99993080000000001</v>
      </c>
      <c r="N2245">
        <v>0</v>
      </c>
      <c r="O2245">
        <v>-4.5171100000000004E-3</v>
      </c>
      <c r="P2245">
        <v>0.98929469999999997</v>
      </c>
      <c r="Q2245">
        <v>0.1418625</v>
      </c>
      <c r="R2245">
        <v>3.422716E-2</v>
      </c>
      <c r="S2245">
        <v>3.0476679999999998</v>
      </c>
      <c r="T2245">
        <v>-0.25484119999999999</v>
      </c>
      <c r="U2245">
        <v>0.59249879999999999</v>
      </c>
      <c r="V2245">
        <v>-3.8191049999999997E-2</v>
      </c>
      <c r="W2245">
        <v>0.15274560000000001</v>
      </c>
      <c r="X2245">
        <v>0.9875273</v>
      </c>
      <c r="Y2245">
        <v>-0.1946002</v>
      </c>
      <c r="Z2245">
        <v>8.4206019999999993E-3</v>
      </c>
      <c r="AA2245">
        <v>0.98084649999999995</v>
      </c>
      <c r="AB2245">
        <v>30</v>
      </c>
      <c r="AC2245">
        <v>13.015199999999901</v>
      </c>
      <c r="AD2245">
        <v>-1.102765767852</v>
      </c>
      <c r="AE2245">
        <v>2.5653600000000001</v>
      </c>
      <c r="AF2245">
        <v>-2.60611870067302</v>
      </c>
      <c r="AG2245">
        <v>-1.102765767852</v>
      </c>
      <c r="AH2245">
        <v>12.9142341955384</v>
      </c>
      <c r="AI2245">
        <v>94.784738885015898</v>
      </c>
      <c r="AJ2245">
        <v>101.409175694608</v>
      </c>
      <c r="AK2245">
        <v>13.2206426423966</v>
      </c>
      <c r="AL2245">
        <v>81.213927971059903</v>
      </c>
      <c r="AM2245">
        <v>92.214719583471407</v>
      </c>
      <c r="AN2245">
        <v>0.99999997143237496</v>
      </c>
    </row>
    <row r="2246" spans="1:40" x14ac:dyDescent="0.3">
      <c r="A2246" t="str">
        <f>"20200111150400918"</f>
        <v>20200111150400918</v>
      </c>
      <c r="B2246" t="str">
        <f>"1578726240910418"</f>
        <v>1578726240910418</v>
      </c>
      <c r="C2246" t="s">
        <v>40</v>
      </c>
      <c r="D2246">
        <v>5.5609799999999998</v>
      </c>
      <c r="E2246">
        <v>0.44071880000000002</v>
      </c>
      <c r="F2246" t="s">
        <v>41</v>
      </c>
      <c r="G2246">
        <v>-336.6866</v>
      </c>
      <c r="H2246" s="1">
        <v>-2.8229379999999999E-6</v>
      </c>
      <c r="I2246">
        <v>24.950040000000001</v>
      </c>
      <c r="J2246">
        <v>-349.5548</v>
      </c>
      <c r="K2246">
        <v>1.1027659999999999</v>
      </c>
      <c r="L2246">
        <v>22.414860000000001</v>
      </c>
      <c r="M2246">
        <v>0.99992170000000002</v>
      </c>
      <c r="N2246">
        <v>0</v>
      </c>
      <c r="O2246">
        <v>-6.0953919999999998E-3</v>
      </c>
      <c r="P2246">
        <v>0.98940649999999997</v>
      </c>
      <c r="Q2246">
        <v>0.1417844</v>
      </c>
      <c r="R2246">
        <v>3.1176559999999999E-2</v>
      </c>
      <c r="S2246">
        <v>3.0488279999999999</v>
      </c>
      <c r="T2246">
        <v>-0.2553995</v>
      </c>
      <c r="U2246">
        <v>0.58645630000000004</v>
      </c>
      <c r="V2246">
        <v>-3.670325E-2</v>
      </c>
      <c r="W2246">
        <v>0.15270320000000001</v>
      </c>
      <c r="X2246">
        <v>0.98759030000000003</v>
      </c>
      <c r="Y2246">
        <v>-0.1941976</v>
      </c>
      <c r="Z2246">
        <v>8.5515609999999992E-3</v>
      </c>
      <c r="AA2246">
        <v>0.98092509999999999</v>
      </c>
      <c r="AB2246">
        <v>30</v>
      </c>
      <c r="AC2246">
        <v>12.8682</v>
      </c>
      <c r="AD2246">
        <v>-1.1027688229379999</v>
      </c>
      <c r="AE2246">
        <v>2.5351799999999902</v>
      </c>
      <c r="AF2246">
        <v>-2.5952270485358202</v>
      </c>
      <c r="AG2246">
        <v>-1.1027688229379999</v>
      </c>
      <c r="AH2246">
        <v>12.762282646717299</v>
      </c>
      <c r="AI2246">
        <v>94.839999121048805</v>
      </c>
      <c r="AJ2246">
        <v>101.494444275521</v>
      </c>
      <c r="AK2246">
        <v>13.070086490341099</v>
      </c>
      <c r="AL2246">
        <v>81.216386386960295</v>
      </c>
      <c r="AM2246">
        <v>92.128386568172004</v>
      </c>
      <c r="AN2246">
        <v>0.99999999825244601</v>
      </c>
    </row>
    <row r="2247" spans="1:40" x14ac:dyDescent="0.3">
      <c r="A2247" t="str">
        <f>"20200111150400940"</f>
        <v>20200111150400940</v>
      </c>
      <c r="B2247" t="str">
        <f>"1578726240930915"</f>
        <v>1578726240930915</v>
      </c>
      <c r="C2247" t="s">
        <v>40</v>
      </c>
      <c r="D2247">
        <v>5.5636260000000002</v>
      </c>
      <c r="E2247">
        <v>0.44062030000000002</v>
      </c>
      <c r="F2247" t="s">
        <v>41</v>
      </c>
      <c r="G2247">
        <v>-336.45170000000002</v>
      </c>
      <c r="H2247" s="1">
        <v>-2.9085289999999999E-6</v>
      </c>
      <c r="I2247">
        <v>24.89302</v>
      </c>
      <c r="J2247">
        <v>-349.2491</v>
      </c>
      <c r="K2247">
        <v>1.1027670000000001</v>
      </c>
      <c r="L2247">
        <v>22.411290000000001</v>
      </c>
      <c r="M2247">
        <v>0.99991019999999997</v>
      </c>
      <c r="N2247">
        <v>0</v>
      </c>
      <c r="O2247">
        <v>-7.7248129999999996E-3</v>
      </c>
      <c r="P2247">
        <v>0.98952260000000003</v>
      </c>
      <c r="Q2247">
        <v>0.14159289999999999</v>
      </c>
      <c r="R2247">
        <v>2.8227329999999998E-2</v>
      </c>
      <c r="S2247">
        <v>3.0507200000000001</v>
      </c>
      <c r="T2247">
        <v>-0.25675120000000001</v>
      </c>
      <c r="U2247">
        <v>0.57699579999999995</v>
      </c>
      <c r="V2247">
        <v>-3.536856E-2</v>
      </c>
      <c r="W2247">
        <v>0.1525444</v>
      </c>
      <c r="X2247">
        <v>0.98766359999999997</v>
      </c>
      <c r="Y2247">
        <v>-0.1927403</v>
      </c>
      <c r="Z2247">
        <v>8.6689669999999996E-3</v>
      </c>
      <c r="AA2247">
        <v>0.98121150000000001</v>
      </c>
      <c r="AB2247">
        <v>30</v>
      </c>
      <c r="AC2247">
        <v>12.7973999999999</v>
      </c>
      <c r="AD2247">
        <v>-1.1027699085289999</v>
      </c>
      <c r="AE2247">
        <v>2.4817300000000002</v>
      </c>
      <c r="AF2247">
        <v>-2.56218342944126</v>
      </c>
      <c r="AG2247">
        <v>-1.1027699085289999</v>
      </c>
      <c r="AH2247">
        <v>12.687052669202499</v>
      </c>
      <c r="AI2247">
        <v>94.869885290582104</v>
      </c>
      <c r="AJ2247">
        <v>101.41746547469199</v>
      </c>
      <c r="AK2247">
        <v>12.9900804781332</v>
      </c>
      <c r="AL2247">
        <v>81.225593343366199</v>
      </c>
      <c r="AM2247">
        <v>92.050904424311398</v>
      </c>
      <c r="AN2247">
        <v>1.0000000578863899</v>
      </c>
    </row>
    <row r="2248" spans="1:40" x14ac:dyDescent="0.3">
      <c r="A2248" t="str">
        <f>"20200111150400953"</f>
        <v>20200111150400953</v>
      </c>
      <c r="B2248" t="str">
        <f>"1578726240950434"</f>
        <v>1578726240950434</v>
      </c>
      <c r="C2248" t="s">
        <v>40</v>
      </c>
      <c r="D2248">
        <v>5.585585</v>
      </c>
      <c r="E2248">
        <v>0.44047599999999998</v>
      </c>
      <c r="F2248" t="s">
        <v>41</v>
      </c>
      <c r="G2248">
        <v>-336.15699999999998</v>
      </c>
      <c r="H2248" s="1">
        <v>-3.024553E-6</v>
      </c>
      <c r="I2248">
        <v>24.85389</v>
      </c>
      <c r="J2248">
        <v>-349.06909999999999</v>
      </c>
      <c r="K2248">
        <v>1.1027739999999999</v>
      </c>
      <c r="L2248">
        <v>22.408940000000001</v>
      </c>
      <c r="M2248">
        <v>0.99990210000000002</v>
      </c>
      <c r="N2248">
        <v>0</v>
      </c>
      <c r="O2248">
        <v>-8.6834770000000002E-3</v>
      </c>
      <c r="P2248">
        <v>0.98959059999999999</v>
      </c>
      <c r="Q2248">
        <v>0.14139889999999999</v>
      </c>
      <c r="R2248">
        <v>2.6776330000000001E-2</v>
      </c>
      <c r="S2248">
        <v>3.0523069999999999</v>
      </c>
      <c r="T2248">
        <v>-0.25710090000000002</v>
      </c>
      <c r="U2248">
        <v>0.56948849999999995</v>
      </c>
      <c r="V2248">
        <v>-3.4867469999999998E-2</v>
      </c>
      <c r="W2248">
        <v>0.15237000000000001</v>
      </c>
      <c r="X2248">
        <v>0.98770829999999998</v>
      </c>
      <c r="Y2248">
        <v>-0.1912566</v>
      </c>
      <c r="Z2248">
        <v>8.6963690000000007E-3</v>
      </c>
      <c r="AA2248">
        <v>0.98150150000000003</v>
      </c>
      <c r="AB2248">
        <v>30</v>
      </c>
      <c r="AC2248">
        <v>12.912100000000001</v>
      </c>
      <c r="AD2248">
        <v>-1.102777024553</v>
      </c>
      <c r="AE2248">
        <v>2.4449499999999902</v>
      </c>
      <c r="AF2248">
        <v>-2.53910663704659</v>
      </c>
      <c r="AG2248">
        <v>-1.102777024553</v>
      </c>
      <c r="AH2248">
        <v>12.8002446019036</v>
      </c>
      <c r="AI2248">
        <v>94.830375633499401</v>
      </c>
      <c r="AJ2248">
        <v>101.21976884962</v>
      </c>
      <c r="AK2248">
        <v>13.096161328753499</v>
      </c>
      <c r="AL2248">
        <v>81.235703598318395</v>
      </c>
      <c r="AM2248">
        <v>92.021780754895204</v>
      </c>
      <c r="AN2248">
        <v>1.0000000216265399</v>
      </c>
    </row>
    <row r="2249" spans="1:40" x14ac:dyDescent="0.3">
      <c r="A2249" t="str">
        <f>"20200111150400967"</f>
        <v>20200111150400967</v>
      </c>
      <c r="B2249" t="str">
        <f>"1578726240961172"</f>
        <v>1578726240961172</v>
      </c>
      <c r="C2249" t="s">
        <v>40</v>
      </c>
      <c r="D2249">
        <v>5.5374980000000003</v>
      </c>
      <c r="E2249">
        <v>0.4404691</v>
      </c>
      <c r="F2249" t="s">
        <v>41</v>
      </c>
      <c r="G2249">
        <v>-335.99419999999998</v>
      </c>
      <c r="H2249" s="1">
        <v>-3.0894060000000002E-6</v>
      </c>
      <c r="I2249">
        <v>24.835149999999999</v>
      </c>
      <c r="J2249">
        <v>-348.8854</v>
      </c>
      <c r="K2249">
        <v>1.1027750000000001</v>
      </c>
      <c r="L2249">
        <v>22.406369999999999</v>
      </c>
      <c r="M2249">
        <v>0.99989280000000003</v>
      </c>
      <c r="N2249">
        <v>0</v>
      </c>
      <c r="O2249">
        <v>-9.6616840000000002E-3</v>
      </c>
      <c r="P2249">
        <v>0.98961529999999998</v>
      </c>
      <c r="Q2249">
        <v>0.1414694</v>
      </c>
      <c r="R2249">
        <v>2.5453389999999999E-2</v>
      </c>
      <c r="S2249">
        <v>3.0529480000000002</v>
      </c>
      <c r="T2249">
        <v>-0.25749349999999999</v>
      </c>
      <c r="U2249">
        <v>0.56652829999999998</v>
      </c>
      <c r="V2249">
        <v>-3.451282E-2</v>
      </c>
      <c r="W2249">
        <v>0.15245819999999999</v>
      </c>
      <c r="X2249">
        <v>0.98770709999999995</v>
      </c>
      <c r="Y2249">
        <v>-0.19125439999999999</v>
      </c>
      <c r="Z2249">
        <v>8.7901799999999999E-3</v>
      </c>
      <c r="AA2249">
        <v>0.98150119999999996</v>
      </c>
      <c r="AB2249">
        <v>30</v>
      </c>
      <c r="AC2249">
        <v>12.8912</v>
      </c>
      <c r="AD2249">
        <v>-1.102778089406</v>
      </c>
      <c r="AE2249">
        <v>2.4287799999999899</v>
      </c>
      <c r="AF2249">
        <v>-2.5353076079978401</v>
      </c>
      <c r="AG2249">
        <v>-1.102778089406</v>
      </c>
      <c r="AH2249">
        <v>12.776835621464601</v>
      </c>
      <c r="AI2249">
        <v>94.839127468719994</v>
      </c>
      <c r="AJ2249">
        <v>101.223412325843</v>
      </c>
      <c r="AK2249">
        <v>13.072544996272701</v>
      </c>
      <c r="AL2249">
        <v>81.230589972047895</v>
      </c>
      <c r="AM2249">
        <v>92.001235707558493</v>
      </c>
      <c r="AN2249">
        <v>0.99999997644100003</v>
      </c>
    </row>
    <row r="2250" spans="1:40" x14ac:dyDescent="0.3">
      <c r="A2250" t="str">
        <f>"20200111150400985"</f>
        <v>20200111150400985</v>
      </c>
      <c r="B2250" t="str">
        <f>"1578726240980692"</f>
        <v>1578726240980692</v>
      </c>
      <c r="C2250" t="s">
        <v>40</v>
      </c>
      <c r="D2250">
        <v>5.5274619999999999</v>
      </c>
      <c r="E2250">
        <v>0.44048949999999998</v>
      </c>
      <c r="F2250" t="s">
        <v>41</v>
      </c>
      <c r="G2250">
        <v>-335.81819999999999</v>
      </c>
      <c r="H2250" s="1">
        <v>-3.1591029999999998E-6</v>
      </c>
      <c r="I2250">
        <v>24.813300000000002</v>
      </c>
      <c r="J2250">
        <v>-348.6447</v>
      </c>
      <c r="K2250">
        <v>1.10277</v>
      </c>
      <c r="L2250">
        <v>22.402709999999999</v>
      </c>
      <c r="M2250">
        <v>0.99987939999999997</v>
      </c>
      <c r="N2250">
        <v>0</v>
      </c>
      <c r="O2250">
        <v>-1.0941370000000001E-2</v>
      </c>
      <c r="P2250">
        <v>0.98967079999999996</v>
      </c>
      <c r="Q2250">
        <v>0.14116609999999999</v>
      </c>
      <c r="R2250">
        <v>2.49838E-2</v>
      </c>
      <c r="S2250">
        <v>3.0538940000000001</v>
      </c>
      <c r="T2250">
        <v>-0.25772519999999999</v>
      </c>
      <c r="U2250">
        <v>0.56253050000000004</v>
      </c>
      <c r="V2250">
        <v>-3.5311699999999897E-2</v>
      </c>
      <c r="W2250">
        <v>0.15218110000000001</v>
      </c>
      <c r="X2250">
        <v>0.98772159999999998</v>
      </c>
      <c r="Y2250">
        <v>-0.19120819999999999</v>
      </c>
      <c r="Z2250">
        <v>8.9014550000000008E-3</v>
      </c>
      <c r="AA2250">
        <v>0.98150910000000002</v>
      </c>
      <c r="AB2250">
        <v>30</v>
      </c>
      <c r="AC2250">
        <v>12.826499999999999</v>
      </c>
      <c r="AD2250">
        <v>-1.1027731591029999</v>
      </c>
      <c r="AE2250">
        <v>2.41059</v>
      </c>
      <c r="AF2250">
        <v>-2.5327108513375398</v>
      </c>
      <c r="AG2250">
        <v>-1.1027731591029999</v>
      </c>
      <c r="AH2250">
        <v>12.708619402156</v>
      </c>
      <c r="AI2250">
        <v>94.864159356362293</v>
      </c>
      <c r="AJ2250">
        <v>101.27085550588799</v>
      </c>
      <c r="AK2250">
        <v>13.005373505047</v>
      </c>
      <c r="AL2250">
        <v>81.246654122783198</v>
      </c>
      <c r="AM2250">
        <v>92.047489976701897</v>
      </c>
      <c r="AN2250">
        <v>0.99999998123032896</v>
      </c>
    </row>
    <row r="2251" spans="1:40" x14ac:dyDescent="0.3">
      <c r="A2251" t="str">
        <f>"20200111150401007"</f>
        <v>20200111150401007</v>
      </c>
      <c r="B2251" t="str">
        <f>"1578726241001188"</f>
        <v>1578726241001188</v>
      </c>
      <c r="C2251" t="s">
        <v>40</v>
      </c>
      <c r="D2251">
        <v>5.5339349999999996</v>
      </c>
      <c r="E2251">
        <v>0.44043569999999999</v>
      </c>
      <c r="F2251" t="s">
        <v>41</v>
      </c>
      <c r="G2251">
        <v>-335.67649999999998</v>
      </c>
      <c r="H2251" s="1">
        <v>-3.2117850000000001E-6</v>
      </c>
      <c r="I2251">
        <v>24.782959999999999</v>
      </c>
      <c r="J2251">
        <v>-348.33690000000001</v>
      </c>
      <c r="K2251">
        <v>1.10277</v>
      </c>
      <c r="L2251">
        <v>22.397580000000001</v>
      </c>
      <c r="M2251">
        <v>0.99985999999999997</v>
      </c>
      <c r="N2251">
        <v>0</v>
      </c>
      <c r="O2251">
        <v>-1.257378E-2</v>
      </c>
      <c r="P2251">
        <v>0.98976980000000003</v>
      </c>
      <c r="Q2251">
        <v>0.14070070000000001</v>
      </c>
      <c r="R2251">
        <v>2.365242E-2</v>
      </c>
      <c r="S2251">
        <v>3.05423</v>
      </c>
      <c r="T2251">
        <v>-0.2597216</v>
      </c>
      <c r="U2251">
        <v>0.56060790000000005</v>
      </c>
      <c r="V2251">
        <v>-3.5599529999999997E-2</v>
      </c>
      <c r="W2251">
        <v>0.15174319999999999</v>
      </c>
      <c r="X2251">
        <v>0.98777870000000001</v>
      </c>
      <c r="Y2251">
        <v>-0.1921736</v>
      </c>
      <c r="Z2251">
        <v>9.1478380000000001E-3</v>
      </c>
      <c r="AA2251">
        <v>0.98131829999999998</v>
      </c>
      <c r="AB2251">
        <v>30</v>
      </c>
      <c r="AC2251">
        <v>12.660399999999999</v>
      </c>
      <c r="AD2251">
        <v>-1.102773211785</v>
      </c>
      <c r="AE2251">
        <v>2.3853800000000001</v>
      </c>
      <c r="AF2251">
        <v>-2.5258829812114398</v>
      </c>
      <c r="AG2251">
        <v>-1.102773211785</v>
      </c>
      <c r="AH2251">
        <v>12.537541073119099</v>
      </c>
      <c r="AI2251">
        <v>94.928152531725999</v>
      </c>
      <c r="AJ2251">
        <v>101.390651531595</v>
      </c>
      <c r="AK2251">
        <v>12.8369049911399</v>
      </c>
      <c r="AL2251">
        <v>81.2720392954256</v>
      </c>
      <c r="AM2251">
        <v>92.064045721105899</v>
      </c>
      <c r="AN2251">
        <v>1.00000004272807</v>
      </c>
    </row>
    <row r="2252" spans="1:40" x14ac:dyDescent="0.3">
      <c r="A2252" t="str">
        <f>"20200111150401022"</f>
        <v>20200111150401022</v>
      </c>
      <c r="B2252" t="str">
        <f>"1578726241010947"</f>
        <v>1578726241010947</v>
      </c>
      <c r="C2252" t="s">
        <v>40</v>
      </c>
      <c r="D2252">
        <v>5.5304960000000003</v>
      </c>
      <c r="E2252">
        <v>0.44043680000000002</v>
      </c>
      <c r="F2252" t="s">
        <v>41</v>
      </c>
      <c r="G2252">
        <v>-335.43189999999998</v>
      </c>
      <c r="H2252" s="1">
        <v>-3.3080820000000001E-6</v>
      </c>
      <c r="I2252">
        <v>24.75047</v>
      </c>
      <c r="J2252">
        <v>-348.13720000000001</v>
      </c>
      <c r="K2252">
        <v>1.102773</v>
      </c>
      <c r="L2252">
        <v>22.393979999999999</v>
      </c>
      <c r="M2252">
        <v>0.99984600000000001</v>
      </c>
      <c r="N2252">
        <v>0</v>
      </c>
      <c r="O2252">
        <v>-1.362821E-2</v>
      </c>
      <c r="P2252">
        <v>0.98985789999999996</v>
      </c>
      <c r="Q2252">
        <v>0.14024310000000001</v>
      </c>
      <c r="R2252">
        <v>2.2655740000000001E-2</v>
      </c>
      <c r="S2252">
        <v>3.0547789999999999</v>
      </c>
      <c r="T2252">
        <v>-0.26104100000000002</v>
      </c>
      <c r="U2252">
        <v>0.55697629999999998</v>
      </c>
      <c r="V2252">
        <v>-3.5650010000000003E-2</v>
      </c>
      <c r="W2252">
        <v>0.15130160000000001</v>
      </c>
      <c r="X2252">
        <v>0.98784459999999996</v>
      </c>
      <c r="Y2252">
        <v>-0.19203770000000001</v>
      </c>
      <c r="Z2252">
        <v>9.2770089999999993E-3</v>
      </c>
      <c r="AA2252">
        <v>0.98134370000000004</v>
      </c>
      <c r="AB2252">
        <v>30</v>
      </c>
      <c r="AC2252">
        <v>12.705299999999999</v>
      </c>
      <c r="AD2252">
        <v>-1.1027763080819999</v>
      </c>
      <c r="AE2252">
        <v>2.35649</v>
      </c>
      <c r="AF2252">
        <v>-2.5111432980246802</v>
      </c>
      <c r="AG2252">
        <v>-1.1027763080819999</v>
      </c>
      <c r="AH2252">
        <v>12.580379046660299</v>
      </c>
      <c r="AI2252">
        <v>94.913218053137896</v>
      </c>
      <c r="AJ2252">
        <v>101.288330353612</v>
      </c>
      <c r="AK2252">
        <v>12.8758647556788</v>
      </c>
      <c r="AL2252">
        <v>81.297636511939203</v>
      </c>
      <c r="AM2252">
        <v>92.066832223449694</v>
      </c>
      <c r="AN2252">
        <v>1.00000002556235</v>
      </c>
    </row>
    <row r="2253" spans="1:40" x14ac:dyDescent="0.3">
      <c r="A2253" t="str">
        <f>"20200111150401042"</f>
        <v>20200111150401042</v>
      </c>
      <c r="B2253" t="str">
        <f>"1578726241030466"</f>
        <v>1578726241030466</v>
      </c>
      <c r="C2253" t="s">
        <v>40</v>
      </c>
      <c r="D2253">
        <v>5.5128959999999996</v>
      </c>
      <c r="E2253">
        <v>0.4403647</v>
      </c>
      <c r="F2253" t="s">
        <v>41</v>
      </c>
      <c r="G2253">
        <v>-335.30439999999999</v>
      </c>
      <c r="H2253" s="1">
        <v>-3.354975E-6</v>
      </c>
      <c r="I2253">
        <v>24.721060000000001</v>
      </c>
      <c r="J2253">
        <v>-347.87380000000002</v>
      </c>
      <c r="K2253">
        <v>1.102781</v>
      </c>
      <c r="L2253">
        <v>22.388950000000001</v>
      </c>
      <c r="M2253">
        <v>0.99982599999999999</v>
      </c>
      <c r="N2253">
        <v>0</v>
      </c>
      <c r="O2253">
        <v>-1.5013179999999999E-2</v>
      </c>
      <c r="P2253">
        <v>0.98994360000000003</v>
      </c>
      <c r="Q2253">
        <v>0.1398575</v>
      </c>
      <c r="R2253">
        <v>2.1261749999999999E-2</v>
      </c>
      <c r="S2253">
        <v>3.055237</v>
      </c>
      <c r="T2253">
        <v>-0.26254840000000002</v>
      </c>
      <c r="U2253">
        <v>0.55404659999999994</v>
      </c>
      <c r="V2253">
        <v>-3.5631780000000002E-2</v>
      </c>
      <c r="W2253">
        <v>0.15093480000000001</v>
      </c>
      <c r="X2253">
        <v>0.98790129999999998</v>
      </c>
      <c r="Y2253">
        <v>-0.19244530000000001</v>
      </c>
      <c r="Z2253">
        <v>9.4650600000000008E-3</v>
      </c>
      <c r="AA2253">
        <v>0.98126199999999997</v>
      </c>
      <c r="AB2253">
        <v>30</v>
      </c>
      <c r="AC2253">
        <v>12.5694</v>
      </c>
      <c r="AD2253">
        <v>-1.102784354975</v>
      </c>
      <c r="AE2253">
        <v>2.3321099999999899</v>
      </c>
      <c r="AF2253">
        <v>-2.5019474285334802</v>
      </c>
      <c r="AG2253">
        <v>-1.102784354975</v>
      </c>
      <c r="AH2253">
        <v>12.4403950114447</v>
      </c>
      <c r="AI2253">
        <v>94.966829639121201</v>
      </c>
      <c r="AJ2253">
        <v>101.37133539656099</v>
      </c>
      <c r="AK2253">
        <v>12.7373192748514</v>
      </c>
      <c r="AL2253">
        <v>81.318896172095705</v>
      </c>
      <c r="AM2253">
        <v>92.065657782150197</v>
      </c>
      <c r="AN2253">
        <v>0.99999995806934805</v>
      </c>
    </row>
    <row r="2254" spans="1:40" x14ac:dyDescent="0.3">
      <c r="A2254" t="str">
        <f>"20200111150401056"</f>
        <v>20200111150401056</v>
      </c>
      <c r="B2254" t="str">
        <f>"1578726241050962"</f>
        <v>1578726241050962</v>
      </c>
      <c r="C2254" t="s">
        <v>40</v>
      </c>
      <c r="D2254">
        <v>5.4845079999999999</v>
      </c>
      <c r="E2254">
        <v>0.44028430000000002</v>
      </c>
      <c r="F2254" t="s">
        <v>41</v>
      </c>
      <c r="G2254">
        <v>-335.10199999999998</v>
      </c>
      <c r="H2254" s="1">
        <v>-3.4331249999999998E-6</v>
      </c>
      <c r="I2254">
        <v>24.688479999999998</v>
      </c>
      <c r="J2254">
        <v>-347.66590000000002</v>
      </c>
      <c r="K2254">
        <v>1.102784</v>
      </c>
      <c r="L2254">
        <v>22.384740000000001</v>
      </c>
      <c r="M2254">
        <v>0.9998089</v>
      </c>
      <c r="N2254">
        <v>0</v>
      </c>
      <c r="O2254">
        <v>-1.610046E-2</v>
      </c>
      <c r="P2254">
        <v>0.98991560000000001</v>
      </c>
      <c r="Q2254">
        <v>0.14023620000000001</v>
      </c>
      <c r="R2254">
        <v>2.002497E-2</v>
      </c>
      <c r="S2254">
        <v>3.055939</v>
      </c>
      <c r="T2254">
        <v>-0.26386549999999998</v>
      </c>
      <c r="U2254">
        <v>0.5502319</v>
      </c>
      <c r="V2254">
        <v>-3.5470889999999998E-2</v>
      </c>
      <c r="W2254">
        <v>0.15132509999999999</v>
      </c>
      <c r="X2254">
        <v>0.98784740000000004</v>
      </c>
      <c r="Y2254">
        <v>-0.1922759</v>
      </c>
      <c r="Z2254">
        <v>9.5970469999999992E-3</v>
      </c>
      <c r="AA2254">
        <v>0.981294</v>
      </c>
      <c r="AB2254">
        <v>30</v>
      </c>
      <c r="AC2254">
        <v>12.5639</v>
      </c>
      <c r="AD2254">
        <v>-1.102787433125</v>
      </c>
      <c r="AE2254">
        <v>2.3037399999999901</v>
      </c>
      <c r="AF2254">
        <v>-2.4871994655126901</v>
      </c>
      <c r="AG2254">
        <v>-1.102787433125</v>
      </c>
      <c r="AH2254">
        <v>12.432509252277301</v>
      </c>
      <c r="AI2254">
        <v>94.970987655370294</v>
      </c>
      <c r="AJ2254">
        <v>101.313023777629</v>
      </c>
      <c r="AK2254">
        <v>12.7267272938437</v>
      </c>
      <c r="AL2254">
        <v>81.296273958453995</v>
      </c>
      <c r="AM2254">
        <v>92.056450741204202</v>
      </c>
      <c r="AN2254">
        <v>0.99999997780708005</v>
      </c>
    </row>
    <row r="2255" spans="1:40" x14ac:dyDescent="0.3">
      <c r="A2255" t="str">
        <f>"20200111150401073"</f>
        <v>20200111150401073</v>
      </c>
      <c r="B2255" t="str">
        <f>"1578726241070483"</f>
        <v>1578726241070483</v>
      </c>
      <c r="C2255" t="s">
        <v>40</v>
      </c>
      <c r="D2255">
        <v>5.4542809999999999</v>
      </c>
      <c r="E2255">
        <v>0.44017469999999997</v>
      </c>
      <c r="F2255" t="s">
        <v>41</v>
      </c>
      <c r="G2255">
        <v>-334.81310000000002</v>
      </c>
      <c r="H2255" s="1">
        <v>-3.5372230000000002E-6</v>
      </c>
      <c r="I2255">
        <v>24.685099999999998</v>
      </c>
      <c r="J2255">
        <v>-347.43959999999998</v>
      </c>
      <c r="K2255">
        <v>1.1027979999999999</v>
      </c>
      <c r="L2255">
        <v>22.379909999999999</v>
      </c>
      <c r="M2255">
        <v>0.99978909999999999</v>
      </c>
      <c r="N2255">
        <v>0</v>
      </c>
      <c r="O2255">
        <v>-1.7276529999999998E-2</v>
      </c>
      <c r="P2255">
        <v>0.98986039999999997</v>
      </c>
      <c r="Q2255">
        <v>0.14081779999999999</v>
      </c>
      <c r="R2255">
        <v>1.8625450000000002E-2</v>
      </c>
      <c r="S2255">
        <v>3.0566409999999999</v>
      </c>
      <c r="T2255">
        <v>-0.262264099999999</v>
      </c>
      <c r="U2255">
        <v>0.54708859999999904</v>
      </c>
      <c r="V2255">
        <v>-3.5235420000000003E-2</v>
      </c>
      <c r="W2255">
        <v>0.15191760000000001</v>
      </c>
      <c r="X2255">
        <v>0.98776489999999995</v>
      </c>
      <c r="Y2255">
        <v>-0.1924178</v>
      </c>
      <c r="Z2255">
        <v>9.6437480000000006E-3</v>
      </c>
      <c r="AA2255">
        <v>0.98126570000000002</v>
      </c>
      <c r="AB2255">
        <v>30</v>
      </c>
      <c r="AC2255">
        <v>12.626499999999901</v>
      </c>
      <c r="AD2255">
        <v>-1.102801537223</v>
      </c>
      <c r="AE2255">
        <v>2.3051900000000001</v>
      </c>
      <c r="AF2255">
        <v>-2.5045124982454201</v>
      </c>
      <c r="AG2255">
        <v>-1.102801537223</v>
      </c>
      <c r="AH2255">
        <v>12.492563766413801</v>
      </c>
      <c r="AI2255">
        <v>94.946870842095706</v>
      </c>
      <c r="AJ2255">
        <v>101.336388850867</v>
      </c>
      <c r="AK2255">
        <v>12.7887803774356</v>
      </c>
      <c r="AL2255">
        <v>81.261929285299104</v>
      </c>
      <c r="AM2255">
        <v>92.042981275732103</v>
      </c>
      <c r="AN2255">
        <v>0.99999999484217295</v>
      </c>
    </row>
    <row r="2256" spans="1:40" x14ac:dyDescent="0.3">
      <c r="A2256" t="str">
        <f>"20200111150401096"</f>
        <v>20200111150401096</v>
      </c>
      <c r="B2256" t="str">
        <f>"1578726241090979"</f>
        <v>1578726241090979</v>
      </c>
      <c r="C2256" t="s">
        <v>40</v>
      </c>
      <c r="D2256">
        <v>5.4652190000000003</v>
      </c>
      <c r="E2256">
        <v>0.44005549999999999</v>
      </c>
      <c r="F2256" t="s">
        <v>41</v>
      </c>
      <c r="G2256">
        <v>-334.50139999999999</v>
      </c>
      <c r="H2256" s="1">
        <v>-3.6423280000000002E-6</v>
      </c>
      <c r="I2256">
        <v>24.67962</v>
      </c>
      <c r="J2256">
        <v>-347.1284</v>
      </c>
      <c r="K2256">
        <v>1.102819</v>
      </c>
      <c r="L2256">
        <v>22.372769999999999</v>
      </c>
      <c r="M2256">
        <v>0.99975999999999998</v>
      </c>
      <c r="N2256">
        <v>0</v>
      </c>
      <c r="O2256">
        <v>-1.8879429999999999E-2</v>
      </c>
      <c r="P2256">
        <v>0.98980559999999995</v>
      </c>
      <c r="Q2256">
        <v>0.14148949999999999</v>
      </c>
      <c r="R2256">
        <v>1.6303370000000001E-2</v>
      </c>
      <c r="S2256">
        <v>3.0575869999999998</v>
      </c>
      <c r="T2256">
        <v>-0.2606156</v>
      </c>
      <c r="U2256">
        <v>0.54348750000000001</v>
      </c>
      <c r="V2256">
        <v>-3.450027E-2</v>
      </c>
      <c r="W2256">
        <v>0.1526014</v>
      </c>
      <c r="X2256">
        <v>0.98768540000000005</v>
      </c>
      <c r="Y2256">
        <v>-0.19282050000000001</v>
      </c>
      <c r="Z2256">
        <v>9.7338370000000004E-3</v>
      </c>
      <c r="AA2256">
        <v>0.98118570000000005</v>
      </c>
      <c r="AB2256">
        <v>30</v>
      </c>
      <c r="AC2256">
        <v>12.627000000000001</v>
      </c>
      <c r="AD2256">
        <v>-1.1028226423280001</v>
      </c>
      <c r="AE2256">
        <v>2.3068499999999901</v>
      </c>
      <c r="AF2256">
        <v>-2.5261966218074998</v>
      </c>
      <c r="AG2256">
        <v>-1.1028226423280001</v>
      </c>
      <c r="AH2256">
        <v>12.4890052188541</v>
      </c>
      <c r="AI2256">
        <v>94.946658993340904</v>
      </c>
      <c r="AJ2256">
        <v>101.43513745867401</v>
      </c>
      <c r="AK2256">
        <v>12.7895714748004</v>
      </c>
      <c r="AL2256">
        <v>81.222287864105397</v>
      </c>
      <c r="AM2256">
        <v>92.000552500204506</v>
      </c>
      <c r="AN2256">
        <v>0.999999952642595</v>
      </c>
    </row>
    <row r="2257" spans="1:40" x14ac:dyDescent="0.3">
      <c r="A2257" t="str">
        <f>"20200111150401108"</f>
        <v>20200111150401108</v>
      </c>
      <c r="B2257" t="str">
        <f>"1578726241100740"</f>
        <v>1578726241100740</v>
      </c>
      <c r="C2257" t="s">
        <v>40</v>
      </c>
      <c r="D2257">
        <v>5.4513189999999998</v>
      </c>
      <c r="E2257">
        <v>0.43998670000000001</v>
      </c>
      <c r="F2257" t="s">
        <v>41</v>
      </c>
      <c r="G2257">
        <v>-334.09870000000001</v>
      </c>
      <c r="H2257" s="1">
        <v>-3.7759370000000001E-6</v>
      </c>
      <c r="I2257">
        <v>24.660329999999998</v>
      </c>
      <c r="J2257">
        <v>-346.95030000000003</v>
      </c>
      <c r="K2257">
        <v>1.1028260000000001</v>
      </c>
      <c r="L2257">
        <v>22.368559999999999</v>
      </c>
      <c r="M2257">
        <v>0.99974229999999997</v>
      </c>
      <c r="N2257">
        <v>0</v>
      </c>
      <c r="O2257">
        <v>-1.9791309999999999E-2</v>
      </c>
      <c r="P2257">
        <v>0.98980049999999997</v>
      </c>
      <c r="Q2257">
        <v>0.14168239999999999</v>
      </c>
      <c r="R2257">
        <v>1.488446E-2</v>
      </c>
      <c r="S2257">
        <v>3.0590519999999999</v>
      </c>
      <c r="T2257">
        <v>-0.25891449999999999</v>
      </c>
      <c r="U2257">
        <v>0.53707890000000003</v>
      </c>
      <c r="V2257">
        <v>-3.3985380000000003E-2</v>
      </c>
      <c r="W2257">
        <v>0.1528003</v>
      </c>
      <c r="X2257">
        <v>0.98767260000000001</v>
      </c>
      <c r="Y2257">
        <v>-0.19165180000000001</v>
      </c>
      <c r="Z2257">
        <v>9.6952280000000002E-3</v>
      </c>
      <c r="AA2257">
        <v>0.98141509999999998</v>
      </c>
      <c r="AB2257">
        <v>31</v>
      </c>
      <c r="AC2257">
        <v>12.851599999999999</v>
      </c>
      <c r="AD2257">
        <v>-1.102829775937</v>
      </c>
      <c r="AE2257">
        <v>2.2917699999999899</v>
      </c>
      <c r="AF2257">
        <v>-2.52764732783726</v>
      </c>
      <c r="AG2257">
        <v>-1.102829775937</v>
      </c>
      <c r="AH2257">
        <v>12.7129917369281</v>
      </c>
      <c r="AI2257">
        <v>94.863175504241298</v>
      </c>
      <c r="AJ2257">
        <v>101.245127195039</v>
      </c>
      <c r="AK2257">
        <v>13.008666089642601</v>
      </c>
      <c r="AL2257">
        <v>81.210757372062901</v>
      </c>
      <c r="AM2257">
        <v>91.970745033014396</v>
      </c>
      <c r="AN2257">
        <v>1.00000005126229</v>
      </c>
    </row>
    <row r="2258" spans="1:40" x14ac:dyDescent="0.3">
      <c r="A2258" t="str">
        <f>"20200111150401122"</f>
        <v>20200111150401122</v>
      </c>
      <c r="B2258" t="str">
        <f>"1578726241110498"</f>
        <v>1578726241110498</v>
      </c>
      <c r="C2258" t="s">
        <v>40</v>
      </c>
      <c r="D2258">
        <v>5.4210450000000003</v>
      </c>
      <c r="E2258">
        <v>0.4399208</v>
      </c>
      <c r="F2258" t="s">
        <v>41</v>
      </c>
      <c r="G2258">
        <v>-333.87639999999999</v>
      </c>
      <c r="H2258" s="1">
        <v>-3.8495089999999998E-6</v>
      </c>
      <c r="I2258">
        <v>24.648569999999999</v>
      </c>
      <c r="J2258">
        <v>-346.77480000000003</v>
      </c>
      <c r="K2258">
        <v>1.1028370000000001</v>
      </c>
      <c r="L2258">
        <v>22.364170000000001</v>
      </c>
      <c r="M2258">
        <v>0.99972399999999995</v>
      </c>
      <c r="N2258">
        <v>0</v>
      </c>
      <c r="O2258">
        <v>-2.068064E-2</v>
      </c>
      <c r="P2258">
        <v>0.98982720000000002</v>
      </c>
      <c r="Q2258">
        <v>0.14162659999999999</v>
      </c>
      <c r="R2258">
        <v>1.3557939999999999E-2</v>
      </c>
      <c r="S2258">
        <v>3.0598139999999998</v>
      </c>
      <c r="T2258">
        <v>-0.2581059</v>
      </c>
      <c r="U2258">
        <v>0.53363039999999995</v>
      </c>
      <c r="V2258">
        <v>-3.3542469999999998E-2</v>
      </c>
      <c r="W2258">
        <v>0.15275030000000001</v>
      </c>
      <c r="X2258">
        <v>0.9876954</v>
      </c>
      <c r="Y2258">
        <v>-0.19141240000000001</v>
      </c>
      <c r="Z2258">
        <v>9.7279900000000006E-3</v>
      </c>
      <c r="AA2258">
        <v>0.98146149999999999</v>
      </c>
      <c r="AB2258">
        <v>31</v>
      </c>
      <c r="AC2258">
        <v>12.898400000000001</v>
      </c>
      <c r="AD2258">
        <v>-1.1028408495090001</v>
      </c>
      <c r="AE2258">
        <v>2.28439999999999</v>
      </c>
      <c r="AF2258">
        <v>-2.53272247618249</v>
      </c>
      <c r="AG2258">
        <v>-1.1028408495090001</v>
      </c>
      <c r="AH2258">
        <v>12.7579633224152</v>
      </c>
      <c r="AI2258">
        <v>94.846442479095003</v>
      </c>
      <c r="AJ2258">
        <v>101.22842312337301</v>
      </c>
      <c r="AK2258">
        <v>13.0536036869822</v>
      </c>
      <c r="AL2258">
        <v>81.213655535366499</v>
      </c>
      <c r="AM2258">
        <v>91.945036549959994</v>
      </c>
      <c r="AN2258">
        <v>0.99999997731247503</v>
      </c>
    </row>
    <row r="2259" spans="1:40" x14ac:dyDescent="0.3">
      <c r="A2259" t="str">
        <f>"20200111150401140"</f>
        <v>20200111150401140</v>
      </c>
      <c r="B2259" t="str">
        <f>"1578726241130994"</f>
        <v>1578726241130994</v>
      </c>
      <c r="C2259" t="s">
        <v>40</v>
      </c>
      <c r="D2259">
        <v>5.4776439999999997</v>
      </c>
      <c r="E2259">
        <v>0.4399459</v>
      </c>
      <c r="F2259" t="s">
        <v>41</v>
      </c>
      <c r="G2259">
        <v>-333.6927</v>
      </c>
      <c r="H2259" s="1">
        <v>-3.9090290000000003E-6</v>
      </c>
      <c r="I2259">
        <v>24.631679999999999</v>
      </c>
      <c r="J2259">
        <v>-346.51479999999998</v>
      </c>
      <c r="K2259">
        <v>1.102851</v>
      </c>
      <c r="L2259">
        <v>22.357389999999999</v>
      </c>
      <c r="M2259">
        <v>0.99969600000000003</v>
      </c>
      <c r="N2259">
        <v>0</v>
      </c>
      <c r="O2259">
        <v>-2.1990490000000001E-2</v>
      </c>
      <c r="P2259">
        <v>0.98983319999999997</v>
      </c>
      <c r="Q2259">
        <v>0.141810299999999</v>
      </c>
      <c r="R2259">
        <v>1.094817E-2</v>
      </c>
      <c r="S2259">
        <v>3.060486</v>
      </c>
      <c r="T2259">
        <v>-0.25800210000000001</v>
      </c>
      <c r="U2259">
        <v>0.53048709999999999</v>
      </c>
      <c r="V2259">
        <v>-3.2232660000000003E-2</v>
      </c>
      <c r="W2259">
        <v>0.15293979999999999</v>
      </c>
      <c r="X2259">
        <v>0.98770970000000002</v>
      </c>
      <c r="Y2259">
        <v>-0.1916786</v>
      </c>
      <c r="Z2259">
        <v>9.8434579999999994E-3</v>
      </c>
      <c r="AA2259">
        <v>0.98140839999999996</v>
      </c>
      <c r="AB2259">
        <v>31</v>
      </c>
      <c r="AC2259">
        <v>12.822099999999899</v>
      </c>
      <c r="AD2259">
        <v>-1.1028549090289901</v>
      </c>
      <c r="AE2259">
        <v>2.2742900000000001</v>
      </c>
      <c r="AF2259">
        <v>-2.53752158780433</v>
      </c>
      <c r="AG2259">
        <v>-1.1028549090289901</v>
      </c>
      <c r="AH2259">
        <v>12.678050829979499</v>
      </c>
      <c r="AI2259">
        <v>94.875389334373907</v>
      </c>
      <c r="AJ2259">
        <v>101.3182382602</v>
      </c>
      <c r="AK2259">
        <v>12.976450886374399</v>
      </c>
      <c r="AL2259">
        <v>81.2026689984895</v>
      </c>
      <c r="AM2259">
        <v>91.869112159966406</v>
      </c>
      <c r="AN2259">
        <v>0.99999998913440202</v>
      </c>
    </row>
    <row r="2260" spans="1:40" x14ac:dyDescent="0.3">
      <c r="A2260" t="str">
        <f>"20200111150401154"</f>
        <v>20200111150401154</v>
      </c>
      <c r="B2260" t="str">
        <f>"1578726241150514"</f>
        <v>1578726241150514</v>
      </c>
      <c r="C2260" t="s">
        <v>40</v>
      </c>
      <c r="D2260">
        <v>5.9475749999999996</v>
      </c>
      <c r="E2260">
        <v>0.49283700000000003</v>
      </c>
      <c r="F2260" t="s">
        <v>41</v>
      </c>
      <c r="G2260">
        <v>-333.39980000000003</v>
      </c>
      <c r="H2260" s="1">
        <v>-4.0021089999999998E-6</v>
      </c>
      <c r="I2260">
        <v>24.594519999999999</v>
      </c>
      <c r="J2260">
        <v>-346.33260000000001</v>
      </c>
      <c r="K2260">
        <v>1.1028610000000001</v>
      </c>
      <c r="L2260">
        <v>22.352450000000001</v>
      </c>
      <c r="M2260">
        <v>0.99967550000000005</v>
      </c>
      <c r="N2260">
        <v>0</v>
      </c>
      <c r="O2260">
        <v>-2.2900790000000001E-2</v>
      </c>
      <c r="P2260">
        <v>0.98982700000000001</v>
      </c>
      <c r="Q2260">
        <v>0.14194770000000001</v>
      </c>
      <c r="R2260">
        <v>9.6729899999999994E-3</v>
      </c>
      <c r="S2260">
        <v>3.06189</v>
      </c>
      <c r="T2260">
        <v>-0.25747759999999997</v>
      </c>
      <c r="U2260">
        <v>0.52230829999999995</v>
      </c>
      <c r="V2260">
        <v>-3.186129E-2</v>
      </c>
      <c r="W2260">
        <v>0.1530821</v>
      </c>
      <c r="X2260">
        <v>0.98769969999999996</v>
      </c>
      <c r="Y2260">
        <v>-0.18995590000000001</v>
      </c>
      <c r="Z2260">
        <v>9.8254210000000008E-3</v>
      </c>
      <c r="AA2260">
        <v>0.98174349999999999</v>
      </c>
      <c r="AB2260">
        <v>31</v>
      </c>
      <c r="AC2260">
        <v>12.932799999999901</v>
      </c>
      <c r="AD2260">
        <v>-1.1028650021089901</v>
      </c>
      <c r="AE2260">
        <v>2.24207</v>
      </c>
      <c r="AF2260">
        <v>-2.51988155332737</v>
      </c>
      <c r="AG2260">
        <v>-1.1028650021089901</v>
      </c>
      <c r="AH2260">
        <v>12.7877788936455</v>
      </c>
      <c r="AI2260">
        <v>94.836645662374096</v>
      </c>
      <c r="AJ2260">
        <v>101.14753343053501</v>
      </c>
      <c r="AK2260">
        <v>13.0802677070632</v>
      </c>
      <c r="AL2260">
        <v>81.194418613756397</v>
      </c>
      <c r="AM2260">
        <v>91.847610808098196</v>
      </c>
      <c r="AN2260">
        <v>0.99999998426048098</v>
      </c>
    </row>
    <row r="2261" spans="1:40" x14ac:dyDescent="0.3">
      <c r="A2261" t="str">
        <f>"20200111150401167"</f>
        <v>20200111150401167</v>
      </c>
      <c r="B2261" t="str">
        <f>"1578726241161251"</f>
        <v>1578726241161251</v>
      </c>
      <c r="C2261" t="s">
        <v>40</v>
      </c>
      <c r="D2261">
        <v>5.7959839999999998</v>
      </c>
      <c r="E2261">
        <v>0.49283700000000003</v>
      </c>
      <c r="F2261" t="s">
        <v>77</v>
      </c>
      <c r="G2261">
        <v>-168.51609999999999</v>
      </c>
      <c r="H2261">
        <v>48.772689999999997</v>
      </c>
      <c r="I2261">
        <v>27.273350000000001</v>
      </c>
      <c r="J2261">
        <v>-346.1474</v>
      </c>
      <c r="K2261">
        <v>1.10287</v>
      </c>
      <c r="L2261">
        <v>22.34732</v>
      </c>
      <c r="M2261">
        <v>0.99965389999999998</v>
      </c>
      <c r="N2261">
        <v>0</v>
      </c>
      <c r="O2261">
        <v>-2.382037E-2</v>
      </c>
      <c r="P2261">
        <v>0.98982040000000004</v>
      </c>
      <c r="Q2261">
        <v>0.14207899999999901</v>
      </c>
      <c r="R2261">
        <v>8.3144159999999998E-3</v>
      </c>
      <c r="S2261">
        <v>2.9178769999999998</v>
      </c>
      <c r="T2261">
        <v>0.78223750000000003</v>
      </c>
      <c r="U2261">
        <v>8.0749509999999997E-2</v>
      </c>
      <c r="V2261">
        <v>-3.1414619999999997E-2</v>
      </c>
      <c r="W2261">
        <v>0.153217299999999</v>
      </c>
      <c r="X2261">
        <v>0.98769309999999999</v>
      </c>
      <c r="Y2261">
        <v>-4.8902019999999997E-2</v>
      </c>
      <c r="Z2261">
        <v>-1.2714430000000001E-2</v>
      </c>
      <c r="AA2261">
        <v>0.99872269999999996</v>
      </c>
      <c r="AB2261">
        <v>31</v>
      </c>
      <c r="AC2261">
        <v>177.63130000000001</v>
      </c>
      <c r="AD2261">
        <v>47.669820000000001</v>
      </c>
      <c r="AE2261">
        <v>4.9260299999999999</v>
      </c>
      <c r="AF2261">
        <v>-8.5414629129963107</v>
      </c>
      <c r="AG2261">
        <v>47.669820000000001</v>
      </c>
      <c r="AH2261">
        <v>165.54993952644099</v>
      </c>
      <c r="AI2261">
        <v>73.956575385588295</v>
      </c>
      <c r="AJ2261">
        <v>92.953527009255296</v>
      </c>
      <c r="AK2261">
        <v>172.488117865361</v>
      </c>
      <c r="AL2261">
        <v>81.186580240571303</v>
      </c>
      <c r="AM2261">
        <v>91.8217385130542</v>
      </c>
      <c r="AN2261">
        <v>1.00000003957832</v>
      </c>
    </row>
    <row r="2262" spans="1:40" x14ac:dyDescent="0.3">
      <c r="A2262" t="str">
        <f>"20200111150401185"</f>
        <v>20200111150401185</v>
      </c>
      <c r="B2262" t="str">
        <f>"1578726241180770"</f>
        <v>1578726241180770</v>
      </c>
      <c r="C2262" t="s">
        <v>40</v>
      </c>
      <c r="D2262">
        <v>5.2671380000000001</v>
      </c>
      <c r="E2262">
        <v>0.58688809999999902</v>
      </c>
      <c r="F2262" t="s">
        <v>77</v>
      </c>
      <c r="G2262">
        <v>-169.09799999999899</v>
      </c>
      <c r="H2262">
        <v>48.592840000000002</v>
      </c>
      <c r="I2262">
        <v>27.006319999999999</v>
      </c>
      <c r="J2262">
        <v>-345.9067</v>
      </c>
      <c r="K2262">
        <v>1.102884</v>
      </c>
      <c r="L2262">
        <v>22.340330000000002</v>
      </c>
      <c r="M2262">
        <v>0.99962499999999999</v>
      </c>
      <c r="N2262">
        <v>0</v>
      </c>
      <c r="O2262">
        <v>-2.5005289999999999E-2</v>
      </c>
      <c r="P2262">
        <v>0.98978999999999995</v>
      </c>
      <c r="Q2262">
        <v>0.1423789</v>
      </c>
      <c r="R2262">
        <v>6.6516839999999997E-3</v>
      </c>
      <c r="S2262">
        <v>2.9178470000000001</v>
      </c>
      <c r="T2262">
        <v>0.78265390000000001</v>
      </c>
      <c r="U2262">
        <v>7.6782230000000007E-2</v>
      </c>
      <c r="V2262">
        <v>-3.0927090000000001E-2</v>
      </c>
      <c r="W2262">
        <v>0.15352170000000001</v>
      </c>
      <c r="X2262">
        <v>0.98766120000000002</v>
      </c>
      <c r="Y2262">
        <v>-4.8691869999999998E-2</v>
      </c>
      <c r="Z2262">
        <v>-1.3005859999999999E-2</v>
      </c>
      <c r="AA2262">
        <v>0.99872919999999998</v>
      </c>
      <c r="AB2262">
        <v>31</v>
      </c>
      <c r="AC2262">
        <v>176.80869999999999</v>
      </c>
      <c r="AD2262">
        <v>47.489955999999999</v>
      </c>
      <c r="AE2262">
        <v>4.6659899999999999</v>
      </c>
      <c r="AF2262">
        <v>-8.4749718214930194</v>
      </c>
      <c r="AG2262">
        <v>47.489955999999999</v>
      </c>
      <c r="AH2262">
        <v>164.75875150976</v>
      </c>
      <c r="AI2262">
        <v>73.941071499525904</v>
      </c>
      <c r="AJ2262">
        <v>92.944623696990405</v>
      </c>
      <c r="AK2262">
        <v>171.675762026303</v>
      </c>
      <c r="AL2262">
        <v>81.168930431543203</v>
      </c>
      <c r="AM2262">
        <v>91.793543074055904</v>
      </c>
      <c r="AN2262">
        <v>1.00000002162609</v>
      </c>
    </row>
    <row r="2263" spans="1:40" x14ac:dyDescent="0.3">
      <c r="A2263" t="str">
        <f>"20200111150401199"</f>
        <v>20200111150401199</v>
      </c>
      <c r="B2263" t="str">
        <f>"1578726241190531"</f>
        <v>1578726241190531</v>
      </c>
      <c r="C2263" t="s">
        <v>40</v>
      </c>
      <c r="D2263">
        <v>5.286619</v>
      </c>
      <c r="E2263">
        <v>0.58773969999999998</v>
      </c>
      <c r="F2263" t="s">
        <v>41</v>
      </c>
      <c r="G2263">
        <v>-331.22329999999999</v>
      </c>
      <c r="H2263" s="1">
        <v>-3.8273310000000004E-6</v>
      </c>
      <c r="I2263">
        <v>19.16619</v>
      </c>
      <c r="J2263">
        <v>-345.71</v>
      </c>
      <c r="K2263">
        <v>1.102892</v>
      </c>
      <c r="L2263">
        <v>22.334440000000001</v>
      </c>
      <c r="M2263">
        <v>0.9996003</v>
      </c>
      <c r="N2263">
        <v>0</v>
      </c>
      <c r="O2263">
        <v>-2.596648E-2</v>
      </c>
      <c r="P2263">
        <v>0.98977590000000004</v>
      </c>
      <c r="Q2263">
        <v>0.1425245</v>
      </c>
      <c r="R2263">
        <v>5.517971E-3</v>
      </c>
      <c r="S2263">
        <v>3.0686040000000001</v>
      </c>
      <c r="T2263">
        <v>-0.2304862</v>
      </c>
      <c r="U2263">
        <v>-0.66333009999999903</v>
      </c>
      <c r="V2263">
        <v>-3.074646E-2</v>
      </c>
      <c r="W2263">
        <v>0.15367149999999999</v>
      </c>
      <c r="X2263">
        <v>0.98764350000000001</v>
      </c>
      <c r="Y2263">
        <v>0.18540499999999999</v>
      </c>
      <c r="Z2263">
        <v>-4.9500270000000001E-3</v>
      </c>
      <c r="AA2263">
        <v>0.98264969999999996</v>
      </c>
      <c r="AB2263">
        <v>31</v>
      </c>
      <c r="AC2263">
        <v>14.4866999999999</v>
      </c>
      <c r="AD2263">
        <v>-1.1028958273309999</v>
      </c>
      <c r="AE2263">
        <v>-3.16825</v>
      </c>
      <c r="AF2263">
        <v>2.77563616042498</v>
      </c>
      <c r="AG2263">
        <v>-1.1028958273309999</v>
      </c>
      <c r="AH2263">
        <v>14.4839707135885</v>
      </c>
      <c r="AI2263">
        <v>94.276911142367894</v>
      </c>
      <c r="AJ2263">
        <v>79.151643804689797</v>
      </c>
      <c r="AK2263">
        <v>14.7887099820469</v>
      </c>
      <c r="AL2263">
        <v>81.160244072295797</v>
      </c>
      <c r="AM2263">
        <v>91.783106583126497</v>
      </c>
      <c r="AN2263">
        <v>0.999999978903515</v>
      </c>
    </row>
    <row r="2264" spans="1:40" x14ac:dyDescent="0.3">
      <c r="A2264" t="str">
        <f>"20200111150401212"</f>
        <v>20200111150401212</v>
      </c>
      <c r="B2264" t="str">
        <f>"1578726241201267"</f>
        <v>1578726241201267</v>
      </c>
      <c r="C2264" t="s">
        <v>40</v>
      </c>
      <c r="D2264">
        <v>5.2702710000000002</v>
      </c>
      <c r="E2264">
        <v>0.58733119999999905</v>
      </c>
      <c r="F2264" t="s">
        <v>41</v>
      </c>
      <c r="G2264">
        <v>-330.89980000000003</v>
      </c>
      <c r="H2264" s="1">
        <v>-3.9808610000000003E-6</v>
      </c>
      <c r="I2264">
        <v>19.083079999999999</v>
      </c>
      <c r="J2264">
        <v>-345.54039999999998</v>
      </c>
      <c r="K2264">
        <v>1.1028990000000001</v>
      </c>
      <c r="L2264">
        <v>22.329219999999999</v>
      </c>
      <c r="M2264">
        <v>0.99957850000000004</v>
      </c>
      <c r="N2264">
        <v>0</v>
      </c>
      <c r="O2264">
        <v>-2.679204E-2</v>
      </c>
      <c r="P2264">
        <v>0.98976600000000003</v>
      </c>
      <c r="Q2264">
        <v>0.1426249</v>
      </c>
      <c r="R2264">
        <v>4.6280380000000001E-3</v>
      </c>
      <c r="S2264">
        <v>3.0676269999999999</v>
      </c>
      <c r="T2264">
        <v>-0.2284408</v>
      </c>
      <c r="U2264">
        <v>-0.67343140000000001</v>
      </c>
      <c r="V2264">
        <v>-3.0675790000000001E-2</v>
      </c>
      <c r="W2264">
        <v>0.15377569999999999</v>
      </c>
      <c r="X2264">
        <v>0.98762950000000005</v>
      </c>
      <c r="Y2264">
        <v>0.18775030000000001</v>
      </c>
      <c r="Z2264">
        <v>-4.9316739999999996E-3</v>
      </c>
      <c r="AA2264">
        <v>0.98220439999999998</v>
      </c>
      <c r="AB2264">
        <v>31</v>
      </c>
      <c r="AC2264">
        <v>14.6405999999999</v>
      </c>
      <c r="AD2264">
        <v>-1.102902980861</v>
      </c>
      <c r="AE2264">
        <v>-3.24614</v>
      </c>
      <c r="AF2264">
        <v>2.8373513625370501</v>
      </c>
      <c r="AG2264">
        <v>-1.102902980861</v>
      </c>
      <c r="AH2264">
        <v>14.6431157028257</v>
      </c>
      <c r="AI2264">
        <v>94.228956276578998</v>
      </c>
      <c r="AJ2264">
        <v>79.033869198991297</v>
      </c>
      <c r="AK2264">
        <v>14.9561958808389</v>
      </c>
      <c r="AL2264">
        <v>81.154202220481594</v>
      </c>
      <c r="AM2264">
        <v>91.779035994026003</v>
      </c>
      <c r="AN2264">
        <v>0.99999999963643205</v>
      </c>
    </row>
    <row r="2265" spans="1:40" x14ac:dyDescent="0.3">
      <c r="A2265" t="str">
        <f>"20200111150401231"</f>
        <v>20200111150401231</v>
      </c>
      <c r="B2265" t="str">
        <f>"1578726241220786"</f>
        <v>1578726241220786</v>
      </c>
      <c r="C2265" t="s">
        <v>40</v>
      </c>
      <c r="D2265">
        <v>5.2654699999999997</v>
      </c>
      <c r="E2265">
        <v>0.58590589999999998</v>
      </c>
      <c r="F2265" t="s">
        <v>41</v>
      </c>
      <c r="G2265">
        <v>-330.47410000000002</v>
      </c>
      <c r="H2265" s="1">
        <v>-4.1739669999999999E-6</v>
      </c>
      <c r="I2265">
        <v>19.02403</v>
      </c>
      <c r="J2265">
        <v>-345.27460000000002</v>
      </c>
      <c r="K2265">
        <v>1.102903</v>
      </c>
      <c r="L2265">
        <v>22.32077</v>
      </c>
      <c r="M2265">
        <v>0.99954319999999997</v>
      </c>
      <c r="N2265">
        <v>0</v>
      </c>
      <c r="O2265">
        <v>-2.807722E-2</v>
      </c>
      <c r="P2265">
        <v>0.98982009999999998</v>
      </c>
      <c r="Q2265">
        <v>0.14227879999999901</v>
      </c>
      <c r="R2265">
        <v>3.6214950000000002E-3</v>
      </c>
      <c r="S2265">
        <v>3.0664980000000002</v>
      </c>
      <c r="T2265">
        <v>-0.22447690000000001</v>
      </c>
      <c r="U2265">
        <v>-0.67269899999999905</v>
      </c>
      <c r="V2265">
        <v>-3.0947280000000001E-2</v>
      </c>
      <c r="W2265">
        <v>0.15343689999999999</v>
      </c>
      <c r="X2265">
        <v>0.98767369999999999</v>
      </c>
      <c r="Y2265">
        <v>0.18636040000000001</v>
      </c>
      <c r="Z2265">
        <v>-4.7052789999999997E-3</v>
      </c>
      <c r="AA2265">
        <v>0.98247019999999996</v>
      </c>
      <c r="AB2265">
        <v>31</v>
      </c>
      <c r="AC2265">
        <v>14.8005</v>
      </c>
      <c r="AD2265">
        <v>-1.102907173967</v>
      </c>
      <c r="AE2265">
        <v>-3.2967399999999998</v>
      </c>
      <c r="AF2265">
        <v>2.8647015971383598</v>
      </c>
      <c r="AG2265">
        <v>-1.102907173967</v>
      </c>
      <c r="AH2265">
        <v>14.808887262710901</v>
      </c>
      <c r="AI2265">
        <v>94.182052332381403</v>
      </c>
      <c r="AJ2265">
        <v>79.051660641924599</v>
      </c>
      <c r="AK2265">
        <v>15.1236920569918</v>
      </c>
      <c r="AL2265">
        <v>81.173846973491393</v>
      </c>
      <c r="AM2265">
        <v>91.794690480593999</v>
      </c>
      <c r="AN2265">
        <v>0.99999997704634802</v>
      </c>
    </row>
    <row r="2266" spans="1:40" x14ac:dyDescent="0.3">
      <c r="A2266" t="str">
        <f>"20200111150401246"</f>
        <v>20200111150401246</v>
      </c>
      <c r="B2266" t="str">
        <f>"1578726241241282"</f>
        <v>1578726241241282</v>
      </c>
      <c r="C2266" t="s">
        <v>40</v>
      </c>
      <c r="D2266">
        <v>5.1503119999999996</v>
      </c>
      <c r="E2266">
        <v>0.58527609999999997</v>
      </c>
      <c r="F2266" t="s">
        <v>41</v>
      </c>
      <c r="G2266">
        <v>-330.37699999999899</v>
      </c>
      <c r="H2266" s="1">
        <v>-4.2031480000000001E-6</v>
      </c>
      <c r="I2266">
        <v>19.094339999999999</v>
      </c>
      <c r="J2266">
        <v>-345.06880000000001</v>
      </c>
      <c r="K2266">
        <v>1.1029070000000001</v>
      </c>
      <c r="L2266">
        <v>22.313960000000002</v>
      </c>
      <c r="M2266">
        <v>0.99951480000000004</v>
      </c>
      <c r="N2266">
        <v>0</v>
      </c>
      <c r="O2266">
        <v>-2.9066450000000001E-2</v>
      </c>
      <c r="P2266">
        <v>0.98984479999999997</v>
      </c>
      <c r="Q2266">
        <v>0.1421221</v>
      </c>
      <c r="R2266">
        <v>2.9323579999999999E-3</v>
      </c>
      <c r="S2266">
        <v>3.065887</v>
      </c>
      <c r="T2266">
        <v>-0.22697400000000001</v>
      </c>
      <c r="U2266">
        <v>-0.66397090000000003</v>
      </c>
      <c r="V2266">
        <v>-3.1240489999999999E-2</v>
      </c>
      <c r="W2266">
        <v>0.15328520000000001</v>
      </c>
      <c r="X2266">
        <v>0.98768809999999996</v>
      </c>
      <c r="Y2266">
        <v>0.18276029999999999</v>
      </c>
      <c r="Z2266">
        <v>-4.5560720000000004E-3</v>
      </c>
      <c r="AA2266">
        <v>0.98314699999999999</v>
      </c>
      <c r="AB2266">
        <v>31</v>
      </c>
      <c r="AC2266">
        <v>14.691800000000001</v>
      </c>
      <c r="AD2266">
        <v>-1.102911203148</v>
      </c>
      <c r="AE2266">
        <v>-3.2196199999999999</v>
      </c>
      <c r="AF2266">
        <v>2.7762655926697799</v>
      </c>
      <c r="AG2266">
        <v>-1.102911203148</v>
      </c>
      <c r="AH2266">
        <v>14.7001342307915</v>
      </c>
      <c r="AI2266">
        <v>94.216446623389402</v>
      </c>
      <c r="AJ2266">
        <v>79.305094078879804</v>
      </c>
      <c r="AK2266">
        <v>15.0006003268656</v>
      </c>
      <c r="AL2266">
        <v>81.182643460625499</v>
      </c>
      <c r="AM2266">
        <v>91.811656601099799</v>
      </c>
      <c r="AN2266">
        <v>1.0000000518180401</v>
      </c>
    </row>
    <row r="2267" spans="1:40" x14ac:dyDescent="0.3">
      <c r="A2267" t="str">
        <f>"20200111150401264"</f>
        <v>20200111150401264</v>
      </c>
      <c r="B2267" t="str">
        <f>"1578726241260803"</f>
        <v>1578726241260803</v>
      </c>
      <c r="C2267" t="s">
        <v>40</v>
      </c>
      <c r="D2267">
        <v>5.230988</v>
      </c>
      <c r="E2267">
        <v>0.58404590000000001</v>
      </c>
      <c r="F2267" t="s">
        <v>42</v>
      </c>
      <c r="G2267">
        <v>-344.31020000000001</v>
      </c>
      <c r="H2267">
        <v>1.0387930000000001</v>
      </c>
      <c r="I2267">
        <v>22.150549999999999</v>
      </c>
      <c r="J2267">
        <v>-344.82690000000002</v>
      </c>
      <c r="K2267">
        <v>1.1029139999999999</v>
      </c>
      <c r="L2267">
        <v>22.305730000000001</v>
      </c>
      <c r="M2267">
        <v>0.99948049999999999</v>
      </c>
      <c r="N2267">
        <v>0</v>
      </c>
      <c r="O2267">
        <v>-3.0223509999999999E-2</v>
      </c>
      <c r="P2267">
        <v>0.98988849999999995</v>
      </c>
      <c r="Q2267">
        <v>0.14183670000000001</v>
      </c>
      <c r="R2267">
        <v>1.876574E-3</v>
      </c>
      <c r="S2267">
        <v>3.0699770000000002</v>
      </c>
      <c r="T2267">
        <v>-0.25937490000000002</v>
      </c>
      <c r="U2267">
        <v>-0.66067500000000001</v>
      </c>
      <c r="V2267">
        <v>-3.1334639999999997E-2</v>
      </c>
      <c r="W2267">
        <v>0.15300520000000001</v>
      </c>
      <c r="X2267">
        <v>0.98772850000000001</v>
      </c>
      <c r="Y2267">
        <v>0.18023349999999999</v>
      </c>
      <c r="Z2267">
        <v>-4.9965119999999998E-3</v>
      </c>
      <c r="AA2267">
        <v>0.98361120000000002</v>
      </c>
      <c r="AB2267">
        <v>31</v>
      </c>
      <c r="AC2267">
        <v>0.51670000000001404</v>
      </c>
      <c r="AD2267">
        <v>-6.4120999999999803E-2</v>
      </c>
      <c r="AE2267">
        <v>-0.15518000000000101</v>
      </c>
      <c r="AF2267">
        <v>0.137548625103354</v>
      </c>
      <c r="AG2267">
        <v>-6.4120999999999803E-2</v>
      </c>
      <c r="AH2267">
        <v>0.51389503315662799</v>
      </c>
      <c r="AI2267">
        <v>96.872800978824998</v>
      </c>
      <c r="AJ2267">
        <v>75.015514722338196</v>
      </c>
      <c r="AK2267">
        <v>0.53583507911658301</v>
      </c>
      <c r="AL2267">
        <v>81.198877503491801</v>
      </c>
      <c r="AM2267">
        <v>91.817038493228594</v>
      </c>
      <c r="AN2267">
        <v>1.0000000203016</v>
      </c>
    </row>
    <row r="2268" spans="1:40" x14ac:dyDescent="0.3">
      <c r="A2268" t="str">
        <f>"20200111150401286"</f>
        <v>20200111150401286</v>
      </c>
      <c r="B2268" t="str">
        <f>"1578726241281299"</f>
        <v>1578726241281299</v>
      </c>
      <c r="C2268" t="s">
        <v>40</v>
      </c>
      <c r="D2268">
        <v>5.3146389999999997</v>
      </c>
      <c r="E2268">
        <v>0.58339540000000001</v>
      </c>
      <c r="F2268" t="s">
        <v>42</v>
      </c>
      <c r="G2268">
        <v>-344.03719999999998</v>
      </c>
      <c r="H2268">
        <v>1.0370159999999999</v>
      </c>
      <c r="I2268">
        <v>22.1371</v>
      </c>
      <c r="J2268">
        <v>-344.52300000000002</v>
      </c>
      <c r="K2268">
        <v>1.1029150000000001</v>
      </c>
      <c r="L2268">
        <v>22.295010000000001</v>
      </c>
      <c r="M2268">
        <v>0.99943579999999999</v>
      </c>
      <c r="N2268">
        <v>0</v>
      </c>
      <c r="O2268">
        <v>-3.1666039999999999E-2</v>
      </c>
      <c r="P2268">
        <v>0.98993750000000003</v>
      </c>
      <c r="Q2268">
        <v>0.14150660000000001</v>
      </c>
      <c r="R2268" s="1">
        <v>-2.5000889999999999E-5</v>
      </c>
      <c r="S2268">
        <v>3.0685730000000002</v>
      </c>
      <c r="T2268">
        <v>-0.25597629999999999</v>
      </c>
      <c r="U2268">
        <v>-0.65414430000000001</v>
      </c>
      <c r="V2268">
        <v>-3.086759E-2</v>
      </c>
      <c r="W2268">
        <v>0.1526787</v>
      </c>
      <c r="X2268">
        <v>0.9877937</v>
      </c>
      <c r="Y2268">
        <v>0.17693220000000001</v>
      </c>
      <c r="Z2268">
        <v>-4.6800230000000002E-3</v>
      </c>
      <c r="AA2268">
        <v>0.98421190000000003</v>
      </c>
      <c r="AB2268">
        <v>31</v>
      </c>
      <c r="AC2268">
        <v>0.48580000000003998</v>
      </c>
      <c r="AD2268">
        <v>-6.5898999999999902E-2</v>
      </c>
      <c r="AE2268">
        <v>-0.15791000000000099</v>
      </c>
      <c r="AF2268">
        <v>0.14011459889665301</v>
      </c>
      <c r="AG2268">
        <v>-6.5898999999999902E-2</v>
      </c>
      <c r="AH2268">
        <v>0.48252653638941101</v>
      </c>
      <c r="AI2268">
        <v>97.471881991682295</v>
      </c>
      <c r="AJ2268">
        <v>73.807919166732702</v>
      </c>
      <c r="AK2268">
        <v>0.50676092720821697</v>
      </c>
      <c r="AL2268">
        <v>81.217806748502397</v>
      </c>
      <c r="AM2268">
        <v>91.789854797845294</v>
      </c>
      <c r="AN2268">
        <v>0.99999999365289405</v>
      </c>
    </row>
    <row r="2269" spans="1:40" x14ac:dyDescent="0.3">
      <c r="A2269" t="str">
        <f>"20200111150401300"</f>
        <v>20200111150401300</v>
      </c>
      <c r="B2269" t="str">
        <f>"1578726241291059"</f>
        <v>1578726241291059</v>
      </c>
      <c r="C2269" t="s">
        <v>40</v>
      </c>
      <c r="D2269">
        <v>5.3076119999999998</v>
      </c>
      <c r="E2269">
        <v>0.58315280000000003</v>
      </c>
      <c r="F2269" t="s">
        <v>42</v>
      </c>
      <c r="G2269">
        <v>-343.76080000000002</v>
      </c>
      <c r="H2269">
        <v>1.04034</v>
      </c>
      <c r="I2269">
        <v>22.131979999999999</v>
      </c>
      <c r="J2269">
        <v>-344.32130000000001</v>
      </c>
      <c r="K2269">
        <v>1.10292099999999</v>
      </c>
      <c r="L2269">
        <v>22.28763</v>
      </c>
      <c r="M2269">
        <v>0.99940519999999999</v>
      </c>
      <c r="N2269">
        <v>0</v>
      </c>
      <c r="O2269">
        <v>-3.2613499999999997E-2</v>
      </c>
      <c r="P2269">
        <v>0.98994300000000002</v>
      </c>
      <c r="Q2269">
        <v>0.1414629</v>
      </c>
      <c r="R2269">
        <v>-1.156497E-3</v>
      </c>
      <c r="S2269">
        <v>3.0664370000000001</v>
      </c>
      <c r="T2269">
        <v>-0.25166559999999999</v>
      </c>
      <c r="U2269">
        <v>-0.65499879999999999</v>
      </c>
      <c r="V2269">
        <v>-3.0677969999999999E-2</v>
      </c>
      <c r="W2269">
        <v>0.15263769999999999</v>
      </c>
      <c r="X2269">
        <v>0.98780599999999996</v>
      </c>
      <c r="Y2269">
        <v>0.17642149999999901</v>
      </c>
      <c r="Z2269">
        <v>-4.5071599999999996E-3</v>
      </c>
      <c r="AA2269">
        <v>0.98430439999999997</v>
      </c>
      <c r="AB2269">
        <v>31</v>
      </c>
      <c r="AC2269">
        <v>0.56049999999999001</v>
      </c>
      <c r="AD2269">
        <v>-6.2580999999999706E-2</v>
      </c>
      <c r="AE2269">
        <v>-0.15565000000000101</v>
      </c>
      <c r="AF2269">
        <v>0.135715449014187</v>
      </c>
      <c r="AG2269">
        <v>-6.2580999999999706E-2</v>
      </c>
      <c r="AH2269">
        <v>0.55881091484539802</v>
      </c>
      <c r="AI2269">
        <v>96.210834690648497</v>
      </c>
      <c r="AJ2269">
        <v>76.349171618761204</v>
      </c>
      <c r="AK2269">
        <v>0.57845025992947197</v>
      </c>
      <c r="AL2269">
        <v>81.220184229976795</v>
      </c>
      <c r="AM2269">
        <v>91.778844647065597</v>
      </c>
      <c r="AN2269">
        <v>1.0000000494703001</v>
      </c>
    </row>
    <row r="2270" spans="1:40" x14ac:dyDescent="0.3">
      <c r="A2270" t="str">
        <f>"20200111150401320"</f>
        <v>20200111150401320</v>
      </c>
      <c r="B2270" t="str">
        <f>"1578726241310578"</f>
        <v>1578726241310578</v>
      </c>
      <c r="C2270" t="s">
        <v>40</v>
      </c>
      <c r="D2270">
        <v>5.2976289999999997</v>
      </c>
      <c r="E2270">
        <v>0.58288219999999902</v>
      </c>
      <c r="F2270" t="s">
        <v>42</v>
      </c>
      <c r="G2270">
        <v>-343.48930000000001</v>
      </c>
      <c r="H2270">
        <v>1.03528</v>
      </c>
      <c r="I2270">
        <v>22.10942</v>
      </c>
      <c r="J2270">
        <v>-344.05579999999998</v>
      </c>
      <c r="K2270">
        <v>1.1029340000000001</v>
      </c>
      <c r="L2270">
        <v>22.27768</v>
      </c>
      <c r="M2270">
        <v>0.99936409999999998</v>
      </c>
      <c r="N2270">
        <v>0</v>
      </c>
      <c r="O2270">
        <v>-3.384711E-2</v>
      </c>
      <c r="P2270">
        <v>0.98997449999999998</v>
      </c>
      <c r="Q2270">
        <v>0.14122509999999999</v>
      </c>
      <c r="R2270">
        <v>-2.5064810000000001E-3</v>
      </c>
      <c r="S2270">
        <v>3.0653380000000001</v>
      </c>
      <c r="T2270">
        <v>-0.24920980000000001</v>
      </c>
      <c r="U2270">
        <v>-0.65628050000000004</v>
      </c>
      <c r="V2270">
        <v>-3.0556610000000001E-2</v>
      </c>
      <c r="W2270">
        <v>0.1524054</v>
      </c>
      <c r="X2270">
        <v>0.98784559999999999</v>
      </c>
      <c r="Y2270">
        <v>0.17568710000000001</v>
      </c>
      <c r="Z2270">
        <v>-4.3364179999999999E-3</v>
      </c>
      <c r="AA2270">
        <v>0.98443650000000005</v>
      </c>
      <c r="AB2270">
        <v>31</v>
      </c>
      <c r="AC2270">
        <v>0.56649999999996203</v>
      </c>
      <c r="AD2270">
        <v>-6.7654000000000103E-2</v>
      </c>
      <c r="AE2270">
        <v>-0.16825999999999999</v>
      </c>
      <c r="AF2270">
        <v>0.14706060566054299</v>
      </c>
      <c r="AG2270">
        <v>-6.7654000000000103E-2</v>
      </c>
      <c r="AH2270">
        <v>0.56447284758044702</v>
      </c>
      <c r="AI2270">
        <v>96.615716084802003</v>
      </c>
      <c r="AJ2270">
        <v>75.397486606146302</v>
      </c>
      <c r="AK2270">
        <v>0.587225238821378</v>
      </c>
      <c r="AL2270">
        <v>81.233651352837299</v>
      </c>
      <c r="AM2270">
        <v>91.771741169002595</v>
      </c>
      <c r="AN2270">
        <v>1.0000000209016</v>
      </c>
    </row>
    <row r="2271" spans="1:40" x14ac:dyDescent="0.3">
      <c r="A2271" t="str">
        <f>"20200111150401333"</f>
        <v>20200111150401333</v>
      </c>
      <c r="B2271" t="str">
        <f>"1578726241321315"</f>
        <v>1578726241321315</v>
      </c>
      <c r="C2271" t="s">
        <v>40</v>
      </c>
      <c r="D2271">
        <v>5.1763479999999999</v>
      </c>
      <c r="E2271">
        <v>0.58263860000000001</v>
      </c>
      <c r="F2271" t="s">
        <v>42</v>
      </c>
      <c r="G2271">
        <v>-343.21289999999999</v>
      </c>
      <c r="H2271">
        <v>1.0352509999999999</v>
      </c>
      <c r="I2271">
        <v>22.096419999999998</v>
      </c>
      <c r="J2271">
        <v>-343.8845</v>
      </c>
      <c r="K2271">
        <v>1.1029439999999999</v>
      </c>
      <c r="L2271">
        <v>22.271090000000001</v>
      </c>
      <c r="M2271">
        <v>0.99933709999999998</v>
      </c>
      <c r="N2271">
        <v>0</v>
      </c>
      <c r="O2271">
        <v>-3.4633009999999999E-2</v>
      </c>
      <c r="P2271">
        <v>0.98998679999999994</v>
      </c>
      <c r="Q2271">
        <v>0.1411184</v>
      </c>
      <c r="R2271">
        <v>-3.4336940000000002E-3</v>
      </c>
      <c r="S2271">
        <v>3.063812</v>
      </c>
      <c r="T2271">
        <v>-0.2459662</v>
      </c>
      <c r="U2271">
        <v>-0.65829469999999901</v>
      </c>
      <c r="V2271">
        <v>-3.041201E-2</v>
      </c>
      <c r="W2271">
        <v>0.15230360000000001</v>
      </c>
      <c r="X2271">
        <v>0.98786569999999996</v>
      </c>
      <c r="Y2271">
        <v>0.17564579999999999</v>
      </c>
      <c r="Z2271">
        <v>-4.2181629999999996E-3</v>
      </c>
      <c r="AA2271">
        <v>0.9844444</v>
      </c>
      <c r="AB2271">
        <v>31</v>
      </c>
      <c r="AC2271">
        <v>0.67160000000001197</v>
      </c>
      <c r="AD2271">
        <v>-6.7693000000000197E-2</v>
      </c>
      <c r="AE2271">
        <v>-0.17466999999999899</v>
      </c>
      <c r="AF2271">
        <v>0.149878014126582</v>
      </c>
      <c r="AG2271">
        <v>-6.7693000000000197E-2</v>
      </c>
      <c r="AH2271">
        <v>0.67086305430912097</v>
      </c>
      <c r="AI2271">
        <v>95.624164046991694</v>
      </c>
      <c r="AJ2271">
        <v>77.406315939993206</v>
      </c>
      <c r="AK2271">
        <v>0.69072642848271804</v>
      </c>
      <c r="AL2271">
        <v>81.239552413106907</v>
      </c>
      <c r="AM2271">
        <v>91.763326384443403</v>
      </c>
      <c r="AN2271">
        <v>0.99999995908084405</v>
      </c>
    </row>
    <row r="2272" spans="1:40" x14ac:dyDescent="0.3">
      <c r="A2272" t="str">
        <f>"20200111150401346"</f>
        <v>20200111150401346</v>
      </c>
      <c r="B2272" t="str">
        <f>"1578726241340835"</f>
        <v>1578726241340835</v>
      </c>
      <c r="C2272" t="s">
        <v>40</v>
      </c>
      <c r="D2272">
        <v>5.3022210000000003</v>
      </c>
      <c r="E2272">
        <v>0.58218809999999999</v>
      </c>
      <c r="F2272" t="s">
        <v>42</v>
      </c>
      <c r="G2272">
        <v>-342.9452</v>
      </c>
      <c r="H2272">
        <v>1.0254049999999999</v>
      </c>
      <c r="I2272">
        <v>22.068719999999999</v>
      </c>
      <c r="J2272">
        <v>-343.68579999999997</v>
      </c>
      <c r="K2272">
        <v>1.1029580000000001</v>
      </c>
      <c r="L2272">
        <v>22.263310000000001</v>
      </c>
      <c r="M2272">
        <v>0.99930529999999995</v>
      </c>
      <c r="N2272">
        <v>0</v>
      </c>
      <c r="O2272">
        <v>-3.5532830000000001E-2</v>
      </c>
      <c r="P2272">
        <v>0.98998770000000003</v>
      </c>
      <c r="Q2272">
        <v>0.14109079999999999</v>
      </c>
      <c r="R2272">
        <v>-4.2349170000000004E-3</v>
      </c>
      <c r="S2272">
        <v>3.0640869999999998</v>
      </c>
      <c r="T2272">
        <v>-0.25284899999999999</v>
      </c>
      <c r="U2272">
        <v>-0.65884399999999999</v>
      </c>
      <c r="V2272">
        <v>-3.0508199999999999E-2</v>
      </c>
      <c r="W2272">
        <v>0.15228329999999901</v>
      </c>
      <c r="X2272">
        <v>0.98786589999999996</v>
      </c>
      <c r="Y2272">
        <v>0.17489089999999999</v>
      </c>
      <c r="Z2272">
        <v>-4.2314880000000003E-3</v>
      </c>
      <c r="AA2272">
        <v>0.98457870000000003</v>
      </c>
      <c r="AB2272">
        <v>31</v>
      </c>
      <c r="AC2272">
        <v>0.74059999999997195</v>
      </c>
      <c r="AD2272">
        <v>-7.75529999999999E-2</v>
      </c>
      <c r="AE2272">
        <v>-0.19458999999999799</v>
      </c>
      <c r="AF2272">
        <v>0.16644255734820201</v>
      </c>
      <c r="AG2272">
        <v>-7.75529999999999E-2</v>
      </c>
      <c r="AH2272">
        <v>0.73946206592605201</v>
      </c>
      <c r="AI2272">
        <v>95.8420432858792</v>
      </c>
      <c r="AJ2272">
        <v>77.314926679238198</v>
      </c>
      <c r="AK2272">
        <v>0.76191977244932696</v>
      </c>
      <c r="AL2272">
        <v>81.240729562425997</v>
      </c>
      <c r="AM2272">
        <v>91.768899705382395</v>
      </c>
      <c r="AN2272">
        <v>0.99999999505447001</v>
      </c>
    </row>
    <row r="2273" spans="1:40" x14ac:dyDescent="0.3">
      <c r="A2273" t="str">
        <f>"20200111150401365"</f>
        <v>20200111150401365</v>
      </c>
      <c r="B2273" t="str">
        <f>"1578726241361330"</f>
        <v>1578726241361330</v>
      </c>
      <c r="C2273" t="s">
        <v>40</v>
      </c>
      <c r="D2273">
        <v>5.2914709999999996</v>
      </c>
      <c r="E2273">
        <v>0.58192840000000001</v>
      </c>
      <c r="F2273" t="s">
        <v>42</v>
      </c>
      <c r="G2273">
        <v>-342.93669999999997</v>
      </c>
      <c r="H2273">
        <v>1.041976</v>
      </c>
      <c r="I2273">
        <v>22.10202</v>
      </c>
      <c r="J2273">
        <v>-343.44279999999998</v>
      </c>
      <c r="K2273">
        <v>1.102981</v>
      </c>
      <c r="L2273">
        <v>22.253509999999999</v>
      </c>
      <c r="M2273">
        <v>0.9992666</v>
      </c>
      <c r="N2273">
        <v>0</v>
      </c>
      <c r="O2273">
        <v>-3.6605119999999998E-2</v>
      </c>
      <c r="P2273">
        <v>0.99004890000000001</v>
      </c>
      <c r="Q2273">
        <v>0.1406336</v>
      </c>
      <c r="R2273">
        <v>-5.0685349999999999E-3</v>
      </c>
      <c r="S2273">
        <v>3.0630489999999999</v>
      </c>
      <c r="T2273">
        <v>-0.24926789999999999</v>
      </c>
      <c r="U2273">
        <v>-0.65786739999999999</v>
      </c>
      <c r="V2273">
        <v>-3.0748689999999999E-2</v>
      </c>
      <c r="W2273">
        <v>0.1518361</v>
      </c>
      <c r="X2273">
        <v>0.98792729999999995</v>
      </c>
      <c r="Y2273">
        <v>0.17362259999999999</v>
      </c>
      <c r="Z2273">
        <v>-4.03638E-3</v>
      </c>
      <c r="AA2273">
        <v>0.98480400000000001</v>
      </c>
      <c r="AB2273">
        <v>31</v>
      </c>
      <c r="AC2273">
        <v>0.50610000000000299</v>
      </c>
      <c r="AD2273">
        <v>-6.10049999999999E-2</v>
      </c>
      <c r="AE2273">
        <v>-0.15149000000000201</v>
      </c>
      <c r="AF2273">
        <v>0.13111304930197201</v>
      </c>
      <c r="AG2273">
        <v>-6.10049999999999E-2</v>
      </c>
      <c r="AH2273">
        <v>0.50457790019057303</v>
      </c>
      <c r="AI2273">
        <v>96.674229505202405</v>
      </c>
      <c r="AJ2273">
        <v>75.433995746925504</v>
      </c>
      <c r="AK2273">
        <v>0.52489151172693704</v>
      </c>
      <c r="AL2273">
        <v>81.266653889131902</v>
      </c>
      <c r="AM2273">
        <v>91.782723889819593</v>
      </c>
      <c r="AN2273">
        <v>1.0000000166426</v>
      </c>
    </row>
    <row r="2274" spans="1:40" x14ac:dyDescent="0.3">
      <c r="A2274" t="str">
        <f>"20200111150401387"</f>
        <v>20200111150401387</v>
      </c>
      <c r="B2274" t="str">
        <f>"1578726241380850"</f>
        <v>1578726241380850</v>
      </c>
      <c r="C2274" t="s">
        <v>40</v>
      </c>
      <c r="D2274">
        <v>5.29352</v>
      </c>
      <c r="E2274">
        <v>0.58169409999999999</v>
      </c>
      <c r="F2274" t="s">
        <v>42</v>
      </c>
      <c r="G2274">
        <v>-342.66359999999997</v>
      </c>
      <c r="H2274">
        <v>1.03965</v>
      </c>
      <c r="I2274">
        <v>22.08596</v>
      </c>
      <c r="J2274">
        <v>-343.13929999999999</v>
      </c>
      <c r="K2274">
        <v>1.103024</v>
      </c>
      <c r="L2274">
        <v>22.241029999999999</v>
      </c>
      <c r="M2274">
        <v>0.99921859999999996</v>
      </c>
      <c r="N2274">
        <v>0</v>
      </c>
      <c r="O2274">
        <v>-3.7893139999999999E-2</v>
      </c>
      <c r="P2274">
        <v>0.99011249999999995</v>
      </c>
      <c r="Q2274">
        <v>0.1401541</v>
      </c>
      <c r="R2274">
        <v>-5.873184E-3</v>
      </c>
      <c r="S2274">
        <v>3.0621339999999999</v>
      </c>
      <c r="T2274">
        <v>-0.248808</v>
      </c>
      <c r="U2274">
        <v>-0.65801999999999905</v>
      </c>
      <c r="V2274">
        <v>-3.123853E-2</v>
      </c>
      <c r="W2274">
        <v>0.15136810000000001</v>
      </c>
      <c r="X2274">
        <v>0.98798379999999997</v>
      </c>
      <c r="Y2274">
        <v>0.1724695</v>
      </c>
      <c r="Z2274">
        <v>-3.8808079999999999E-3</v>
      </c>
      <c r="AA2274">
        <v>0.98500719999999997</v>
      </c>
      <c r="AB2274">
        <v>31</v>
      </c>
      <c r="AC2274">
        <v>0.475700000000017</v>
      </c>
      <c r="AD2274">
        <v>-6.3374E-2</v>
      </c>
      <c r="AE2274">
        <v>-0.15506999999999799</v>
      </c>
      <c r="AF2274">
        <v>0.13476954513016401</v>
      </c>
      <c r="AG2274">
        <v>-6.3374E-2</v>
      </c>
      <c r="AH2274">
        <v>0.473636027967407</v>
      </c>
      <c r="AI2274">
        <v>97.333355180609999</v>
      </c>
      <c r="AJ2274">
        <v>74.116698467190801</v>
      </c>
      <c r="AK2274">
        <v>0.49649791657099002</v>
      </c>
      <c r="AL2274">
        <v>81.293782322583098</v>
      </c>
      <c r="AM2274">
        <v>91.811001187932803</v>
      </c>
      <c r="AN2274">
        <v>1.0000000682582999</v>
      </c>
    </row>
    <row r="2275" spans="1:40" x14ac:dyDescent="0.3">
      <c r="A2275" t="str">
        <f>"20200111150401400"</f>
        <v>20200111150401400</v>
      </c>
      <c r="B2275" t="str">
        <f>"1578726241390611"</f>
        <v>1578726241390611</v>
      </c>
      <c r="C2275" t="s">
        <v>40</v>
      </c>
      <c r="D2275">
        <v>5.2937019999999997</v>
      </c>
      <c r="E2275">
        <v>0.581632699999999</v>
      </c>
      <c r="F2275" t="s">
        <v>42</v>
      </c>
      <c r="G2275">
        <v>-342.38760000000002</v>
      </c>
      <c r="H2275">
        <v>1.041871</v>
      </c>
      <c r="I2275">
        <v>22.078949999999999</v>
      </c>
      <c r="J2275">
        <v>-342.9495</v>
      </c>
      <c r="K2275">
        <v>1.103057</v>
      </c>
      <c r="L2275">
        <v>22.233000000000001</v>
      </c>
      <c r="M2275">
        <v>0.99918940000000001</v>
      </c>
      <c r="N2275">
        <v>0</v>
      </c>
      <c r="O2275">
        <v>-3.8653979999999998E-2</v>
      </c>
      <c r="P2275">
        <v>0.99013899999999999</v>
      </c>
      <c r="Q2275">
        <v>0.1399521</v>
      </c>
      <c r="R2275">
        <v>-6.2132919999999996E-3</v>
      </c>
      <c r="S2275">
        <v>3.0612490000000001</v>
      </c>
      <c r="T2275">
        <v>-0.2489111</v>
      </c>
      <c r="U2275">
        <v>-0.65844729999999996</v>
      </c>
      <c r="V2275">
        <v>-3.1665840000000001E-2</v>
      </c>
      <c r="W2275">
        <v>0.15117149999999999</v>
      </c>
      <c r="X2275">
        <v>0.9880002</v>
      </c>
      <c r="Y2275">
        <v>0.17191300000000001</v>
      </c>
      <c r="Z2275">
        <v>-3.8002040000000002E-3</v>
      </c>
      <c r="AA2275">
        <v>0.9851048</v>
      </c>
      <c r="AB2275">
        <v>31</v>
      </c>
      <c r="AC2275">
        <v>0.56189999999997997</v>
      </c>
      <c r="AD2275">
        <v>-6.11859999999999E-2</v>
      </c>
      <c r="AE2275">
        <v>-0.15405000000000099</v>
      </c>
      <c r="AF2275">
        <v>0.13077161387078801</v>
      </c>
      <c r="AG2275">
        <v>-6.11859999999999E-2</v>
      </c>
      <c r="AH2275">
        <v>0.56124540930892897</v>
      </c>
      <c r="AI2275">
        <v>96.060630372458505</v>
      </c>
      <c r="AJ2275">
        <v>76.883952692949407</v>
      </c>
      <c r="AK2275">
        <v>0.579518205978655</v>
      </c>
      <c r="AL2275">
        <v>81.305176957782706</v>
      </c>
      <c r="AM2275">
        <v>91.835726478602794</v>
      </c>
      <c r="AN2275">
        <v>0.99999997151759701</v>
      </c>
    </row>
    <row r="2276" spans="1:40" x14ac:dyDescent="0.3">
      <c r="A2276" t="str">
        <f>"20200111150401414"</f>
        <v>20200111150401414</v>
      </c>
      <c r="B2276" t="str">
        <f>"1578726241411107"</f>
        <v>1578726241411107</v>
      </c>
      <c r="C2276" t="s">
        <v>40</v>
      </c>
      <c r="D2276">
        <v>5.257269</v>
      </c>
      <c r="E2276">
        <v>0.58141980000000004</v>
      </c>
      <c r="F2276" t="s">
        <v>42</v>
      </c>
      <c r="G2276">
        <v>-342.11689999999999</v>
      </c>
      <c r="H2276">
        <v>1.0354239999999999</v>
      </c>
      <c r="I2276">
        <v>22.05367</v>
      </c>
      <c r="J2276">
        <v>-342.7654</v>
      </c>
      <c r="K2276">
        <v>1.1030930000000001</v>
      </c>
      <c r="L2276">
        <v>22.225159999999999</v>
      </c>
      <c r="M2276">
        <v>0.99916139999999998</v>
      </c>
      <c r="N2276">
        <v>0</v>
      </c>
      <c r="O2276">
        <v>-3.9364459999999997E-2</v>
      </c>
      <c r="P2276">
        <v>0.99016510000000002</v>
      </c>
      <c r="Q2276">
        <v>0.13973260000000001</v>
      </c>
      <c r="R2276">
        <v>-6.9257490000000001E-3</v>
      </c>
      <c r="S2276">
        <v>3.060883</v>
      </c>
      <c r="T2276">
        <v>-0.2485831</v>
      </c>
      <c r="U2276">
        <v>-0.65887450000000003</v>
      </c>
      <c r="V2276">
        <v>-3.1673020000000003E-2</v>
      </c>
      <c r="W2276">
        <v>0.1509556</v>
      </c>
      <c r="X2276">
        <v>0.98803300000000005</v>
      </c>
      <c r="Y2276">
        <v>0.1713732</v>
      </c>
      <c r="Z2276">
        <v>-3.717153E-3</v>
      </c>
      <c r="AA2276">
        <v>0.98519920000000005</v>
      </c>
      <c r="AB2276">
        <v>31</v>
      </c>
      <c r="AC2276">
        <v>0.64850000000001196</v>
      </c>
      <c r="AD2276">
        <v>-6.7669000000000201E-2</v>
      </c>
      <c r="AE2276">
        <v>-0.17148999999999801</v>
      </c>
      <c r="AF2276">
        <v>0.14435850674692899</v>
      </c>
      <c r="AG2276">
        <v>-6.7669000000000201E-2</v>
      </c>
      <c r="AH2276">
        <v>0.64815232070985995</v>
      </c>
      <c r="AI2276">
        <v>95.818695204617001</v>
      </c>
      <c r="AJ2276">
        <v>77.443846451627294</v>
      </c>
      <c r="AK2276">
        <v>0.667472773132193</v>
      </c>
      <c r="AL2276">
        <v>81.317690896739506</v>
      </c>
      <c r="AM2276">
        <v>91.836081518205802</v>
      </c>
      <c r="AN2276">
        <v>0.99999999122813998</v>
      </c>
    </row>
    <row r="2277" spans="1:40" x14ac:dyDescent="0.3">
      <c r="A2277" t="str">
        <f>"20200111150401431"</f>
        <v>20200111150401431</v>
      </c>
      <c r="B2277" t="str">
        <f>"1578726241420869"</f>
        <v>1578726241420869</v>
      </c>
      <c r="C2277" t="s">
        <v>40</v>
      </c>
      <c r="D2277">
        <v>5.224329</v>
      </c>
      <c r="E2277">
        <v>0.58135760000000003</v>
      </c>
      <c r="F2277" t="s">
        <v>42</v>
      </c>
      <c r="G2277">
        <v>-341.84550000000002</v>
      </c>
      <c r="H2277">
        <v>1.0282260000000001</v>
      </c>
      <c r="I2277">
        <v>22.026610000000002</v>
      </c>
      <c r="J2277">
        <v>-342.52929999999998</v>
      </c>
      <c r="K2277">
        <v>1.1031470000000001</v>
      </c>
      <c r="L2277">
        <v>22.214970000000001</v>
      </c>
      <c r="M2277">
        <v>0.99912719999999999</v>
      </c>
      <c r="N2277">
        <v>0</v>
      </c>
      <c r="O2277">
        <v>-4.0220760000000001E-2</v>
      </c>
      <c r="P2277">
        <v>0.9902436</v>
      </c>
      <c r="Q2277">
        <v>0.13913589999999901</v>
      </c>
      <c r="R2277">
        <v>-7.6602390000000001E-3</v>
      </c>
      <c r="S2277">
        <v>3.060333</v>
      </c>
      <c r="T2277">
        <v>-0.24898580000000001</v>
      </c>
      <c r="U2277">
        <v>-0.65930180000000005</v>
      </c>
      <c r="V2277">
        <v>-3.1812550000000002E-2</v>
      </c>
      <c r="W2277">
        <v>0.150364</v>
      </c>
      <c r="X2277">
        <v>0.98811870000000002</v>
      </c>
      <c r="Y2277">
        <v>0.17069999999999999</v>
      </c>
      <c r="Z2277">
        <v>-3.6281389999999998E-3</v>
      </c>
      <c r="AA2277">
        <v>0.98531639999999998</v>
      </c>
      <c r="AB2277">
        <v>31</v>
      </c>
      <c r="AC2277">
        <v>0.68379999999996199</v>
      </c>
      <c r="AD2277">
        <v>-7.4920999999999793E-2</v>
      </c>
      <c r="AE2277">
        <v>-0.188359999999999</v>
      </c>
      <c r="AF2277">
        <v>0.15892952611832301</v>
      </c>
      <c r="AG2277">
        <v>-7.4920999999999793E-2</v>
      </c>
      <c r="AH2277">
        <v>0.68319994178312005</v>
      </c>
      <c r="AI2277">
        <v>96.096647188361402</v>
      </c>
      <c r="AJ2277">
        <v>76.904461608796694</v>
      </c>
      <c r="AK2277">
        <v>0.70543171956302997</v>
      </c>
      <c r="AL2277">
        <v>81.3519782483543</v>
      </c>
      <c r="AM2277">
        <v>91.844004649260199</v>
      </c>
      <c r="AN2277">
        <v>0.99999996806159497</v>
      </c>
    </row>
    <row r="2278" spans="1:40" x14ac:dyDescent="0.3">
      <c r="A2278" t="str">
        <f>"20200111150401443"</f>
        <v>20200111150401443</v>
      </c>
      <c r="B2278" t="str">
        <f>"1578726241440387"</f>
        <v>1578726241440387</v>
      </c>
      <c r="C2278" t="s">
        <v>40</v>
      </c>
      <c r="D2278">
        <v>5.2588229999999996</v>
      </c>
      <c r="E2278">
        <v>0.58135400000000004</v>
      </c>
      <c r="F2278" t="s">
        <v>42</v>
      </c>
      <c r="G2278">
        <v>-341.57240000000002</v>
      </c>
      <c r="H2278">
        <v>1.0246999999999999</v>
      </c>
      <c r="I2278">
        <v>22.008240000000001</v>
      </c>
      <c r="J2278">
        <v>-342.35169999999999</v>
      </c>
      <c r="K2278">
        <v>1.103197</v>
      </c>
      <c r="L2278">
        <v>22.207149999999999</v>
      </c>
      <c r="M2278">
        <v>0.99910319999999997</v>
      </c>
      <c r="N2278">
        <v>0</v>
      </c>
      <c r="O2278">
        <v>-4.0813969999999998E-2</v>
      </c>
      <c r="P2278">
        <v>0.99032160000000002</v>
      </c>
      <c r="Q2278">
        <v>0.13854060000000001</v>
      </c>
      <c r="R2278">
        <v>-8.3548029999999992E-3</v>
      </c>
      <c r="S2278">
        <v>3.0596920000000001</v>
      </c>
      <c r="T2278">
        <v>-0.25083430000000001</v>
      </c>
      <c r="U2278">
        <v>-0.66079709999999903</v>
      </c>
      <c r="V2278">
        <v>-3.1729210000000001E-2</v>
      </c>
      <c r="W2278">
        <v>0.1497714</v>
      </c>
      <c r="X2278">
        <v>0.98821139999999996</v>
      </c>
      <c r="Y2278">
        <v>0.1706136</v>
      </c>
      <c r="Z2278">
        <v>-3.604192E-3</v>
      </c>
      <c r="AA2278">
        <v>0.98533139999999997</v>
      </c>
      <c r="AB2278">
        <v>31</v>
      </c>
      <c r="AC2278">
        <v>0.77929999999997701</v>
      </c>
      <c r="AD2278">
        <v>-7.8496999999999997E-2</v>
      </c>
      <c r="AE2278">
        <v>-0.19890999999999701</v>
      </c>
      <c r="AF2278">
        <v>0.165360753050212</v>
      </c>
      <c r="AG2278">
        <v>-7.8496999999999997E-2</v>
      </c>
      <c r="AH2278">
        <v>0.77934575961252195</v>
      </c>
      <c r="AI2278">
        <v>95.627088714932995</v>
      </c>
      <c r="AJ2278">
        <v>78.020702735839606</v>
      </c>
      <c r="AK2278">
        <v>0.80055341525993895</v>
      </c>
      <c r="AL2278">
        <v>81.386320848548607</v>
      </c>
      <c r="AM2278">
        <v>91.839004786834494</v>
      </c>
      <c r="AN2278">
        <v>0.99999999305757203</v>
      </c>
    </row>
    <row r="2279" spans="1:40" x14ac:dyDescent="0.3">
      <c r="A2279" t="str">
        <f>"20200111150401456"</f>
        <v>20200111150401456</v>
      </c>
      <c r="B2279" t="str">
        <f>"1578726241451123"</f>
        <v>1578726241451123</v>
      </c>
      <c r="C2279" t="s">
        <v>40</v>
      </c>
      <c r="D2279">
        <v>5.2069979999999996</v>
      </c>
      <c r="E2279">
        <v>0.58130459999999995</v>
      </c>
      <c r="F2279" t="s">
        <v>42</v>
      </c>
      <c r="G2279">
        <v>-341.56549999999999</v>
      </c>
      <c r="H2279">
        <v>1.038564</v>
      </c>
      <c r="I2279">
        <v>22.036660000000001</v>
      </c>
      <c r="J2279">
        <v>-342.17430000000002</v>
      </c>
      <c r="K2279">
        <v>1.103251</v>
      </c>
      <c r="L2279">
        <v>22.199339999999999</v>
      </c>
      <c r="M2279">
        <v>0.99908030000000003</v>
      </c>
      <c r="N2279">
        <v>0</v>
      </c>
      <c r="O2279">
        <v>-4.1365300000000001E-2</v>
      </c>
      <c r="P2279">
        <v>0.99038400000000004</v>
      </c>
      <c r="Q2279">
        <v>0.1380412</v>
      </c>
      <c r="R2279">
        <v>-9.1625019999999995E-3</v>
      </c>
      <c r="S2279">
        <v>3.058929</v>
      </c>
      <c r="T2279">
        <v>-0.25143500000000002</v>
      </c>
      <c r="U2279">
        <v>-0.6631165</v>
      </c>
      <c r="V2279">
        <v>-3.1490820000000003E-2</v>
      </c>
      <c r="W2279">
        <v>0.14927309999999999</v>
      </c>
      <c r="X2279">
        <v>0.98829440000000002</v>
      </c>
      <c r="Y2279">
        <v>0.17083329999999999</v>
      </c>
      <c r="Z2279">
        <v>-3.5777109999999999E-3</v>
      </c>
      <c r="AA2279">
        <v>0.98529339999999999</v>
      </c>
      <c r="AB2279">
        <v>31</v>
      </c>
      <c r="AC2279">
        <v>0.60880000000002998</v>
      </c>
      <c r="AD2279">
        <v>-6.4686999999999897E-2</v>
      </c>
      <c r="AE2279">
        <v>-0.16267999999999799</v>
      </c>
      <c r="AF2279">
        <v>0.135923666726189</v>
      </c>
      <c r="AG2279">
        <v>-6.4686999999999897E-2</v>
      </c>
      <c r="AH2279">
        <v>0.60859560200993401</v>
      </c>
      <c r="AI2279">
        <v>95.922298820822206</v>
      </c>
      <c r="AJ2279">
        <v>77.410183368229795</v>
      </c>
      <c r="AK2279">
        <v>0.62693560907889601</v>
      </c>
      <c r="AL2279">
        <v>81.415195788343098</v>
      </c>
      <c r="AM2279">
        <v>91.825044053306399</v>
      </c>
      <c r="AN2279">
        <v>0.99999997559961995</v>
      </c>
    </row>
    <row r="2280" spans="1:40" x14ac:dyDescent="0.3">
      <c r="A2280" t="str">
        <f>"20200111150401470"</f>
        <v>20200111150401470</v>
      </c>
      <c r="B2280" t="str">
        <f>"1578726241460882"</f>
        <v>1578726241460882</v>
      </c>
      <c r="C2280" t="s">
        <v>40</v>
      </c>
      <c r="D2280">
        <v>5.237692</v>
      </c>
      <c r="E2280">
        <v>0.58129169999999997</v>
      </c>
      <c r="F2280" t="s">
        <v>42</v>
      </c>
      <c r="G2280">
        <v>-341.29480000000001</v>
      </c>
      <c r="H2280">
        <v>1.030702</v>
      </c>
      <c r="I2280">
        <v>22.007899999999999</v>
      </c>
      <c r="J2280">
        <v>-341.98329999999999</v>
      </c>
      <c r="K2280">
        <v>1.1033109999999999</v>
      </c>
      <c r="L2280">
        <v>22.190860000000001</v>
      </c>
      <c r="M2280">
        <v>0.99905719999999998</v>
      </c>
      <c r="N2280">
        <v>0</v>
      </c>
      <c r="O2280">
        <v>-4.1919110000000002E-2</v>
      </c>
      <c r="P2280">
        <v>0.9903885</v>
      </c>
      <c r="Q2280">
        <v>0.13798440000000001</v>
      </c>
      <c r="R2280">
        <v>-9.5361709999999995E-3</v>
      </c>
      <c r="S2280">
        <v>3.0581360000000002</v>
      </c>
      <c r="T2280">
        <v>-0.2522663</v>
      </c>
      <c r="U2280">
        <v>-0.66519169999999905</v>
      </c>
      <c r="V2280">
        <v>-3.1689019999999998E-2</v>
      </c>
      <c r="W2280">
        <v>0.14921789999999999</v>
      </c>
      <c r="X2280">
        <v>0.98829639999999996</v>
      </c>
      <c r="Y2280">
        <v>0.17097699999999999</v>
      </c>
      <c r="Z2280">
        <v>-3.5510590000000001E-3</v>
      </c>
      <c r="AA2280">
        <v>0.9852687</v>
      </c>
      <c r="AB2280">
        <v>31</v>
      </c>
      <c r="AC2280">
        <v>0.68849999999997602</v>
      </c>
      <c r="AD2280">
        <v>-7.2609000000000104E-2</v>
      </c>
      <c r="AE2280">
        <v>-0.18296000000000101</v>
      </c>
      <c r="AF2280">
        <v>0.152353338799184</v>
      </c>
      <c r="AG2280">
        <v>-7.2609000000000104E-2</v>
      </c>
      <c r="AH2280">
        <v>0.68841338808881103</v>
      </c>
      <c r="AI2280">
        <v>95.879660513508099</v>
      </c>
      <c r="AJ2280">
        <v>77.520963411182805</v>
      </c>
      <c r="AK2280">
        <v>0.70879940718384804</v>
      </c>
      <c r="AL2280">
        <v>81.418394333142103</v>
      </c>
      <c r="AM2280">
        <v>91.836519138367294</v>
      </c>
      <c r="AN2280">
        <v>0.99999997496096404</v>
      </c>
    </row>
    <row r="2281" spans="1:40" x14ac:dyDescent="0.3">
      <c r="A2281" t="str">
        <f>"20200111150401486"</f>
        <v>20200111150401486</v>
      </c>
      <c r="B2281" t="str">
        <f>"1578726241480402"</f>
        <v>1578726241480402</v>
      </c>
      <c r="C2281" t="s">
        <v>40</v>
      </c>
      <c r="D2281">
        <v>5.2073090000000004</v>
      </c>
      <c r="E2281">
        <v>0.58133570000000001</v>
      </c>
      <c r="F2281" t="s">
        <v>42</v>
      </c>
      <c r="G2281">
        <v>-341.02289999999999</v>
      </c>
      <c r="H2281">
        <v>1.0241199999999999</v>
      </c>
      <c r="I2281">
        <v>21.981649999999998</v>
      </c>
      <c r="J2281">
        <v>-341.76740000000001</v>
      </c>
      <c r="K2281">
        <v>1.1033930000000001</v>
      </c>
      <c r="L2281">
        <v>22.181180000000001</v>
      </c>
      <c r="M2281">
        <v>0.99903489999999995</v>
      </c>
      <c r="N2281">
        <v>0</v>
      </c>
      <c r="O2281">
        <v>-4.2447789999999999E-2</v>
      </c>
      <c r="P2281">
        <v>0.99035390000000001</v>
      </c>
      <c r="Q2281">
        <v>0.13813810000000001</v>
      </c>
      <c r="R2281">
        <v>-1.081999E-2</v>
      </c>
      <c r="S2281">
        <v>3.0577999999999999</v>
      </c>
      <c r="T2281">
        <v>-0.25211919999999999</v>
      </c>
      <c r="U2281">
        <v>-0.66632080000000005</v>
      </c>
      <c r="V2281">
        <v>-3.095879E-2</v>
      </c>
      <c r="W2281">
        <v>0.14936920000000001</v>
      </c>
      <c r="X2281">
        <v>0.98829670000000003</v>
      </c>
      <c r="Y2281">
        <v>0.17082809999999901</v>
      </c>
      <c r="Z2281">
        <v>-3.500296E-3</v>
      </c>
      <c r="AA2281">
        <v>0.98529460000000002</v>
      </c>
      <c r="AB2281">
        <v>31</v>
      </c>
      <c r="AC2281">
        <v>0.74450000000001604</v>
      </c>
      <c r="AD2281">
        <v>-7.9272999999999899E-2</v>
      </c>
      <c r="AE2281">
        <v>-0.19952999999999901</v>
      </c>
      <c r="AF2281">
        <v>0.16598993109490401</v>
      </c>
      <c r="AG2281">
        <v>-7.9272999999999899E-2</v>
      </c>
      <c r="AH2281">
        <v>0.74442463729773001</v>
      </c>
      <c r="AI2281">
        <v>95.933816013218603</v>
      </c>
      <c r="AJ2281">
        <v>77.429962085312098</v>
      </c>
      <c r="AK2281">
        <v>0.76681477970220902</v>
      </c>
      <c r="AL2281">
        <v>81.409627322565697</v>
      </c>
      <c r="AM2281">
        <v>91.794226517196194</v>
      </c>
      <c r="AN2281">
        <v>0.99999998590889705</v>
      </c>
    </row>
    <row r="2282" spans="1:40" x14ac:dyDescent="0.3">
      <c r="A2282" t="str">
        <f>"20200111150401499"</f>
        <v>20200111150401499</v>
      </c>
      <c r="B2282" t="str">
        <f>"1578726241491138"</f>
        <v>1578726241491138</v>
      </c>
      <c r="C2282" t="s">
        <v>40</v>
      </c>
      <c r="D2282">
        <v>5.2263229999999998</v>
      </c>
      <c r="E2282">
        <v>0.58142130000000003</v>
      </c>
      <c r="F2282" t="s">
        <v>42</v>
      </c>
      <c r="G2282">
        <v>-341.01350000000002</v>
      </c>
      <c r="H2282">
        <v>1.0415000000000001</v>
      </c>
      <c r="I2282">
        <v>22.01596</v>
      </c>
      <c r="J2282">
        <v>-341.59059999999999</v>
      </c>
      <c r="K2282">
        <v>1.103472</v>
      </c>
      <c r="L2282">
        <v>22.173249999999999</v>
      </c>
      <c r="M2282">
        <v>0.99901980000000001</v>
      </c>
      <c r="N2282">
        <v>0</v>
      </c>
      <c r="O2282">
        <v>-4.2799900000000002E-2</v>
      </c>
      <c r="P2282">
        <v>0.99026950000000002</v>
      </c>
      <c r="Q2282">
        <v>0.13864470000000001</v>
      </c>
      <c r="R2282">
        <v>-1.199307E-2</v>
      </c>
      <c r="S2282">
        <v>3.0568849999999999</v>
      </c>
      <c r="T2282">
        <v>-0.25093280000000001</v>
      </c>
      <c r="U2282">
        <v>-0.67028809999999905</v>
      </c>
      <c r="V2282">
        <v>-3.0159559999999998E-2</v>
      </c>
      <c r="W2282">
        <v>0.149871799999999</v>
      </c>
      <c r="X2282">
        <v>0.98824529999999999</v>
      </c>
      <c r="Y2282">
        <v>0.17176449999999999</v>
      </c>
      <c r="Z2282">
        <v>-3.4939289999999998E-3</v>
      </c>
      <c r="AA2282">
        <v>0.98513189999999995</v>
      </c>
      <c r="AB2282">
        <v>31</v>
      </c>
      <c r="AC2282">
        <v>0.57709999999997297</v>
      </c>
      <c r="AD2282">
        <v>-6.1971999999999902E-2</v>
      </c>
      <c r="AE2282">
        <v>-0.15728999999999899</v>
      </c>
      <c r="AF2282">
        <v>0.13103786691821201</v>
      </c>
      <c r="AG2282">
        <v>-6.1971999999999902E-2</v>
      </c>
      <c r="AH2282">
        <v>0.57710874390191003</v>
      </c>
      <c r="AI2282">
        <v>95.978115879883006</v>
      </c>
      <c r="AJ2282">
        <v>77.207366163156095</v>
      </c>
      <c r="AK2282">
        <v>0.59503441382706301</v>
      </c>
      <c r="AL2282">
        <v>81.380502432534499</v>
      </c>
      <c r="AM2282">
        <v>91.748026859123101</v>
      </c>
      <c r="AN2282">
        <v>0.99999996423336102</v>
      </c>
    </row>
    <row r="2283" spans="1:40" x14ac:dyDescent="0.3">
      <c r="A2283" t="str">
        <f>"20200111150401512"</f>
        <v>20200111150401512</v>
      </c>
      <c r="B2283" t="str">
        <f>"1578726241500899"</f>
        <v>1578726241500899</v>
      </c>
      <c r="C2283" t="s">
        <v>40</v>
      </c>
      <c r="D2283">
        <v>5.2307880000000004</v>
      </c>
      <c r="E2283">
        <v>0.58150740000000001</v>
      </c>
      <c r="F2283" t="s">
        <v>42</v>
      </c>
      <c r="G2283">
        <v>-340.74220000000003</v>
      </c>
      <c r="H2283">
        <v>1.034235</v>
      </c>
      <c r="I2283">
        <v>21.985900000000001</v>
      </c>
      <c r="J2283">
        <v>-341.41590000000002</v>
      </c>
      <c r="K2283">
        <v>1.1035539999999999</v>
      </c>
      <c r="L2283">
        <v>22.165410000000001</v>
      </c>
      <c r="M2283">
        <v>0.99900679999999997</v>
      </c>
      <c r="N2283">
        <v>0</v>
      </c>
      <c r="O2283">
        <v>-4.3101769999999998E-2</v>
      </c>
      <c r="P2283">
        <v>0.99020540000000001</v>
      </c>
      <c r="Q2283">
        <v>0.13898160000000001</v>
      </c>
      <c r="R2283">
        <v>-1.332357E-2</v>
      </c>
      <c r="S2283">
        <v>3.056244</v>
      </c>
      <c r="T2283">
        <v>-0.24940509999999999</v>
      </c>
      <c r="U2283">
        <v>-0.67422490000000002</v>
      </c>
      <c r="V2283">
        <v>-2.9156209999999998E-2</v>
      </c>
      <c r="W2283">
        <v>0.15020610000000001</v>
      </c>
      <c r="X2283">
        <v>0.98822469999999996</v>
      </c>
      <c r="Y2283">
        <v>0.1727233</v>
      </c>
      <c r="Z2283">
        <v>-3.487352E-3</v>
      </c>
      <c r="AA2283">
        <v>0.98496419999999996</v>
      </c>
      <c r="AB2283">
        <v>31</v>
      </c>
      <c r="AC2283">
        <v>0.67369999999999597</v>
      </c>
      <c r="AD2283">
        <v>-6.9319000000000103E-2</v>
      </c>
      <c r="AE2283">
        <v>-0.17951</v>
      </c>
      <c r="AF2283">
        <v>0.14883241207224099</v>
      </c>
      <c r="AG2283">
        <v>-6.9319000000000103E-2</v>
      </c>
      <c r="AH2283">
        <v>0.67414749015595998</v>
      </c>
      <c r="AI2283">
        <v>95.733673712571601</v>
      </c>
      <c r="AJ2283">
        <v>77.550436690816895</v>
      </c>
      <c r="AK2283">
        <v>0.69385232515847395</v>
      </c>
      <c r="AL2283">
        <v>81.361129524288899</v>
      </c>
      <c r="AM2283">
        <v>91.689942905957807</v>
      </c>
      <c r="AN2283">
        <v>1.00000000737443</v>
      </c>
    </row>
    <row r="2284" spans="1:40" x14ac:dyDescent="0.3">
      <c r="A2284" t="str">
        <f>"20200111150401524"</f>
        <v>20200111150401524</v>
      </c>
      <c r="B2284" t="str">
        <f>"1578726241521039"</f>
        <v>1578726241521039</v>
      </c>
      <c r="C2284" t="s">
        <v>40</v>
      </c>
      <c r="D2284">
        <v>5.1613499999999997</v>
      </c>
      <c r="E2284">
        <v>0.60084689999999996</v>
      </c>
      <c r="F2284" t="s">
        <v>42</v>
      </c>
      <c r="G2284">
        <v>-340.46839999999997</v>
      </c>
      <c r="H2284">
        <v>1.02651</v>
      </c>
      <c r="I2284">
        <v>21.954820000000002</v>
      </c>
      <c r="J2284">
        <v>-341.23320000000001</v>
      </c>
      <c r="K2284">
        <v>1.10365</v>
      </c>
      <c r="L2284">
        <v>22.157229999999998</v>
      </c>
      <c r="M2284">
        <v>0.99899680000000002</v>
      </c>
      <c r="N2284">
        <v>0</v>
      </c>
      <c r="O2284">
        <v>-4.3328720000000001E-2</v>
      </c>
      <c r="P2284">
        <v>0.99015900000000001</v>
      </c>
      <c r="Q2284">
        <v>0.13917060000000001</v>
      </c>
      <c r="R2284">
        <v>-1.4726E-2</v>
      </c>
      <c r="S2284">
        <v>3.0553889999999999</v>
      </c>
      <c r="T2284">
        <v>-0.24853320000000001</v>
      </c>
      <c r="U2284">
        <v>-0.67855829999999995</v>
      </c>
      <c r="V2284">
        <v>-2.8013139999999999E-2</v>
      </c>
      <c r="W2284">
        <v>0.15039369999999999</v>
      </c>
      <c r="X2284">
        <v>0.98822920000000003</v>
      </c>
      <c r="Y2284">
        <v>0.17388890000000001</v>
      </c>
      <c r="Z2284">
        <v>-3.5042530000000001E-3</v>
      </c>
      <c r="AA2284">
        <v>0.98475900000000005</v>
      </c>
      <c r="AB2284">
        <v>31</v>
      </c>
      <c r="AC2284">
        <v>0.76480000000003601</v>
      </c>
      <c r="AD2284">
        <v>-7.7139999999999903E-2</v>
      </c>
      <c r="AE2284">
        <v>-0.20240999999999601</v>
      </c>
      <c r="AF2284">
        <v>0.16748758746547901</v>
      </c>
      <c r="AG2284">
        <v>-7.7139999999999903E-2</v>
      </c>
      <c r="AH2284">
        <v>0.76557376813093303</v>
      </c>
      <c r="AI2284">
        <v>95.621683494412295</v>
      </c>
      <c r="AJ2284">
        <v>77.659603859510298</v>
      </c>
      <c r="AK2284">
        <v>0.78746800951226004</v>
      </c>
      <c r="AL2284">
        <v>81.350257062703605</v>
      </c>
      <c r="AM2284">
        <v>91.623717449508703</v>
      </c>
      <c r="AN2284">
        <v>0.99999997637249405</v>
      </c>
    </row>
    <row r="2285" spans="1:40" x14ac:dyDescent="0.3">
      <c r="A2285" t="str">
        <f>"20200111150401542"</f>
        <v>20200111150401542</v>
      </c>
      <c r="B2285" t="str">
        <f>"1578726241530800"</f>
        <v>1578726241530800</v>
      </c>
      <c r="C2285" t="s">
        <v>40</v>
      </c>
      <c r="D2285">
        <v>7.1181970000000003</v>
      </c>
      <c r="E2285">
        <v>0.60084689999999996</v>
      </c>
      <c r="F2285" t="s">
        <v>41</v>
      </c>
      <c r="G2285">
        <v>-328.58800000000002</v>
      </c>
      <c r="H2285" s="1">
        <v>-8.1121509999999999E-7</v>
      </c>
      <c r="I2285">
        <v>18.695930000000001</v>
      </c>
      <c r="J2285">
        <v>-341.00229999999999</v>
      </c>
      <c r="K2285">
        <v>1.1037779999999999</v>
      </c>
      <c r="L2285">
        <v>22.146940000000001</v>
      </c>
      <c r="M2285">
        <v>0.99898940000000003</v>
      </c>
      <c r="N2285">
        <v>0</v>
      </c>
      <c r="O2285">
        <v>-4.3495369999999998E-2</v>
      </c>
      <c r="P2285">
        <v>0.99023499999999998</v>
      </c>
      <c r="Q2285">
        <v>0.13830580000000001</v>
      </c>
      <c r="R2285">
        <v>-1.7501289999999999E-2</v>
      </c>
      <c r="S2285">
        <v>3.05484</v>
      </c>
      <c r="T2285">
        <v>-0.26662049999999998</v>
      </c>
      <c r="U2285">
        <v>-0.83618159999999897</v>
      </c>
      <c r="V2285">
        <v>-2.5457190000000001E-2</v>
      </c>
      <c r="W2285">
        <v>0.14953139999999901</v>
      </c>
      <c r="X2285">
        <v>0.98842920000000001</v>
      </c>
      <c r="Y2285">
        <v>0.2211803</v>
      </c>
      <c r="Z2285">
        <v>-5.7458609999999997E-3</v>
      </c>
      <c r="AA2285">
        <v>0.97521599999999997</v>
      </c>
      <c r="AB2285">
        <v>31</v>
      </c>
      <c r="AC2285">
        <v>12.4142999999999</v>
      </c>
      <c r="AD2285">
        <v>-1.1037788112150999</v>
      </c>
      <c r="AE2285">
        <v>-3.4510099999999899</v>
      </c>
      <c r="AF2285">
        <v>2.8865621111967301</v>
      </c>
      <c r="AG2285">
        <v>-1.1037788112150999</v>
      </c>
      <c r="AH2285">
        <v>12.461219021116699</v>
      </c>
      <c r="AI2285">
        <v>94.931961248874202</v>
      </c>
      <c r="AJ2285">
        <v>76.957825610439599</v>
      </c>
      <c r="AK2285">
        <v>12.838712862983</v>
      </c>
      <c r="AL2285">
        <v>81.400228475180299</v>
      </c>
      <c r="AM2285">
        <v>91.475338005706703</v>
      </c>
      <c r="AN2285">
        <v>0.99999999576064802</v>
      </c>
    </row>
    <row r="2286" spans="1:40" x14ac:dyDescent="0.3">
      <c r="A2286" t="str">
        <f>"20200111150401556"</f>
        <v>20200111150401556</v>
      </c>
      <c r="B2286" t="str">
        <f>"1578726241551295"</f>
        <v>1578726241551295</v>
      </c>
      <c r="C2286" t="s">
        <v>40</v>
      </c>
      <c r="D2286">
        <v>5.2689469999999998</v>
      </c>
      <c r="E2286">
        <v>0.62527409999999894</v>
      </c>
      <c r="F2286" t="s">
        <v>41</v>
      </c>
      <c r="G2286">
        <v>-328.49110000000002</v>
      </c>
      <c r="H2286" s="1">
        <v>-8.5907299999999995E-7</v>
      </c>
      <c r="I2286">
        <v>18.684069999999998</v>
      </c>
      <c r="J2286">
        <v>-340.81319999999999</v>
      </c>
      <c r="K2286">
        <v>1.1038889999999999</v>
      </c>
      <c r="L2286">
        <v>22.138580000000001</v>
      </c>
      <c r="M2286">
        <v>0.99898790000000004</v>
      </c>
      <c r="N2286">
        <v>0</v>
      </c>
      <c r="O2286">
        <v>-4.3530199999999998E-2</v>
      </c>
      <c r="P2286">
        <v>0.99030640000000003</v>
      </c>
      <c r="Q2286">
        <v>0.13761570000000001</v>
      </c>
      <c r="R2286">
        <v>-1.885794E-2</v>
      </c>
      <c r="S2286">
        <v>3.0522770000000001</v>
      </c>
      <c r="T2286">
        <v>-0.2692833</v>
      </c>
      <c r="U2286">
        <v>-0.84481810000000002</v>
      </c>
      <c r="V2286">
        <v>-2.4182430000000001E-2</v>
      </c>
      <c r="W2286">
        <v>0.14884449999999999</v>
      </c>
      <c r="X2286">
        <v>0.98856489999999997</v>
      </c>
      <c r="Y2286">
        <v>0.22389629999999999</v>
      </c>
      <c r="Z2286">
        <v>-5.9200310000000001E-3</v>
      </c>
      <c r="AA2286">
        <v>0.97459499999999999</v>
      </c>
      <c r="AB2286">
        <v>31</v>
      </c>
      <c r="AC2286">
        <v>12.322099999999899</v>
      </c>
      <c r="AD2286">
        <v>-1.103889859073</v>
      </c>
      <c r="AE2286">
        <v>-3.4545099999999902</v>
      </c>
      <c r="AF2286">
        <v>2.89328865122586</v>
      </c>
      <c r="AG2286">
        <v>-1.103889859073</v>
      </c>
      <c r="AH2286">
        <v>12.368769428936201</v>
      </c>
      <c r="AI2286">
        <v>94.966654982095804</v>
      </c>
      <c r="AJ2286">
        <v>76.834164908178906</v>
      </c>
      <c r="AK2286">
        <v>12.750535252547801</v>
      </c>
      <c r="AL2286">
        <v>81.440030570349194</v>
      </c>
      <c r="AM2286">
        <v>91.401298899650996</v>
      </c>
      <c r="AN2286">
        <v>1.0000000183064801</v>
      </c>
    </row>
    <row r="2287" spans="1:40" x14ac:dyDescent="0.3">
      <c r="A2287" t="str">
        <f>"20200111150401568"</f>
        <v>20200111150401568</v>
      </c>
      <c r="B2287" t="str">
        <f>"1578726241561058"</f>
        <v>1578726241561058</v>
      </c>
      <c r="C2287" t="s">
        <v>40</v>
      </c>
      <c r="D2287">
        <v>5.2636909999999997</v>
      </c>
      <c r="E2287">
        <v>0.62997159999999996</v>
      </c>
      <c r="F2287" t="s">
        <v>41</v>
      </c>
      <c r="G2287">
        <v>-326.08539999999999</v>
      </c>
      <c r="H2287" s="1">
        <v>-2.2805640000000001E-6</v>
      </c>
      <c r="I2287">
        <v>17.08135</v>
      </c>
      <c r="J2287">
        <v>-340.63240000000002</v>
      </c>
      <c r="K2287">
        <v>1.104006</v>
      </c>
      <c r="L2287">
        <v>22.130680000000002</v>
      </c>
      <c r="M2287">
        <v>0.99898949999999997</v>
      </c>
      <c r="N2287">
        <v>0</v>
      </c>
      <c r="O2287">
        <v>-4.3492089999999997E-2</v>
      </c>
      <c r="P2287">
        <v>0.9903824</v>
      </c>
      <c r="Q2287">
        <v>0.1368461</v>
      </c>
      <c r="R2287">
        <v>-2.039477E-2</v>
      </c>
      <c r="S2287">
        <v>3.0411679999999999</v>
      </c>
      <c r="T2287">
        <v>-0.2279456</v>
      </c>
      <c r="U2287">
        <v>-1.044281</v>
      </c>
      <c r="V2287">
        <v>-2.2654919999999999E-2</v>
      </c>
      <c r="W2287">
        <v>0.14807819999999999</v>
      </c>
      <c r="X2287">
        <v>0.98871609999999999</v>
      </c>
      <c r="Y2287">
        <v>0.28272530000000001</v>
      </c>
      <c r="Z2287">
        <v>-7.1284399999999998E-3</v>
      </c>
      <c r="AA2287">
        <v>0.95917439999999998</v>
      </c>
      <c r="AB2287">
        <v>31</v>
      </c>
      <c r="AC2287">
        <v>14.547000000000001</v>
      </c>
      <c r="AD2287">
        <v>-1.1040082805639999</v>
      </c>
      <c r="AE2287">
        <v>-5.0493299999999897</v>
      </c>
      <c r="AF2287">
        <v>4.3892691060805404</v>
      </c>
      <c r="AG2287">
        <v>-1.1040082805639999</v>
      </c>
      <c r="AH2287">
        <v>14.6774063893206</v>
      </c>
      <c r="AI2287">
        <v>94.121883837037601</v>
      </c>
      <c r="AJ2287">
        <v>73.350738735287607</v>
      </c>
      <c r="AK2287">
        <v>15.3593872236628</v>
      </c>
      <c r="AL2287">
        <v>81.484427854929194</v>
      </c>
      <c r="AM2287">
        <v>91.312615628963997</v>
      </c>
      <c r="AN2287">
        <v>0.99999996255732704</v>
      </c>
    </row>
    <row r="2288" spans="1:40" x14ac:dyDescent="0.3">
      <c r="A2288" t="str">
        <f>"20200111150401581"</f>
        <v>20200111150401581</v>
      </c>
      <c r="B2288" t="str">
        <f>"1578726241570815"</f>
        <v>1578726241570815</v>
      </c>
      <c r="C2288" t="s">
        <v>40</v>
      </c>
      <c r="D2288">
        <v>5.2438510000000003</v>
      </c>
      <c r="E2288">
        <v>0.63356000000000001</v>
      </c>
      <c r="F2288" t="s">
        <v>41</v>
      </c>
      <c r="G2288">
        <v>-325.32499999999999</v>
      </c>
      <c r="H2288" s="1">
        <v>-2.7155999999999999E-6</v>
      </c>
      <c r="I2288">
        <v>16.655449999999998</v>
      </c>
      <c r="J2288">
        <v>-340.4556</v>
      </c>
      <c r="K2288">
        <v>1.1041289999999999</v>
      </c>
      <c r="L2288">
        <v>22.123049999999999</v>
      </c>
      <c r="M2288">
        <v>0.99899729999999998</v>
      </c>
      <c r="N2288">
        <v>0</v>
      </c>
      <c r="O2288">
        <v>-4.3310769999999998E-2</v>
      </c>
      <c r="P2288">
        <v>0.99042839999999999</v>
      </c>
      <c r="Q2288">
        <v>0.1362594</v>
      </c>
      <c r="R2288">
        <v>-2.2031080000000001E-2</v>
      </c>
      <c r="S2288">
        <v>3.037048</v>
      </c>
      <c r="T2288">
        <v>-0.21903929999999999</v>
      </c>
      <c r="U2288">
        <v>-1.0863039999999999</v>
      </c>
      <c r="V2288">
        <v>-2.0887349999999999E-2</v>
      </c>
      <c r="W2288">
        <v>0.14749479999999901</v>
      </c>
      <c r="X2288">
        <v>0.9888422</v>
      </c>
      <c r="Y2288">
        <v>0.29511130000000002</v>
      </c>
      <c r="Z2288">
        <v>-7.2897079999999998E-3</v>
      </c>
      <c r="AA2288">
        <v>0.95543509999999998</v>
      </c>
      <c r="AB2288">
        <v>31</v>
      </c>
      <c r="AC2288">
        <v>15.130599999999999</v>
      </c>
      <c r="AD2288">
        <v>-1.1041317155999999</v>
      </c>
      <c r="AE2288">
        <v>-5.4676</v>
      </c>
      <c r="AF2288">
        <v>4.7845730511590299</v>
      </c>
      <c r="AG2288">
        <v>-1.1041317155999999</v>
      </c>
      <c r="AH2288">
        <v>15.281245755676499</v>
      </c>
      <c r="AI2288">
        <v>93.944485255257305</v>
      </c>
      <c r="AJ2288">
        <v>72.614610504326507</v>
      </c>
      <c r="AK2288">
        <v>16.050785587398899</v>
      </c>
      <c r="AL2288">
        <v>81.518225201638501</v>
      </c>
      <c r="AM2288">
        <v>91.210080897741094</v>
      </c>
      <c r="AN2288">
        <v>0.999999946958949</v>
      </c>
    </row>
    <row r="2289" spans="1:40" x14ac:dyDescent="0.3">
      <c r="A2289" t="str">
        <f>"20200111150401599"</f>
        <v>20200111150401599</v>
      </c>
      <c r="B2289" t="str">
        <f>"1578726241591311"</f>
        <v>1578726241591311</v>
      </c>
      <c r="C2289" t="s">
        <v>40</v>
      </c>
      <c r="D2289">
        <v>5.2457240000000001</v>
      </c>
      <c r="E2289">
        <v>0.63794779999999995</v>
      </c>
      <c r="F2289" t="s">
        <v>41</v>
      </c>
      <c r="G2289">
        <v>-324.75850000000003</v>
      </c>
      <c r="H2289" s="1">
        <v>-3.0407750000000001E-6</v>
      </c>
      <c r="I2289">
        <v>16.331849999999999</v>
      </c>
      <c r="J2289">
        <v>-340.21159999999998</v>
      </c>
      <c r="K2289">
        <v>1.1043050000000001</v>
      </c>
      <c r="L2289">
        <v>22.1127</v>
      </c>
      <c r="M2289">
        <v>0.99901280000000003</v>
      </c>
      <c r="N2289">
        <v>0</v>
      </c>
      <c r="O2289">
        <v>-4.294779E-2</v>
      </c>
      <c r="P2289">
        <v>0.99040320000000004</v>
      </c>
      <c r="Q2289">
        <v>0.135826</v>
      </c>
      <c r="R2289">
        <v>-2.5559129999999999E-2</v>
      </c>
      <c r="S2289">
        <v>3.0334469999999998</v>
      </c>
      <c r="T2289">
        <v>-0.21337229999999999</v>
      </c>
      <c r="U2289">
        <v>-1.1191409999999999</v>
      </c>
      <c r="V2289">
        <v>-1.7062890000000001E-2</v>
      </c>
      <c r="W2289">
        <v>0.14706749999999999</v>
      </c>
      <c r="X2289">
        <v>0.98897930000000001</v>
      </c>
      <c r="Y2289">
        <v>0.30494599999999999</v>
      </c>
      <c r="Z2289">
        <v>-7.4559959999999899E-3</v>
      </c>
      <c r="AA2289">
        <v>0.95234039999999998</v>
      </c>
      <c r="AB2289">
        <v>31</v>
      </c>
      <c r="AC2289">
        <v>15.4530999999999</v>
      </c>
      <c r="AD2289">
        <v>-1.1043080407750001</v>
      </c>
      <c r="AE2289">
        <v>-5.78085</v>
      </c>
      <c r="AF2289">
        <v>5.0889980700730497</v>
      </c>
      <c r="AG2289">
        <v>-1.1043080407750001</v>
      </c>
      <c r="AH2289">
        <v>15.617167627342599</v>
      </c>
      <c r="AI2289">
        <v>93.846305618331002</v>
      </c>
      <c r="AJ2289">
        <v>71.9513230567063</v>
      </c>
      <c r="AK2289">
        <v>16.462482264429202</v>
      </c>
      <c r="AL2289">
        <v>81.542978277728395</v>
      </c>
      <c r="AM2289">
        <v>90.988427763564403</v>
      </c>
      <c r="AN2289">
        <v>1.00000002379994</v>
      </c>
    </row>
    <row r="2290" spans="1:40" x14ac:dyDescent="0.3">
      <c r="A2290" t="str">
        <f>"20200111150401611"</f>
        <v>20200111150401611</v>
      </c>
      <c r="B2290" t="str">
        <f>"1578726241601071"</f>
        <v>1578726241601071</v>
      </c>
      <c r="C2290" t="s">
        <v>40</v>
      </c>
      <c r="D2290">
        <v>5.2501800000000003</v>
      </c>
      <c r="E2290">
        <v>0.63954359999999999</v>
      </c>
      <c r="F2290" t="s">
        <v>41</v>
      </c>
      <c r="G2290">
        <v>-324.06439999999998</v>
      </c>
      <c r="H2290" s="1">
        <v>-3.4454469999999999E-6</v>
      </c>
      <c r="I2290">
        <v>15.900169999999999</v>
      </c>
      <c r="J2290">
        <v>-340.05009999999999</v>
      </c>
      <c r="K2290">
        <v>1.104422</v>
      </c>
      <c r="L2290">
        <v>22.105989999999998</v>
      </c>
      <c r="M2290">
        <v>0.99902619999999998</v>
      </c>
      <c r="N2290">
        <v>0</v>
      </c>
      <c r="O2290">
        <v>-4.263306E-2</v>
      </c>
      <c r="P2290">
        <v>0.99034849999999996</v>
      </c>
      <c r="Q2290">
        <v>0.13595380000000001</v>
      </c>
      <c r="R2290">
        <v>-2.6955030000000001E-2</v>
      </c>
      <c r="S2290">
        <v>3.027374</v>
      </c>
      <c r="T2290">
        <v>-0.2070428</v>
      </c>
      <c r="U2290">
        <v>-1.1647639999999999</v>
      </c>
      <c r="V2290">
        <v>-1.539505E-2</v>
      </c>
      <c r="W2290">
        <v>0.1472</v>
      </c>
      <c r="X2290">
        <v>0.9889869</v>
      </c>
      <c r="Y2290">
        <v>0.31840600000000002</v>
      </c>
      <c r="Z2290">
        <v>-7.6951240000000002E-3</v>
      </c>
      <c r="AA2290">
        <v>0.94792319999999997</v>
      </c>
      <c r="AB2290">
        <v>31</v>
      </c>
      <c r="AC2290">
        <v>15.9857</v>
      </c>
      <c r="AD2290">
        <v>-1.1044254454469999</v>
      </c>
      <c r="AE2290">
        <v>-6.2058199999999903</v>
      </c>
      <c r="AF2290">
        <v>5.4958166803677502</v>
      </c>
      <c r="AG2290">
        <v>-1.1044254454469999</v>
      </c>
      <c r="AH2290">
        <v>16.168685462095699</v>
      </c>
      <c r="AI2290">
        <v>93.700311255398006</v>
      </c>
      <c r="AJ2290">
        <v>71.226847113465396</v>
      </c>
      <c r="AK2290">
        <v>17.1128649302489</v>
      </c>
      <c r="AL2290">
        <v>81.535302578573507</v>
      </c>
      <c r="AM2290">
        <v>90.8918218777589</v>
      </c>
      <c r="AN2290">
        <v>0.99999996796805501</v>
      </c>
    </row>
    <row r="2291" spans="1:40" x14ac:dyDescent="0.3">
      <c r="A2291" t="str">
        <f>"20200111150401623"</f>
        <v>20200111150401623</v>
      </c>
      <c r="B2291" t="str">
        <f>"1578726241620591"</f>
        <v>1578726241620591</v>
      </c>
      <c r="C2291" t="s">
        <v>40</v>
      </c>
      <c r="D2291">
        <v>5.2539989999999896</v>
      </c>
      <c r="E2291">
        <v>0.64217360000000001</v>
      </c>
      <c r="F2291" t="s">
        <v>41</v>
      </c>
      <c r="G2291">
        <v>-323.68299999999999</v>
      </c>
      <c r="H2291" s="1">
        <v>-3.659258E-6</v>
      </c>
      <c r="I2291">
        <v>15.711360000000001</v>
      </c>
      <c r="J2291">
        <v>-339.87079999999997</v>
      </c>
      <c r="K2291">
        <v>1.104552</v>
      </c>
      <c r="L2291">
        <v>22.09872</v>
      </c>
      <c r="M2291">
        <v>0.99904550000000003</v>
      </c>
      <c r="N2291">
        <v>0</v>
      </c>
      <c r="O2291">
        <v>-4.21746E-2</v>
      </c>
      <c r="P2291">
        <v>0.99025750000000001</v>
      </c>
      <c r="Q2291">
        <v>0.1363782</v>
      </c>
      <c r="R2291">
        <v>-2.8127220000000001E-2</v>
      </c>
      <c r="S2291">
        <v>3.025055</v>
      </c>
      <c r="T2291">
        <v>-0.2041251</v>
      </c>
      <c r="U2291">
        <v>-1.1818850000000001</v>
      </c>
      <c r="V2291">
        <v>-1.3810070000000001E-2</v>
      </c>
      <c r="W2291">
        <v>0.14762919999999999</v>
      </c>
      <c r="X2291">
        <v>0.9889464</v>
      </c>
      <c r="Y2291">
        <v>0.32374750000000002</v>
      </c>
      <c r="Z2291">
        <v>-7.7882430000000002E-3</v>
      </c>
      <c r="AA2291">
        <v>0.94611149999999999</v>
      </c>
      <c r="AB2291">
        <v>31</v>
      </c>
      <c r="AC2291">
        <v>16.1877999999999</v>
      </c>
      <c r="AD2291">
        <v>-1.1045556592579999</v>
      </c>
      <c r="AE2291">
        <v>-6.3873599999999904</v>
      </c>
      <c r="AF2291">
        <v>5.6760512764954498</v>
      </c>
      <c r="AG2291">
        <v>-1.1045556592579999</v>
      </c>
      <c r="AH2291">
        <v>16.376820772239501</v>
      </c>
      <c r="AI2291">
        <v>93.646368150605298</v>
      </c>
      <c r="AJ2291">
        <v>70.884167171828395</v>
      </c>
      <c r="AK2291">
        <v>17.367724661102301</v>
      </c>
      <c r="AL2291">
        <v>81.510440215079896</v>
      </c>
      <c r="AM2291">
        <v>90.800050739455102</v>
      </c>
      <c r="AN2291">
        <v>1.0000000403995</v>
      </c>
    </row>
    <row r="2292" spans="1:40" x14ac:dyDescent="0.3">
      <c r="A2292" t="str">
        <f>"20200111150401637"</f>
        <v>20200111150401637</v>
      </c>
      <c r="B2292" t="str">
        <f>"1578726241631327"</f>
        <v>1578726241631327</v>
      </c>
      <c r="C2292" t="s">
        <v>40</v>
      </c>
      <c r="D2292">
        <v>5.2806860000000002</v>
      </c>
      <c r="E2292">
        <v>0.64301160000000002</v>
      </c>
      <c r="F2292" t="s">
        <v>41</v>
      </c>
      <c r="G2292">
        <v>-323.05059999999997</v>
      </c>
      <c r="H2292" s="1">
        <v>-4.0163220000000002E-6</v>
      </c>
      <c r="I2292">
        <v>15.383470000000001</v>
      </c>
      <c r="J2292">
        <v>-339.68869999999998</v>
      </c>
      <c r="K2292">
        <v>1.1046739999999999</v>
      </c>
      <c r="L2292">
        <v>22.09149</v>
      </c>
      <c r="M2292">
        <v>0.99906830000000002</v>
      </c>
      <c r="N2292">
        <v>0</v>
      </c>
      <c r="O2292">
        <v>-4.1626330000000003E-2</v>
      </c>
      <c r="P2292">
        <v>0.990205</v>
      </c>
      <c r="Q2292">
        <v>0.13657259999999999</v>
      </c>
      <c r="R2292">
        <v>-2.9015030000000001E-2</v>
      </c>
      <c r="S2292">
        <v>3.022583</v>
      </c>
      <c r="T2292">
        <v>-0.198488</v>
      </c>
      <c r="U2292">
        <v>-1.206726</v>
      </c>
      <c r="V2292">
        <v>-1.242187E-2</v>
      </c>
      <c r="W2292">
        <v>0.14782970000000001</v>
      </c>
      <c r="X2292">
        <v>0.9889348</v>
      </c>
      <c r="Y2292">
        <v>0.33126040000000001</v>
      </c>
      <c r="Z2292">
        <v>-7.8402739999999995E-3</v>
      </c>
      <c r="AA2292">
        <v>0.94350679999999998</v>
      </c>
      <c r="AB2292">
        <v>31</v>
      </c>
      <c r="AC2292">
        <v>16.638100000000001</v>
      </c>
      <c r="AD2292">
        <v>-1.104678016322</v>
      </c>
      <c r="AE2292">
        <v>-6.7080199999999897</v>
      </c>
      <c r="AF2292">
        <v>5.9868756348473404</v>
      </c>
      <c r="AG2292">
        <v>-1.104678016322</v>
      </c>
      <c r="AH2292">
        <v>16.839073875115499</v>
      </c>
      <c r="AI2292">
        <v>93.537045779457003</v>
      </c>
      <c r="AJ2292">
        <v>70.427933321863506</v>
      </c>
      <c r="AK2292">
        <v>17.905792424756601</v>
      </c>
      <c r="AL2292">
        <v>81.498824457079493</v>
      </c>
      <c r="AM2292">
        <v>90.719646328135198</v>
      </c>
      <c r="AN2292">
        <v>0.999999980853713</v>
      </c>
    </row>
    <row r="2293" spans="1:40" x14ac:dyDescent="0.3">
      <c r="A2293" t="str">
        <f>"20200111150401653"</f>
        <v>20200111150401653</v>
      </c>
      <c r="B2293" t="str">
        <f>"1578726241650848"</f>
        <v>1578726241650848</v>
      </c>
      <c r="C2293" t="s">
        <v>40</v>
      </c>
      <c r="D2293">
        <v>5.2608639999999998</v>
      </c>
      <c r="E2293">
        <v>0.64413830000000005</v>
      </c>
      <c r="F2293" t="s">
        <v>41</v>
      </c>
      <c r="G2293">
        <v>-322.60469999999998</v>
      </c>
      <c r="H2293" s="1">
        <v>-4.2573540000000001E-6</v>
      </c>
      <c r="I2293">
        <v>15.212929999999901</v>
      </c>
      <c r="J2293">
        <v>-339.46300000000002</v>
      </c>
      <c r="K2293">
        <v>1.104814</v>
      </c>
      <c r="L2293">
        <v>22.08276</v>
      </c>
      <c r="M2293">
        <v>0.99910010000000005</v>
      </c>
      <c r="N2293">
        <v>0</v>
      </c>
      <c r="O2293">
        <v>-4.0852569999999998E-2</v>
      </c>
      <c r="P2293">
        <v>0.99002979999999996</v>
      </c>
      <c r="Q2293">
        <v>0.1371967</v>
      </c>
      <c r="R2293">
        <v>-3.191008E-2</v>
      </c>
      <c r="S2293">
        <v>3.020966</v>
      </c>
      <c r="T2293">
        <v>-0.19534080000000001</v>
      </c>
      <c r="U2293">
        <v>-1.2163389999999901</v>
      </c>
      <c r="V2293">
        <v>-8.8069020000000001E-3</v>
      </c>
      <c r="W2293">
        <v>0.14846479999999901</v>
      </c>
      <c r="X2293">
        <v>0.98887849999999999</v>
      </c>
      <c r="Y2293">
        <v>0.33475840000000001</v>
      </c>
      <c r="Z2293">
        <v>-7.8723100000000004E-3</v>
      </c>
      <c r="AA2293">
        <v>0.94227110000000003</v>
      </c>
      <c r="AB2293">
        <v>31</v>
      </c>
      <c r="AC2293">
        <v>16.8583</v>
      </c>
      <c r="AD2293">
        <v>-1.104818257354</v>
      </c>
      <c r="AE2293">
        <v>-6.8698300000000003</v>
      </c>
      <c r="AF2293">
        <v>6.1526825690641704</v>
      </c>
      <c r="AG2293">
        <v>-1.104818257354</v>
      </c>
      <c r="AH2293">
        <v>17.062048976432699</v>
      </c>
      <c r="AI2293">
        <v>93.485777758543193</v>
      </c>
      <c r="AJ2293">
        <v>70.1703760835141</v>
      </c>
      <c r="AK2293">
        <v>18.171121084061799</v>
      </c>
      <c r="AL2293">
        <v>81.462030252698199</v>
      </c>
      <c r="AM2293">
        <v>90.510259829619201</v>
      </c>
      <c r="AN2293">
        <v>1.00000002306206</v>
      </c>
    </row>
    <row r="2294" spans="1:40" x14ac:dyDescent="0.3">
      <c r="A2294" t="str">
        <f>"20200111150401667"</f>
        <v>20200111150401667</v>
      </c>
      <c r="B2294" t="str">
        <f>"1578726241660607"</f>
        <v>1578726241660607</v>
      </c>
      <c r="C2294" t="s">
        <v>40</v>
      </c>
      <c r="D2294">
        <v>5.2810870000000003</v>
      </c>
      <c r="E2294">
        <v>0.64488610000000002</v>
      </c>
      <c r="F2294" t="s">
        <v>41</v>
      </c>
      <c r="G2294">
        <v>-321.82990000000001</v>
      </c>
      <c r="H2294" s="1">
        <v>-4.684929E-6</v>
      </c>
      <c r="I2294">
        <v>14.86731</v>
      </c>
      <c r="J2294">
        <v>-339.2876</v>
      </c>
      <c r="K2294">
        <v>1.104919</v>
      </c>
      <c r="L2294">
        <v>22.076170000000001</v>
      </c>
      <c r="M2294">
        <v>0.99912749999999995</v>
      </c>
      <c r="N2294">
        <v>0</v>
      </c>
      <c r="O2294">
        <v>-4.0180159999999999E-2</v>
      </c>
      <c r="P2294">
        <v>0.98994919999999997</v>
      </c>
      <c r="Q2294">
        <v>0.13749620000000001</v>
      </c>
      <c r="R2294">
        <v>-3.3101749999999999E-2</v>
      </c>
      <c r="S2294">
        <v>3.016632</v>
      </c>
      <c r="T2294">
        <v>-0.18901009999999999</v>
      </c>
      <c r="U2294">
        <v>-1.2344059999999999</v>
      </c>
      <c r="V2294">
        <v>-6.984082E-3</v>
      </c>
      <c r="W2294">
        <v>0.1487723</v>
      </c>
      <c r="X2294">
        <v>0.98884680000000003</v>
      </c>
      <c r="Y2294">
        <v>0.34072089999999999</v>
      </c>
      <c r="Z2294">
        <v>-7.8392930000000006E-3</v>
      </c>
      <c r="AA2294">
        <v>0.94013179999999996</v>
      </c>
      <c r="AB2294">
        <v>31</v>
      </c>
      <c r="AC2294">
        <v>17.4576999999999</v>
      </c>
      <c r="AD2294">
        <v>-1.1049236849290001</v>
      </c>
      <c r="AE2294">
        <v>-7.2088599999999996</v>
      </c>
      <c r="AF2294">
        <v>6.4793649087141096</v>
      </c>
      <c r="AG2294">
        <v>-1.1049236849290001</v>
      </c>
      <c r="AH2294">
        <v>17.672791143818799</v>
      </c>
      <c r="AI2294">
        <v>93.359427761325705</v>
      </c>
      <c r="AJ2294">
        <v>69.8655784967534</v>
      </c>
      <c r="AK2294">
        <v>18.855518364203999</v>
      </c>
      <c r="AL2294">
        <v>81.444213609091705</v>
      </c>
      <c r="AM2294">
        <v>90.404665079310405</v>
      </c>
      <c r="AN2294">
        <v>0.99999998425945602</v>
      </c>
    </row>
    <row r="2295" spans="1:40" x14ac:dyDescent="0.3">
      <c r="A2295" t="str">
        <f>"20200111150401680"</f>
        <v>20200111150401680</v>
      </c>
      <c r="B2295" t="str">
        <f>"1578726241671342"</f>
        <v>1578726241671342</v>
      </c>
      <c r="C2295" t="s">
        <v>40</v>
      </c>
      <c r="D2295">
        <v>5.2942830000000001</v>
      </c>
      <c r="E2295">
        <v>0.64504430000000001</v>
      </c>
      <c r="F2295" t="s">
        <v>41</v>
      </c>
      <c r="G2295">
        <v>-321.69690000000003</v>
      </c>
      <c r="H2295" s="1">
        <v>-4.7563739999999996E-6</v>
      </c>
      <c r="I2295">
        <v>14.818910000000001</v>
      </c>
      <c r="J2295">
        <v>-339.09309999999999</v>
      </c>
      <c r="K2295">
        <v>1.1050150000000001</v>
      </c>
      <c r="L2295">
        <v>22.069120000000002</v>
      </c>
      <c r="M2295">
        <v>0.99915989999999999</v>
      </c>
      <c r="N2295">
        <v>0</v>
      </c>
      <c r="O2295">
        <v>-3.9361100000000003E-2</v>
      </c>
      <c r="P2295">
        <v>0.98983659999999996</v>
      </c>
      <c r="Q2295">
        <v>0.13802449999999999</v>
      </c>
      <c r="R2295">
        <v>-3.4245909999999997E-2</v>
      </c>
      <c r="S2295">
        <v>3.0151979999999998</v>
      </c>
      <c r="T2295">
        <v>-0.1893937</v>
      </c>
      <c r="U2295">
        <v>-1.2439579999999999</v>
      </c>
      <c r="V2295">
        <v>-5.0608019999999997E-3</v>
      </c>
      <c r="W2295">
        <v>0.14930929999999901</v>
      </c>
      <c r="X2295">
        <v>0.98877760000000003</v>
      </c>
      <c r="Y2295">
        <v>0.34418490000000002</v>
      </c>
      <c r="Z2295">
        <v>-8.0077199999999994E-3</v>
      </c>
      <c r="AA2295">
        <v>0.93886769999999997</v>
      </c>
      <c r="AB2295">
        <v>31</v>
      </c>
      <c r="AC2295">
        <v>17.396199999999901</v>
      </c>
      <c r="AD2295">
        <v>-1.1050197563740001</v>
      </c>
      <c r="AE2295">
        <v>-7.25021</v>
      </c>
      <c r="AF2295">
        <v>6.5373387935408198</v>
      </c>
      <c r="AG2295">
        <v>-1.1050197563740001</v>
      </c>
      <c r="AH2295">
        <v>17.607581304595598</v>
      </c>
      <c r="AI2295">
        <v>93.367056279487002</v>
      </c>
      <c r="AJ2295">
        <v>69.631057079472697</v>
      </c>
      <c r="AK2295">
        <v>18.8144834253151</v>
      </c>
      <c r="AL2295">
        <v>81.413098475824299</v>
      </c>
      <c r="AM2295">
        <v>90.293251044117497</v>
      </c>
      <c r="AN2295">
        <v>1.0000000105225599</v>
      </c>
    </row>
    <row r="2296" spans="1:40" x14ac:dyDescent="0.3">
      <c r="A2296" t="str">
        <f>"20200111150401699"</f>
        <v>20200111150401699</v>
      </c>
      <c r="B2296" t="str">
        <f>"1578726241690866"</f>
        <v>1578726241690866</v>
      </c>
      <c r="C2296" t="s">
        <v>40</v>
      </c>
      <c r="D2296">
        <v>5.3066469999999999</v>
      </c>
      <c r="E2296">
        <v>0.64551539999999996</v>
      </c>
      <c r="F2296" t="s">
        <v>41</v>
      </c>
      <c r="G2296">
        <v>-321.4144</v>
      </c>
      <c r="H2296" s="1">
        <v>-4.9029689999999997E-6</v>
      </c>
      <c r="I2296">
        <v>14.74549</v>
      </c>
      <c r="J2296">
        <v>-338.834</v>
      </c>
      <c r="K2296">
        <v>1.105116</v>
      </c>
      <c r="L2296">
        <v>22.060030000000001</v>
      </c>
      <c r="M2296">
        <v>0.9992048</v>
      </c>
      <c r="N2296">
        <v>0</v>
      </c>
      <c r="O2296">
        <v>-3.8204969999999998E-2</v>
      </c>
      <c r="P2296">
        <v>0.98968129999999999</v>
      </c>
      <c r="Q2296">
        <v>0.13880629999999999</v>
      </c>
      <c r="R2296">
        <v>-3.5553050000000003E-2</v>
      </c>
      <c r="S2296">
        <v>3.0138850000000001</v>
      </c>
      <c r="T2296">
        <v>-0.1883842</v>
      </c>
      <c r="U2296">
        <v>-1.248535</v>
      </c>
      <c r="V2296">
        <v>-2.6441020000000002E-3</v>
      </c>
      <c r="W2296">
        <v>0.1501033</v>
      </c>
      <c r="X2296">
        <v>0.98866679999999996</v>
      </c>
      <c r="Y2296">
        <v>0.34663110000000003</v>
      </c>
      <c r="Z2296">
        <v>-8.1085229999999994E-3</v>
      </c>
      <c r="AA2296">
        <v>0.93796650000000004</v>
      </c>
      <c r="AB2296">
        <v>31</v>
      </c>
      <c r="AC2296">
        <v>17.419599999999999</v>
      </c>
      <c r="AD2296">
        <v>-1.1051209029689999</v>
      </c>
      <c r="AE2296">
        <v>-7.3145399999999903</v>
      </c>
      <c r="AF2296">
        <v>6.6209867250593399</v>
      </c>
      <c r="AG2296">
        <v>-1.1051209029689999</v>
      </c>
      <c r="AH2296">
        <v>17.6260429194264</v>
      </c>
      <c r="AI2296">
        <v>93.359055969598501</v>
      </c>
      <c r="AJ2296">
        <v>69.411984146630601</v>
      </c>
      <c r="AK2296">
        <v>18.860968862204601</v>
      </c>
      <c r="AL2296">
        <v>81.3670871550041</v>
      </c>
      <c r="AM2296">
        <v>90.153232134439307</v>
      </c>
      <c r="AN2296">
        <v>1.00000001668425</v>
      </c>
    </row>
    <row r="2297" spans="1:40" x14ac:dyDescent="0.3">
      <c r="A2297" t="str">
        <f>"20200111150401711"</f>
        <v>20200111150401711</v>
      </c>
      <c r="B2297" t="str">
        <f>"1578726241700624"</f>
        <v>1578726241700624</v>
      </c>
      <c r="C2297" t="s">
        <v>40</v>
      </c>
      <c r="D2297">
        <v>5.309793</v>
      </c>
      <c r="E2297">
        <v>0.6458102</v>
      </c>
      <c r="F2297" t="s">
        <v>41</v>
      </c>
      <c r="G2297">
        <v>-321.05739999999997</v>
      </c>
      <c r="H2297" s="1">
        <v>-5.0884390000000003E-6</v>
      </c>
      <c r="I2297">
        <v>14.651070000000001</v>
      </c>
      <c r="J2297">
        <v>-338.6694</v>
      </c>
      <c r="K2297">
        <v>1.1051690000000001</v>
      </c>
      <c r="L2297">
        <v>22.05444</v>
      </c>
      <c r="M2297">
        <v>0.9992335</v>
      </c>
      <c r="N2297">
        <v>0</v>
      </c>
      <c r="O2297">
        <v>-3.7441000000000002E-2</v>
      </c>
      <c r="P2297">
        <v>0.9896933</v>
      </c>
      <c r="Q2297">
        <v>0.13861570000000001</v>
      </c>
      <c r="R2297">
        <v>-3.5959310000000001E-2</v>
      </c>
      <c r="S2297">
        <v>3.0124209999999998</v>
      </c>
      <c r="T2297">
        <v>-0.1872741</v>
      </c>
      <c r="U2297">
        <v>-1.2555240000000001</v>
      </c>
      <c r="V2297">
        <v>-1.500917E-3</v>
      </c>
      <c r="W2297">
        <v>0.14992039999999901</v>
      </c>
      <c r="X2297">
        <v>0.98869689999999999</v>
      </c>
      <c r="Y2297">
        <v>0.3493637</v>
      </c>
      <c r="Z2297">
        <v>-8.1878509999999995E-3</v>
      </c>
      <c r="AA2297">
        <v>0.93695150000000005</v>
      </c>
      <c r="AB2297">
        <v>31</v>
      </c>
      <c r="AC2297">
        <v>17.611999999999998</v>
      </c>
      <c r="AD2297">
        <v>-1.105174088439</v>
      </c>
      <c r="AE2297">
        <v>-7.40336999999999</v>
      </c>
      <c r="AF2297">
        <v>6.7162491844541803</v>
      </c>
      <c r="AG2297">
        <v>-1.105174088439</v>
      </c>
      <c r="AH2297">
        <v>17.8172336854586</v>
      </c>
      <c r="AI2297">
        <v>93.321814028451698</v>
      </c>
      <c r="AJ2297">
        <v>69.345944471813297</v>
      </c>
      <c r="AK2297">
        <v>19.0731022404767</v>
      </c>
      <c r="AL2297">
        <v>81.377686083663306</v>
      </c>
      <c r="AM2297">
        <v>90.086979278926094</v>
      </c>
      <c r="AN2297">
        <v>0.99999996957880499</v>
      </c>
    </row>
    <row r="2298" spans="1:40" x14ac:dyDescent="0.3">
      <c r="A2298" t="str">
        <f>"20200111150401723"</f>
        <v>20200111150401723</v>
      </c>
      <c r="B2298" t="str">
        <f>"1578726241721119"</f>
        <v>1578726241721119</v>
      </c>
      <c r="C2298" t="s">
        <v>40</v>
      </c>
      <c r="D2298">
        <v>5.251614</v>
      </c>
      <c r="E2298">
        <v>0.64667629999999998</v>
      </c>
      <c r="F2298" t="s">
        <v>41</v>
      </c>
      <c r="G2298">
        <v>-321.24380000000002</v>
      </c>
      <c r="H2298" s="1">
        <v>-4.9783859999999997E-6</v>
      </c>
      <c r="I2298">
        <v>14.774699999999999</v>
      </c>
      <c r="J2298">
        <v>-338.49599999999998</v>
      </c>
      <c r="K2298">
        <v>1.105216</v>
      </c>
      <c r="L2298">
        <v>22.048739999999999</v>
      </c>
      <c r="M2298">
        <v>0.99926429999999999</v>
      </c>
      <c r="N2298">
        <v>0</v>
      </c>
      <c r="O2298">
        <v>-3.6609709999999997E-2</v>
      </c>
      <c r="P2298">
        <v>0.98975089999999999</v>
      </c>
      <c r="Q2298">
        <v>0.13818699999999901</v>
      </c>
      <c r="R2298">
        <v>-3.602698E-2</v>
      </c>
      <c r="S2298">
        <v>3.0122990000000001</v>
      </c>
      <c r="T2298">
        <v>-0.19104750000000001</v>
      </c>
      <c r="U2298">
        <v>-1.2584229999999901</v>
      </c>
      <c r="V2298">
        <v>-6.2547880000000001E-4</v>
      </c>
      <c r="W2298">
        <v>0.14949979999999999</v>
      </c>
      <c r="X2298">
        <v>0.98876149999999996</v>
      </c>
      <c r="Y2298">
        <v>0.35089939999999997</v>
      </c>
      <c r="Z2298">
        <v>-8.4484279999999991E-3</v>
      </c>
      <c r="AA2298">
        <v>0.93637510000000002</v>
      </c>
      <c r="AB2298">
        <v>31</v>
      </c>
      <c r="AC2298">
        <v>17.252199999999899</v>
      </c>
      <c r="AD2298">
        <v>-1.1052209783859901</v>
      </c>
      <c r="AE2298">
        <v>-7.2740399999999896</v>
      </c>
      <c r="AF2298">
        <v>6.6144753051589298</v>
      </c>
      <c r="AG2298">
        <v>-1.1052209783859901</v>
      </c>
      <c r="AH2298">
        <v>17.446158964781102</v>
      </c>
      <c r="AI2298">
        <v>93.390004151886203</v>
      </c>
      <c r="AJ2298">
        <v>69.236454542858993</v>
      </c>
      <c r="AK2298">
        <v>18.690673064339698</v>
      </c>
      <c r="AL2298">
        <v>81.402059144803204</v>
      </c>
      <c r="AM2298">
        <v>90.036244625862295</v>
      </c>
      <c r="AN2298">
        <v>0.99999994265300796</v>
      </c>
    </row>
    <row r="2299" spans="1:40" x14ac:dyDescent="0.3">
      <c r="A2299" t="str">
        <f>"20200111150401737"</f>
        <v>20200111150401737</v>
      </c>
      <c r="B2299" t="str">
        <f>"1578726241730882"</f>
        <v>1578726241730882</v>
      </c>
      <c r="C2299" t="s">
        <v>40</v>
      </c>
      <c r="D2299">
        <v>5.2815919999999998</v>
      </c>
      <c r="E2299">
        <v>0.6470013</v>
      </c>
      <c r="F2299" t="s">
        <v>41</v>
      </c>
      <c r="G2299">
        <v>-321.41489999999999</v>
      </c>
      <c r="H2299" s="1">
        <v>-4.8793839999999998E-6</v>
      </c>
      <c r="I2299">
        <v>14.87689</v>
      </c>
      <c r="J2299">
        <v>-338.31810000000002</v>
      </c>
      <c r="K2299">
        <v>1.1052439999999999</v>
      </c>
      <c r="L2299">
        <v>22.043060000000001</v>
      </c>
      <c r="M2299">
        <v>0.99929520000000005</v>
      </c>
      <c r="N2299">
        <v>0</v>
      </c>
      <c r="O2299">
        <v>-3.5754250000000001E-2</v>
      </c>
      <c r="P2299">
        <v>0.98989150000000004</v>
      </c>
      <c r="Q2299">
        <v>0.13714379999999901</v>
      </c>
      <c r="R2299">
        <v>-3.6145400000000001E-2</v>
      </c>
      <c r="S2299">
        <v>3.0122070000000001</v>
      </c>
      <c r="T2299">
        <v>-0.1949034</v>
      </c>
      <c r="U2299">
        <v>-1.26474</v>
      </c>
      <c r="V2299">
        <v>3.2820020000000002E-4</v>
      </c>
      <c r="W2299">
        <v>0.148465299999999</v>
      </c>
      <c r="X2299">
        <v>0.98891759999999995</v>
      </c>
      <c r="Y2299">
        <v>0.35335319999999998</v>
      </c>
      <c r="Z2299">
        <v>-8.7444879999999999E-3</v>
      </c>
      <c r="AA2299">
        <v>0.93544910000000003</v>
      </c>
      <c r="AB2299">
        <v>31</v>
      </c>
      <c r="AC2299">
        <v>16.903199999999998</v>
      </c>
      <c r="AD2299">
        <v>-1.1052488793840001</v>
      </c>
      <c r="AE2299">
        <v>-7.1661700000000002</v>
      </c>
      <c r="AF2299">
        <v>6.5335087604763897</v>
      </c>
      <c r="AG2299">
        <v>-1.1052488793840001</v>
      </c>
      <c r="AH2299">
        <v>17.086705158408499</v>
      </c>
      <c r="AI2299">
        <v>93.457520220717896</v>
      </c>
      <c r="AJ2299">
        <v>69.074454463829397</v>
      </c>
      <c r="AK2299">
        <v>18.326587379514699</v>
      </c>
      <c r="AL2299">
        <v>81.462001397674598</v>
      </c>
      <c r="AM2299">
        <v>89.980984780122199</v>
      </c>
      <c r="AN2299">
        <v>1.00000003630461</v>
      </c>
    </row>
    <row r="2300" spans="1:40" x14ac:dyDescent="0.3">
      <c r="A2300" t="str">
        <f>"20200111150401750"</f>
        <v>20200111150401750</v>
      </c>
      <c r="B2300" t="str">
        <f>"1578726241740640"</f>
        <v>1578726241740640</v>
      </c>
      <c r="C2300" t="s">
        <v>40</v>
      </c>
      <c r="D2300">
        <v>5.3509979999999997</v>
      </c>
      <c r="E2300">
        <v>0.6474145</v>
      </c>
      <c r="F2300" t="s">
        <v>41</v>
      </c>
      <c r="G2300">
        <v>-321.74360000000001</v>
      </c>
      <c r="H2300" s="1">
        <v>-4.6894070000000003E-6</v>
      </c>
      <c r="I2300">
        <v>15.072150000000001</v>
      </c>
      <c r="J2300">
        <v>-338.1352</v>
      </c>
      <c r="K2300">
        <v>1.1052580000000001</v>
      </c>
      <c r="L2300">
        <v>22.037289999999999</v>
      </c>
      <c r="M2300">
        <v>0.9993263</v>
      </c>
      <c r="N2300">
        <v>0</v>
      </c>
      <c r="O2300">
        <v>-3.4877569999999997E-2</v>
      </c>
      <c r="P2300">
        <v>0.99008450000000003</v>
      </c>
      <c r="Q2300">
        <v>0.13575290000000001</v>
      </c>
      <c r="R2300">
        <v>-3.6110570000000002E-2</v>
      </c>
      <c r="S2300">
        <v>3.0122070000000001</v>
      </c>
      <c r="T2300">
        <v>-0.20086509999999999</v>
      </c>
      <c r="U2300">
        <v>-1.2668759999999999</v>
      </c>
      <c r="V2300">
        <v>1.1533380000000001E-3</v>
      </c>
      <c r="W2300">
        <v>0.14708299999999999</v>
      </c>
      <c r="X2300">
        <v>0.98912350000000004</v>
      </c>
      <c r="Y2300">
        <v>0.35469820000000002</v>
      </c>
      <c r="Z2300">
        <v>-9.1090540000000001E-3</v>
      </c>
      <c r="AA2300">
        <v>0.93493649999999995</v>
      </c>
      <c r="AB2300">
        <v>31</v>
      </c>
      <c r="AC2300">
        <v>16.391599999999901</v>
      </c>
      <c r="AD2300">
        <v>-1.1052626894069999</v>
      </c>
      <c r="AE2300">
        <v>-6.9651399999999901</v>
      </c>
      <c r="AF2300">
        <v>6.3646534903286698</v>
      </c>
      <c r="AG2300">
        <v>-1.1052626894069999</v>
      </c>
      <c r="AH2300">
        <v>16.560789307132001</v>
      </c>
      <c r="AI2300">
        <v>93.564770591285694</v>
      </c>
      <c r="AJ2300">
        <v>68.977200769985302</v>
      </c>
      <c r="AK2300">
        <v>17.7761121210395</v>
      </c>
      <c r="AL2300">
        <v>81.542080385590907</v>
      </c>
      <c r="AM2300">
        <v>89.933191992906899</v>
      </c>
      <c r="AN2300">
        <v>1.0000000186648901</v>
      </c>
    </row>
    <row r="2301" spans="1:40" x14ac:dyDescent="0.3">
      <c r="A2301" t="str">
        <f>"20200111150401765"</f>
        <v>20200111150401765</v>
      </c>
      <c r="B2301" t="str">
        <f>"1578726241761136"</f>
        <v>1578726241761136</v>
      </c>
      <c r="C2301" t="s">
        <v>40</v>
      </c>
      <c r="D2301">
        <v>5.3030099999999996</v>
      </c>
      <c r="E2301">
        <v>0.64803480000000002</v>
      </c>
      <c r="F2301" t="s">
        <v>41</v>
      </c>
      <c r="G2301">
        <v>-322.2081</v>
      </c>
      <c r="H2301" s="1">
        <v>-4.4247880000000001E-6</v>
      </c>
      <c r="I2301">
        <v>15.32607</v>
      </c>
      <c r="J2301">
        <v>-337.92579999999998</v>
      </c>
      <c r="K2301">
        <v>1.1052500000000001</v>
      </c>
      <c r="L2301">
        <v>22.03098</v>
      </c>
      <c r="M2301">
        <v>0.9993592</v>
      </c>
      <c r="N2301">
        <v>0</v>
      </c>
      <c r="O2301">
        <v>-3.3917040000000002E-2</v>
      </c>
      <c r="P2301">
        <v>0.99031840000000004</v>
      </c>
      <c r="Q2301">
        <v>0.13369210000000001</v>
      </c>
      <c r="R2301">
        <v>-3.7368569999999997E-2</v>
      </c>
      <c r="S2301">
        <v>3.0124209999999998</v>
      </c>
      <c r="T2301">
        <v>-0.20904729999999999</v>
      </c>
      <c r="U2301">
        <v>-1.2693479999999999</v>
      </c>
      <c r="V2301">
        <v>3.3647680000000002E-3</v>
      </c>
      <c r="W2301">
        <v>0.14503529999999901</v>
      </c>
      <c r="X2301">
        <v>0.98942079999999999</v>
      </c>
      <c r="Y2301">
        <v>0.35616959999999998</v>
      </c>
      <c r="Z2301">
        <v>-9.5898159999999993E-3</v>
      </c>
      <c r="AA2301">
        <v>0.93437210000000004</v>
      </c>
      <c r="AB2301">
        <v>31</v>
      </c>
      <c r="AC2301">
        <v>15.717699999999899</v>
      </c>
      <c r="AD2301">
        <v>-1.1052544247880001</v>
      </c>
      <c r="AE2301">
        <v>-6.7049099999999902</v>
      </c>
      <c r="AF2301">
        <v>6.14222316766433</v>
      </c>
      <c r="AG2301">
        <v>-1.1052544247880001</v>
      </c>
      <c r="AH2301">
        <v>15.8696905355587</v>
      </c>
      <c r="AI2301">
        <v>93.716169700427102</v>
      </c>
      <c r="AJ2301">
        <v>68.841512280156294</v>
      </c>
      <c r="AK2301">
        <v>17.052729121149699</v>
      </c>
      <c r="AL2301">
        <v>81.660676994866805</v>
      </c>
      <c r="AM2301">
        <v>89.805152406086805</v>
      </c>
      <c r="AN2301">
        <v>1.0000000396912101</v>
      </c>
    </row>
    <row r="2302" spans="1:40" x14ac:dyDescent="0.3">
      <c r="A2302" t="str">
        <f>"20200111150401778"</f>
        <v>20200111150401778</v>
      </c>
      <c r="B2302" t="str">
        <f>"1578726241770897"</f>
        <v>1578726241770897</v>
      </c>
      <c r="C2302" t="s">
        <v>40</v>
      </c>
      <c r="D2302">
        <v>5.2924920000000002</v>
      </c>
      <c r="E2302">
        <v>0.64827060000000003</v>
      </c>
      <c r="F2302" t="s">
        <v>41</v>
      </c>
      <c r="G2302">
        <v>-322.72329999999999</v>
      </c>
      <c r="H2302" s="1">
        <v>-4.135569E-6</v>
      </c>
      <c r="I2302">
        <v>15.583410000000001</v>
      </c>
      <c r="J2302">
        <v>-337.74860000000001</v>
      </c>
      <c r="K2302">
        <v>1.105221</v>
      </c>
      <c r="L2302">
        <v>22.025759999999998</v>
      </c>
      <c r="M2302">
        <v>0.99938459999999996</v>
      </c>
      <c r="N2302">
        <v>0</v>
      </c>
      <c r="O2302">
        <v>-3.3157209999999999E-2</v>
      </c>
      <c r="P2302">
        <v>0.9904039</v>
      </c>
      <c r="Q2302">
        <v>0.1330461</v>
      </c>
      <c r="R2302">
        <v>-3.7404680000000003E-2</v>
      </c>
      <c r="S2302">
        <v>3.0107119999999998</v>
      </c>
      <c r="T2302">
        <v>-0.21888640000000001</v>
      </c>
      <c r="U2302">
        <v>-1.276886</v>
      </c>
      <c r="V2302">
        <v>4.1645750000000002E-3</v>
      </c>
      <c r="W2302">
        <v>0.1443951</v>
      </c>
      <c r="X2302">
        <v>0.98951140000000004</v>
      </c>
      <c r="Y2302">
        <v>0.35898140000000001</v>
      </c>
      <c r="Z2302">
        <v>-1.019131E-2</v>
      </c>
      <c r="AA2302">
        <v>0.93328909999999998</v>
      </c>
      <c r="AB2302">
        <v>31</v>
      </c>
      <c r="AC2302">
        <v>15.0253</v>
      </c>
      <c r="AD2302">
        <v>-1.1052251355689999</v>
      </c>
      <c r="AE2302">
        <v>-6.4423500000000002</v>
      </c>
      <c r="AF2302">
        <v>5.9135497702754796</v>
      </c>
      <c r="AG2302">
        <v>-1.1052251355689999</v>
      </c>
      <c r="AH2302">
        <v>15.1613668537499</v>
      </c>
      <c r="AI2302">
        <v>93.8852376181013</v>
      </c>
      <c r="AJ2302">
        <v>68.692193548492895</v>
      </c>
      <c r="AK2302">
        <v>16.311304005498901</v>
      </c>
      <c r="AL2302">
        <v>81.697748068780896</v>
      </c>
      <c r="AM2302">
        <v>89.758859612827393</v>
      </c>
      <c r="AN2302">
        <v>1.0000000496594399</v>
      </c>
    </row>
    <row r="2303" spans="1:40" x14ac:dyDescent="0.3">
      <c r="A2303" t="str">
        <f>"20200111150401800"</f>
        <v>20200111150401800</v>
      </c>
      <c r="B2303" t="str">
        <f>"1578726241791394"</f>
        <v>1578726241791394</v>
      </c>
      <c r="C2303" t="s">
        <v>40</v>
      </c>
      <c r="D2303">
        <v>5.3587049999999996</v>
      </c>
      <c r="E2303">
        <v>0.64843359999999906</v>
      </c>
      <c r="F2303" t="s">
        <v>41</v>
      </c>
      <c r="G2303">
        <v>-322.7867</v>
      </c>
      <c r="H2303" s="1">
        <v>-4.0900830000000002E-6</v>
      </c>
      <c r="I2303">
        <v>15.670929999999901</v>
      </c>
      <c r="J2303">
        <v>-337.44529999999997</v>
      </c>
      <c r="K2303">
        <v>1.1051200000000001</v>
      </c>
      <c r="L2303">
        <v>22.016940000000002</v>
      </c>
      <c r="M2303">
        <v>0.99942180000000003</v>
      </c>
      <c r="N2303">
        <v>0</v>
      </c>
      <c r="O2303">
        <v>-3.2019659999999998E-2</v>
      </c>
      <c r="P2303">
        <v>0.99033510000000002</v>
      </c>
      <c r="Q2303">
        <v>0.13344159999999999</v>
      </c>
      <c r="R2303">
        <v>-3.78111E-2</v>
      </c>
      <c r="S2303">
        <v>3.0106199999999999</v>
      </c>
      <c r="T2303">
        <v>-0.22239329999999999</v>
      </c>
      <c r="U2303">
        <v>-1.2787170000000001</v>
      </c>
      <c r="V2303">
        <v>5.7393130000000002E-3</v>
      </c>
      <c r="W2303">
        <v>0.14479610000000001</v>
      </c>
      <c r="X2303">
        <v>0.98944489999999996</v>
      </c>
      <c r="Y2303">
        <v>0.36050460000000001</v>
      </c>
      <c r="Z2303">
        <v>-1.048734E-2</v>
      </c>
      <c r="AA2303">
        <v>0.93269849999999999</v>
      </c>
      <c r="AB2303">
        <v>31</v>
      </c>
      <c r="AC2303">
        <v>14.6585999999999</v>
      </c>
      <c r="AD2303">
        <v>-1.1051240900829999</v>
      </c>
      <c r="AE2303">
        <v>-6.3460099999999997</v>
      </c>
      <c r="AF2303">
        <v>5.8453816409524801</v>
      </c>
      <c r="AG2303">
        <v>-1.1051240900829999</v>
      </c>
      <c r="AH2303">
        <v>14.7835292949345</v>
      </c>
      <c r="AI2303">
        <v>93.976625475426999</v>
      </c>
      <c r="AJ2303">
        <v>68.426244303292705</v>
      </c>
      <c r="AK2303">
        <v>15.9355741721801</v>
      </c>
      <c r="AL2303">
        <v>81.674528280263402</v>
      </c>
      <c r="AM2303">
        <v>89.667657366044395</v>
      </c>
      <c r="AN2303">
        <v>1.0000000302124601</v>
      </c>
    </row>
    <row r="2304" spans="1:40" x14ac:dyDescent="0.3">
      <c r="A2304" t="str">
        <f>"20200111150401812"</f>
        <v>20200111150401812</v>
      </c>
      <c r="B2304" t="str">
        <f>"1578726241810911"</f>
        <v>1578726241810911</v>
      </c>
      <c r="C2304" t="s">
        <v>40</v>
      </c>
      <c r="D2304">
        <v>5.2911650000000003</v>
      </c>
      <c r="E2304">
        <v>0.64902029999999999</v>
      </c>
      <c r="F2304" t="s">
        <v>41</v>
      </c>
      <c r="G2304">
        <v>-322.30549999999999</v>
      </c>
      <c r="H2304" s="1">
        <v>-4.3361610000000001E-6</v>
      </c>
      <c r="I2304">
        <v>15.56607</v>
      </c>
      <c r="J2304">
        <v>-337.26749999999998</v>
      </c>
      <c r="K2304">
        <v>1.105027</v>
      </c>
      <c r="L2304">
        <v>22.011839999999999</v>
      </c>
      <c r="M2304">
        <v>0.99943879999999996</v>
      </c>
      <c r="N2304">
        <v>0</v>
      </c>
      <c r="O2304">
        <v>-3.1479970000000003E-2</v>
      </c>
      <c r="P2304">
        <v>0.99026270000000005</v>
      </c>
      <c r="Q2304">
        <v>0.13393279999999999</v>
      </c>
      <c r="R2304">
        <v>-3.7972590000000001E-2</v>
      </c>
      <c r="S2304">
        <v>3.0099490000000002</v>
      </c>
      <c r="T2304">
        <v>-0.2197103</v>
      </c>
      <c r="U2304">
        <v>-1.2825009999999999</v>
      </c>
      <c r="V2304">
        <v>6.4729660000000001E-3</v>
      </c>
      <c r="W2304">
        <v>0.14528820000000001</v>
      </c>
      <c r="X2304">
        <v>0.98936820000000003</v>
      </c>
      <c r="Y2304">
        <v>0.36208879999999999</v>
      </c>
      <c r="Z2304">
        <v>-1.045373E-2</v>
      </c>
      <c r="AA2304">
        <v>0.93208500000000005</v>
      </c>
      <c r="AB2304">
        <v>31</v>
      </c>
      <c r="AC2304">
        <v>14.9619999999999</v>
      </c>
      <c r="AD2304">
        <v>-1.105031336161</v>
      </c>
      <c r="AE2304">
        <v>-6.4457699999999898</v>
      </c>
      <c r="AF2304">
        <v>5.9441927466467703</v>
      </c>
      <c r="AG2304">
        <v>-1.105031336161</v>
      </c>
      <c r="AH2304">
        <v>15.0880923310905</v>
      </c>
      <c r="AI2304">
        <v>93.898178936642097</v>
      </c>
      <c r="AJ2304">
        <v>68.497254730462799</v>
      </c>
      <c r="AK2304">
        <v>16.254385619109001</v>
      </c>
      <c r="AL2304">
        <v>81.646031416830695</v>
      </c>
      <c r="AM2304">
        <v>89.625146289152397</v>
      </c>
      <c r="AN2304">
        <v>0.99999999775965798</v>
      </c>
    </row>
    <row r="2305" spans="1:40" x14ac:dyDescent="0.3">
      <c r="A2305" t="str">
        <f>"20200111150401825"</f>
        <v>20200111150401825</v>
      </c>
      <c r="B2305" t="str">
        <f>"1578726241820671"</f>
        <v>1578726241820671</v>
      </c>
      <c r="C2305" t="s">
        <v>40</v>
      </c>
      <c r="D2305">
        <v>5.3204449999999897</v>
      </c>
      <c r="E2305">
        <v>0.64925940000000004</v>
      </c>
      <c r="F2305" t="s">
        <v>41</v>
      </c>
      <c r="G2305">
        <v>-321.84350000000001</v>
      </c>
      <c r="H2305" s="1">
        <v>-4.5830739999999999E-6</v>
      </c>
      <c r="I2305">
        <v>15.40532</v>
      </c>
      <c r="J2305">
        <v>-337.0915</v>
      </c>
      <c r="K2305">
        <v>1.104908</v>
      </c>
      <c r="L2305">
        <v>22.006769999999999</v>
      </c>
      <c r="M2305">
        <v>0.99945209999999995</v>
      </c>
      <c r="N2305">
        <v>0</v>
      </c>
      <c r="O2305">
        <v>-3.105873E-2</v>
      </c>
      <c r="P2305">
        <v>0.99008660000000004</v>
      </c>
      <c r="Q2305">
        <v>0.1351523</v>
      </c>
      <c r="R2305">
        <v>-3.8243659999999999E-2</v>
      </c>
      <c r="S2305">
        <v>3.0092469999999998</v>
      </c>
      <c r="T2305">
        <v>-0.21559300000000001</v>
      </c>
      <c r="U2305">
        <v>-1.28894</v>
      </c>
      <c r="V2305">
        <v>7.2096959999999998E-3</v>
      </c>
      <c r="W2305">
        <v>0.1465072</v>
      </c>
      <c r="X2305">
        <v>0.98918340000000005</v>
      </c>
      <c r="Y2305">
        <v>0.36426789999999998</v>
      </c>
      <c r="Z2305">
        <v>-1.035984E-2</v>
      </c>
      <c r="AA2305">
        <v>0.93123659999999997</v>
      </c>
      <c r="AB2305">
        <v>31</v>
      </c>
      <c r="AC2305">
        <v>15.2479999999999</v>
      </c>
      <c r="AD2305">
        <v>-1.1049125830740001</v>
      </c>
      <c r="AE2305">
        <v>-6.60144999999999</v>
      </c>
      <c r="AF2305">
        <v>6.0976862452313298</v>
      </c>
      <c r="AG2305">
        <v>-1.1049125830740001</v>
      </c>
      <c r="AH2305">
        <v>15.3776885635521</v>
      </c>
      <c r="AI2305">
        <v>93.821239087098505</v>
      </c>
      <c r="AJ2305">
        <v>68.370280821816706</v>
      </c>
      <c r="AK2305">
        <v>16.579382223687301</v>
      </c>
      <c r="AL2305">
        <v>81.575433030483893</v>
      </c>
      <c r="AM2305">
        <v>89.582405206283795</v>
      </c>
      <c r="AN2305">
        <v>1.0000000691019</v>
      </c>
    </row>
    <row r="2306" spans="1:40" x14ac:dyDescent="0.3">
      <c r="A2306" t="str">
        <f>"20200111150401838"</f>
        <v>20200111150401838</v>
      </c>
      <c r="B2306" t="str">
        <f>"1578726241831408"</f>
        <v>1578726241831408</v>
      </c>
      <c r="C2306" t="s">
        <v>40</v>
      </c>
      <c r="D2306">
        <v>5.3278049999999997</v>
      </c>
      <c r="E2306">
        <v>0.64945929999999996</v>
      </c>
      <c r="F2306" t="s">
        <v>41</v>
      </c>
      <c r="G2306">
        <v>-321.2971</v>
      </c>
      <c r="H2306" s="1">
        <v>-4.8741859999999999E-6</v>
      </c>
      <c r="I2306">
        <v>15.22015</v>
      </c>
      <c r="J2306">
        <v>-336.92520000000002</v>
      </c>
      <c r="K2306">
        <v>1.104779</v>
      </c>
      <c r="L2306">
        <v>22.001950000000001</v>
      </c>
      <c r="M2306">
        <v>0.99946000000000002</v>
      </c>
      <c r="N2306">
        <v>0</v>
      </c>
      <c r="O2306">
        <v>-3.0802010000000001E-2</v>
      </c>
      <c r="P2306">
        <v>0.98989470000000002</v>
      </c>
      <c r="Q2306">
        <v>0.13645489999999999</v>
      </c>
      <c r="R2306">
        <v>-3.8583430000000002E-2</v>
      </c>
      <c r="S2306">
        <v>3.0088200000000001</v>
      </c>
      <c r="T2306">
        <v>-0.21048510000000001</v>
      </c>
      <c r="U2306">
        <v>-1.2928470000000001</v>
      </c>
      <c r="V2306">
        <v>7.8590880000000002E-3</v>
      </c>
      <c r="W2306">
        <v>0.14780789999999999</v>
      </c>
      <c r="X2306">
        <v>0.98898489999999994</v>
      </c>
      <c r="Y2306">
        <v>0.36560609999999999</v>
      </c>
      <c r="Z2306">
        <v>-1.0175679999999999E-2</v>
      </c>
      <c r="AA2306">
        <v>0.93071400000000004</v>
      </c>
      <c r="AB2306">
        <v>31</v>
      </c>
      <c r="AC2306">
        <v>15.6281</v>
      </c>
      <c r="AD2306">
        <v>-1.1047838741859899</v>
      </c>
      <c r="AE2306">
        <v>-6.7817999999999996</v>
      </c>
      <c r="AF2306">
        <v>6.2708017328262002</v>
      </c>
      <c r="AG2306">
        <v>-1.1047838741859899</v>
      </c>
      <c r="AH2306">
        <v>15.763298658547599</v>
      </c>
      <c r="AI2306">
        <v>93.725961242470802</v>
      </c>
      <c r="AJ2306">
        <v>68.306830395978196</v>
      </c>
      <c r="AK2306">
        <v>17.000737818684399</v>
      </c>
      <c r="AL2306">
        <v>81.500087855442402</v>
      </c>
      <c r="AM2306">
        <v>89.544701749131704</v>
      </c>
      <c r="AN2306">
        <v>1.0000000364973001</v>
      </c>
    </row>
    <row r="2307" spans="1:40" x14ac:dyDescent="0.3">
      <c r="A2307" t="str">
        <f>"20200111150401855"</f>
        <v>20200111150401855</v>
      </c>
      <c r="B2307" t="str">
        <f>"1578726241850927"</f>
        <v>1578726241850927</v>
      </c>
      <c r="C2307" t="s">
        <v>40</v>
      </c>
      <c r="D2307">
        <v>5.376182</v>
      </c>
      <c r="E2307">
        <v>0.64965430000000002</v>
      </c>
      <c r="F2307" t="s">
        <v>41</v>
      </c>
      <c r="G2307">
        <v>-320.72019999999998</v>
      </c>
      <c r="H2307" s="1">
        <v>-5.1827899999999999E-6</v>
      </c>
      <c r="I2307">
        <v>15.017720000000001</v>
      </c>
      <c r="J2307">
        <v>-336.68819999999999</v>
      </c>
      <c r="K2307">
        <v>1.1045689999999999</v>
      </c>
      <c r="L2307">
        <v>21.99493</v>
      </c>
      <c r="M2307">
        <v>0.99946500000000005</v>
      </c>
      <c r="N2307">
        <v>0</v>
      </c>
      <c r="O2307">
        <v>-3.0631169999999999E-2</v>
      </c>
      <c r="P2307">
        <v>0.98944350000000003</v>
      </c>
      <c r="Q2307">
        <v>0.13932039999999901</v>
      </c>
      <c r="R2307">
        <v>-3.9891639999999999E-2</v>
      </c>
      <c r="S2307">
        <v>3.0083920000000002</v>
      </c>
      <c r="T2307">
        <v>-0.20509959999999999</v>
      </c>
      <c r="U2307">
        <v>-1.2966</v>
      </c>
      <c r="V2307">
        <v>9.4318400000000004E-3</v>
      </c>
      <c r="W2307">
        <v>0.15066849999999901</v>
      </c>
      <c r="X2307">
        <v>0.98853930000000001</v>
      </c>
      <c r="Y2307">
        <v>0.36682490000000001</v>
      </c>
      <c r="Z2307">
        <v>-9.9656640000000008E-3</v>
      </c>
      <c r="AA2307">
        <v>0.93023659999999997</v>
      </c>
      <c r="AB2307">
        <v>31</v>
      </c>
      <c r="AC2307">
        <v>15.968</v>
      </c>
      <c r="AD2307">
        <v>-1.10457418279</v>
      </c>
      <c r="AE2307">
        <v>-6.9772100000000004</v>
      </c>
      <c r="AF2307">
        <v>6.4588336206388899</v>
      </c>
      <c r="AG2307">
        <v>-1.10457418279</v>
      </c>
      <c r="AH2307">
        <v>16.109513080965499</v>
      </c>
      <c r="AI2307">
        <v>93.641505526073402</v>
      </c>
      <c r="AJ2307">
        <v>68.1525272337595</v>
      </c>
      <c r="AK2307">
        <v>17.391176716087401</v>
      </c>
      <c r="AL2307">
        <v>81.334330493377294</v>
      </c>
      <c r="AM2307">
        <v>89.453346743534297</v>
      </c>
      <c r="AN2307">
        <v>0.99999995207126102</v>
      </c>
    </row>
    <row r="2308" spans="1:40" x14ac:dyDescent="0.3">
      <c r="A2308" t="str">
        <f>"20200111150401869"</f>
        <v>20200111150401869</v>
      </c>
      <c r="B2308" t="str">
        <f>"1578726241860687"</f>
        <v>1578726241860687</v>
      </c>
      <c r="C2308" t="s">
        <v>40</v>
      </c>
      <c r="D2308">
        <v>5.3557519999999998</v>
      </c>
      <c r="E2308">
        <v>0.64976669999999903</v>
      </c>
      <c r="F2308" t="s">
        <v>43</v>
      </c>
      <c r="G2308">
        <v>-318.5591</v>
      </c>
      <c r="H2308">
        <v>-0.05</v>
      </c>
      <c r="I2308">
        <v>14.12933</v>
      </c>
      <c r="J2308">
        <v>-336.49110000000002</v>
      </c>
      <c r="K2308">
        <v>1.104358</v>
      </c>
      <c r="L2308">
        <v>21.98892</v>
      </c>
      <c r="M2308">
        <v>0.9994634</v>
      </c>
      <c r="N2308">
        <v>0</v>
      </c>
      <c r="O2308">
        <v>-3.0687200000000001E-2</v>
      </c>
      <c r="P2308">
        <v>0.98924880000000004</v>
      </c>
      <c r="Q2308">
        <v>0.1404484</v>
      </c>
      <c r="R2308">
        <v>-4.0762989999999999E-2</v>
      </c>
      <c r="S2308">
        <v>3.0064090000000001</v>
      </c>
      <c r="T2308">
        <v>-0.19146630000000001</v>
      </c>
      <c r="U2308">
        <v>-1.3043819999999999</v>
      </c>
      <c r="V2308">
        <v>1.0335260000000001E-2</v>
      </c>
      <c r="W2308">
        <v>0.15179409999999999</v>
      </c>
      <c r="X2308">
        <v>0.98835810000000002</v>
      </c>
      <c r="Y2308">
        <v>0.36910349999999997</v>
      </c>
      <c r="Z2308">
        <v>-9.371496E-3</v>
      </c>
      <c r="AA2308">
        <v>0.92934099999999997</v>
      </c>
      <c r="AB2308">
        <v>31</v>
      </c>
      <c r="AC2308">
        <v>17.931999999999999</v>
      </c>
      <c r="AD2308">
        <v>-1.154358</v>
      </c>
      <c r="AE2308">
        <v>-7.8595899999999999</v>
      </c>
      <c r="AF2308">
        <v>7.2802611027727098</v>
      </c>
      <c r="AG2308">
        <v>-1.154358</v>
      </c>
      <c r="AH2308">
        <v>18.101832089539499</v>
      </c>
      <c r="AI2308">
        <v>93.385930082515301</v>
      </c>
      <c r="AJ2308">
        <v>68.0908144102237</v>
      </c>
      <c r="AK2308">
        <v>19.5451034562263</v>
      </c>
      <c r="AL2308">
        <v>81.2690883865628</v>
      </c>
      <c r="AM2308">
        <v>89.400879908469093</v>
      </c>
      <c r="AN2308">
        <v>1.0000000001148399</v>
      </c>
    </row>
    <row r="2309" spans="1:40" x14ac:dyDescent="0.3">
      <c r="A2309" t="str">
        <f>"20200111150401883"</f>
        <v>20200111150401883</v>
      </c>
      <c r="B2309" t="str">
        <f>"1578726241881183"</f>
        <v>1578726241881183</v>
      </c>
      <c r="C2309" t="s">
        <v>40</v>
      </c>
      <c r="D2309">
        <v>5.3572620000000004</v>
      </c>
      <c r="E2309">
        <v>0.64999549999999995</v>
      </c>
      <c r="F2309" t="s">
        <v>43</v>
      </c>
      <c r="G2309">
        <v>-317.77940000000001</v>
      </c>
      <c r="H2309">
        <v>-0.05</v>
      </c>
      <c r="I2309">
        <v>13.8353</v>
      </c>
      <c r="J2309">
        <v>-336.2903</v>
      </c>
      <c r="K2309">
        <v>1.104112</v>
      </c>
      <c r="L2309">
        <v>21.982510000000001</v>
      </c>
      <c r="M2309">
        <v>0.99945209999999995</v>
      </c>
      <c r="N2309">
        <v>0</v>
      </c>
      <c r="O2309">
        <v>-3.1045690000000001E-2</v>
      </c>
      <c r="P2309">
        <v>0.98903680000000005</v>
      </c>
      <c r="Q2309">
        <v>0.14160780000000001</v>
      </c>
      <c r="R2309">
        <v>-4.187403E-2</v>
      </c>
      <c r="S2309">
        <v>3.0049739999999998</v>
      </c>
      <c r="T2309">
        <v>-0.1853822</v>
      </c>
      <c r="U2309">
        <v>-1.309418</v>
      </c>
      <c r="V2309">
        <v>1.1192219999999999E-2</v>
      </c>
      <c r="W2309">
        <v>0.15295339999999999</v>
      </c>
      <c r="X2309">
        <v>0.98816999999999999</v>
      </c>
      <c r="Y2309">
        <v>0.3702761</v>
      </c>
      <c r="Z2309">
        <v>-9.0888029999999995E-3</v>
      </c>
      <c r="AA2309">
        <v>0.92887730000000002</v>
      </c>
      <c r="AB2309">
        <v>31</v>
      </c>
      <c r="AC2309">
        <v>18.5108999999999</v>
      </c>
      <c r="AD2309">
        <v>-1.154112</v>
      </c>
      <c r="AE2309">
        <v>-8.1472099999999994</v>
      </c>
      <c r="AF2309">
        <v>7.5439943478848797</v>
      </c>
      <c r="AG2309">
        <v>-1.154112</v>
      </c>
      <c r="AH2309">
        <v>18.694052690303401</v>
      </c>
      <c r="AI2309">
        <v>93.276656373163206</v>
      </c>
      <c r="AJ2309">
        <v>68.023435865211795</v>
      </c>
      <c r="AK2309">
        <v>20.1918654714542</v>
      </c>
      <c r="AL2309">
        <v>81.201880405598104</v>
      </c>
      <c r="AM2309">
        <v>89.351083770734803</v>
      </c>
      <c r="AN2309">
        <v>0.99999997863004397</v>
      </c>
    </row>
    <row r="2310" spans="1:40" x14ac:dyDescent="0.3">
      <c r="A2310" t="str">
        <f>"20200111150401900"</f>
        <v>20200111150401900</v>
      </c>
      <c r="B2310" t="str">
        <f>"1578726241890943"</f>
        <v>1578726241890943</v>
      </c>
      <c r="C2310" t="s">
        <v>40</v>
      </c>
      <c r="D2310">
        <v>5.3821329999999996</v>
      </c>
      <c r="E2310">
        <v>0.65024019999999905</v>
      </c>
      <c r="F2310" t="s">
        <v>43</v>
      </c>
      <c r="G2310">
        <v>-317.1798</v>
      </c>
      <c r="H2310">
        <v>-0.05</v>
      </c>
      <c r="I2310">
        <v>13.60924</v>
      </c>
      <c r="J2310">
        <v>-336.05040000000002</v>
      </c>
      <c r="K2310">
        <v>1.103812</v>
      </c>
      <c r="L2310">
        <v>21.974489999999999</v>
      </c>
      <c r="M2310">
        <v>0.99943020000000005</v>
      </c>
      <c r="N2310">
        <v>0</v>
      </c>
      <c r="O2310">
        <v>-3.1738870000000002E-2</v>
      </c>
      <c r="P2310">
        <v>0.9886933</v>
      </c>
      <c r="Q2310">
        <v>0.14313970000000001</v>
      </c>
      <c r="R2310">
        <v>-4.4686379999999998E-2</v>
      </c>
      <c r="S2310">
        <v>3.0035400000000001</v>
      </c>
      <c r="T2310">
        <v>-0.1813893</v>
      </c>
      <c r="U2310">
        <v>-1.3160099999999999</v>
      </c>
      <c r="V2310">
        <v>1.3446359999999999E-2</v>
      </c>
      <c r="W2310">
        <v>0.1544876</v>
      </c>
      <c r="X2310">
        <v>0.98790319999999998</v>
      </c>
      <c r="Y2310">
        <v>0.37152809999999997</v>
      </c>
      <c r="Z2310">
        <v>-8.8897960000000002E-3</v>
      </c>
      <c r="AA2310">
        <v>0.92837910000000001</v>
      </c>
      <c r="AB2310">
        <v>31</v>
      </c>
      <c r="AC2310">
        <v>18.8706</v>
      </c>
      <c r="AD2310">
        <v>-1.1538120000000001</v>
      </c>
      <c r="AE2310">
        <v>-8.3652499999999996</v>
      </c>
      <c r="AF2310">
        <v>7.7378868481308603</v>
      </c>
      <c r="AG2310">
        <v>-1.1538120000000001</v>
      </c>
      <c r="AH2310">
        <v>19.067037573198199</v>
      </c>
      <c r="AI2310">
        <v>93.209327028999994</v>
      </c>
      <c r="AJ2310">
        <v>67.911439627524103</v>
      </c>
      <c r="AK2310">
        <v>20.609660279188802</v>
      </c>
      <c r="AL2310">
        <v>81.112919850202701</v>
      </c>
      <c r="AM2310">
        <v>89.220194744561098</v>
      </c>
      <c r="AN2310">
        <v>0.999999977860624</v>
      </c>
    </row>
    <row r="2311" spans="1:40" x14ac:dyDescent="0.3">
      <c r="A2311" t="str">
        <f>"20200111150401913"</f>
        <v>20200111150401913</v>
      </c>
      <c r="B2311" t="str">
        <f>"1578726241911009"</f>
        <v>1578726241911009</v>
      </c>
      <c r="C2311" t="s">
        <v>40</v>
      </c>
      <c r="D2311">
        <v>5.3763110000000003</v>
      </c>
      <c r="E2311">
        <v>0.65065069999999903</v>
      </c>
      <c r="F2311" t="s">
        <v>43</v>
      </c>
      <c r="G2311">
        <v>-316.24439999999998</v>
      </c>
      <c r="H2311">
        <v>-0.05</v>
      </c>
      <c r="I2311">
        <v>13.2067</v>
      </c>
      <c r="J2311">
        <v>-335.87970000000001</v>
      </c>
      <c r="K2311">
        <v>1.103586</v>
      </c>
      <c r="L2311">
        <v>21.968540000000001</v>
      </c>
      <c r="M2311">
        <v>0.99940810000000002</v>
      </c>
      <c r="N2311">
        <v>0</v>
      </c>
      <c r="O2311">
        <v>-3.2422810000000003E-2</v>
      </c>
      <c r="P2311">
        <v>0.98847030000000002</v>
      </c>
      <c r="Q2311">
        <v>0.1438007</v>
      </c>
      <c r="R2311">
        <v>-4.7416340000000001E-2</v>
      </c>
      <c r="S2311">
        <v>2.999603</v>
      </c>
      <c r="T2311">
        <v>-0.1747446</v>
      </c>
      <c r="U2311">
        <v>-1.3278810000000001</v>
      </c>
      <c r="V2311">
        <v>1.559343E-2</v>
      </c>
      <c r="W2311">
        <v>0.15515319999999999</v>
      </c>
      <c r="X2311">
        <v>0.98776730000000001</v>
      </c>
      <c r="Y2311">
        <v>0.37444929999999998</v>
      </c>
      <c r="Z2311">
        <v>-8.6117439999999993E-3</v>
      </c>
      <c r="AA2311">
        <v>0.92720740000000001</v>
      </c>
      <c r="AB2311">
        <v>31</v>
      </c>
      <c r="AC2311">
        <v>19.635300000000001</v>
      </c>
      <c r="AD2311">
        <v>-1.153586</v>
      </c>
      <c r="AE2311">
        <v>-8.7618399999999994</v>
      </c>
      <c r="AF2311">
        <v>8.0972513802959796</v>
      </c>
      <c r="AG2311">
        <v>-1.153586</v>
      </c>
      <c r="AH2311">
        <v>19.8519342324436</v>
      </c>
      <c r="AI2311">
        <v>93.079877329553995</v>
      </c>
      <c r="AJ2311">
        <v>67.810325042989703</v>
      </c>
      <c r="AK2311">
        <v>21.4708065368856</v>
      </c>
      <c r="AL2311">
        <v>81.074318137101301</v>
      </c>
      <c r="AM2311">
        <v>89.095572895666194</v>
      </c>
      <c r="AN2311">
        <v>0.999999954739346</v>
      </c>
    </row>
    <row r="2312" spans="1:40" x14ac:dyDescent="0.3">
      <c r="A2312" t="str">
        <f>"20200111150401925"</f>
        <v>20200111150401925</v>
      </c>
      <c r="B2312" t="str">
        <f>"1578726241920770"</f>
        <v>1578726241920770</v>
      </c>
      <c r="C2312" t="s">
        <v>40</v>
      </c>
      <c r="D2312">
        <v>5.3625259999999999</v>
      </c>
      <c r="E2312">
        <v>0.65084649999999999</v>
      </c>
      <c r="F2312" t="s">
        <v>43</v>
      </c>
      <c r="G2312">
        <v>-316.03100000000001</v>
      </c>
      <c r="H2312">
        <v>-0.05</v>
      </c>
      <c r="I2312">
        <v>13.09421</v>
      </c>
      <c r="J2312">
        <v>-335.70800000000003</v>
      </c>
      <c r="K2312">
        <v>1.1033489999999999</v>
      </c>
      <c r="L2312">
        <v>21.962219999999999</v>
      </c>
      <c r="M2312">
        <v>0.99937880000000001</v>
      </c>
      <c r="N2312">
        <v>0</v>
      </c>
      <c r="O2312">
        <v>-3.33047E-2</v>
      </c>
      <c r="P2312">
        <v>0.98824000000000001</v>
      </c>
      <c r="Q2312">
        <v>0.14443590000000001</v>
      </c>
      <c r="R2312">
        <v>-5.0200689999999999E-2</v>
      </c>
      <c r="S2312">
        <v>2.9960629999999999</v>
      </c>
      <c r="T2312">
        <v>-0.17412839999999999</v>
      </c>
      <c r="U2312">
        <v>-1.339539</v>
      </c>
      <c r="V2312">
        <v>1.7604930000000001E-2</v>
      </c>
      <c r="W2312">
        <v>0.15579570000000001</v>
      </c>
      <c r="X2312">
        <v>0.98763239999999997</v>
      </c>
      <c r="Y2312">
        <v>0.37704710000000002</v>
      </c>
      <c r="Z2312">
        <v>-8.6075370000000002E-3</v>
      </c>
      <c r="AA2312">
        <v>0.92615409999999998</v>
      </c>
      <c r="AB2312">
        <v>31</v>
      </c>
      <c r="AC2312">
        <v>19.677</v>
      </c>
      <c r="AD2312">
        <v>-1.153349</v>
      </c>
      <c r="AE2312">
        <v>-8.8680099999999999</v>
      </c>
      <c r="AF2312">
        <v>8.1843384444639398</v>
      </c>
      <c r="AG2312">
        <v>-1.153349</v>
      </c>
      <c r="AH2312">
        <v>19.904608994125901</v>
      </c>
      <c r="AI2312">
        <v>93.067571628297799</v>
      </c>
      <c r="AJ2312">
        <v>67.648610586495593</v>
      </c>
      <c r="AK2312">
        <v>21.5524260559773</v>
      </c>
      <c r="AL2312">
        <v>81.037052811678294</v>
      </c>
      <c r="AM2312">
        <v>88.978788694084599</v>
      </c>
      <c r="AN2312">
        <v>0.99999999561427699</v>
      </c>
    </row>
    <row r="2313" spans="1:40" x14ac:dyDescent="0.3">
      <c r="A2313" t="str">
        <f>"20200111150401938"</f>
        <v>20200111150401938</v>
      </c>
      <c r="B2313" t="str">
        <f>"1578726241930529"</f>
        <v>1578726241930529</v>
      </c>
      <c r="C2313" t="s">
        <v>40</v>
      </c>
      <c r="D2313">
        <v>5.3929349999999996</v>
      </c>
      <c r="E2313">
        <v>0.6509547</v>
      </c>
      <c r="F2313" t="s">
        <v>43</v>
      </c>
      <c r="G2313">
        <v>-315.7491</v>
      </c>
      <c r="H2313">
        <v>-0.05</v>
      </c>
      <c r="I2313">
        <v>12.960979999999999</v>
      </c>
      <c r="J2313">
        <v>-335.5324</v>
      </c>
      <c r="K2313">
        <v>1.103105</v>
      </c>
      <c r="L2313">
        <v>21.955349999999999</v>
      </c>
      <c r="M2313">
        <v>0.99934029999999996</v>
      </c>
      <c r="N2313">
        <v>0</v>
      </c>
      <c r="O2313">
        <v>-3.44328E-2</v>
      </c>
      <c r="P2313">
        <v>0.98795500000000003</v>
      </c>
      <c r="Q2313">
        <v>0.14503460000000001</v>
      </c>
      <c r="R2313">
        <v>-5.3946279999999999E-2</v>
      </c>
      <c r="S2313">
        <v>2.992432</v>
      </c>
      <c r="T2313">
        <v>-0.17292089999999999</v>
      </c>
      <c r="U2313">
        <v>-1.349548</v>
      </c>
      <c r="V2313">
        <v>2.0339320000000001E-2</v>
      </c>
      <c r="W2313">
        <v>0.15640470000000001</v>
      </c>
      <c r="X2313">
        <v>0.98748360000000002</v>
      </c>
      <c r="Y2313">
        <v>0.37900270000000003</v>
      </c>
      <c r="Z2313">
        <v>-8.5437969999999901E-3</v>
      </c>
      <c r="AA2313">
        <v>0.92535610000000001</v>
      </c>
      <c r="AB2313">
        <v>31</v>
      </c>
      <c r="AC2313">
        <v>19.783300000000001</v>
      </c>
      <c r="AD2313">
        <v>-1.1531049999999901</v>
      </c>
      <c r="AE2313">
        <v>-8.9943699999999893</v>
      </c>
      <c r="AF2313">
        <v>8.2844718172589893</v>
      </c>
      <c r="AG2313">
        <v>-1.1531049999999901</v>
      </c>
      <c r="AH2313">
        <v>20.024911073680698</v>
      </c>
      <c r="AI2313">
        <v>93.045821294372999</v>
      </c>
      <c r="AJ2313">
        <v>67.524714519164704</v>
      </c>
      <c r="AK2313">
        <v>21.70159413363</v>
      </c>
      <c r="AL2313">
        <v>81.001726567188996</v>
      </c>
      <c r="AM2313">
        <v>88.820038693805103</v>
      </c>
      <c r="AN2313">
        <v>0.99999998919455602</v>
      </c>
    </row>
    <row r="2314" spans="1:40" x14ac:dyDescent="0.3">
      <c r="A2314" t="str">
        <f>"20200111150401951"</f>
        <v>20200111150401951</v>
      </c>
      <c r="B2314" t="str">
        <f>"1578726241941265"</f>
        <v>1578726241941265</v>
      </c>
      <c r="C2314" t="s">
        <v>40</v>
      </c>
      <c r="D2314">
        <v>5.3708</v>
      </c>
      <c r="E2314">
        <v>0.65113120000000002</v>
      </c>
      <c r="F2314" t="s">
        <v>43</v>
      </c>
      <c r="G2314">
        <v>-315.59309999999999</v>
      </c>
      <c r="H2314">
        <v>-0.05</v>
      </c>
      <c r="I2314">
        <v>12.868119999999999</v>
      </c>
      <c r="J2314">
        <v>-335.35550000000001</v>
      </c>
      <c r="K2314">
        <v>1.1028579999999999</v>
      </c>
      <c r="L2314">
        <v>21.948180000000001</v>
      </c>
      <c r="M2314">
        <v>0.9992955</v>
      </c>
      <c r="N2314">
        <v>0</v>
      </c>
      <c r="O2314">
        <v>-3.5694820000000002E-2</v>
      </c>
      <c r="P2314">
        <v>0.98763219999999996</v>
      </c>
      <c r="Q2314">
        <v>0.145454</v>
      </c>
      <c r="R2314">
        <v>-5.8531470000000002E-2</v>
      </c>
      <c r="S2314">
        <v>2.9875790000000002</v>
      </c>
      <c r="T2314">
        <v>-0.17277379999999901</v>
      </c>
      <c r="U2314">
        <v>-1.361572</v>
      </c>
      <c r="V2314">
        <v>2.3783309999999998E-2</v>
      </c>
      <c r="W2314">
        <v>0.15683139999999901</v>
      </c>
      <c r="X2314">
        <v>0.98733899999999997</v>
      </c>
      <c r="Y2314">
        <v>0.38148310000000002</v>
      </c>
      <c r="Z2314">
        <v>-8.5415230000000005E-3</v>
      </c>
      <c r="AA2314">
        <v>0.92433639999999995</v>
      </c>
      <c r="AB2314">
        <v>31</v>
      </c>
      <c r="AC2314">
        <v>19.7624</v>
      </c>
      <c r="AD2314">
        <v>-1.1528579999999999</v>
      </c>
      <c r="AE2314">
        <v>-9.0800599999999907</v>
      </c>
      <c r="AF2314">
        <v>8.3453605095386791</v>
      </c>
      <c r="AG2314">
        <v>-1.1528579999999999</v>
      </c>
      <c r="AH2314">
        <v>20.017689679769202</v>
      </c>
      <c r="AI2314">
        <v>93.042831853476102</v>
      </c>
      <c r="AJ2314">
        <v>67.368779558969607</v>
      </c>
      <c r="AK2314">
        <v>21.7182417271259</v>
      </c>
      <c r="AL2314">
        <v>80.976973236203094</v>
      </c>
      <c r="AM2314">
        <v>88.620109391182694</v>
      </c>
      <c r="AN2314">
        <v>1.00000001739075</v>
      </c>
    </row>
    <row r="2315" spans="1:40" x14ac:dyDescent="0.3">
      <c r="A2315" t="str">
        <f>"20200111150401966"</f>
        <v>20200111150401966</v>
      </c>
      <c r="B2315" t="str">
        <f>"1578726241960786"</f>
        <v>1578726241960786</v>
      </c>
      <c r="C2315" t="s">
        <v>40</v>
      </c>
      <c r="D2315">
        <v>5.3736309999999996</v>
      </c>
      <c r="E2315">
        <v>0.65141649999999995</v>
      </c>
      <c r="F2315" t="s">
        <v>43</v>
      </c>
      <c r="G2315">
        <v>-315.49279999999999</v>
      </c>
      <c r="H2315">
        <v>-0.05</v>
      </c>
      <c r="I2315">
        <v>12.77905</v>
      </c>
      <c r="J2315">
        <v>-335.13220000000001</v>
      </c>
      <c r="K2315">
        <v>1.1025499999999999</v>
      </c>
      <c r="L2315">
        <v>21.938510000000001</v>
      </c>
      <c r="M2315">
        <v>0.99922560000000005</v>
      </c>
      <c r="N2315">
        <v>0</v>
      </c>
      <c r="O2315">
        <v>-3.7584640000000002E-2</v>
      </c>
      <c r="P2315">
        <v>0.98702820000000002</v>
      </c>
      <c r="Q2315">
        <v>0.14507999999999999</v>
      </c>
      <c r="R2315">
        <v>-6.8753729999999999E-2</v>
      </c>
      <c r="S2315">
        <v>2.981506</v>
      </c>
      <c r="T2315">
        <v>-0.17305079999999901</v>
      </c>
      <c r="U2315">
        <v>-1.3763430000000001</v>
      </c>
      <c r="V2315">
        <v>3.2271660000000001E-2</v>
      </c>
      <c r="W2315">
        <v>0.1564499</v>
      </c>
      <c r="X2315">
        <v>0.98715850000000005</v>
      </c>
      <c r="Y2315">
        <v>0.38422260000000003</v>
      </c>
      <c r="Z2315">
        <v>-8.5344140000000006E-3</v>
      </c>
      <c r="AA2315">
        <v>0.92320100000000005</v>
      </c>
      <c r="AB2315">
        <v>31</v>
      </c>
      <c r="AC2315">
        <v>19.639399999999998</v>
      </c>
      <c r="AD2315">
        <v>-1.15255</v>
      </c>
      <c r="AE2315">
        <v>-9.1594599999999993</v>
      </c>
      <c r="AF2315">
        <v>8.3910616994019502</v>
      </c>
      <c r="AG2315">
        <v>-1.15255</v>
      </c>
      <c r="AH2315">
        <v>19.9134705866879</v>
      </c>
      <c r="AI2315">
        <v>93.053043621351904</v>
      </c>
      <c r="AJ2315">
        <v>67.150602424876993</v>
      </c>
      <c r="AK2315">
        <v>21.639884444066599</v>
      </c>
      <c r="AL2315">
        <v>80.999104323931604</v>
      </c>
      <c r="AM2315">
        <v>88.127583734420199</v>
      </c>
      <c r="AN2315">
        <v>0.99999996768570698</v>
      </c>
    </row>
    <row r="2316" spans="1:40" x14ac:dyDescent="0.3">
      <c r="A2316" t="str">
        <f>"20200111150401979"</f>
        <v>20200111150401979</v>
      </c>
      <c r="B2316" t="str">
        <f>"1578726241970545"</f>
        <v>1578726241970545</v>
      </c>
      <c r="C2316" t="s">
        <v>40</v>
      </c>
      <c r="D2316">
        <v>5.3765519999999896</v>
      </c>
      <c r="E2316">
        <v>0.6515533</v>
      </c>
      <c r="F2316" t="s">
        <v>43</v>
      </c>
      <c r="G2316">
        <v>-316.06319999999999</v>
      </c>
      <c r="H2316">
        <v>-0.05</v>
      </c>
      <c r="I2316">
        <v>12.894349999999999</v>
      </c>
      <c r="J2316">
        <v>-334.964</v>
      </c>
      <c r="K2316">
        <v>1.1023350000000001</v>
      </c>
      <c r="L2316">
        <v>21.930630000000001</v>
      </c>
      <c r="M2316">
        <v>0.99916269999999996</v>
      </c>
      <c r="N2316">
        <v>0</v>
      </c>
      <c r="O2316">
        <v>-3.9210790000000002E-2</v>
      </c>
      <c r="P2316">
        <v>0.98668529999999999</v>
      </c>
      <c r="Q2316">
        <v>0.14441329999999999</v>
      </c>
      <c r="R2316">
        <v>-7.4815270000000003E-2</v>
      </c>
      <c r="S2316">
        <v>2.967743</v>
      </c>
      <c r="T2316">
        <v>-0.1793737</v>
      </c>
      <c r="U2316">
        <v>-1.407562</v>
      </c>
      <c r="V2316">
        <v>3.681591E-2</v>
      </c>
      <c r="W2316">
        <v>0.15578159999999999</v>
      </c>
      <c r="X2316">
        <v>0.98710520000000002</v>
      </c>
      <c r="Y2316">
        <v>0.39224759999999997</v>
      </c>
      <c r="Z2316">
        <v>-9.0015129999999992E-3</v>
      </c>
      <c r="AA2316">
        <v>0.91981570000000001</v>
      </c>
      <c r="AB2316">
        <v>31</v>
      </c>
      <c r="AC2316">
        <v>18.9008</v>
      </c>
      <c r="AD2316">
        <v>-1.1523350000000001</v>
      </c>
      <c r="AE2316">
        <v>-9.0362799999999908</v>
      </c>
      <c r="AF2316">
        <v>8.2631637400724998</v>
      </c>
      <c r="AG2316">
        <v>-1.1523350000000001</v>
      </c>
      <c r="AH2316">
        <v>19.182569536208799</v>
      </c>
      <c r="AI2316">
        <v>93.157862256826604</v>
      </c>
      <c r="AJ2316">
        <v>66.6953537976175</v>
      </c>
      <c r="AK2316">
        <v>20.918382465165902</v>
      </c>
      <c r="AL2316">
        <v>81.037870680358196</v>
      </c>
      <c r="AM2316">
        <v>87.864038217712604</v>
      </c>
      <c r="AN2316">
        <v>0.99999999699736397</v>
      </c>
    </row>
    <row r="2317" spans="1:40" x14ac:dyDescent="0.3">
      <c r="A2317" t="str">
        <f>"20200111150401992"</f>
        <v>20200111150401992</v>
      </c>
      <c r="B2317" t="str">
        <f>"1578726241981282"</f>
        <v>1578726241981282</v>
      </c>
      <c r="C2317" t="s">
        <v>40</v>
      </c>
      <c r="D2317">
        <v>5.57613</v>
      </c>
      <c r="E2317">
        <v>0.6515533</v>
      </c>
      <c r="F2317" t="s">
        <v>43</v>
      </c>
      <c r="G2317">
        <v>-316.36810000000003</v>
      </c>
      <c r="H2317">
        <v>-0.05</v>
      </c>
      <c r="I2317">
        <v>12.967359999999999</v>
      </c>
      <c r="J2317">
        <v>-334.7901</v>
      </c>
      <c r="K2317">
        <v>1.10212</v>
      </c>
      <c r="L2317">
        <v>21.922239999999999</v>
      </c>
      <c r="M2317">
        <v>0.99909139999999996</v>
      </c>
      <c r="N2317">
        <v>0</v>
      </c>
      <c r="O2317">
        <v>-4.0975770000000002E-2</v>
      </c>
      <c r="P2317">
        <v>0.9862474</v>
      </c>
      <c r="Q2317">
        <v>0.14382909999999999</v>
      </c>
      <c r="R2317">
        <v>-8.1422739999999993E-2</v>
      </c>
      <c r="S2317">
        <v>2.9591669999999999</v>
      </c>
      <c r="T2317">
        <v>-0.1833716</v>
      </c>
      <c r="U2317">
        <v>-1.426331</v>
      </c>
      <c r="V2317">
        <v>4.1771969999999999E-2</v>
      </c>
      <c r="W2317">
        <v>0.15518950000000001</v>
      </c>
      <c r="X2317">
        <v>0.98700120000000002</v>
      </c>
      <c r="Y2317">
        <v>0.3963682</v>
      </c>
      <c r="Z2317">
        <v>-9.2318390000000004E-3</v>
      </c>
      <c r="AA2317">
        <v>0.91804520000000001</v>
      </c>
      <c r="AB2317">
        <v>31</v>
      </c>
      <c r="AC2317">
        <v>18.421999999999901</v>
      </c>
      <c r="AD2317">
        <v>-1.15212</v>
      </c>
      <c r="AE2317">
        <v>-8.9548799999999904</v>
      </c>
      <c r="AF2317">
        <v>8.1666135625345593</v>
      </c>
      <c r="AG2317">
        <v>-1.15212</v>
      </c>
      <c r="AH2317">
        <v>18.7142770976794</v>
      </c>
      <c r="AI2317">
        <v>93.229497045578</v>
      </c>
      <c r="AJ2317">
        <v>66.424307342213694</v>
      </c>
      <c r="AK2317">
        <v>20.451042146132899</v>
      </c>
      <c r="AL2317">
        <v>81.072213419204502</v>
      </c>
      <c r="AM2317">
        <v>87.576568139938004</v>
      </c>
      <c r="AN2317">
        <v>1.00000002359468</v>
      </c>
    </row>
    <row r="2318" spans="1:40" x14ac:dyDescent="0.3">
      <c r="A2318" t="str">
        <f>"20200111150402005"</f>
        <v>20200111150402005</v>
      </c>
      <c r="B2318" t="str">
        <f>"1578726242000801"</f>
        <v>1578726242000801</v>
      </c>
      <c r="C2318" t="s">
        <v>40</v>
      </c>
      <c r="D2318">
        <v>5.3890149999999997</v>
      </c>
      <c r="E2318">
        <v>0.65184770000000003</v>
      </c>
      <c r="F2318" t="s">
        <v>43</v>
      </c>
      <c r="G2318">
        <v>-316.4314</v>
      </c>
      <c r="H2318">
        <v>-0.05</v>
      </c>
      <c r="I2318">
        <v>12.92079</v>
      </c>
      <c r="J2318">
        <v>-334.59969999999998</v>
      </c>
      <c r="K2318">
        <v>1.101899</v>
      </c>
      <c r="L2318">
        <v>21.912510000000001</v>
      </c>
      <c r="M2318">
        <v>0.99900199999999995</v>
      </c>
      <c r="N2318">
        <v>0</v>
      </c>
      <c r="O2318">
        <v>-4.308791E-2</v>
      </c>
      <c r="P2318">
        <v>0.98580480000000004</v>
      </c>
      <c r="Q2318">
        <v>0.14283100000000001</v>
      </c>
      <c r="R2318">
        <v>-8.8252699999999906E-2</v>
      </c>
      <c r="S2318">
        <v>2.9494319999999998</v>
      </c>
      <c r="T2318">
        <v>-0.1850946</v>
      </c>
      <c r="U2318">
        <v>-1.4461360000000001</v>
      </c>
      <c r="V2318">
        <v>4.6605000000000001E-2</v>
      </c>
      <c r="W2318">
        <v>0.1541846</v>
      </c>
      <c r="X2318">
        <v>0.98694230000000005</v>
      </c>
      <c r="Y2318">
        <v>0.4005763</v>
      </c>
      <c r="Z2318">
        <v>-9.3334109999999998E-3</v>
      </c>
      <c r="AA2318">
        <v>0.91621589999999997</v>
      </c>
      <c r="AB2318">
        <v>31</v>
      </c>
      <c r="AC2318">
        <v>18.168299999999899</v>
      </c>
      <c r="AD2318">
        <v>-1.151899</v>
      </c>
      <c r="AE2318">
        <v>-8.9917199999999902</v>
      </c>
      <c r="AF2318">
        <v>8.1740866574692301</v>
      </c>
      <c r="AG2318">
        <v>-1.151899</v>
      </c>
      <c r="AH2318">
        <v>18.479218489371799</v>
      </c>
      <c r="AI2318">
        <v>93.262714231478895</v>
      </c>
      <c r="AJ2318">
        <v>66.138304751814502</v>
      </c>
      <c r="AK2318">
        <v>20.239171919027701</v>
      </c>
      <c r="AL2318">
        <v>81.130491291581706</v>
      </c>
      <c r="AM2318">
        <v>87.2964096667815</v>
      </c>
      <c r="AN2318">
        <v>1.00000001021572</v>
      </c>
    </row>
    <row r="2319" spans="1:40" x14ac:dyDescent="0.3">
      <c r="A2319" t="str">
        <f>"20200111150402021"</f>
        <v>20200111150402021</v>
      </c>
      <c r="B2319" t="str">
        <f>"1578726242011152"</f>
        <v>1578726242011152</v>
      </c>
      <c r="C2319" t="s">
        <v>40</v>
      </c>
      <c r="D2319">
        <v>5.3905000000000003</v>
      </c>
      <c r="E2319">
        <v>0.65188690000000005</v>
      </c>
      <c r="F2319" t="s">
        <v>43</v>
      </c>
      <c r="G2319">
        <v>-316.67910000000001</v>
      </c>
      <c r="H2319">
        <v>-0.05</v>
      </c>
      <c r="I2319">
        <v>12.9549</v>
      </c>
      <c r="J2319">
        <v>-334.37049999999999</v>
      </c>
      <c r="K2319">
        <v>1.101669</v>
      </c>
      <c r="L2319">
        <v>21.89996</v>
      </c>
      <c r="M2319">
        <v>0.99887999999999999</v>
      </c>
      <c r="N2319">
        <v>0</v>
      </c>
      <c r="O2319">
        <v>-4.581673E-2</v>
      </c>
      <c r="P2319">
        <v>0.98499729999999996</v>
      </c>
      <c r="Q2319">
        <v>0.14111179999999901</v>
      </c>
      <c r="R2319">
        <v>-9.9337350000000005E-2</v>
      </c>
      <c r="S2319">
        <v>2.9390559999999999</v>
      </c>
      <c r="T2319">
        <v>-0.18891640000000001</v>
      </c>
      <c r="U2319">
        <v>-1.4690859999999999</v>
      </c>
      <c r="V2319">
        <v>5.5094799999999999E-2</v>
      </c>
      <c r="W2319">
        <v>0.1524346</v>
      </c>
      <c r="X2319">
        <v>0.98677669999999995</v>
      </c>
      <c r="Y2319">
        <v>0.40506130000000001</v>
      </c>
      <c r="Z2319">
        <v>-9.5118979999999995E-3</v>
      </c>
      <c r="AA2319">
        <v>0.9142401</v>
      </c>
      <c r="AB2319">
        <v>31</v>
      </c>
      <c r="AC2319">
        <v>17.691399999999899</v>
      </c>
      <c r="AD2319">
        <v>-1.1516690000000001</v>
      </c>
      <c r="AE2319">
        <v>-8.9450599999999998</v>
      </c>
      <c r="AF2319">
        <v>8.0977173493149994</v>
      </c>
      <c r="AG2319">
        <v>-1.1516690000000001</v>
      </c>
      <c r="AH2319">
        <v>18.021858722836399</v>
      </c>
      <c r="AI2319">
        <v>93.336001768217699</v>
      </c>
      <c r="AJ2319">
        <v>65.804303848070404</v>
      </c>
      <c r="AK2319">
        <v>19.7910777771407</v>
      </c>
      <c r="AL2319">
        <v>81.231958351898896</v>
      </c>
      <c r="AM2319">
        <v>86.804317054084507</v>
      </c>
      <c r="AN2319">
        <v>0.99999999996354405</v>
      </c>
    </row>
    <row r="2320" spans="1:40" x14ac:dyDescent="0.3">
      <c r="A2320" t="str">
        <f>"20200111150402035"</f>
        <v>20200111150402035</v>
      </c>
      <c r="B2320" t="str">
        <f>"1578726242030672"</f>
        <v>1578726242030672</v>
      </c>
      <c r="C2320" t="s">
        <v>40</v>
      </c>
      <c r="D2320">
        <v>5.3927480000000001</v>
      </c>
      <c r="E2320">
        <v>0.651821599999999</v>
      </c>
      <c r="F2320" t="s">
        <v>43</v>
      </c>
      <c r="G2320">
        <v>-317.07760000000002</v>
      </c>
      <c r="H2320">
        <v>-0.05</v>
      </c>
      <c r="I2320">
        <v>13.00845</v>
      </c>
      <c r="J2320">
        <v>-334.20119999999997</v>
      </c>
      <c r="K2320">
        <v>1.1015109999999999</v>
      </c>
      <c r="L2320">
        <v>21.890260000000001</v>
      </c>
      <c r="M2320">
        <v>0.99878029999999995</v>
      </c>
      <c r="N2320">
        <v>0</v>
      </c>
      <c r="O2320">
        <v>-4.7931609999999999E-2</v>
      </c>
      <c r="P2320">
        <v>0.98447640000000003</v>
      </c>
      <c r="Q2320">
        <v>0.14055509999999999</v>
      </c>
      <c r="R2320">
        <v>-0.1051222</v>
      </c>
      <c r="S2320">
        <v>2.9220579999999998</v>
      </c>
      <c r="T2320">
        <v>-0.194603</v>
      </c>
      <c r="U2320">
        <v>-1.5024409999999999</v>
      </c>
      <c r="V2320">
        <v>5.8861360000000001E-2</v>
      </c>
      <c r="W2320">
        <v>0.15186720000000001</v>
      </c>
      <c r="X2320">
        <v>0.98664669999999999</v>
      </c>
      <c r="Y2320">
        <v>0.41347600000000001</v>
      </c>
      <c r="Z2320">
        <v>-9.9567319999999994E-3</v>
      </c>
      <c r="AA2320">
        <v>0.91046059999999995</v>
      </c>
      <c r="AB2320">
        <v>31</v>
      </c>
      <c r="AC2320">
        <v>17.1235999999999</v>
      </c>
      <c r="AD2320">
        <v>-1.151511</v>
      </c>
      <c r="AE2320">
        <v>-8.8818099999999998</v>
      </c>
      <c r="AF2320">
        <v>8.0221938715642391</v>
      </c>
      <c r="AG2320">
        <v>-1.151511</v>
      </c>
      <c r="AH2320">
        <v>17.467420653877799</v>
      </c>
      <c r="AI2320">
        <v>93.428345015921707</v>
      </c>
      <c r="AJ2320">
        <v>65.332285880084399</v>
      </c>
      <c r="AK2320">
        <v>19.2559693704472</v>
      </c>
      <c r="AL2320">
        <v>81.264851011071201</v>
      </c>
      <c r="AM2320">
        <v>86.585895413956294</v>
      </c>
      <c r="AN2320">
        <v>1.00000000837888</v>
      </c>
    </row>
    <row r="2321" spans="1:40" x14ac:dyDescent="0.3">
      <c r="A2321" t="str">
        <f>"20200111150402047"</f>
        <v>20200111150402047</v>
      </c>
      <c r="B2321" t="str">
        <f>"1578726242040433"</f>
        <v>1578726242040433</v>
      </c>
      <c r="C2321" t="s">
        <v>40</v>
      </c>
      <c r="D2321">
        <v>5.3989500000000001</v>
      </c>
      <c r="E2321">
        <v>0.65171849999999998</v>
      </c>
      <c r="F2321" t="s">
        <v>43</v>
      </c>
      <c r="G2321">
        <v>-317.15480000000002</v>
      </c>
      <c r="H2321">
        <v>-0.05</v>
      </c>
      <c r="I2321">
        <v>12.999370000000001</v>
      </c>
      <c r="J2321">
        <v>-334.0181</v>
      </c>
      <c r="K2321">
        <v>1.1013550000000001</v>
      </c>
      <c r="L2321">
        <v>21.87933</v>
      </c>
      <c r="M2321">
        <v>0.99866279999999996</v>
      </c>
      <c r="N2321">
        <v>0</v>
      </c>
      <c r="O2321">
        <v>-5.0306900000000002E-2</v>
      </c>
      <c r="P2321">
        <v>0.98389709999999997</v>
      </c>
      <c r="Q2321">
        <v>0.14043310000000001</v>
      </c>
      <c r="R2321">
        <v>-0.11056580000000001</v>
      </c>
      <c r="S2321">
        <v>2.9131469999999999</v>
      </c>
      <c r="T2321">
        <v>-0.1967873</v>
      </c>
      <c r="U2321">
        <v>-1.519409</v>
      </c>
      <c r="V2321">
        <v>6.2035390000000003E-2</v>
      </c>
      <c r="W2321">
        <v>0.15173710000000001</v>
      </c>
      <c r="X2321">
        <v>0.98647220000000002</v>
      </c>
      <c r="Y2321">
        <v>0.41660249999999999</v>
      </c>
      <c r="Z2321">
        <v>-1.003254E-2</v>
      </c>
      <c r="AA2321">
        <v>0.90903339999999999</v>
      </c>
      <c r="AB2321">
        <v>31</v>
      </c>
      <c r="AC2321">
        <v>16.863299999999899</v>
      </c>
      <c r="AD2321">
        <v>-1.1513549999999999</v>
      </c>
      <c r="AE2321">
        <v>-8.8799600000000005</v>
      </c>
      <c r="AF2321">
        <v>7.9911497757791903</v>
      </c>
      <c r="AG2321">
        <v>-1.1513549999999999</v>
      </c>
      <c r="AH2321">
        <v>17.225832596389001</v>
      </c>
      <c r="AI2321">
        <v>93.469724802091307</v>
      </c>
      <c r="AJ2321">
        <v>65.113179122972198</v>
      </c>
      <c r="AK2321">
        <v>19.024021701884699</v>
      </c>
      <c r="AL2321">
        <v>81.272392247903696</v>
      </c>
      <c r="AM2321">
        <v>86.401630298961194</v>
      </c>
      <c r="AN2321">
        <v>0.99999996925085</v>
      </c>
    </row>
    <row r="2322" spans="1:40" x14ac:dyDescent="0.3">
      <c r="A2322" t="str">
        <f>"20200111150402058"</f>
        <v>20200111150402058</v>
      </c>
      <c r="B2322" t="str">
        <f>"1578726242051169"</f>
        <v>1578726242051169</v>
      </c>
      <c r="C2322" t="s">
        <v>40</v>
      </c>
      <c r="D2322">
        <v>5.4028320000000001</v>
      </c>
      <c r="E2322">
        <v>0.65157119999999902</v>
      </c>
      <c r="F2322" t="s">
        <v>43</v>
      </c>
      <c r="G2322">
        <v>-317.0147</v>
      </c>
      <c r="H2322">
        <v>-0.05</v>
      </c>
      <c r="I2322">
        <v>12.890779999999999</v>
      </c>
      <c r="J2322">
        <v>-333.85469999999998</v>
      </c>
      <c r="K2322">
        <v>1.101235</v>
      </c>
      <c r="L2322">
        <v>21.86899</v>
      </c>
      <c r="M2322">
        <v>0.9985482</v>
      </c>
      <c r="N2322">
        <v>0</v>
      </c>
      <c r="O2322">
        <v>-5.2527570000000003E-2</v>
      </c>
      <c r="P2322">
        <v>0.98328629999999995</v>
      </c>
      <c r="Q2322">
        <v>0.14071539999999999</v>
      </c>
      <c r="R2322">
        <v>-0.1155311</v>
      </c>
      <c r="S2322">
        <v>2.904633</v>
      </c>
      <c r="T2322">
        <v>-0.19668279999999999</v>
      </c>
      <c r="U2322">
        <v>-1.5354920000000001</v>
      </c>
      <c r="V2322">
        <v>6.4876299999999998E-2</v>
      </c>
      <c r="W2322">
        <v>0.15201039999999999</v>
      </c>
      <c r="X2322">
        <v>0.9862474</v>
      </c>
      <c r="Y2322">
        <v>0.41961209999999999</v>
      </c>
      <c r="Z2322">
        <v>-9.9967919999999991E-3</v>
      </c>
      <c r="AA2322">
        <v>0.90764840000000002</v>
      </c>
      <c r="AB2322">
        <v>31</v>
      </c>
      <c r="AC2322">
        <v>16.8399999999999</v>
      </c>
      <c r="AD2322">
        <v>-1.151235</v>
      </c>
      <c r="AE2322">
        <v>-8.9782100000000007</v>
      </c>
      <c r="AF2322">
        <v>8.0518846358285607</v>
      </c>
      <c r="AG2322">
        <v>-1.151235</v>
      </c>
      <c r="AH2322">
        <v>17.225699517819599</v>
      </c>
      <c r="AI2322">
        <v>93.464719433173002</v>
      </c>
      <c r="AJ2322">
        <v>64.9469953967523</v>
      </c>
      <c r="AK2322">
        <v>19.0494858747454</v>
      </c>
      <c r="AL2322">
        <v>81.256549936975006</v>
      </c>
      <c r="AM2322">
        <v>86.236450875834095</v>
      </c>
      <c r="AN2322">
        <v>1.0000000150082999</v>
      </c>
    </row>
    <row r="2323" spans="1:40" x14ac:dyDescent="0.3">
      <c r="A2323" t="str">
        <f>"20200111150402073"</f>
        <v>20200111150402073</v>
      </c>
      <c r="B2323" t="str">
        <f>"1578726242070688"</f>
        <v>1578726242070688</v>
      </c>
      <c r="C2323" t="s">
        <v>40</v>
      </c>
      <c r="D2323">
        <v>5.4055419999999996</v>
      </c>
      <c r="E2323">
        <v>0.65115619999999996</v>
      </c>
      <c r="F2323" t="s">
        <v>43</v>
      </c>
      <c r="G2323">
        <v>-316.79829999999998</v>
      </c>
      <c r="H2323">
        <v>-0.05</v>
      </c>
      <c r="I2323">
        <v>12.74713</v>
      </c>
      <c r="J2323">
        <v>-333.6635</v>
      </c>
      <c r="K2323">
        <v>1.1011010000000001</v>
      </c>
      <c r="L2323">
        <v>21.856480000000001</v>
      </c>
      <c r="M2323">
        <v>0.99840469999999903</v>
      </c>
      <c r="N2323">
        <v>0</v>
      </c>
      <c r="O2323">
        <v>-5.5176969999999999E-2</v>
      </c>
      <c r="P2323">
        <v>0.98257470000000002</v>
      </c>
      <c r="Q2323">
        <v>0.14134720000000001</v>
      </c>
      <c r="R2323">
        <v>-0.120698</v>
      </c>
      <c r="S2323">
        <v>2.8969119999999999</v>
      </c>
      <c r="T2323">
        <v>-0.19552949999999999</v>
      </c>
      <c r="U2323">
        <v>-1.5492859999999999</v>
      </c>
      <c r="V2323">
        <v>6.7508840000000001E-2</v>
      </c>
      <c r="W2323">
        <v>0.152635299999999</v>
      </c>
      <c r="X2323">
        <v>0.98597409999999996</v>
      </c>
      <c r="Y2323">
        <v>0.42157749999999999</v>
      </c>
      <c r="Z2323">
        <v>-9.847293E-3</v>
      </c>
      <c r="AA2323">
        <v>0.90673890000000001</v>
      </c>
      <c r="AB2323">
        <v>31</v>
      </c>
      <c r="AC2323">
        <v>16.865200000000002</v>
      </c>
      <c r="AD2323">
        <v>-1.1511009999999999</v>
      </c>
      <c r="AE2323">
        <v>-9.1093499999999903</v>
      </c>
      <c r="AF2323">
        <v>8.1354937381131496</v>
      </c>
      <c r="AG2323">
        <v>-1.1511009999999999</v>
      </c>
      <c r="AH2323">
        <v>17.2798486716814</v>
      </c>
      <c r="AI2323">
        <v>93.449021272616307</v>
      </c>
      <c r="AJ2323">
        <v>64.788561082290101</v>
      </c>
      <c r="AK2323">
        <v>19.133856432807502</v>
      </c>
      <c r="AL2323">
        <v>81.220322508397501</v>
      </c>
      <c r="AM2323">
        <v>86.083118035931406</v>
      </c>
      <c r="AN2323">
        <v>0.99999995207752101</v>
      </c>
    </row>
    <row r="2324" spans="1:40" x14ac:dyDescent="0.3">
      <c r="A2324" t="str">
        <f>"20200111150402090"</f>
        <v>20200111150402090</v>
      </c>
      <c r="B2324" t="str">
        <f>"1578726242081424"</f>
        <v>1578726242081424</v>
      </c>
      <c r="C2324" t="s">
        <v>40</v>
      </c>
      <c r="D2324">
        <v>5.4257619999999998</v>
      </c>
      <c r="E2324">
        <v>0.65115619999999996</v>
      </c>
      <c r="F2324" t="s">
        <v>43</v>
      </c>
      <c r="G2324">
        <v>-316.56630000000001</v>
      </c>
      <c r="H2324">
        <v>-0.05</v>
      </c>
      <c r="I2324">
        <v>12.616210000000001</v>
      </c>
      <c r="J2324">
        <v>-333.42259999999999</v>
      </c>
      <c r="K2324">
        <v>1.1009530000000001</v>
      </c>
      <c r="L2324">
        <v>21.8399</v>
      </c>
      <c r="M2324">
        <v>0.99820759999999997</v>
      </c>
      <c r="N2324">
        <v>0</v>
      </c>
      <c r="O2324">
        <v>-5.8628180000000002E-2</v>
      </c>
      <c r="P2324">
        <v>0.98150570000000004</v>
      </c>
      <c r="Q2324">
        <v>0.14239540000000001</v>
      </c>
      <c r="R2324">
        <v>-0.1279469</v>
      </c>
      <c r="S2324">
        <v>2.8893740000000001</v>
      </c>
      <c r="T2324">
        <v>-0.19453329999999999</v>
      </c>
      <c r="U2324">
        <v>-1.5615840000000001</v>
      </c>
      <c r="V2324">
        <v>7.1459690000000006E-2</v>
      </c>
      <c r="W2324">
        <v>0.15366450000000001</v>
      </c>
      <c r="X2324">
        <v>0.98553570000000001</v>
      </c>
      <c r="Y2324">
        <v>0.4224289</v>
      </c>
      <c r="Z2324">
        <v>-9.6218769999999992E-3</v>
      </c>
      <c r="AA2324">
        <v>0.90634499999999996</v>
      </c>
      <c r="AB2324">
        <v>31</v>
      </c>
      <c r="AC2324">
        <v>16.856299999999901</v>
      </c>
      <c r="AD2324">
        <v>-1.1509529999999999</v>
      </c>
      <c r="AE2324">
        <v>-9.2236899999999995</v>
      </c>
      <c r="AF2324">
        <v>8.1901111334622794</v>
      </c>
      <c r="AG2324">
        <v>-1.1509529999999999</v>
      </c>
      <c r="AH2324">
        <v>17.306016052110099</v>
      </c>
      <c r="AI2324">
        <v>93.440137674266396</v>
      </c>
      <c r="AJ2324">
        <v>64.674041140512401</v>
      </c>
      <c r="AK2324">
        <v>19.1807404649185</v>
      </c>
      <c r="AL2324">
        <v>81.1606496252368</v>
      </c>
      <c r="AM2324">
        <v>85.852828170053201</v>
      </c>
      <c r="AN2324">
        <v>0.99999994091481603</v>
      </c>
    </row>
    <row r="2325" spans="1:40" x14ac:dyDescent="0.3">
      <c r="A2325" t="str">
        <f>"20200111150402103"</f>
        <v>20200111150402103</v>
      </c>
      <c r="B2325" t="str">
        <f>"1578726242100945"</f>
        <v>1578726242100945</v>
      </c>
      <c r="C2325" t="s">
        <v>40</v>
      </c>
      <c r="D2325">
        <v>5.4168370000000001</v>
      </c>
      <c r="E2325">
        <v>0.63722619999999996</v>
      </c>
      <c r="F2325" t="s">
        <v>43</v>
      </c>
      <c r="G2325">
        <v>-316.05329999999998</v>
      </c>
      <c r="H2325">
        <v>-0.05</v>
      </c>
      <c r="I2325">
        <v>12.28374</v>
      </c>
      <c r="J2325">
        <v>-333.22980000000001</v>
      </c>
      <c r="K2325">
        <v>1.1008500000000001</v>
      </c>
      <c r="L2325">
        <v>21.825810000000001</v>
      </c>
      <c r="M2325">
        <v>0.99803560000000002</v>
      </c>
      <c r="N2325">
        <v>0</v>
      </c>
      <c r="O2325">
        <v>-6.1479579999999999E-2</v>
      </c>
      <c r="P2325">
        <v>0.98090849999999996</v>
      </c>
      <c r="Q2325">
        <v>0.14250699999999999</v>
      </c>
      <c r="R2325">
        <v>-0.1323261</v>
      </c>
      <c r="S2325">
        <v>2.877777</v>
      </c>
      <c r="T2325">
        <v>-0.1906919</v>
      </c>
      <c r="U2325">
        <v>-1.5832820000000001</v>
      </c>
      <c r="V2325">
        <v>7.3089760000000004E-2</v>
      </c>
      <c r="W2325">
        <v>0.15377569999999999</v>
      </c>
      <c r="X2325">
        <v>0.98539889999999997</v>
      </c>
      <c r="Y2325">
        <v>0.42664560000000001</v>
      </c>
      <c r="Z2325">
        <v>-9.4054659999999995E-3</v>
      </c>
      <c r="AA2325">
        <v>0.90437000000000001</v>
      </c>
      <c r="AB2325">
        <v>31</v>
      </c>
      <c r="AC2325">
        <v>17.176500000000001</v>
      </c>
      <c r="AD2325">
        <v>-1.1508499999999999</v>
      </c>
      <c r="AE2325">
        <v>-9.5420699999999901</v>
      </c>
      <c r="AF2325">
        <v>8.4389864760909195</v>
      </c>
      <c r="AG2325">
        <v>-1.1508499999999999</v>
      </c>
      <c r="AH2325">
        <v>17.6700712073477</v>
      </c>
      <c r="AI2325">
        <v>93.363480285574198</v>
      </c>
      <c r="AJ2325">
        <v>64.471491505083307</v>
      </c>
      <c r="AK2325">
        <v>19.6156153341893</v>
      </c>
      <c r="AL2325">
        <v>81.154202540484704</v>
      </c>
      <c r="AM2325">
        <v>85.757981585663998</v>
      </c>
      <c r="AN2325">
        <v>1.00000003552427</v>
      </c>
    </row>
    <row r="2326" spans="1:40" x14ac:dyDescent="0.3">
      <c r="A2326" t="str">
        <f>"20200111150402119"</f>
        <v>20200111150402119</v>
      </c>
      <c r="B2326" t="str">
        <f>"1578726242110704"</f>
        <v>1578726242110704</v>
      </c>
      <c r="C2326" t="s">
        <v>40</v>
      </c>
      <c r="D2326">
        <v>5.4341689999999998</v>
      </c>
      <c r="E2326">
        <v>0.63681750000000004</v>
      </c>
      <c r="F2326" t="s">
        <v>43</v>
      </c>
      <c r="G2326">
        <v>-319.0061</v>
      </c>
      <c r="H2326">
        <v>-0.05</v>
      </c>
      <c r="I2326">
        <v>14.510059999999999</v>
      </c>
      <c r="J2326">
        <v>-333.02969999999999</v>
      </c>
      <c r="K2326">
        <v>1.100749</v>
      </c>
      <c r="L2326">
        <v>21.810549999999999</v>
      </c>
      <c r="M2326">
        <v>0.99784490000000003</v>
      </c>
      <c r="N2326">
        <v>0</v>
      </c>
      <c r="O2326">
        <v>-6.4495170000000004E-2</v>
      </c>
      <c r="P2326">
        <v>0.98033309999999996</v>
      </c>
      <c r="Q2326">
        <v>0.1425157</v>
      </c>
      <c r="R2326">
        <v>-0.1365162</v>
      </c>
      <c r="S2326">
        <v>2.8917540000000002</v>
      </c>
      <c r="T2326">
        <v>-0.2339746</v>
      </c>
      <c r="U2326">
        <v>-1.4873350000000001</v>
      </c>
      <c r="V2326">
        <v>7.4364979999999997E-2</v>
      </c>
      <c r="W2326">
        <v>0.15378410000000001</v>
      </c>
      <c r="X2326">
        <v>0.98530220000000002</v>
      </c>
      <c r="Y2326">
        <v>0.39821780000000001</v>
      </c>
      <c r="Z2326">
        <v>-1.026053E-2</v>
      </c>
      <c r="AA2326">
        <v>0.91723350000000003</v>
      </c>
      <c r="AB2326">
        <v>31</v>
      </c>
      <c r="AC2326">
        <v>14.023599999999901</v>
      </c>
      <c r="AD2326">
        <v>-1.150749</v>
      </c>
      <c r="AE2326">
        <v>-7.3004899999999902</v>
      </c>
      <c r="AF2326">
        <v>6.3471421198976303</v>
      </c>
      <c r="AG2326">
        <v>-1.150749</v>
      </c>
      <c r="AH2326">
        <v>14.389049662892999</v>
      </c>
      <c r="AI2326">
        <v>94.184954184131897</v>
      </c>
      <c r="AJ2326">
        <v>66.197283134534203</v>
      </c>
      <c r="AK2326">
        <v>15.7688042207512</v>
      </c>
      <c r="AL2326">
        <v>81.153715702716397</v>
      </c>
      <c r="AM2326">
        <v>85.6838250472277</v>
      </c>
      <c r="AN2326">
        <v>1.00000006249402</v>
      </c>
    </row>
    <row r="2327" spans="1:40" x14ac:dyDescent="0.3">
      <c r="A2327" t="str">
        <f>"20200111150402136"</f>
        <v>20200111150402136</v>
      </c>
      <c r="B2327" t="str">
        <f>"1578726242131199"</f>
        <v>1578726242131199</v>
      </c>
      <c r="C2327" t="s">
        <v>40</v>
      </c>
      <c r="D2327">
        <v>5.424442</v>
      </c>
      <c r="E2327">
        <v>0.63595489999999999</v>
      </c>
      <c r="F2327" t="s">
        <v>43</v>
      </c>
      <c r="G2327">
        <v>-318.88350000000003</v>
      </c>
      <c r="H2327">
        <v>-0.05</v>
      </c>
      <c r="I2327">
        <v>14.46729</v>
      </c>
      <c r="J2327">
        <v>-332.79939999999999</v>
      </c>
      <c r="K2327">
        <v>1.1006320000000001</v>
      </c>
      <c r="L2327">
        <v>21.792269999999998</v>
      </c>
      <c r="M2327">
        <v>0.99760870000000001</v>
      </c>
      <c r="N2327">
        <v>0</v>
      </c>
      <c r="O2327">
        <v>-6.8044220000000002E-2</v>
      </c>
      <c r="P2327">
        <v>0.97945610000000005</v>
      </c>
      <c r="Q2327">
        <v>0.1421703</v>
      </c>
      <c r="R2327">
        <v>-0.14301469999999999</v>
      </c>
      <c r="S2327">
        <v>2.8856809999999999</v>
      </c>
      <c r="T2327">
        <v>-0.23474200000000001</v>
      </c>
      <c r="U2327">
        <v>-1.4979549999999999</v>
      </c>
      <c r="V2327">
        <v>7.7438699999999999E-2</v>
      </c>
      <c r="W2327">
        <v>0.15341659999999999</v>
      </c>
      <c r="X2327">
        <v>0.98512259999999996</v>
      </c>
      <c r="Y2327">
        <v>0.39840609999999999</v>
      </c>
      <c r="Z2327">
        <v>-1.0043939999999999E-2</v>
      </c>
      <c r="AA2327">
        <v>0.91715409999999997</v>
      </c>
      <c r="AB2327">
        <v>31</v>
      </c>
      <c r="AC2327">
        <v>13.915899999999899</v>
      </c>
      <c r="AD2327">
        <v>-1.1506319999999901</v>
      </c>
      <c r="AE2327">
        <v>-7.32498</v>
      </c>
      <c r="AF2327">
        <v>6.3271620643115698</v>
      </c>
      <c r="AG2327">
        <v>-1.1506319999999901</v>
      </c>
      <c r="AH2327">
        <v>14.305517449676699</v>
      </c>
      <c r="AI2327">
        <v>94.207049699440802</v>
      </c>
      <c r="AJ2327">
        <v>66.140757221711695</v>
      </c>
      <c r="AK2327">
        <v>15.684538988777801</v>
      </c>
      <c r="AL2327">
        <v>81.175023962164303</v>
      </c>
      <c r="AM2327">
        <v>85.505325435562199</v>
      </c>
      <c r="AN2327">
        <v>0.99999997122200401</v>
      </c>
    </row>
    <row r="2328" spans="1:40" x14ac:dyDescent="0.3">
      <c r="A2328" t="str">
        <f>"20200111150402149"</f>
        <v>20200111150402149</v>
      </c>
      <c r="B2328" t="str">
        <f>"1578726242140960"</f>
        <v>1578726242140960</v>
      </c>
      <c r="C2328" t="s">
        <v>40</v>
      </c>
      <c r="D2328">
        <v>5.4328099999999999</v>
      </c>
      <c r="E2328">
        <v>0.63560660000000002</v>
      </c>
      <c r="F2328" t="s">
        <v>43</v>
      </c>
      <c r="G2328">
        <v>-318.85410000000002</v>
      </c>
      <c r="H2328">
        <v>-0.05</v>
      </c>
      <c r="I2328">
        <v>14.458279999999901</v>
      </c>
      <c r="J2328">
        <v>-332.5976</v>
      </c>
      <c r="K2328">
        <v>1.100527</v>
      </c>
      <c r="L2328">
        <v>21.775569999999998</v>
      </c>
      <c r="M2328">
        <v>0.99738649999999995</v>
      </c>
      <c r="N2328">
        <v>0</v>
      </c>
      <c r="O2328">
        <v>-7.1225579999999997E-2</v>
      </c>
      <c r="P2328">
        <v>0.97871129999999995</v>
      </c>
      <c r="Q2328">
        <v>0.14232410000000001</v>
      </c>
      <c r="R2328">
        <v>-0.1478796</v>
      </c>
      <c r="S2328">
        <v>2.8764949999999998</v>
      </c>
      <c r="T2328">
        <v>-0.23734140000000001</v>
      </c>
      <c r="U2328">
        <v>-1.5127870000000001</v>
      </c>
      <c r="V2328">
        <v>7.9237539999999995E-2</v>
      </c>
      <c r="W2328">
        <v>0.15355239999999901</v>
      </c>
      <c r="X2328">
        <v>0.98495840000000001</v>
      </c>
      <c r="Y2328">
        <v>0.40037240000000002</v>
      </c>
      <c r="Z2328">
        <v>-1.0004849999999999E-2</v>
      </c>
      <c r="AA2328">
        <v>0.9162979</v>
      </c>
      <c r="AB2328">
        <v>31</v>
      </c>
      <c r="AC2328">
        <v>13.7434999999999</v>
      </c>
      <c r="AD2328">
        <v>-1.1505270000000001</v>
      </c>
      <c r="AE2328">
        <v>-7.3172899999999998</v>
      </c>
      <c r="AF2328">
        <v>6.2854222418146204</v>
      </c>
      <c r="AG2328">
        <v>-1.1505270000000001</v>
      </c>
      <c r="AH2328">
        <v>14.152529609149401</v>
      </c>
      <c r="AI2328">
        <v>94.249101305556195</v>
      </c>
      <c r="AJ2328">
        <v>66.053033238481405</v>
      </c>
      <c r="AK2328">
        <v>15.528178884643101</v>
      </c>
      <c r="AL2328">
        <v>81.167150049623601</v>
      </c>
      <c r="AM2328">
        <v>85.4005971096868</v>
      </c>
      <c r="AN2328">
        <v>0.99999998851078498</v>
      </c>
    </row>
    <row r="2329" spans="1:40" x14ac:dyDescent="0.3">
      <c r="A2329" t="str">
        <f>"20200111150402162"</f>
        <v>20200111150402162</v>
      </c>
      <c r="B2329" t="str">
        <f>"1578726242150721"</f>
        <v>1578726242150721</v>
      </c>
      <c r="C2329" t="s">
        <v>40</v>
      </c>
      <c r="D2329">
        <v>5.4355409999999997</v>
      </c>
      <c r="E2329">
        <v>0.63512250000000003</v>
      </c>
      <c r="F2329" t="s">
        <v>43</v>
      </c>
      <c r="G2329">
        <v>-318.76299999999998</v>
      </c>
      <c r="H2329">
        <v>-0.05</v>
      </c>
      <c r="I2329">
        <v>14.42409</v>
      </c>
      <c r="J2329">
        <v>-332.41890000000001</v>
      </c>
      <c r="K2329">
        <v>1.1004339999999999</v>
      </c>
      <c r="L2329">
        <v>21.75995</v>
      </c>
      <c r="M2329">
        <v>0.99717429999999996</v>
      </c>
      <c r="N2329">
        <v>0</v>
      </c>
      <c r="O2329">
        <v>-7.4132180000000006E-2</v>
      </c>
      <c r="P2329">
        <v>0.97789979999999999</v>
      </c>
      <c r="Q2329">
        <v>0.14282300000000001</v>
      </c>
      <c r="R2329">
        <v>-0.1526885</v>
      </c>
      <c r="S2329">
        <v>2.8695680000000001</v>
      </c>
      <c r="T2329">
        <v>-0.23864189999999999</v>
      </c>
      <c r="U2329">
        <v>-1.5248409999999999</v>
      </c>
      <c r="V2329">
        <v>8.1258490000000003E-2</v>
      </c>
      <c r="W2329">
        <v>0.15402589999999999</v>
      </c>
      <c r="X2329">
        <v>0.98471980000000003</v>
      </c>
      <c r="Y2329">
        <v>0.40161370000000002</v>
      </c>
      <c r="Z2329">
        <v>-9.8963120000000009E-3</v>
      </c>
      <c r="AA2329">
        <v>0.91575569999999895</v>
      </c>
      <c r="AB2329">
        <v>31</v>
      </c>
      <c r="AC2329">
        <v>13.655900000000001</v>
      </c>
      <c r="AD2329">
        <v>-1.150434</v>
      </c>
      <c r="AE2329">
        <v>-7.3358600000000003</v>
      </c>
      <c r="AF2329">
        <v>6.2687289113391804</v>
      </c>
      <c r="AG2329">
        <v>-1.150434</v>
      </c>
      <c r="AH2329">
        <v>14.0846085043068</v>
      </c>
      <c r="AI2329">
        <v>94.267662609703294</v>
      </c>
      <c r="AJ2329">
        <v>66.007275245140306</v>
      </c>
      <c r="AK2329">
        <v>15.459516721806301</v>
      </c>
      <c r="AL2329">
        <v>81.139693993206805</v>
      </c>
      <c r="AM2329">
        <v>85.282674573888301</v>
      </c>
      <c r="AN2329">
        <v>1.00000000228996</v>
      </c>
    </row>
    <row r="2330" spans="1:40" x14ac:dyDescent="0.3">
      <c r="A2330" t="str">
        <f>"20200111150402180"</f>
        <v>20200111150402180</v>
      </c>
      <c r="B2330" t="str">
        <f>"1578726242171219"</f>
        <v>1578726242171219</v>
      </c>
      <c r="C2330" t="s">
        <v>40</v>
      </c>
      <c r="D2330">
        <v>5.47654</v>
      </c>
      <c r="E2330">
        <v>0.63411619999999902</v>
      </c>
      <c r="F2330" t="s">
        <v>43</v>
      </c>
      <c r="G2330">
        <v>-318.70069999999998</v>
      </c>
      <c r="H2330">
        <v>-0.05</v>
      </c>
      <c r="I2330">
        <v>14.403460000000001</v>
      </c>
      <c r="J2330">
        <v>-332.1823</v>
      </c>
      <c r="K2330">
        <v>1.100312</v>
      </c>
      <c r="L2330">
        <v>21.73846</v>
      </c>
      <c r="M2330">
        <v>0.99687389999999998</v>
      </c>
      <c r="N2330">
        <v>0</v>
      </c>
      <c r="O2330">
        <v>-7.806515E-2</v>
      </c>
      <c r="P2330">
        <v>0.97624650000000002</v>
      </c>
      <c r="Q2330">
        <v>0.14533689999999999</v>
      </c>
      <c r="R2330">
        <v>-0.16068589999999999</v>
      </c>
      <c r="S2330">
        <v>2.8631289999999998</v>
      </c>
      <c r="T2330">
        <v>-0.2401065</v>
      </c>
      <c r="U2330">
        <v>-1.5353699999999999</v>
      </c>
      <c r="V2330">
        <v>8.5543720000000004E-2</v>
      </c>
      <c r="W2330">
        <v>0.15648139999999999</v>
      </c>
      <c r="X2330">
        <v>0.98396939999999999</v>
      </c>
      <c r="Y2330">
        <v>0.4014741</v>
      </c>
      <c r="Z2330">
        <v>-9.6582409999999997E-3</v>
      </c>
      <c r="AA2330">
        <v>0.91581950000000001</v>
      </c>
      <c r="AB2330">
        <v>31</v>
      </c>
      <c r="AC2330">
        <v>13.4816</v>
      </c>
      <c r="AD2330">
        <v>-1.150312</v>
      </c>
      <c r="AE2330">
        <v>-7.3349999999999902</v>
      </c>
      <c r="AF2330">
        <v>6.2251218297708499</v>
      </c>
      <c r="AG2330">
        <v>-1.150312</v>
      </c>
      <c r="AH2330">
        <v>13.9348239945319</v>
      </c>
      <c r="AI2330">
        <v>94.310263852227493</v>
      </c>
      <c r="AJ2330">
        <v>65.9281902152361</v>
      </c>
      <c r="AK2330">
        <v>15.305380728731199</v>
      </c>
      <c r="AL2330">
        <v>80.997277006498393</v>
      </c>
      <c r="AM2330">
        <v>85.031347878410102</v>
      </c>
      <c r="AN2330">
        <v>0.99999996835687799</v>
      </c>
    </row>
    <row r="2331" spans="1:40" x14ac:dyDescent="0.3">
      <c r="A2331" t="str">
        <f>"20200111150402191"</f>
        <v>20200111150402191</v>
      </c>
      <c r="B2331" t="str">
        <f>"1578726242180976"</f>
        <v>1578726242180976</v>
      </c>
      <c r="C2331" t="s">
        <v>40</v>
      </c>
      <c r="D2331">
        <v>5.448359</v>
      </c>
      <c r="E2331">
        <v>0.63367510000000005</v>
      </c>
      <c r="F2331" t="s">
        <v>43</v>
      </c>
      <c r="G2331">
        <v>-318.26600000000002</v>
      </c>
      <c r="H2331">
        <v>-0.05</v>
      </c>
      <c r="I2331">
        <v>14.169429999999901</v>
      </c>
      <c r="J2331">
        <v>-332.01600000000002</v>
      </c>
      <c r="K2331">
        <v>1.100225</v>
      </c>
      <c r="L2331">
        <v>21.722840000000001</v>
      </c>
      <c r="M2331">
        <v>0.9966486</v>
      </c>
      <c r="N2331">
        <v>0</v>
      </c>
      <c r="O2331">
        <v>-8.0889790000000003E-2</v>
      </c>
      <c r="P2331">
        <v>0.97533709999999996</v>
      </c>
      <c r="Q2331">
        <v>0.1463962</v>
      </c>
      <c r="R2331">
        <v>-0.16518469999999999</v>
      </c>
      <c r="S2331">
        <v>2.8526919999999998</v>
      </c>
      <c r="T2331">
        <v>-0.2358024</v>
      </c>
      <c r="U2331">
        <v>-1.5515749999999999</v>
      </c>
      <c r="V2331">
        <v>8.7355390000000005E-2</v>
      </c>
      <c r="W2331">
        <v>0.1575114</v>
      </c>
      <c r="X2331">
        <v>0.98364589999999996</v>
      </c>
      <c r="Y2331">
        <v>0.4043252</v>
      </c>
      <c r="Z2331">
        <v>-9.3991249999999995E-3</v>
      </c>
      <c r="AA2331">
        <v>0.91456700000000002</v>
      </c>
      <c r="AB2331">
        <v>31</v>
      </c>
      <c r="AC2331">
        <v>13.75</v>
      </c>
      <c r="AD2331">
        <v>-1.1502250000000001</v>
      </c>
      <c r="AE2331">
        <v>-7.5534099999999897</v>
      </c>
      <c r="AF2331">
        <v>6.3820299548374502</v>
      </c>
      <c r="AG2331">
        <v>-1.1502250000000001</v>
      </c>
      <c r="AH2331">
        <v>14.239429244776501</v>
      </c>
      <c r="AI2331">
        <v>94.215786999245495</v>
      </c>
      <c r="AJ2331">
        <v>65.858352953638601</v>
      </c>
      <c r="AK2331">
        <v>15.6465545444377</v>
      </c>
      <c r="AL2331">
        <v>80.937521901037897</v>
      </c>
      <c r="AM2331">
        <v>84.925004019086003</v>
      </c>
      <c r="AN2331">
        <v>1.0000000309394099</v>
      </c>
    </row>
    <row r="2332" spans="1:40" x14ac:dyDescent="0.3">
      <c r="A2332" t="str">
        <f>"20200111150402203"</f>
        <v>20200111150402203</v>
      </c>
      <c r="B2332" t="str">
        <f>"1578726242200496"</f>
        <v>1578726242200496</v>
      </c>
      <c r="C2332" t="s">
        <v>40</v>
      </c>
      <c r="D2332">
        <v>5.4696369999999996</v>
      </c>
      <c r="E2332">
        <v>0.63229239999999998</v>
      </c>
      <c r="F2332" t="s">
        <v>43</v>
      </c>
      <c r="G2332">
        <v>-318.16629999999998</v>
      </c>
      <c r="H2332">
        <v>-0.05</v>
      </c>
      <c r="I2332">
        <v>14.12299</v>
      </c>
      <c r="J2332">
        <v>-331.84399999999999</v>
      </c>
      <c r="K2332">
        <v>1.1001240000000001</v>
      </c>
      <c r="L2332">
        <v>21.70599</v>
      </c>
      <c r="M2332">
        <v>0.99639900000000003</v>
      </c>
      <c r="N2332">
        <v>0</v>
      </c>
      <c r="O2332">
        <v>-8.3905809999999997E-2</v>
      </c>
      <c r="P2332">
        <v>0.9742769</v>
      </c>
      <c r="Q2332">
        <v>0.14776259999999999</v>
      </c>
      <c r="R2332">
        <v>-0.17014889999999999</v>
      </c>
      <c r="S2332">
        <v>2.8467709999999999</v>
      </c>
      <c r="T2332">
        <v>-0.23642589999999999</v>
      </c>
      <c r="U2332">
        <v>-1.5621339999999999</v>
      </c>
      <c r="V2332">
        <v>8.9464689999999999E-2</v>
      </c>
      <c r="W2332">
        <v>0.15884100000000001</v>
      </c>
      <c r="X2332">
        <v>0.98324239999999996</v>
      </c>
      <c r="Y2332">
        <v>0.4049681</v>
      </c>
      <c r="Z2332">
        <v>-9.2277230000000002E-3</v>
      </c>
      <c r="AA2332">
        <v>0.91428419999999999</v>
      </c>
      <c r="AB2332">
        <v>31</v>
      </c>
      <c r="AC2332">
        <v>13.6777</v>
      </c>
      <c r="AD2332">
        <v>-1.1501239999999999</v>
      </c>
      <c r="AE2332">
        <v>-7.5829999999999904</v>
      </c>
      <c r="AF2332">
        <v>6.3740588508519798</v>
      </c>
      <c r="AG2332">
        <v>-1.1501239999999999</v>
      </c>
      <c r="AH2332">
        <v>14.1890266830054</v>
      </c>
      <c r="AI2332">
        <v>94.228716255165693</v>
      </c>
      <c r="AJ2332">
        <v>65.809214363610906</v>
      </c>
      <c r="AK2332">
        <v>15.5974321495732</v>
      </c>
      <c r="AL2332">
        <v>80.860369924378404</v>
      </c>
      <c r="AM2332">
        <v>84.801004350418694</v>
      </c>
      <c r="AN2332">
        <v>1.00000000559777</v>
      </c>
    </row>
    <row r="2333" spans="1:40" x14ac:dyDescent="0.3">
      <c r="A2333" t="str">
        <f>"20200111150402217"</f>
        <v>20200111150402217</v>
      </c>
      <c r="B2333" t="str">
        <f>"1578726242211232"</f>
        <v>1578726242211232</v>
      </c>
      <c r="C2333" t="s">
        <v>40</v>
      </c>
      <c r="D2333">
        <v>5.4915690000000001</v>
      </c>
      <c r="E2333">
        <v>0.63173500000000005</v>
      </c>
      <c r="F2333" t="s">
        <v>43</v>
      </c>
      <c r="G2333">
        <v>-318.18020000000001</v>
      </c>
      <c r="H2333">
        <v>-0.05</v>
      </c>
      <c r="I2333">
        <v>14.176970000000001</v>
      </c>
      <c r="J2333">
        <v>-331.67349999999999</v>
      </c>
      <c r="K2333">
        <v>1.1000129999999999</v>
      </c>
      <c r="L2333">
        <v>21.688659999999999</v>
      </c>
      <c r="M2333">
        <v>0.99613549999999995</v>
      </c>
      <c r="N2333">
        <v>0</v>
      </c>
      <c r="O2333">
        <v>-8.6976280000000003E-2</v>
      </c>
      <c r="P2333">
        <v>0.97315200000000002</v>
      </c>
      <c r="Q2333">
        <v>0.14906949999999999</v>
      </c>
      <c r="R2333">
        <v>-0.17536650000000001</v>
      </c>
      <c r="S2333">
        <v>2.8420100000000001</v>
      </c>
      <c r="T2333">
        <v>-0.23922160000000001</v>
      </c>
      <c r="U2333">
        <v>-1.5660099999999999</v>
      </c>
      <c r="V2333">
        <v>9.1783039999999996E-2</v>
      </c>
      <c r="W2333">
        <v>0.16010629999999901</v>
      </c>
      <c r="X2333">
        <v>0.98282340000000001</v>
      </c>
      <c r="Y2333">
        <v>0.40374369999999998</v>
      </c>
      <c r="Z2333">
        <v>-9.0616670000000007E-3</v>
      </c>
      <c r="AA2333">
        <v>0.91482730000000001</v>
      </c>
      <c r="AB2333">
        <v>31</v>
      </c>
      <c r="AC2333">
        <v>13.4932999999999</v>
      </c>
      <c r="AD2333">
        <v>-1.150013</v>
      </c>
      <c r="AE2333">
        <v>-7.5116899999999998</v>
      </c>
      <c r="AF2333">
        <v>6.2747392603284204</v>
      </c>
      <c r="AG2333">
        <v>-1.150013</v>
      </c>
      <c r="AH2333">
        <v>14.0178122035871</v>
      </c>
      <c r="AI2333">
        <v>94.282308970706694</v>
      </c>
      <c r="AJ2333">
        <v>65.885462613094006</v>
      </c>
      <c r="AK2333">
        <v>15.401101962532101</v>
      </c>
      <c r="AL2333">
        <v>80.7869336453941</v>
      </c>
      <c r="AM2333">
        <v>84.664786390858893</v>
      </c>
      <c r="AN2333">
        <v>0.999999994659445</v>
      </c>
    </row>
    <row r="2334" spans="1:40" x14ac:dyDescent="0.3">
      <c r="A2334" t="str">
        <f>"20200111150402229"</f>
        <v>20200111150402229</v>
      </c>
      <c r="B2334" t="str">
        <f>"1578726242220992"</f>
        <v>1578726242220992</v>
      </c>
      <c r="C2334" t="s">
        <v>40</v>
      </c>
      <c r="D2334">
        <v>5.390498</v>
      </c>
      <c r="E2334">
        <v>0.63173500000000005</v>
      </c>
      <c r="F2334" t="s">
        <v>43</v>
      </c>
      <c r="G2334">
        <v>-317.91699999999997</v>
      </c>
      <c r="H2334">
        <v>-0.05</v>
      </c>
      <c r="I2334">
        <v>14.034579999999901</v>
      </c>
      <c r="J2334">
        <v>-331.49090000000001</v>
      </c>
      <c r="K2334">
        <v>1.0998889999999999</v>
      </c>
      <c r="L2334">
        <v>21.66968</v>
      </c>
      <c r="M2334">
        <v>0.99583699999999997</v>
      </c>
      <c r="N2334">
        <v>0</v>
      </c>
      <c r="O2334">
        <v>-9.0327950000000004E-2</v>
      </c>
      <c r="P2334">
        <v>0.97195790000000004</v>
      </c>
      <c r="Q2334">
        <v>0.1501382</v>
      </c>
      <c r="R2334">
        <v>-0.1809875</v>
      </c>
      <c r="S2334">
        <v>2.8348390000000001</v>
      </c>
      <c r="T2334">
        <v>-0.23698649999999999</v>
      </c>
      <c r="U2334">
        <v>-1.5773010000000001</v>
      </c>
      <c r="V2334">
        <v>9.4236879999999995E-2</v>
      </c>
      <c r="W2334">
        <v>0.1611291</v>
      </c>
      <c r="X2334">
        <v>0.98242399999999996</v>
      </c>
      <c r="Y2334">
        <v>0.40445239999999999</v>
      </c>
      <c r="Z2334">
        <v>-8.7596459999999994E-3</v>
      </c>
      <c r="AA2334">
        <v>0.91451709999999997</v>
      </c>
      <c r="AB2334">
        <v>31</v>
      </c>
      <c r="AC2334">
        <v>13.573899999999901</v>
      </c>
      <c r="AD2334">
        <v>-1.1498889999999999</v>
      </c>
      <c r="AE2334">
        <v>-7.6351000000000004</v>
      </c>
      <c r="AF2334">
        <v>6.3431096990316096</v>
      </c>
      <c r="AG2334">
        <v>-1.1498889999999999</v>
      </c>
      <c r="AH2334">
        <v>14.131081055630499</v>
      </c>
      <c r="AI2334">
        <v>94.245678947994406</v>
      </c>
      <c r="AJ2334">
        <v>65.825810540918297</v>
      </c>
      <c r="AK2334">
        <v>15.532055149498699</v>
      </c>
      <c r="AL2334">
        <v>80.727561142506801</v>
      </c>
      <c r="AM2334">
        <v>84.520791323952807</v>
      </c>
      <c r="AN2334">
        <v>1.0000000460974701</v>
      </c>
    </row>
    <row r="2335" spans="1:40" x14ac:dyDescent="0.3">
      <c r="A2335" t="str">
        <f>"20200111150402247"</f>
        <v>20200111150402247</v>
      </c>
      <c r="B2335" t="str">
        <f>"1578726242240512"</f>
        <v>1578726242240512</v>
      </c>
      <c r="C2335" t="s">
        <v>40</v>
      </c>
      <c r="D2335">
        <v>5.4742050000000004</v>
      </c>
      <c r="E2335">
        <v>0.63105880000000003</v>
      </c>
      <c r="F2335" t="s">
        <v>43</v>
      </c>
      <c r="G2335">
        <v>-317.56700000000001</v>
      </c>
      <c r="H2335">
        <v>-0.05</v>
      </c>
      <c r="I2335">
        <v>13.8156</v>
      </c>
      <c r="J2335">
        <v>-331.2407</v>
      </c>
      <c r="K2335">
        <v>1.099701</v>
      </c>
      <c r="L2335">
        <v>21.64218</v>
      </c>
      <c r="M2335">
        <v>0.99538959999999999</v>
      </c>
      <c r="N2335">
        <v>0</v>
      </c>
      <c r="O2335">
        <v>-9.5129740000000004E-2</v>
      </c>
      <c r="P2335">
        <v>0.96986910000000004</v>
      </c>
      <c r="Q2335">
        <v>0.1509055</v>
      </c>
      <c r="R2335">
        <v>-0.19126219999999999</v>
      </c>
      <c r="S2335">
        <v>2.825806</v>
      </c>
      <c r="T2335">
        <v>-0.23336699999999999</v>
      </c>
      <c r="U2335">
        <v>-1.5939639999999999</v>
      </c>
      <c r="V2335">
        <v>0.1000003</v>
      </c>
      <c r="W2335">
        <v>0.16179869999999999</v>
      </c>
      <c r="X2335">
        <v>0.9817439</v>
      </c>
      <c r="Y2335">
        <v>0.40541899999999997</v>
      </c>
      <c r="Z2335">
        <v>-8.3131400000000001E-3</v>
      </c>
      <c r="AA2335">
        <v>0.91409320000000005</v>
      </c>
      <c r="AB2335">
        <v>31</v>
      </c>
      <c r="AC2335">
        <v>13.673699999999901</v>
      </c>
      <c r="AD2335">
        <v>-1.1497010000000001</v>
      </c>
      <c r="AE2335">
        <v>-7.8265799999999999</v>
      </c>
      <c r="AF2335">
        <v>6.4558295891048898</v>
      </c>
      <c r="AG2335">
        <v>-1.1497010000000001</v>
      </c>
      <c r="AH2335">
        <v>14.2802322437069</v>
      </c>
      <c r="AI2335">
        <v>94.195788728667907</v>
      </c>
      <c r="AJ2335">
        <v>65.673151704912698</v>
      </c>
      <c r="AK2335">
        <v>15.713834064516799</v>
      </c>
      <c r="AL2335">
        <v>80.688685191526503</v>
      </c>
      <c r="AM2335">
        <v>84.1839191298305</v>
      </c>
      <c r="AN2335">
        <v>0.99999998225449405</v>
      </c>
    </row>
    <row r="2336" spans="1:40" x14ac:dyDescent="0.3">
      <c r="A2336" t="str">
        <f>"20200111150402261"</f>
        <v>20200111150402261</v>
      </c>
      <c r="B2336" t="str">
        <f>"1578726242251248"</f>
        <v>1578726242251248</v>
      </c>
      <c r="C2336" t="s">
        <v>40</v>
      </c>
      <c r="D2336">
        <v>5.4897429999999998</v>
      </c>
      <c r="E2336">
        <v>0.63077309999999998</v>
      </c>
      <c r="F2336" t="s">
        <v>43</v>
      </c>
      <c r="G2336">
        <v>-317.5847</v>
      </c>
      <c r="H2336">
        <v>-0.05</v>
      </c>
      <c r="I2336">
        <v>13.779019999999999</v>
      </c>
      <c r="J2336">
        <v>-331.0609</v>
      </c>
      <c r="K2336">
        <v>1.0995629999999901</v>
      </c>
      <c r="L2336">
        <v>21.621400000000001</v>
      </c>
      <c r="M2336">
        <v>0.99503980000000003</v>
      </c>
      <c r="N2336">
        <v>0</v>
      </c>
      <c r="O2336">
        <v>-9.8719609999999999E-2</v>
      </c>
      <c r="P2336">
        <v>0.96846449999999995</v>
      </c>
      <c r="Q2336">
        <v>0.1516178</v>
      </c>
      <c r="R2336">
        <v>-0.19770989999999999</v>
      </c>
      <c r="S2336">
        <v>2.8108520000000001</v>
      </c>
      <c r="T2336">
        <v>-0.23664650000000001</v>
      </c>
      <c r="U2336">
        <v>-1.6185</v>
      </c>
      <c r="V2336">
        <v>0.1030711</v>
      </c>
      <c r="W2336">
        <v>0.16245079999999901</v>
      </c>
      <c r="X2336">
        <v>0.98131849999999998</v>
      </c>
      <c r="Y2336">
        <v>0.4101824</v>
      </c>
      <c r="Z2336">
        <v>-8.3626269999999992E-3</v>
      </c>
      <c r="AA2336">
        <v>0.91196509999999997</v>
      </c>
      <c r="AB2336">
        <v>31</v>
      </c>
      <c r="AC2336">
        <v>13.4762</v>
      </c>
      <c r="AD2336">
        <v>-1.1495629999999999</v>
      </c>
      <c r="AE2336">
        <v>-7.8423800000000004</v>
      </c>
      <c r="AF2336">
        <v>6.4386025494827903</v>
      </c>
      <c r="AG2336">
        <v>-1.1495629999999999</v>
      </c>
      <c r="AH2336">
        <v>14.107930125714301</v>
      </c>
      <c r="AI2336">
        <v>94.239493131037904</v>
      </c>
      <c r="AJ2336">
        <v>65.468906948068295</v>
      </c>
      <c r="AK2336">
        <v>15.5502665672718</v>
      </c>
      <c r="AL2336">
        <v>80.650821443144096</v>
      </c>
      <c r="AM2336">
        <v>84.004021092157998</v>
      </c>
      <c r="AN2336">
        <v>0.99999995625904903</v>
      </c>
    </row>
    <row r="2337" spans="1:40" x14ac:dyDescent="0.3">
      <c r="A2337" t="str">
        <f>"20200111150402276"</f>
        <v>20200111150402276</v>
      </c>
      <c r="B2337" t="str">
        <f>"1578726242270768"</f>
        <v>1578726242270768</v>
      </c>
      <c r="C2337" t="s">
        <v>40</v>
      </c>
      <c r="D2337">
        <v>5.498577</v>
      </c>
      <c r="E2337">
        <v>0.63003959999999903</v>
      </c>
      <c r="F2337" t="s">
        <v>43</v>
      </c>
      <c r="G2337">
        <v>-317.46690000000001</v>
      </c>
      <c r="H2337">
        <v>-0.05</v>
      </c>
      <c r="I2337">
        <v>13.686680000000001</v>
      </c>
      <c r="J2337">
        <v>-330.84949999999998</v>
      </c>
      <c r="K2337">
        <v>1.099394</v>
      </c>
      <c r="L2337">
        <v>21.596219999999999</v>
      </c>
      <c r="M2337">
        <v>0.99459900000000001</v>
      </c>
      <c r="N2337">
        <v>0</v>
      </c>
      <c r="O2337">
        <v>-0.103062</v>
      </c>
      <c r="P2337">
        <v>0.96685189999999999</v>
      </c>
      <c r="Q2337">
        <v>0.15219179999999999</v>
      </c>
      <c r="R2337">
        <v>-0.20502419999999999</v>
      </c>
      <c r="S2337">
        <v>2.8009949999999999</v>
      </c>
      <c r="T2337">
        <v>-0.2368625</v>
      </c>
      <c r="U2337">
        <v>-1.6349180000000001</v>
      </c>
      <c r="V2337">
        <v>0.10629669999999999</v>
      </c>
      <c r="W2337">
        <v>0.1629543</v>
      </c>
      <c r="X2337">
        <v>0.98089090000000001</v>
      </c>
      <c r="Y2337">
        <v>0.4115914</v>
      </c>
      <c r="Z2337">
        <v>-8.1059600000000006E-3</v>
      </c>
      <c r="AA2337">
        <v>0.91133249999999999</v>
      </c>
      <c r="AB2337">
        <v>31</v>
      </c>
      <c r="AC2337">
        <v>13.382599999999901</v>
      </c>
      <c r="AD2337">
        <v>-1.149394</v>
      </c>
      <c r="AE2337">
        <v>-7.9095399999999998</v>
      </c>
      <c r="AF2337">
        <v>6.4527961984379898</v>
      </c>
      <c r="AG2337">
        <v>-1.149394</v>
      </c>
      <c r="AH2337">
        <v>14.049751746235</v>
      </c>
      <c r="AI2337">
        <v>94.251708103156801</v>
      </c>
      <c r="AJ2337">
        <v>65.331539123223905</v>
      </c>
      <c r="AK2337">
        <v>15.503393482610401</v>
      </c>
      <c r="AL2337">
        <v>80.621584075344799</v>
      </c>
      <c r="AM2337">
        <v>83.815134632073097</v>
      </c>
      <c r="AN2337">
        <v>1.0000000250110901</v>
      </c>
    </row>
    <row r="2338" spans="1:40" x14ac:dyDescent="0.3">
      <c r="A2338" t="str">
        <f>"20200111150402291"</f>
        <v>20200111150402291</v>
      </c>
      <c r="B2338" t="str">
        <f>"1578726242280527"</f>
        <v>1578726242280527</v>
      </c>
      <c r="C2338" t="s">
        <v>40</v>
      </c>
      <c r="D2338">
        <v>5.5071349999999999</v>
      </c>
      <c r="E2338">
        <v>0.63003959999999903</v>
      </c>
      <c r="F2338" t="s">
        <v>43</v>
      </c>
      <c r="G2338">
        <v>-317.54109999999997</v>
      </c>
      <c r="H2338">
        <v>-0.05</v>
      </c>
      <c r="I2338">
        <v>13.72424</v>
      </c>
      <c r="J2338">
        <v>-330.63529999999997</v>
      </c>
      <c r="K2338">
        <v>1.0992219999999999</v>
      </c>
      <c r="L2338">
        <v>21.569669999999999</v>
      </c>
      <c r="M2338">
        <v>0.99411609999999995</v>
      </c>
      <c r="N2338">
        <v>0</v>
      </c>
      <c r="O2338">
        <v>-0.10761850000000001</v>
      </c>
      <c r="P2338">
        <v>0.96410479999999998</v>
      </c>
      <c r="Q2338">
        <v>0.15469939999999999</v>
      </c>
      <c r="R2338">
        <v>-0.21580150000000001</v>
      </c>
      <c r="S2338">
        <v>2.7907099999999998</v>
      </c>
      <c r="T2338">
        <v>-0.24102399999999999</v>
      </c>
      <c r="U2338">
        <v>-1.6507259999999999</v>
      </c>
      <c r="V2338">
        <v>0.1129086</v>
      </c>
      <c r="W2338">
        <v>0.16533200000000001</v>
      </c>
      <c r="X2338">
        <v>0.9797536</v>
      </c>
      <c r="Y2338">
        <v>0.4126899</v>
      </c>
      <c r="Z2338">
        <v>-7.9507229999999998E-3</v>
      </c>
      <c r="AA2338">
        <v>0.91083689999999995</v>
      </c>
      <c r="AB2338">
        <v>31</v>
      </c>
      <c r="AC2338">
        <v>13.094200000000001</v>
      </c>
      <c r="AD2338">
        <v>-1.149222</v>
      </c>
      <c r="AE2338">
        <v>-7.8454300000000003</v>
      </c>
      <c r="AF2338">
        <v>6.3545559299804903</v>
      </c>
      <c r="AG2338">
        <v>-1.149222</v>
      </c>
      <c r="AH2338">
        <v>13.7843872255094</v>
      </c>
      <c r="AI2338">
        <v>94.329793768045803</v>
      </c>
      <c r="AJ2338">
        <v>65.250458059322398</v>
      </c>
      <c r="AK2338">
        <v>15.222037427864899</v>
      </c>
      <c r="AL2338">
        <v>80.483479106482093</v>
      </c>
      <c r="AM2338">
        <v>83.426128862146598</v>
      </c>
      <c r="AN2338">
        <v>1.0000000694454501</v>
      </c>
    </row>
    <row r="2339" spans="1:40" x14ac:dyDescent="0.3">
      <c r="A2339" t="str">
        <f>"20200111150402324"</f>
        <v>20200111150402324</v>
      </c>
      <c r="B2339" t="str">
        <f>"1578726242320544"</f>
        <v>1578726242320544</v>
      </c>
      <c r="C2339" t="s">
        <v>40</v>
      </c>
      <c r="D2339">
        <v>5.4968389999999996</v>
      </c>
      <c r="E2339">
        <v>0.63160119999999997</v>
      </c>
      <c r="F2339" t="s">
        <v>43</v>
      </c>
      <c r="G2339">
        <v>-317.04939999999999</v>
      </c>
      <c r="H2339">
        <v>-0.05</v>
      </c>
      <c r="I2339">
        <v>13.332890000000001</v>
      </c>
      <c r="J2339">
        <v>-330.16820000000001</v>
      </c>
      <c r="K2339">
        <v>1.098816</v>
      </c>
      <c r="L2339">
        <v>21.50742</v>
      </c>
      <c r="M2339">
        <v>0.99291470000000004</v>
      </c>
      <c r="N2339">
        <v>0</v>
      </c>
      <c r="O2339">
        <v>-0.118187</v>
      </c>
      <c r="P2339">
        <v>0.95914600000000005</v>
      </c>
      <c r="Q2339">
        <v>0.1579496</v>
      </c>
      <c r="R2339">
        <v>-0.23471510000000001</v>
      </c>
      <c r="S2339">
        <v>2.7730100000000002</v>
      </c>
      <c r="T2339">
        <v>-0.23456840000000001</v>
      </c>
      <c r="U2339">
        <v>-1.6812130000000001</v>
      </c>
      <c r="V2339">
        <v>0.1220425</v>
      </c>
      <c r="W2339">
        <v>0.16835700000000001</v>
      </c>
      <c r="X2339">
        <v>0.97814190000000001</v>
      </c>
      <c r="Y2339">
        <v>0.41297400000000001</v>
      </c>
      <c r="Z2339">
        <v>-6.9664180000000003E-3</v>
      </c>
      <c r="AA2339">
        <v>0.91071619999999998</v>
      </c>
      <c r="AB2339">
        <v>31</v>
      </c>
      <c r="AC2339">
        <v>13.1188</v>
      </c>
      <c r="AD2339">
        <v>-1.1488160000000001</v>
      </c>
      <c r="AE2339">
        <v>-8.1745300000000007</v>
      </c>
      <c r="AF2339">
        <v>6.5305657038206002</v>
      </c>
      <c r="AG2339">
        <v>-1.1488160000000001</v>
      </c>
      <c r="AH2339">
        <v>13.916167573630901</v>
      </c>
      <c r="AI2339">
        <v>94.273929241015907</v>
      </c>
      <c r="AJ2339">
        <v>64.860319080490399</v>
      </c>
      <c r="AK2339">
        <v>15.415180393078399</v>
      </c>
      <c r="AL2339">
        <v>80.307694846986095</v>
      </c>
      <c r="AM2339">
        <v>82.887974585393707</v>
      </c>
      <c r="AN2339">
        <v>1.0000000138954299</v>
      </c>
    </row>
    <row r="2340" spans="1:40" x14ac:dyDescent="0.3">
      <c r="A2340" t="str">
        <f>"20200111150402338"</f>
        <v>20200111150402338</v>
      </c>
      <c r="B2340" t="str">
        <f>"1578726242331282"</f>
        <v>1578726242331282</v>
      </c>
      <c r="C2340" t="s">
        <v>40</v>
      </c>
      <c r="D2340">
        <v>5.4710510000000001</v>
      </c>
      <c r="E2340">
        <v>0.63820519999999903</v>
      </c>
      <c r="F2340" t="s">
        <v>43</v>
      </c>
      <c r="G2340">
        <v>-317.85500000000002</v>
      </c>
      <c r="H2340">
        <v>-0.05</v>
      </c>
      <c r="I2340">
        <v>13.644360000000001</v>
      </c>
      <c r="J2340">
        <v>-329.99549999999999</v>
      </c>
      <c r="K2340">
        <v>1.0986659999999999</v>
      </c>
      <c r="L2340">
        <v>21.48282</v>
      </c>
      <c r="M2340">
        <v>0.99241590000000002</v>
      </c>
      <c r="N2340">
        <v>0</v>
      </c>
      <c r="O2340">
        <v>-0.12230439999999999</v>
      </c>
      <c r="P2340">
        <v>0.95742669999999996</v>
      </c>
      <c r="Q2340">
        <v>0.15867800000000001</v>
      </c>
      <c r="R2340">
        <v>-0.2411547</v>
      </c>
      <c r="S2340">
        <v>2.7414860000000001</v>
      </c>
      <c r="T2340">
        <v>-0.25577830000000001</v>
      </c>
      <c r="U2340">
        <v>-1.7506710000000001</v>
      </c>
      <c r="V2340">
        <v>0.1246516</v>
      </c>
      <c r="W2340">
        <v>0.16901169999999999</v>
      </c>
      <c r="X2340">
        <v>0.97769989999999996</v>
      </c>
      <c r="Y2340">
        <v>0.4301449</v>
      </c>
      <c r="Z2340">
        <v>-8.0138299999999996E-3</v>
      </c>
      <c r="AA2340">
        <v>0.90272430000000004</v>
      </c>
      <c r="AB2340">
        <v>31</v>
      </c>
      <c r="AC2340">
        <v>12.1404999999999</v>
      </c>
      <c r="AD2340">
        <v>-1.148666</v>
      </c>
      <c r="AE2340">
        <v>-7.8384599999999898</v>
      </c>
      <c r="AF2340">
        <v>6.2551344693969497</v>
      </c>
      <c r="AG2340">
        <v>-1.148666</v>
      </c>
      <c r="AH2340">
        <v>12.926423365725499</v>
      </c>
      <c r="AI2340">
        <v>94.573284796607197</v>
      </c>
      <c r="AJ2340">
        <v>64.177522985308599</v>
      </c>
      <c r="AK2340">
        <v>14.4061987297054</v>
      </c>
      <c r="AL2340">
        <v>80.269638159435104</v>
      </c>
      <c r="AM2340">
        <v>82.734287793768104</v>
      </c>
      <c r="AN2340">
        <v>1.00000003528972</v>
      </c>
    </row>
    <row r="2341" spans="1:40" x14ac:dyDescent="0.3">
      <c r="A2341" t="str">
        <f>"20200111150402349"</f>
        <v>20200111150402349</v>
      </c>
      <c r="B2341" t="str">
        <f>"1578726242341040"</f>
        <v>1578726242341040</v>
      </c>
      <c r="C2341" t="s">
        <v>40</v>
      </c>
      <c r="D2341">
        <v>5.4752409999999996</v>
      </c>
      <c r="E2341">
        <v>0.64123640000000004</v>
      </c>
      <c r="F2341" t="s">
        <v>43</v>
      </c>
      <c r="G2341">
        <v>-316.94319999999999</v>
      </c>
      <c r="H2341">
        <v>-0.05</v>
      </c>
      <c r="I2341">
        <v>12.72575</v>
      </c>
      <c r="J2341">
        <v>-329.82119999999998</v>
      </c>
      <c r="K2341">
        <v>1.098514</v>
      </c>
      <c r="L2341">
        <v>21.45749</v>
      </c>
      <c r="M2341">
        <v>0.99188549999999998</v>
      </c>
      <c r="N2341">
        <v>0</v>
      </c>
      <c r="O2341">
        <v>-0.12653200000000001</v>
      </c>
      <c r="P2341">
        <v>0.95566169999999995</v>
      </c>
      <c r="Q2341">
        <v>0.15922819999999999</v>
      </c>
      <c r="R2341">
        <v>-0.24770300000000001</v>
      </c>
      <c r="S2341">
        <v>2.7142940000000002</v>
      </c>
      <c r="T2341">
        <v>-0.2388709</v>
      </c>
      <c r="U2341">
        <v>-1.821075</v>
      </c>
      <c r="V2341">
        <v>0.1272673</v>
      </c>
      <c r="W2341">
        <v>0.16948489999999999</v>
      </c>
      <c r="X2341">
        <v>0.97728090000000001</v>
      </c>
      <c r="Y2341">
        <v>0.44674439999999999</v>
      </c>
      <c r="Z2341">
        <v>-7.836361E-3</v>
      </c>
      <c r="AA2341">
        <v>0.89462730000000001</v>
      </c>
      <c r="AB2341">
        <v>31</v>
      </c>
      <c r="AC2341">
        <v>12.877999999999901</v>
      </c>
      <c r="AD2341">
        <v>-1.148514</v>
      </c>
      <c r="AE2341">
        <v>-8.7317400000000003</v>
      </c>
      <c r="AF2341">
        <v>6.9938363200793496</v>
      </c>
      <c r="AG2341">
        <v>-1.148514</v>
      </c>
      <c r="AH2341">
        <v>13.8041899043189</v>
      </c>
      <c r="AI2341">
        <v>94.2446158137694</v>
      </c>
      <c r="AJ2341">
        <v>63.131133373435603</v>
      </c>
      <c r="AK2341">
        <v>15.517360915914701</v>
      </c>
      <c r="AL2341">
        <v>80.242128854574005</v>
      </c>
      <c r="AM2341">
        <v>82.580359347248105</v>
      </c>
      <c r="AN2341">
        <v>1.0000000272410501</v>
      </c>
    </row>
    <row r="2342" spans="1:40" x14ac:dyDescent="0.3">
      <c r="A2342" t="str">
        <f>"20200111150402361"</f>
        <v>20200111150402361</v>
      </c>
      <c r="B2342" t="str">
        <f>"1578726242350800"</f>
        <v>1578726242350800</v>
      </c>
      <c r="C2342" t="s">
        <v>40</v>
      </c>
      <c r="D2342">
        <v>5.4597340000000001</v>
      </c>
      <c r="E2342">
        <v>0.64327709999999905</v>
      </c>
      <c r="F2342" t="s">
        <v>43</v>
      </c>
      <c r="G2342">
        <v>-316.3553</v>
      </c>
      <c r="H2342">
        <v>-0.05</v>
      </c>
      <c r="I2342">
        <v>12.143940000000001</v>
      </c>
      <c r="J2342">
        <v>-329.66039999999998</v>
      </c>
      <c r="K2342">
        <v>1.098363</v>
      </c>
      <c r="L2342">
        <v>21.432980000000001</v>
      </c>
      <c r="M2342">
        <v>0.99135819999999997</v>
      </c>
      <c r="N2342">
        <v>0</v>
      </c>
      <c r="O2342">
        <v>-0.1305982</v>
      </c>
      <c r="P2342">
        <v>0.95421389999999995</v>
      </c>
      <c r="Q2342">
        <v>0.1592307</v>
      </c>
      <c r="R2342">
        <v>-0.25322250000000002</v>
      </c>
      <c r="S2342">
        <v>2.6944270000000001</v>
      </c>
      <c r="T2342">
        <v>-0.2298106</v>
      </c>
      <c r="U2342">
        <v>-1.863586</v>
      </c>
      <c r="V2342">
        <v>0.12897439999999999</v>
      </c>
      <c r="W2342">
        <v>0.1694271</v>
      </c>
      <c r="X2342">
        <v>0.97706709999999997</v>
      </c>
      <c r="Y2342">
        <v>0.45576709999999898</v>
      </c>
      <c r="Z2342">
        <v>-7.6000939999999999E-3</v>
      </c>
      <c r="AA2342">
        <v>0.89006659999999904</v>
      </c>
      <c r="AB2342">
        <v>31</v>
      </c>
      <c r="AC2342">
        <v>13.3050999999999</v>
      </c>
      <c r="AD2342">
        <v>-1.148363</v>
      </c>
      <c r="AE2342">
        <v>-9.28904</v>
      </c>
      <c r="AF2342">
        <v>7.4344816831073599</v>
      </c>
      <c r="AG2342">
        <v>-1.148363</v>
      </c>
      <c r="AH2342">
        <v>14.3325726711476</v>
      </c>
      <c r="AI2342">
        <v>94.068229766238005</v>
      </c>
      <c r="AJ2342">
        <v>62.583675164301702</v>
      </c>
      <c r="AK2342">
        <v>16.186812374582999</v>
      </c>
      <c r="AL2342">
        <v>80.245489155265901</v>
      </c>
      <c r="AM2342">
        <v>82.480340753510006</v>
      </c>
      <c r="AN2342">
        <v>1.0000000279860799</v>
      </c>
    </row>
    <row r="2343" spans="1:40" x14ac:dyDescent="0.3">
      <c r="A2343" t="str">
        <f>"20200111150402381"</f>
        <v>20200111150402381</v>
      </c>
      <c r="B2343" t="str">
        <f>"1578726242371312"</f>
        <v>1578726242371312</v>
      </c>
      <c r="C2343" t="s">
        <v>40</v>
      </c>
      <c r="D2343">
        <v>5.4593400000000001</v>
      </c>
      <c r="E2343">
        <v>0.64560319999999904</v>
      </c>
      <c r="F2343" t="s">
        <v>43</v>
      </c>
      <c r="G2343">
        <v>-315.95819999999998</v>
      </c>
      <c r="H2343">
        <v>-0.05</v>
      </c>
      <c r="I2343">
        <v>11.7361</v>
      </c>
      <c r="J2343">
        <v>-329.39909999999998</v>
      </c>
      <c r="K2343">
        <v>1.098112</v>
      </c>
      <c r="L2343">
        <v>21.391749999999998</v>
      </c>
      <c r="M2343">
        <v>0.99043999999999999</v>
      </c>
      <c r="N2343">
        <v>0</v>
      </c>
      <c r="O2343">
        <v>-0.13738629999999999</v>
      </c>
      <c r="P2343">
        <v>0.95111889999999999</v>
      </c>
      <c r="Q2343">
        <v>0.16022239999999999</v>
      </c>
      <c r="R2343">
        <v>-0.26401069999999999</v>
      </c>
      <c r="S2343">
        <v>2.6784059999999998</v>
      </c>
      <c r="T2343">
        <v>-0.2244738</v>
      </c>
      <c r="U2343">
        <v>-1.8954770000000001</v>
      </c>
      <c r="V2343">
        <v>0.13349469999999999</v>
      </c>
      <c r="W2343">
        <v>0.17028660000000001</v>
      </c>
      <c r="X2343">
        <v>0.97631029999999996</v>
      </c>
      <c r="Y2343">
        <v>0.4592985</v>
      </c>
      <c r="Z2343">
        <v>-7.0755540000000004E-3</v>
      </c>
      <c r="AA2343">
        <v>0.88825379999999998</v>
      </c>
      <c r="AB2343">
        <v>31</v>
      </c>
      <c r="AC2343">
        <v>13.440899999999999</v>
      </c>
      <c r="AD2343">
        <v>-1.148112</v>
      </c>
      <c r="AE2343">
        <v>-9.6556499999999907</v>
      </c>
      <c r="AF2343">
        <v>7.6803754931163102</v>
      </c>
      <c r="AG2343">
        <v>-1.148112</v>
      </c>
      <c r="AH2343">
        <v>14.5699619159607</v>
      </c>
      <c r="AI2343">
        <v>93.987516333786303</v>
      </c>
      <c r="AJ2343">
        <v>62.204597289545099</v>
      </c>
      <c r="AK2343">
        <v>16.510303422782702</v>
      </c>
      <c r="AL2343">
        <v>80.195517808117899</v>
      </c>
      <c r="AM2343">
        <v>82.214008614964101</v>
      </c>
      <c r="AN2343">
        <v>1.0000000814768599</v>
      </c>
    </row>
    <row r="2344" spans="1:40" x14ac:dyDescent="0.3">
      <c r="A2344" t="str">
        <f>"20200111150402393"</f>
        <v>20200111150402393</v>
      </c>
      <c r="B2344" t="str">
        <f>"1578726242390816"</f>
        <v>1578726242390816</v>
      </c>
      <c r="C2344" t="s">
        <v>40</v>
      </c>
      <c r="D2344">
        <v>5.4666139999999999</v>
      </c>
      <c r="E2344">
        <v>0.64647580000000004</v>
      </c>
      <c r="F2344" t="s">
        <v>43</v>
      </c>
      <c r="G2344">
        <v>-315.3664</v>
      </c>
      <c r="H2344">
        <v>-0.05</v>
      </c>
      <c r="I2344">
        <v>11.096120000000001</v>
      </c>
      <c r="J2344">
        <v>-329.22710000000001</v>
      </c>
      <c r="K2344">
        <v>1.0979399999999999</v>
      </c>
      <c r="L2344">
        <v>21.363589999999999</v>
      </c>
      <c r="M2344">
        <v>0.98978949999999999</v>
      </c>
      <c r="N2344">
        <v>0</v>
      </c>
      <c r="O2344">
        <v>-0.1419947</v>
      </c>
      <c r="P2344">
        <v>0.94934739999999995</v>
      </c>
      <c r="Q2344">
        <v>0.16072739999999999</v>
      </c>
      <c r="R2344">
        <v>-0.27001199999999997</v>
      </c>
      <c r="S2344">
        <v>2.6508790000000002</v>
      </c>
      <c r="T2344">
        <v>-0.2168863</v>
      </c>
      <c r="U2344">
        <v>-1.9449160000000001</v>
      </c>
      <c r="V2344">
        <v>0.1352101</v>
      </c>
      <c r="W2344">
        <v>0.1707235</v>
      </c>
      <c r="X2344">
        <v>0.97599780000000003</v>
      </c>
      <c r="Y2344">
        <v>0.470362</v>
      </c>
      <c r="Z2344">
        <v>-6.94146E-3</v>
      </c>
      <c r="AA2344">
        <v>0.88244630000000002</v>
      </c>
      <c r="AB2344">
        <v>31</v>
      </c>
      <c r="AC2344">
        <v>13.8607</v>
      </c>
      <c r="AD2344">
        <v>-1.14794</v>
      </c>
      <c r="AE2344">
        <v>-10.267469999999999</v>
      </c>
      <c r="AF2344">
        <v>8.1589850378064508</v>
      </c>
      <c r="AG2344">
        <v>-1.14794</v>
      </c>
      <c r="AH2344">
        <v>15.1113461077225</v>
      </c>
      <c r="AI2344">
        <v>93.824219245997796</v>
      </c>
      <c r="AJ2344">
        <v>61.634305815946597</v>
      </c>
      <c r="AK2344">
        <v>17.211611902379399</v>
      </c>
      <c r="AL2344">
        <v>80.170112422895997</v>
      </c>
      <c r="AM2344">
        <v>82.112716765396698</v>
      </c>
      <c r="AN2344">
        <v>0.99999999509954995</v>
      </c>
    </row>
    <row r="2345" spans="1:40" x14ac:dyDescent="0.3">
      <c r="A2345" t="str">
        <f>"20200111150402405"</f>
        <v>20200111150402405</v>
      </c>
      <c r="B2345" t="str">
        <f>"1578726242400576"</f>
        <v>1578726242400576</v>
      </c>
      <c r="C2345" t="s">
        <v>40</v>
      </c>
      <c r="D2345">
        <v>5.4549279999999998</v>
      </c>
      <c r="E2345">
        <v>0.64660229999999996</v>
      </c>
      <c r="F2345" t="s">
        <v>43</v>
      </c>
      <c r="G2345">
        <v>-315.30189999999999</v>
      </c>
      <c r="H2345">
        <v>-0.05</v>
      </c>
      <c r="I2345">
        <v>10.962400000000001</v>
      </c>
      <c r="J2345">
        <v>-329.05009999999999</v>
      </c>
      <c r="K2345">
        <v>1.097761</v>
      </c>
      <c r="L2345">
        <v>21.33362</v>
      </c>
      <c r="M2345">
        <v>0.9890774</v>
      </c>
      <c r="N2345">
        <v>0</v>
      </c>
      <c r="O2345">
        <v>-0.146871</v>
      </c>
      <c r="P2345">
        <v>0.94750849999999998</v>
      </c>
      <c r="Q2345">
        <v>0.16156199999999901</v>
      </c>
      <c r="R2345">
        <v>-0.2759084</v>
      </c>
      <c r="S2345">
        <v>2.6367189999999998</v>
      </c>
      <c r="T2345">
        <v>-0.217361</v>
      </c>
      <c r="U2345">
        <v>-1.969452</v>
      </c>
      <c r="V2345">
        <v>0.13657939999999999</v>
      </c>
      <c r="W2345">
        <v>0.17149400000000001</v>
      </c>
      <c r="X2345">
        <v>0.97567199999999998</v>
      </c>
      <c r="Y2345">
        <v>0.47356169999999997</v>
      </c>
      <c r="Z2345">
        <v>-6.7422050000000002E-3</v>
      </c>
      <c r="AA2345">
        <v>0.88073489999999999</v>
      </c>
      <c r="AB2345">
        <v>31</v>
      </c>
      <c r="AC2345">
        <v>13.748199999999899</v>
      </c>
      <c r="AD2345">
        <v>-1.147761</v>
      </c>
      <c r="AE2345">
        <v>-10.371219999999999</v>
      </c>
      <c r="AF2345">
        <v>8.2029286764191003</v>
      </c>
      <c r="AG2345">
        <v>-1.147761</v>
      </c>
      <c r="AH2345">
        <v>15.0555607431867</v>
      </c>
      <c r="AI2345">
        <v>93.829869656906297</v>
      </c>
      <c r="AJ2345">
        <v>61.416517224687198</v>
      </c>
      <c r="AK2345">
        <v>17.1835765623843</v>
      </c>
      <c r="AL2345">
        <v>80.125305143059094</v>
      </c>
      <c r="AM2345">
        <v>82.031235110165596</v>
      </c>
      <c r="AN2345">
        <v>0.99999998806217905</v>
      </c>
    </row>
    <row r="2346" spans="1:40" x14ac:dyDescent="0.3">
      <c r="A2346" t="str">
        <f>"20200111150402419"</f>
        <v>20200111150402419</v>
      </c>
      <c r="B2346" t="str">
        <f>"1578726242410336"</f>
        <v>1578726242410336</v>
      </c>
      <c r="C2346" t="s">
        <v>40</v>
      </c>
      <c r="D2346">
        <v>5.4528670000000004</v>
      </c>
      <c r="E2346">
        <v>0.64635310000000001</v>
      </c>
      <c r="F2346" t="s">
        <v>43</v>
      </c>
      <c r="G2346">
        <v>-315.11130000000003</v>
      </c>
      <c r="H2346">
        <v>-0.05</v>
      </c>
      <c r="I2346">
        <v>10.78102</v>
      </c>
      <c r="J2346">
        <v>-328.86489999999998</v>
      </c>
      <c r="K2346">
        <v>1.0975729999999999</v>
      </c>
      <c r="L2346">
        <v>21.300930000000001</v>
      </c>
      <c r="M2346">
        <v>0.98828110000000002</v>
      </c>
      <c r="N2346">
        <v>0</v>
      </c>
      <c r="O2346">
        <v>-0.152135299999999</v>
      </c>
      <c r="P2346">
        <v>0.94548080000000001</v>
      </c>
      <c r="Q2346">
        <v>0.16247300000000001</v>
      </c>
      <c r="R2346">
        <v>-0.28225729999999999</v>
      </c>
      <c r="S2346">
        <v>2.6244510000000001</v>
      </c>
      <c r="T2346">
        <v>-0.21610409999999999</v>
      </c>
      <c r="U2346">
        <v>-1.986877</v>
      </c>
      <c r="V2346">
        <v>0.1380497</v>
      </c>
      <c r="W2346">
        <v>0.17233670000000001</v>
      </c>
      <c r="X2346">
        <v>0.97531650000000003</v>
      </c>
      <c r="Y2346">
        <v>0.47458889999999998</v>
      </c>
      <c r="Z2346">
        <v>-6.3836700000000001E-3</v>
      </c>
      <c r="AA2346">
        <v>0.88018439999999998</v>
      </c>
      <c r="AB2346">
        <v>31</v>
      </c>
      <c r="AC2346">
        <v>13.753599999999899</v>
      </c>
      <c r="AD2346">
        <v>-1.147573</v>
      </c>
      <c r="AE2346">
        <v>-10.5199099999999</v>
      </c>
      <c r="AF2346">
        <v>8.2685477350799808</v>
      </c>
      <c r="AG2346">
        <v>-1.147573</v>
      </c>
      <c r="AH2346">
        <v>15.127608594454401</v>
      </c>
      <c r="AI2346">
        <v>93.808277031052995</v>
      </c>
      <c r="AJ2346">
        <v>61.339576184158602</v>
      </c>
      <c r="AK2346">
        <v>17.278030768135501</v>
      </c>
      <c r="AL2346">
        <v>80.076292054281893</v>
      </c>
      <c r="AM2346">
        <v>81.943672675135502</v>
      </c>
      <c r="AN2346">
        <v>0.99999996650461398</v>
      </c>
    </row>
    <row r="2347" spans="1:40" x14ac:dyDescent="0.3">
      <c r="A2347" t="str">
        <f>"20200111150402435"</f>
        <v>20200111150402435</v>
      </c>
      <c r="B2347" t="str">
        <f>"1578726242430832"</f>
        <v>1578726242430832</v>
      </c>
      <c r="C2347" t="s">
        <v>40</v>
      </c>
      <c r="D2347">
        <v>5.5025719999999998</v>
      </c>
      <c r="E2347">
        <v>0.64607899999999996</v>
      </c>
      <c r="F2347" t="s">
        <v>43</v>
      </c>
      <c r="G2347">
        <v>-314.92860000000002</v>
      </c>
      <c r="H2347">
        <v>-0.05</v>
      </c>
      <c r="I2347">
        <v>10.613659999999999</v>
      </c>
      <c r="J2347">
        <v>-328.64859999999999</v>
      </c>
      <c r="K2347">
        <v>1.097359</v>
      </c>
      <c r="L2347">
        <v>21.261469999999999</v>
      </c>
      <c r="M2347">
        <v>0.98729029999999995</v>
      </c>
      <c r="N2347">
        <v>0</v>
      </c>
      <c r="O2347">
        <v>-0.15843570000000001</v>
      </c>
      <c r="P2347">
        <v>0.94274250000000004</v>
      </c>
      <c r="Q2347">
        <v>0.16384219999999999</v>
      </c>
      <c r="R2347">
        <v>-0.29050399999999998</v>
      </c>
      <c r="S2347">
        <v>2.6119690000000002</v>
      </c>
      <c r="T2347">
        <v>-0.2150791</v>
      </c>
      <c r="U2347">
        <v>-2.0030209999999999</v>
      </c>
      <c r="V2347">
        <v>0.14050699999999999</v>
      </c>
      <c r="W2347">
        <v>0.17360999999999999</v>
      </c>
      <c r="X2347">
        <v>0.97473969999999999</v>
      </c>
      <c r="Y2347">
        <v>0.47445159999999997</v>
      </c>
      <c r="Z2347">
        <v>-5.9206859999999997E-3</v>
      </c>
      <c r="AA2347">
        <v>0.88026170000000004</v>
      </c>
      <c r="AB2347">
        <v>31</v>
      </c>
      <c r="AC2347">
        <v>13.719999999999899</v>
      </c>
      <c r="AD2347">
        <v>-1.147359</v>
      </c>
      <c r="AE2347">
        <v>-10.64781</v>
      </c>
      <c r="AF2347">
        <v>8.3031520593634998</v>
      </c>
      <c r="AG2347">
        <v>-1.147359</v>
      </c>
      <c r="AH2347">
        <v>15.1676034941891</v>
      </c>
      <c r="AI2347">
        <v>93.796219133828799</v>
      </c>
      <c r="AJ2347">
        <v>61.302523641985097</v>
      </c>
      <c r="AK2347">
        <v>17.3295978762559</v>
      </c>
      <c r="AL2347">
        <v>80.002221822216399</v>
      </c>
      <c r="AM2347">
        <v>81.797416560259506</v>
      </c>
      <c r="AN2347">
        <v>1.0000000659525401</v>
      </c>
    </row>
    <row r="2348" spans="1:40" x14ac:dyDescent="0.3">
      <c r="A2348" t="str">
        <f>"20200111150402447"</f>
        <v>20200111150402447</v>
      </c>
      <c r="B2348" t="str">
        <f>"1578726242440591"</f>
        <v>1578726242440591</v>
      </c>
      <c r="C2348" t="s">
        <v>40</v>
      </c>
      <c r="D2348">
        <v>5.4706299999999999</v>
      </c>
      <c r="E2348">
        <v>0.64612789999999998</v>
      </c>
      <c r="F2348" t="s">
        <v>43</v>
      </c>
      <c r="G2348">
        <v>-314.3107</v>
      </c>
      <c r="H2348">
        <v>-0.05</v>
      </c>
      <c r="I2348">
        <v>10.07991</v>
      </c>
      <c r="J2348">
        <v>-328.47559999999999</v>
      </c>
      <c r="K2348">
        <v>1.097178</v>
      </c>
      <c r="L2348">
        <v>21.228999999999999</v>
      </c>
      <c r="M2348">
        <v>0.98644920000000003</v>
      </c>
      <c r="N2348">
        <v>0</v>
      </c>
      <c r="O2348">
        <v>-0.16358889999999901</v>
      </c>
      <c r="P2348">
        <v>0.94068879999999999</v>
      </c>
      <c r="Q2348">
        <v>0.16466689999999901</v>
      </c>
      <c r="R2348">
        <v>-0.29663070000000002</v>
      </c>
      <c r="S2348">
        <v>2.594757</v>
      </c>
      <c r="T2348">
        <v>-0.20764070000000001</v>
      </c>
      <c r="U2348">
        <v>-2.0235599999999998</v>
      </c>
      <c r="V2348">
        <v>0.14187539999999901</v>
      </c>
      <c r="W2348">
        <v>0.1743683</v>
      </c>
      <c r="X2348">
        <v>0.97440599999999999</v>
      </c>
      <c r="Y2348">
        <v>0.47706379999999998</v>
      </c>
      <c r="Z2348">
        <v>-5.4780740000000003E-3</v>
      </c>
      <c r="AA2348">
        <v>0.87885159999999996</v>
      </c>
      <c r="AB2348">
        <v>31</v>
      </c>
      <c r="AC2348">
        <v>14.1648999999999</v>
      </c>
      <c r="AD2348">
        <v>-1.147178</v>
      </c>
      <c r="AE2348">
        <v>-11.149089999999999</v>
      </c>
      <c r="AF2348">
        <v>8.6464527957262103</v>
      </c>
      <c r="AG2348">
        <v>-1.147178</v>
      </c>
      <c r="AH2348">
        <v>15.734335787295599</v>
      </c>
      <c r="AI2348">
        <v>93.656055304955203</v>
      </c>
      <c r="AJ2348">
        <v>61.209988011550699</v>
      </c>
      <c r="AK2348">
        <v>17.990177486055401</v>
      </c>
      <c r="AL2348">
        <v>79.958100751979501</v>
      </c>
      <c r="AM2348">
        <v>81.715837459551807</v>
      </c>
      <c r="AN2348">
        <v>0.999999993003025</v>
      </c>
    </row>
    <row r="2349" spans="1:40" x14ac:dyDescent="0.3">
      <c r="A2349" t="str">
        <f>"20200111150402459"</f>
        <v>20200111150402459</v>
      </c>
      <c r="B2349" t="str">
        <f>"1578726242451328"</f>
        <v>1578726242451328</v>
      </c>
      <c r="C2349" t="s">
        <v>40</v>
      </c>
      <c r="D2349">
        <v>5.4752020000000003</v>
      </c>
      <c r="E2349">
        <v>0.64612939999999996</v>
      </c>
      <c r="F2349" t="s">
        <v>43</v>
      </c>
      <c r="G2349">
        <v>-313.59339999999997</v>
      </c>
      <c r="H2349">
        <v>-0.05</v>
      </c>
      <c r="I2349">
        <v>9.4584050000000008</v>
      </c>
      <c r="J2349">
        <v>-328.32639999999998</v>
      </c>
      <c r="K2349">
        <v>1.097029</v>
      </c>
      <c r="L2349">
        <v>21.199680000000001</v>
      </c>
      <c r="M2349">
        <v>0.98567689999999997</v>
      </c>
      <c r="N2349">
        <v>0</v>
      </c>
      <c r="O2349">
        <v>-0.1681783</v>
      </c>
      <c r="P2349">
        <v>0.93889590000000001</v>
      </c>
      <c r="Q2349">
        <v>0.1651746</v>
      </c>
      <c r="R2349">
        <v>-0.30198000000000003</v>
      </c>
      <c r="S2349">
        <v>2.5804140000000002</v>
      </c>
      <c r="T2349">
        <v>-0.1989081</v>
      </c>
      <c r="U2349">
        <v>-2.0408940000000002</v>
      </c>
      <c r="V2349">
        <v>0.14297750000000001</v>
      </c>
      <c r="W2349">
        <v>0.17482329999999999</v>
      </c>
      <c r="X2349">
        <v>0.97416340000000001</v>
      </c>
      <c r="Y2349">
        <v>0.47903420000000002</v>
      </c>
      <c r="Z2349">
        <v>-5.0309719999999999E-3</v>
      </c>
      <c r="AA2349">
        <v>0.87778179999999995</v>
      </c>
      <c r="AB2349">
        <v>31</v>
      </c>
      <c r="AC2349">
        <v>14.733000000000001</v>
      </c>
      <c r="AD2349">
        <v>-1.1470290000000001</v>
      </c>
      <c r="AE2349">
        <v>-11.7412749999999</v>
      </c>
      <c r="AF2349">
        <v>9.0624529158808507</v>
      </c>
      <c r="AG2349">
        <v>-1.1470290000000001</v>
      </c>
      <c r="AH2349">
        <v>16.4369700147851</v>
      </c>
      <c r="AI2349">
        <v>93.497032763226102</v>
      </c>
      <c r="AJ2349">
        <v>61.130043315104302</v>
      </c>
      <c r="AK2349">
        <v>18.804725779610401</v>
      </c>
      <c r="AL2349">
        <v>79.931624988123403</v>
      </c>
      <c r="AM2349">
        <v>81.650339226338701</v>
      </c>
      <c r="AN2349">
        <v>1.0000000408143399</v>
      </c>
    </row>
    <row r="2350" spans="1:40" x14ac:dyDescent="0.3">
      <c r="A2350" t="str">
        <f>"20200111150402470"</f>
        <v>20200111150402470</v>
      </c>
      <c r="B2350" t="str">
        <f>"1578726242461088"</f>
        <v>1578726242461088</v>
      </c>
      <c r="C2350" t="s">
        <v>40</v>
      </c>
      <c r="D2350">
        <v>5.4840179999999998</v>
      </c>
      <c r="E2350">
        <v>0.64590429999999999</v>
      </c>
      <c r="F2350" t="s">
        <v>43</v>
      </c>
      <c r="G2350">
        <v>-313.57979999999998</v>
      </c>
      <c r="H2350">
        <v>-0.05</v>
      </c>
      <c r="I2350">
        <v>9.3969880000000003</v>
      </c>
      <c r="J2350">
        <v>-328.15660000000003</v>
      </c>
      <c r="K2350">
        <v>1.096859</v>
      </c>
      <c r="L2350">
        <v>21.165859999999999</v>
      </c>
      <c r="M2350">
        <v>0.98476240000000004</v>
      </c>
      <c r="N2350">
        <v>0</v>
      </c>
      <c r="O2350">
        <v>-0.1734512</v>
      </c>
      <c r="P2350">
        <v>0.93686000000000003</v>
      </c>
      <c r="Q2350">
        <v>0.1655537</v>
      </c>
      <c r="R2350">
        <v>-0.30803530000000001</v>
      </c>
      <c r="S2350">
        <v>2.569061</v>
      </c>
      <c r="T2350">
        <v>-0.19982739999999999</v>
      </c>
      <c r="U2350">
        <v>-2.0561829999999999</v>
      </c>
      <c r="V2350">
        <v>0.14414679999999999</v>
      </c>
      <c r="W2350">
        <v>0.17514299999999999</v>
      </c>
      <c r="X2350">
        <v>0.97393359999999995</v>
      </c>
      <c r="Y2350">
        <v>0.47941800000000001</v>
      </c>
      <c r="Z2350">
        <v>-4.732979E-3</v>
      </c>
      <c r="AA2350">
        <v>0.87757399999999997</v>
      </c>
      <c r="AB2350">
        <v>31</v>
      </c>
      <c r="AC2350">
        <v>14.5768</v>
      </c>
      <c r="AD2350">
        <v>-1.1468590000000001</v>
      </c>
      <c r="AE2350">
        <v>-11.768872</v>
      </c>
      <c r="AF2350">
        <v>9.0280622830917707</v>
      </c>
      <c r="AG2350">
        <v>-1.1468590000000001</v>
      </c>
      <c r="AH2350">
        <v>16.336085201239602</v>
      </c>
      <c r="AI2350">
        <v>93.516125603786406</v>
      </c>
      <c r="AJ2350">
        <v>61.0729676984596</v>
      </c>
      <c r="AK2350">
        <v>18.699969889158201</v>
      </c>
      <c r="AL2350">
        <v>79.913020211916105</v>
      </c>
      <c r="AM2350">
        <v>81.581070742481103</v>
      </c>
      <c r="AN2350">
        <v>1.0000000138040901</v>
      </c>
    </row>
    <row r="2351" spans="1:40" x14ac:dyDescent="0.3">
      <c r="A2351" t="str">
        <f>"20200111150402483"</f>
        <v>20200111150402483</v>
      </c>
      <c r="B2351" t="str">
        <f>"1578726242470848"</f>
        <v>1578726242470848</v>
      </c>
      <c r="C2351" t="s">
        <v>40</v>
      </c>
      <c r="D2351">
        <v>5.5644770000000001</v>
      </c>
      <c r="E2351">
        <v>0.64588950000000001</v>
      </c>
      <c r="F2351" t="s">
        <v>43</v>
      </c>
      <c r="G2351">
        <v>-313.56040000000002</v>
      </c>
      <c r="H2351">
        <v>-0.05</v>
      </c>
      <c r="I2351">
        <v>9.3408510000000007</v>
      </c>
      <c r="J2351">
        <v>-327.98379999999997</v>
      </c>
      <c r="K2351">
        <v>1.0966880000000001</v>
      </c>
      <c r="L2351">
        <v>21.12997</v>
      </c>
      <c r="M2351">
        <v>0.98377409999999998</v>
      </c>
      <c r="N2351">
        <v>0</v>
      </c>
      <c r="O2351">
        <v>-0.17896989999999999</v>
      </c>
      <c r="P2351">
        <v>0.93479369999999995</v>
      </c>
      <c r="Q2351">
        <v>0.16553679999999901</v>
      </c>
      <c r="R2351">
        <v>-0.31425900000000001</v>
      </c>
      <c r="S2351">
        <v>2.5566710000000001</v>
      </c>
      <c r="T2351">
        <v>-0.2008829</v>
      </c>
      <c r="U2351">
        <v>-2.071259</v>
      </c>
      <c r="V2351">
        <v>0.14523710000000001</v>
      </c>
      <c r="W2351">
        <v>0.17506969999999999</v>
      </c>
      <c r="X2351">
        <v>0.97378469999999995</v>
      </c>
      <c r="Y2351">
        <v>0.47970550000000001</v>
      </c>
      <c r="Z2351">
        <v>-4.4166129999999998E-3</v>
      </c>
      <c r="AA2351">
        <v>0.87741849999999999</v>
      </c>
      <c r="AB2351">
        <v>31</v>
      </c>
      <c r="AC2351">
        <v>14.4233999999999</v>
      </c>
      <c r="AD2351">
        <v>-1.1466879999999999</v>
      </c>
      <c r="AE2351">
        <v>-11.789118999999999</v>
      </c>
      <c r="AF2351">
        <v>8.9831509242734899</v>
      </c>
      <c r="AG2351">
        <v>-1.1466879999999999</v>
      </c>
      <c r="AH2351">
        <v>16.239023333077899</v>
      </c>
      <c r="AI2351">
        <v>93.535759597302999</v>
      </c>
      <c r="AJ2351">
        <v>61.049379172006901</v>
      </c>
      <c r="AK2351">
        <v>18.5934873735367</v>
      </c>
      <c r="AL2351">
        <v>79.917285030454494</v>
      </c>
      <c r="AM2351">
        <v>81.5170362897004</v>
      </c>
      <c r="AN2351">
        <v>0.99999992851429198</v>
      </c>
    </row>
    <row r="2352" spans="1:40" x14ac:dyDescent="0.3">
      <c r="A2352" t="str">
        <f>"20200111150402497"</f>
        <v>20200111150402497</v>
      </c>
      <c r="B2352" t="str">
        <f>"1578726242491344"</f>
        <v>1578726242491344</v>
      </c>
      <c r="C2352" t="s">
        <v>40</v>
      </c>
      <c r="D2352">
        <v>5.4796849999999999</v>
      </c>
      <c r="E2352">
        <v>0.6454858</v>
      </c>
      <c r="F2352" t="s">
        <v>43</v>
      </c>
      <c r="G2352">
        <v>-313.16120000000001</v>
      </c>
      <c r="H2352">
        <v>-0.05</v>
      </c>
      <c r="I2352">
        <v>8.9529270000000007</v>
      </c>
      <c r="J2352">
        <v>-327.80599999999998</v>
      </c>
      <c r="K2352">
        <v>1.0965199999999999</v>
      </c>
      <c r="L2352">
        <v>21.092009999999998</v>
      </c>
      <c r="M2352">
        <v>0.98270519999999995</v>
      </c>
      <c r="N2352">
        <v>0</v>
      </c>
      <c r="O2352">
        <v>-0.18474750000000001</v>
      </c>
      <c r="P2352">
        <v>0.93258560000000001</v>
      </c>
      <c r="Q2352">
        <v>0.1658695</v>
      </c>
      <c r="R2352">
        <v>-0.32058039999999999</v>
      </c>
      <c r="S2352">
        <v>2.5420229999999999</v>
      </c>
      <c r="T2352">
        <v>-0.19665289999999999</v>
      </c>
      <c r="U2352">
        <v>-2.0883180000000001</v>
      </c>
      <c r="V2352">
        <v>0.14619860000000001</v>
      </c>
      <c r="W2352">
        <v>0.17534910000000001</v>
      </c>
      <c r="X2352">
        <v>0.97359059999999997</v>
      </c>
      <c r="Y2352">
        <v>0.48057519999999998</v>
      </c>
      <c r="Z2352">
        <v>-3.9940619999999996E-3</v>
      </c>
      <c r="AA2352">
        <v>0.87694439999999996</v>
      </c>
      <c r="AB2352">
        <v>31</v>
      </c>
      <c r="AC2352">
        <v>14.644799999999901</v>
      </c>
      <c r="AD2352">
        <v>-1.14652</v>
      </c>
      <c r="AE2352">
        <v>-12.139082999999999</v>
      </c>
      <c r="AF2352">
        <v>9.1908922454884099</v>
      </c>
      <c r="AG2352">
        <v>-1.14652</v>
      </c>
      <c r="AH2352">
        <v>16.575290170898199</v>
      </c>
      <c r="AI2352">
        <v>93.461780146249595</v>
      </c>
      <c r="AJ2352">
        <v>60.991912253815599</v>
      </c>
      <c r="AK2352">
        <v>18.987555204081801</v>
      </c>
      <c r="AL2352">
        <v>79.901025764623199</v>
      </c>
      <c r="AM2352">
        <v>81.460025239045905</v>
      </c>
      <c r="AN2352">
        <v>0.99999999696056496</v>
      </c>
    </row>
    <row r="2353" spans="1:40" x14ac:dyDescent="0.3">
      <c r="A2353" t="str">
        <f>"20200111150402513"</f>
        <v>20200111150402513</v>
      </c>
      <c r="B2353" t="str">
        <f>"1578726242510863"</f>
        <v>1578726242510863</v>
      </c>
      <c r="C2353" t="s">
        <v>40</v>
      </c>
      <c r="D2353">
        <v>5.4951619999999997</v>
      </c>
      <c r="E2353">
        <v>0.64474889999999996</v>
      </c>
      <c r="F2353" t="s">
        <v>43</v>
      </c>
      <c r="G2353">
        <v>-312.92630000000003</v>
      </c>
      <c r="H2353">
        <v>-0.05</v>
      </c>
      <c r="I2353">
        <v>8.7143250000000005</v>
      </c>
      <c r="J2353">
        <v>-327.5729</v>
      </c>
      <c r="K2353">
        <v>1.096311</v>
      </c>
      <c r="L2353">
        <v>21.040590000000002</v>
      </c>
      <c r="M2353">
        <v>0.98122290000000001</v>
      </c>
      <c r="N2353">
        <v>0</v>
      </c>
      <c r="O2353">
        <v>-0.19246189999999999</v>
      </c>
      <c r="P2353">
        <v>0.92907110000000004</v>
      </c>
      <c r="Q2353">
        <v>0.16707839999999999</v>
      </c>
      <c r="R2353">
        <v>-0.33001770000000002</v>
      </c>
      <c r="S2353">
        <v>2.5285030000000002</v>
      </c>
      <c r="T2353">
        <v>-0.19482759999999999</v>
      </c>
      <c r="U2353">
        <v>-2.1033330000000001</v>
      </c>
      <c r="V2353">
        <v>0.14857860000000001</v>
      </c>
      <c r="W2353">
        <v>0.17646439999999999</v>
      </c>
      <c r="X2353">
        <v>0.97302869999999997</v>
      </c>
      <c r="Y2353">
        <v>0.47909239999999997</v>
      </c>
      <c r="Z2353">
        <v>-3.426634E-3</v>
      </c>
      <c r="AA2353">
        <v>0.87775780000000003</v>
      </c>
      <c r="AB2353">
        <v>31</v>
      </c>
      <c r="AC2353">
        <v>14.6465999999999</v>
      </c>
      <c r="AD2353">
        <v>-1.1463110000000001</v>
      </c>
      <c r="AE2353">
        <v>-12.3262649999999</v>
      </c>
      <c r="AF2353">
        <v>9.2434985852180205</v>
      </c>
      <c r="AG2353">
        <v>-1.1463110000000001</v>
      </c>
      <c r="AH2353">
        <v>16.685426111240901</v>
      </c>
      <c r="AI2353">
        <v>93.439097281178803</v>
      </c>
      <c r="AJ2353">
        <v>61.0141448795668</v>
      </c>
      <c r="AK2353">
        <v>19.109153291481199</v>
      </c>
      <c r="AL2353">
        <v>79.836112288865806</v>
      </c>
      <c r="AM2353">
        <v>81.318166029539398</v>
      </c>
      <c r="AN2353">
        <v>1.0000000679345</v>
      </c>
    </row>
    <row r="2354" spans="1:40" x14ac:dyDescent="0.3">
      <c r="A2354" t="str">
        <f>"20200111150402526"</f>
        <v>20200111150402526</v>
      </c>
      <c r="B2354" t="str">
        <f>"1578726242520624"</f>
        <v>1578726242520624</v>
      </c>
      <c r="C2354" t="s">
        <v>40</v>
      </c>
      <c r="D2354">
        <v>5.5355530000000002</v>
      </c>
      <c r="E2354">
        <v>0.64454319999999998</v>
      </c>
      <c r="F2354" t="s">
        <v>43</v>
      </c>
      <c r="G2354">
        <v>-312.89850000000001</v>
      </c>
      <c r="H2354">
        <v>-0.05</v>
      </c>
      <c r="I2354">
        <v>8.6165920000000007</v>
      </c>
      <c r="J2354">
        <v>-327.40339999999998</v>
      </c>
      <c r="K2354">
        <v>1.096163</v>
      </c>
      <c r="L2354">
        <v>21.00189</v>
      </c>
      <c r="M2354">
        <v>0.98008430000000002</v>
      </c>
      <c r="N2354">
        <v>0</v>
      </c>
      <c r="O2354">
        <v>-0.19817760000000001</v>
      </c>
      <c r="P2354">
        <v>0.92649230000000005</v>
      </c>
      <c r="Q2354">
        <v>0.16767279999999901</v>
      </c>
      <c r="R2354">
        <v>-0.33689479999999999</v>
      </c>
      <c r="S2354">
        <v>2.5095519999999998</v>
      </c>
      <c r="T2354">
        <v>-0.19603680000000001</v>
      </c>
      <c r="U2354">
        <v>-2.124695</v>
      </c>
      <c r="V2354">
        <v>0.15021699999999999</v>
      </c>
      <c r="W2354">
        <v>0.17699379999999901</v>
      </c>
      <c r="X2354">
        <v>0.97268089999999996</v>
      </c>
      <c r="Y2354">
        <v>0.48159279999999999</v>
      </c>
      <c r="Z2354">
        <v>-3.1795399999999998E-3</v>
      </c>
      <c r="AA2354">
        <v>0.87638930000000004</v>
      </c>
      <c r="AB2354">
        <v>31</v>
      </c>
      <c r="AC2354">
        <v>14.5048999999999</v>
      </c>
      <c r="AD2354">
        <v>-1.1461629999999901</v>
      </c>
      <c r="AE2354">
        <v>-12.385298000000001</v>
      </c>
      <c r="AF2354">
        <v>9.2314966798605909</v>
      </c>
      <c r="AG2354">
        <v>-1.1461629999999901</v>
      </c>
      <c r="AH2354">
        <v>16.611862746599002</v>
      </c>
      <c r="AI2354">
        <v>93.451316177429604</v>
      </c>
      <c r="AJ2354">
        <v>60.938322258404803</v>
      </c>
      <c r="AK2354">
        <v>19.039122996732001</v>
      </c>
      <c r="AL2354">
        <v>79.805294564350206</v>
      </c>
      <c r="AM2354">
        <v>81.220823353587207</v>
      </c>
      <c r="AN2354">
        <v>1.00000004277612</v>
      </c>
    </row>
    <row r="2355" spans="1:40" x14ac:dyDescent="0.3">
      <c r="A2355" t="str">
        <f>"20200111150402538"</f>
        <v>20200111150402538</v>
      </c>
      <c r="B2355" t="str">
        <f>"1578726242531360"</f>
        <v>1578726242531360</v>
      </c>
      <c r="C2355" t="s">
        <v>40</v>
      </c>
      <c r="D2355">
        <v>5.5202080000000002</v>
      </c>
      <c r="E2355">
        <v>0.64398239999999995</v>
      </c>
      <c r="F2355" t="s">
        <v>43</v>
      </c>
      <c r="G2355">
        <v>-313.02339999999998</v>
      </c>
      <c r="H2355">
        <v>-0.05</v>
      </c>
      <c r="I2355">
        <v>8.6585389999999993</v>
      </c>
      <c r="J2355">
        <v>-327.23540000000003</v>
      </c>
      <c r="K2355">
        <v>1.0960299999999901</v>
      </c>
      <c r="L2355">
        <v>20.96219</v>
      </c>
      <c r="M2355">
        <v>0.97890049999999995</v>
      </c>
      <c r="N2355">
        <v>0</v>
      </c>
      <c r="O2355">
        <v>-0.20394370000000001</v>
      </c>
      <c r="P2355">
        <v>0.92368329999999998</v>
      </c>
      <c r="Q2355">
        <v>0.1684744</v>
      </c>
      <c r="R2355">
        <v>-0.34413059999999901</v>
      </c>
      <c r="S2355">
        <v>2.4951780000000001</v>
      </c>
      <c r="T2355">
        <v>-0.1988791</v>
      </c>
      <c r="U2355">
        <v>-2.141785</v>
      </c>
      <c r="V2355">
        <v>0.15220420000000001</v>
      </c>
      <c r="W2355">
        <v>0.17772539999999901</v>
      </c>
      <c r="X2355">
        <v>0.97223839999999995</v>
      </c>
      <c r="Y2355">
        <v>0.48237970000000002</v>
      </c>
      <c r="Z2355">
        <v>-2.8868909999999999E-3</v>
      </c>
      <c r="AA2355">
        <v>0.8759574</v>
      </c>
      <c r="AB2355">
        <v>31</v>
      </c>
      <c r="AC2355">
        <v>14.212</v>
      </c>
      <c r="AD2355">
        <v>-1.1460300000000001</v>
      </c>
      <c r="AE2355">
        <v>-12.303651</v>
      </c>
      <c r="AF2355">
        <v>9.1124679796448493</v>
      </c>
      <c r="AG2355">
        <v>-1.1460300000000001</v>
      </c>
      <c r="AH2355">
        <v>16.361891773323499</v>
      </c>
      <c r="AI2355">
        <v>93.501704256404906</v>
      </c>
      <c r="AJ2355">
        <v>60.885148404535599</v>
      </c>
      <c r="AK2355">
        <v>18.763314201998099</v>
      </c>
      <c r="AL2355">
        <v>79.762700971672601</v>
      </c>
      <c r="AM2355">
        <v>81.102546510805297</v>
      </c>
      <c r="AN2355">
        <v>0.99999997136867902</v>
      </c>
    </row>
    <row r="2356" spans="1:40" x14ac:dyDescent="0.3">
      <c r="A2356" t="str">
        <f>"20200111150402549"</f>
        <v>20200111150402549</v>
      </c>
      <c r="B2356" t="str">
        <f>"1578726242541120"</f>
        <v>1578726242541120</v>
      </c>
      <c r="C2356" t="s">
        <v>40</v>
      </c>
      <c r="D2356">
        <v>5.4765319999999997</v>
      </c>
      <c r="E2356">
        <v>0.64398239999999995</v>
      </c>
      <c r="F2356" t="s">
        <v>43</v>
      </c>
      <c r="G2356">
        <v>-313.1146</v>
      </c>
      <c r="H2356">
        <v>-0.05</v>
      </c>
      <c r="I2356">
        <v>8.6867070000000002</v>
      </c>
      <c r="J2356">
        <v>-327.07549999999998</v>
      </c>
      <c r="K2356">
        <v>1.095909</v>
      </c>
      <c r="L2356">
        <v>20.923829999999999</v>
      </c>
      <c r="M2356">
        <v>0.97773379999999999</v>
      </c>
      <c r="N2356">
        <v>0</v>
      </c>
      <c r="O2356">
        <v>-0.20946390000000001</v>
      </c>
      <c r="P2356">
        <v>0.92107519999999998</v>
      </c>
      <c r="Q2356">
        <v>0.16879949999999999</v>
      </c>
      <c r="R2356">
        <v>-0.35089559999999997</v>
      </c>
      <c r="S2356">
        <v>2.4810180000000002</v>
      </c>
      <c r="T2356">
        <v>-0.20135710000000001</v>
      </c>
      <c r="U2356">
        <v>-2.1567989999999999</v>
      </c>
      <c r="V2356">
        <v>0.15392239999999999</v>
      </c>
      <c r="W2356">
        <v>0.1779886</v>
      </c>
      <c r="X2356">
        <v>0.97191970000000005</v>
      </c>
      <c r="Y2356">
        <v>0.48292679999999999</v>
      </c>
      <c r="Z2356">
        <v>-2.5873010000000002E-3</v>
      </c>
      <c r="AA2356">
        <v>0.87565689999999996</v>
      </c>
      <c r="AB2356">
        <v>31</v>
      </c>
      <c r="AC2356">
        <v>13.960899999999899</v>
      </c>
      <c r="AD2356">
        <v>-1.1459090000000001</v>
      </c>
      <c r="AE2356">
        <v>-12.237123</v>
      </c>
      <c r="AF2356">
        <v>9.0067591392436803</v>
      </c>
      <c r="AG2356">
        <v>-1.1459090000000001</v>
      </c>
      <c r="AH2356">
        <v>16.153046639128402</v>
      </c>
      <c r="AI2356">
        <v>93.545502652262797</v>
      </c>
      <c r="AJ2356">
        <v>60.856448594011198</v>
      </c>
      <c r="AK2356">
        <v>18.529860586482702</v>
      </c>
      <c r="AL2356">
        <v>79.7473764308494</v>
      </c>
      <c r="AM2356">
        <v>81.000837194977905</v>
      </c>
      <c r="AN2356">
        <v>0.99999997509990401</v>
      </c>
    </row>
    <row r="2357" spans="1:40" x14ac:dyDescent="0.3">
      <c r="A2357" t="str">
        <f>"20200111150402561"</f>
        <v>20200111150402561</v>
      </c>
      <c r="B2357" t="str">
        <f>"1578726242550880"</f>
        <v>1578726242550880</v>
      </c>
      <c r="C2357" t="s">
        <v>40</v>
      </c>
      <c r="D2357">
        <v>5.5232060000000001</v>
      </c>
      <c r="E2357">
        <v>0.6254229</v>
      </c>
      <c r="F2357" t="s">
        <v>43</v>
      </c>
      <c r="G2357">
        <v>-313.041</v>
      </c>
      <c r="H2357">
        <v>-0.05</v>
      </c>
      <c r="I2357">
        <v>8.5447690000000005</v>
      </c>
      <c r="J2357">
        <v>-326.9144</v>
      </c>
      <c r="K2357">
        <v>1.0958019999999999</v>
      </c>
      <c r="L2357">
        <v>20.88364</v>
      </c>
      <c r="M2357">
        <v>0.97650389999999998</v>
      </c>
      <c r="N2357">
        <v>0</v>
      </c>
      <c r="O2357">
        <v>-0.21512319999999999</v>
      </c>
      <c r="P2357">
        <v>0.9182572</v>
      </c>
      <c r="Q2357">
        <v>0.1694222</v>
      </c>
      <c r="R2357">
        <v>-0.35791030000000001</v>
      </c>
      <c r="S2357">
        <v>2.4654539999999998</v>
      </c>
      <c r="T2357">
        <v>-0.2013038</v>
      </c>
      <c r="U2357">
        <v>-2.174652</v>
      </c>
      <c r="V2357">
        <v>0.15579370000000001</v>
      </c>
      <c r="W2357">
        <v>0.17854790000000001</v>
      </c>
      <c r="X2357">
        <v>0.97151889999999996</v>
      </c>
      <c r="Y2357">
        <v>0.48417149999999998</v>
      </c>
      <c r="Z2357">
        <v>-2.266222E-3</v>
      </c>
      <c r="AA2357">
        <v>0.87497019999999903</v>
      </c>
      <c r="AB2357">
        <v>31</v>
      </c>
      <c r="AC2357">
        <v>13.8734</v>
      </c>
      <c r="AD2357">
        <v>-1.145802</v>
      </c>
      <c r="AE2357">
        <v>-12.338870999999999</v>
      </c>
      <c r="AF2357">
        <v>9.0308065773376196</v>
      </c>
      <c r="AG2357">
        <v>-1.145802</v>
      </c>
      <c r="AH2357">
        <v>16.141644821058598</v>
      </c>
      <c r="AI2357">
        <v>93.544833701206699</v>
      </c>
      <c r="AJ2357">
        <v>60.7741864733376</v>
      </c>
      <c r="AK2357">
        <v>18.531622357195101</v>
      </c>
      <c r="AL2357">
        <v>79.714809508808003</v>
      </c>
      <c r="AM2357">
        <v>80.889559160485902</v>
      </c>
      <c r="AN2357">
        <v>1.00000000130565</v>
      </c>
    </row>
    <row r="2358" spans="1:40" x14ac:dyDescent="0.3">
      <c r="A2358" t="str">
        <f>"20200111150402573"</f>
        <v>20200111150402573</v>
      </c>
      <c r="B2358" t="str">
        <f>"1578726242570399"</f>
        <v>1578726242570399</v>
      </c>
      <c r="C2358" t="s">
        <v>40</v>
      </c>
      <c r="D2358">
        <v>5.5118169999999997</v>
      </c>
      <c r="E2358">
        <v>0.63000440000000002</v>
      </c>
      <c r="F2358" t="s">
        <v>43</v>
      </c>
      <c r="G2358">
        <v>-316.77699999999999</v>
      </c>
      <c r="H2358">
        <v>-0.05</v>
      </c>
      <c r="I2358">
        <v>12.57939</v>
      </c>
      <c r="J2358">
        <v>-326.76089999999999</v>
      </c>
      <c r="K2358">
        <v>1.095704</v>
      </c>
      <c r="L2358">
        <v>20.844670000000001</v>
      </c>
      <c r="M2358">
        <v>0.97529370000000004</v>
      </c>
      <c r="N2358">
        <v>0</v>
      </c>
      <c r="O2358">
        <v>-0.22054389999999999</v>
      </c>
      <c r="P2358">
        <v>0.91563419999999895</v>
      </c>
      <c r="Q2358">
        <v>0.16955329999999999</v>
      </c>
      <c r="R2358">
        <v>-0.36450830000000001</v>
      </c>
      <c r="S2358">
        <v>2.5161440000000002</v>
      </c>
      <c r="T2358">
        <v>-0.28439419999999999</v>
      </c>
      <c r="U2358">
        <v>-2.0611570000000001</v>
      </c>
      <c r="V2358">
        <v>0.15744089999999999</v>
      </c>
      <c r="W2358">
        <v>0.17862249999999999</v>
      </c>
      <c r="X2358">
        <v>0.97123959999999998</v>
      </c>
      <c r="Y2358">
        <v>0.446631</v>
      </c>
      <c r="Z2358">
        <v>-8.1669730000000001E-4</v>
      </c>
      <c r="AA2358">
        <v>0.89471789999999995</v>
      </c>
      <c r="AB2358">
        <v>31</v>
      </c>
      <c r="AC2358">
        <v>9.9839000000000002</v>
      </c>
      <c r="AD2358">
        <v>-1.1457040000000001</v>
      </c>
      <c r="AE2358">
        <v>-8.2652800000000006</v>
      </c>
      <c r="AF2358">
        <v>5.8142333168971998</v>
      </c>
      <c r="AG2358">
        <v>-1.1457040000000001</v>
      </c>
      <c r="AH2358">
        <v>11.471398357965301</v>
      </c>
      <c r="AI2358">
        <v>95.090783186033903</v>
      </c>
      <c r="AJ2358">
        <v>63.122007611647597</v>
      </c>
      <c r="AK2358">
        <v>12.9116585691407</v>
      </c>
      <c r="AL2358">
        <v>79.710465370861002</v>
      </c>
      <c r="AM2358">
        <v>80.792273669031403</v>
      </c>
      <c r="AN2358">
        <v>0.99999999755360902</v>
      </c>
    </row>
    <row r="2359" spans="1:40" x14ac:dyDescent="0.3">
      <c r="A2359" t="str">
        <f>"20200111150402585"</f>
        <v>20200111150402585</v>
      </c>
      <c r="B2359" t="str">
        <f>"1578726242581135"</f>
        <v>1578726242581135</v>
      </c>
      <c r="C2359" t="s">
        <v>40</v>
      </c>
      <c r="D2359">
        <v>5.5155000000000003</v>
      </c>
      <c r="E2359">
        <v>0.62968590000000002</v>
      </c>
      <c r="F2359" t="s">
        <v>43</v>
      </c>
      <c r="G2359">
        <v>-316.93439999999998</v>
      </c>
      <c r="H2359">
        <v>-0.05</v>
      </c>
      <c r="I2359">
        <v>12.498659999999999</v>
      </c>
      <c r="J2359">
        <v>-326.59429999999998</v>
      </c>
      <c r="K2359">
        <v>1.0956030000000001</v>
      </c>
      <c r="L2359">
        <v>20.801300000000001</v>
      </c>
      <c r="M2359">
        <v>0.97393149999999995</v>
      </c>
      <c r="N2359">
        <v>0</v>
      </c>
      <c r="O2359">
        <v>-0.22648289999999999</v>
      </c>
      <c r="P2359">
        <v>0.91291529999999999</v>
      </c>
      <c r="Q2359">
        <v>0.16955020000000001</v>
      </c>
      <c r="R2359">
        <v>-0.3712666</v>
      </c>
      <c r="S2359">
        <v>2.4887079999999999</v>
      </c>
      <c r="T2359">
        <v>-0.290164799999999</v>
      </c>
      <c r="U2359">
        <v>-2.1137389999999998</v>
      </c>
      <c r="V2359">
        <v>0.1587459</v>
      </c>
      <c r="W2359">
        <v>0.178571799999999</v>
      </c>
      <c r="X2359">
        <v>0.97103649999999997</v>
      </c>
      <c r="Y2359">
        <v>0.45701059999999999</v>
      </c>
      <c r="Z2359">
        <v>-8.0595350000000005E-4</v>
      </c>
      <c r="AA2359">
        <v>0.8894609</v>
      </c>
      <c r="AB2359">
        <v>31</v>
      </c>
      <c r="AC2359">
        <v>9.6598999999999897</v>
      </c>
      <c r="AD2359">
        <v>-1.1456029999999999</v>
      </c>
      <c r="AE2359">
        <v>-8.3026400000000002</v>
      </c>
      <c r="AF2359">
        <v>5.8515483558856296</v>
      </c>
      <c r="AG2359">
        <v>-1.1456029999999999</v>
      </c>
      <c r="AH2359">
        <v>11.1988203009273</v>
      </c>
      <c r="AI2359">
        <v>95.180608993013905</v>
      </c>
      <c r="AJ2359">
        <v>62.412270200539098</v>
      </c>
      <c r="AK2359">
        <v>12.687261348586601</v>
      </c>
      <c r="AL2359">
        <v>79.713417930410401</v>
      </c>
      <c r="AM2359">
        <v>80.715367937433797</v>
      </c>
      <c r="AN2359">
        <v>1.0000000164271401</v>
      </c>
    </row>
    <row r="2360" spans="1:40" x14ac:dyDescent="0.3">
      <c r="A2360" t="str">
        <f>"20200111150402597"</f>
        <v>20200111150402597</v>
      </c>
      <c r="B2360" t="str">
        <f>"1578726242590896"</f>
        <v>1578726242590896</v>
      </c>
      <c r="C2360" t="s">
        <v>40</v>
      </c>
      <c r="D2360">
        <v>5.5293830000000002</v>
      </c>
      <c r="E2360">
        <v>0.62982469999999902</v>
      </c>
      <c r="F2360" t="s">
        <v>43</v>
      </c>
      <c r="G2360">
        <v>-316.96339999999998</v>
      </c>
      <c r="H2360">
        <v>-0.05</v>
      </c>
      <c r="I2360">
        <v>12.51318</v>
      </c>
      <c r="J2360">
        <v>-326.43709999999999</v>
      </c>
      <c r="K2360">
        <v>1.095515</v>
      </c>
      <c r="L2360">
        <v>20.75909</v>
      </c>
      <c r="M2360">
        <v>0.97259910000000005</v>
      </c>
      <c r="N2360">
        <v>0</v>
      </c>
      <c r="O2360">
        <v>-0.23213639999999999</v>
      </c>
      <c r="P2360">
        <v>0.91036070000000002</v>
      </c>
      <c r="Q2360">
        <v>0.169297</v>
      </c>
      <c r="R2360">
        <v>-0.37760090000000002</v>
      </c>
      <c r="S2360">
        <v>2.4747309999999998</v>
      </c>
      <c r="T2360">
        <v>-0.29437180000000002</v>
      </c>
      <c r="U2360">
        <v>-2.1297000000000001</v>
      </c>
      <c r="V2360">
        <v>0.1598724</v>
      </c>
      <c r="W2360">
        <v>0.17827899999999999</v>
      </c>
      <c r="X2360">
        <v>0.97090540000000003</v>
      </c>
      <c r="Y2360">
        <v>0.45761689999999999</v>
      </c>
      <c r="Z2360">
        <v>-3.1143430000000002E-4</v>
      </c>
      <c r="AA2360">
        <v>0.88914939999999998</v>
      </c>
      <c r="AB2360">
        <v>31</v>
      </c>
      <c r="AC2360">
        <v>9.4736999999999991</v>
      </c>
      <c r="AD2360">
        <v>-1.1455150000000001</v>
      </c>
      <c r="AE2360">
        <v>-8.2459100000000003</v>
      </c>
      <c r="AF2360">
        <v>5.7732260964537296</v>
      </c>
      <c r="AG2360">
        <v>-1.1455150000000001</v>
      </c>
      <c r="AH2360">
        <v>11.0373847330328</v>
      </c>
      <c r="AI2360">
        <v>95.2543868938982</v>
      </c>
      <c r="AJ2360">
        <v>62.387686063906699</v>
      </c>
      <c r="AK2360">
        <v>12.508645247227401</v>
      </c>
      <c r="AL2360">
        <v>79.730466941277399</v>
      </c>
      <c r="AM2360">
        <v>80.649401123954505</v>
      </c>
      <c r="AN2360">
        <v>0.99999994093595801</v>
      </c>
    </row>
    <row r="2361" spans="1:40" x14ac:dyDescent="0.3">
      <c r="A2361" t="str">
        <f>"20200111150402614"</f>
        <v>20200111150402614</v>
      </c>
      <c r="B2361" t="str">
        <f>"1578726242611392"</f>
        <v>1578726242611392</v>
      </c>
      <c r="C2361" t="s">
        <v>40</v>
      </c>
      <c r="D2361">
        <v>5.523015</v>
      </c>
      <c r="E2361">
        <v>0.62832580000000005</v>
      </c>
      <c r="F2361" t="s">
        <v>43</v>
      </c>
      <c r="G2361">
        <v>-317.1567</v>
      </c>
      <c r="H2361">
        <v>-0.05</v>
      </c>
      <c r="I2361">
        <v>12.65814</v>
      </c>
      <c r="J2361">
        <v>-326.21199999999999</v>
      </c>
      <c r="K2361">
        <v>1.095402</v>
      </c>
      <c r="L2361">
        <v>20.69727</v>
      </c>
      <c r="M2361">
        <v>0.9706205</v>
      </c>
      <c r="N2361">
        <v>0</v>
      </c>
      <c r="O2361">
        <v>-0.2402743</v>
      </c>
      <c r="P2361">
        <v>0.90645949999999997</v>
      </c>
      <c r="Q2361">
        <v>0.16829189999999999</v>
      </c>
      <c r="R2361">
        <v>-0.3873104</v>
      </c>
      <c r="S2361">
        <v>2.4608759999999998</v>
      </c>
      <c r="T2361">
        <v>-0.30375609999999997</v>
      </c>
      <c r="U2361">
        <v>-2.1481319999999999</v>
      </c>
      <c r="V2361">
        <v>0.16210060000000001</v>
      </c>
      <c r="W2361">
        <v>0.1772059</v>
      </c>
      <c r="X2361">
        <v>0.9707325</v>
      </c>
      <c r="Y2361">
        <v>0.45641520000000002</v>
      </c>
      <c r="Z2361">
        <v>5.4299830000000004E-4</v>
      </c>
      <c r="AA2361">
        <v>0.88976679999999997</v>
      </c>
      <c r="AB2361">
        <v>31</v>
      </c>
      <c r="AC2361">
        <v>9.0552999999999795</v>
      </c>
      <c r="AD2361">
        <v>-1.145402</v>
      </c>
      <c r="AE2361">
        <v>-8.0391300000000001</v>
      </c>
      <c r="AF2361">
        <v>5.5777430969456896</v>
      </c>
      <c r="AG2361">
        <v>-1.145402</v>
      </c>
      <c r="AH2361">
        <v>10.626653300569</v>
      </c>
      <c r="AI2361">
        <v>95.451677648871794</v>
      </c>
      <c r="AJ2361">
        <v>62.305810360580701</v>
      </c>
      <c r="AK2361">
        <v>12.056074160672001</v>
      </c>
      <c r="AL2361">
        <v>79.792947138290302</v>
      </c>
      <c r="AM2361">
        <v>80.519769797595103</v>
      </c>
      <c r="AN2361">
        <v>1.0000000610357</v>
      </c>
    </row>
    <row r="2362" spans="1:40" x14ac:dyDescent="0.3">
      <c r="A2362" t="str">
        <f>"20200111150402627"</f>
        <v>20200111150402627</v>
      </c>
      <c r="B2362" t="str">
        <f>"1578726242621152"</f>
        <v>1578726242621152</v>
      </c>
      <c r="C2362" t="s">
        <v>40</v>
      </c>
      <c r="D2362">
        <v>5.5186679999999999</v>
      </c>
      <c r="E2362">
        <v>0.62831110000000001</v>
      </c>
      <c r="F2362" t="s">
        <v>43</v>
      </c>
      <c r="G2362">
        <v>-317.25580000000002</v>
      </c>
      <c r="H2362">
        <v>-0.05</v>
      </c>
      <c r="I2362">
        <v>12.77338</v>
      </c>
      <c r="J2362">
        <v>-326.0206</v>
      </c>
      <c r="K2362">
        <v>1.095323</v>
      </c>
      <c r="L2362">
        <v>20.643160000000002</v>
      </c>
      <c r="M2362">
        <v>0.96887060000000003</v>
      </c>
      <c r="N2362">
        <v>0</v>
      </c>
      <c r="O2362">
        <v>-0.24723500000000001</v>
      </c>
      <c r="P2362">
        <v>0.90324170000000004</v>
      </c>
      <c r="Q2362">
        <v>0.16808619999999999</v>
      </c>
      <c r="R2362">
        <v>-0.39484399999999997</v>
      </c>
      <c r="S2362">
        <v>2.4437869999999999</v>
      </c>
      <c r="T2362">
        <v>-0.31253389999999998</v>
      </c>
      <c r="U2362">
        <v>-2.1621090000000001</v>
      </c>
      <c r="V2362">
        <v>0.163235299999999</v>
      </c>
      <c r="W2362">
        <v>0.1769618</v>
      </c>
      <c r="X2362">
        <v>0.97058679999999997</v>
      </c>
      <c r="Y2362">
        <v>0.45594230000000002</v>
      </c>
      <c r="Z2362">
        <v>1.290979E-3</v>
      </c>
      <c r="AA2362">
        <v>0.89000840000000003</v>
      </c>
      <c r="AB2362">
        <v>31</v>
      </c>
      <c r="AC2362">
        <v>8.7647999999999797</v>
      </c>
      <c r="AD2362">
        <v>-1.1453229999999901</v>
      </c>
      <c r="AE2362">
        <v>-7.8697800000000004</v>
      </c>
      <c r="AF2362">
        <v>5.4071641212037402</v>
      </c>
      <c r="AG2362">
        <v>-1.1453229999999901</v>
      </c>
      <c r="AH2362">
        <v>10.340741895727399</v>
      </c>
      <c r="AI2362">
        <v>95.605620721068206</v>
      </c>
      <c r="AJ2362">
        <v>62.394974691863197</v>
      </c>
      <c r="AK2362">
        <v>11.725192175909701</v>
      </c>
      <c r="AL2362">
        <v>79.807156881750799</v>
      </c>
      <c r="AM2362">
        <v>80.453218883089406</v>
      </c>
      <c r="AN2362">
        <v>0.99999998907978405</v>
      </c>
    </row>
    <row r="2363" spans="1:40" x14ac:dyDescent="0.3">
      <c r="A2363" t="str">
        <f>"20200111150402639"</f>
        <v>20200111150402639</v>
      </c>
      <c r="B2363" t="str">
        <f>"1578726242630912"</f>
        <v>1578726242630912</v>
      </c>
      <c r="C2363" t="s">
        <v>40</v>
      </c>
      <c r="D2363">
        <v>5.5556869999999998</v>
      </c>
      <c r="E2363">
        <v>0.62829049999999997</v>
      </c>
      <c r="F2363" t="s">
        <v>43</v>
      </c>
      <c r="G2363">
        <v>-317.19009999999997</v>
      </c>
      <c r="H2363">
        <v>-0.05</v>
      </c>
      <c r="I2363">
        <v>12.704219999999999</v>
      </c>
      <c r="J2363">
        <v>-325.8664</v>
      </c>
      <c r="K2363">
        <v>1.09527</v>
      </c>
      <c r="L2363">
        <v>20.598020000000002</v>
      </c>
      <c r="M2363">
        <v>0.96741220000000006</v>
      </c>
      <c r="N2363">
        <v>0</v>
      </c>
      <c r="O2363">
        <v>-0.25288139999999998</v>
      </c>
      <c r="P2363">
        <v>0.90068890000000001</v>
      </c>
      <c r="Q2363">
        <v>0.16745309999999999</v>
      </c>
      <c r="R2363">
        <v>-0.4008988</v>
      </c>
      <c r="S2363">
        <v>2.426361</v>
      </c>
      <c r="T2363">
        <v>-0.31470199999999998</v>
      </c>
      <c r="U2363">
        <v>-2.1813959999999999</v>
      </c>
      <c r="V2363">
        <v>0.1640692</v>
      </c>
      <c r="W2363">
        <v>0.17630290000000001</v>
      </c>
      <c r="X2363">
        <v>0.97056609999999999</v>
      </c>
      <c r="Y2363">
        <v>0.45784340000000001</v>
      </c>
      <c r="Z2363">
        <v>1.7719529999999999E-3</v>
      </c>
      <c r="AA2363">
        <v>0.88903109999999996</v>
      </c>
      <c r="AB2363">
        <v>31</v>
      </c>
      <c r="AC2363">
        <v>8.6763000000000208</v>
      </c>
      <c r="AD2363">
        <v>-1.14527</v>
      </c>
      <c r="AE2363">
        <v>-7.8937999999999997</v>
      </c>
      <c r="AF2363">
        <v>5.39153427766463</v>
      </c>
      <c r="AG2363">
        <v>-1.14527</v>
      </c>
      <c r="AH2363">
        <v>10.2924910442983</v>
      </c>
      <c r="AI2363">
        <v>95.629328435629901</v>
      </c>
      <c r="AJ2363">
        <v>62.353022379700398</v>
      </c>
      <c r="AK2363">
        <v>11.675429633940301</v>
      </c>
      <c r="AL2363">
        <v>79.845512090705995</v>
      </c>
      <c r="AM2363">
        <v>80.4051520137089</v>
      </c>
      <c r="AN2363">
        <v>0.99999998470312901</v>
      </c>
    </row>
    <row r="2364" spans="1:40" x14ac:dyDescent="0.3">
      <c r="A2364" t="str">
        <f>"20200111150402651"</f>
        <v>20200111150402651</v>
      </c>
      <c r="B2364" t="str">
        <f>"1578726242640672"</f>
        <v>1578726242640672</v>
      </c>
      <c r="C2364" t="s">
        <v>40</v>
      </c>
      <c r="D2364">
        <v>5.5585389999999997</v>
      </c>
      <c r="E2364">
        <v>0.62769379999999997</v>
      </c>
      <c r="F2364" t="s">
        <v>43</v>
      </c>
      <c r="G2364">
        <v>-317.28629999999998</v>
      </c>
      <c r="H2364">
        <v>-0.05</v>
      </c>
      <c r="I2364">
        <v>12.78369</v>
      </c>
      <c r="J2364">
        <v>-325.7011</v>
      </c>
      <c r="K2364">
        <v>1.095216</v>
      </c>
      <c r="L2364">
        <v>20.54907</v>
      </c>
      <c r="M2364">
        <v>0.96580929999999998</v>
      </c>
      <c r="N2364">
        <v>0</v>
      </c>
      <c r="O2364">
        <v>-0.25893480000000002</v>
      </c>
      <c r="P2364">
        <v>0.89788269999999903</v>
      </c>
      <c r="Q2364">
        <v>0.1670035</v>
      </c>
      <c r="R2364">
        <v>-0.407329</v>
      </c>
      <c r="S2364">
        <v>2.4126280000000002</v>
      </c>
      <c r="T2364">
        <v>-0.3220363</v>
      </c>
      <c r="U2364">
        <v>-2.1972960000000001</v>
      </c>
      <c r="V2364">
        <v>0.16492219999999999</v>
      </c>
      <c r="W2364">
        <v>0.17582690000000001</v>
      </c>
      <c r="X2364">
        <v>0.97050789999999998</v>
      </c>
      <c r="Y2364">
        <v>0.45798280000000002</v>
      </c>
      <c r="Z2364">
        <v>2.4391600000000001E-3</v>
      </c>
      <c r="AA2364">
        <v>0.88895769999999996</v>
      </c>
      <c r="AB2364">
        <v>31</v>
      </c>
      <c r="AC2364">
        <v>8.4148000000000103</v>
      </c>
      <c r="AD2364">
        <v>-1.145216</v>
      </c>
      <c r="AE2364">
        <v>-7.7653800000000004</v>
      </c>
      <c r="AF2364">
        <v>5.2687270020929304</v>
      </c>
      <c r="AG2364">
        <v>-1.145216</v>
      </c>
      <c r="AH2364">
        <v>10.0382419636198</v>
      </c>
      <c r="AI2364">
        <v>95.768251246195405</v>
      </c>
      <c r="AJ2364">
        <v>62.306568194560903</v>
      </c>
      <c r="AK2364">
        <v>11.394617397237001</v>
      </c>
      <c r="AL2364">
        <v>79.873217915874093</v>
      </c>
      <c r="AM2364">
        <v>80.355635163379503</v>
      </c>
      <c r="AN2364">
        <v>1.00000000738943</v>
      </c>
    </row>
    <row r="2365" spans="1:40" x14ac:dyDescent="0.3">
      <c r="A2365" t="str">
        <f>"20200111150402664"</f>
        <v>20200111150402664</v>
      </c>
      <c r="B2365" t="str">
        <f>"1578726242661167"</f>
        <v>1578726242661167</v>
      </c>
      <c r="C2365" t="s">
        <v>40</v>
      </c>
      <c r="D2365">
        <v>5.5185060000000004</v>
      </c>
      <c r="E2365">
        <v>0.62635019999999997</v>
      </c>
      <c r="F2365" t="s">
        <v>43</v>
      </c>
      <c r="G2365">
        <v>-317.23700000000002</v>
      </c>
      <c r="H2365">
        <v>-0.05</v>
      </c>
      <c r="I2365">
        <v>12.754060000000001</v>
      </c>
      <c r="J2365">
        <v>-325.53300000000002</v>
      </c>
      <c r="K2365">
        <v>1.09517</v>
      </c>
      <c r="L2365">
        <v>20.49783</v>
      </c>
      <c r="M2365">
        <v>0.96413040000000005</v>
      </c>
      <c r="N2365">
        <v>0</v>
      </c>
      <c r="O2365">
        <v>-0.26511679999999999</v>
      </c>
      <c r="P2365">
        <v>0.8949338</v>
      </c>
      <c r="Q2365">
        <v>0.1669235</v>
      </c>
      <c r="R2365">
        <v>-0.41379969999999999</v>
      </c>
      <c r="S2365">
        <v>2.3992</v>
      </c>
      <c r="T2365">
        <v>-0.32461689999999999</v>
      </c>
      <c r="U2365">
        <v>-2.2095340000000001</v>
      </c>
      <c r="V2365">
        <v>0.1657236</v>
      </c>
      <c r="W2365">
        <v>0.1757223</v>
      </c>
      <c r="X2365">
        <v>0.97039030000000004</v>
      </c>
      <c r="Y2365">
        <v>0.45723439999999999</v>
      </c>
      <c r="Z2365">
        <v>3.1567359999999998E-3</v>
      </c>
      <c r="AA2365">
        <v>0.88934059999999904</v>
      </c>
      <c r="AB2365">
        <v>31</v>
      </c>
      <c r="AC2365">
        <v>8.2959999999999905</v>
      </c>
      <c r="AD2365">
        <v>-1.14517</v>
      </c>
      <c r="AE2365">
        <v>-7.7437699999999996</v>
      </c>
      <c r="AF2365">
        <v>5.2139398430719304</v>
      </c>
      <c r="AG2365">
        <v>-1.14517</v>
      </c>
      <c r="AH2365">
        <v>9.9509354472441007</v>
      </c>
      <c r="AI2365">
        <v>95.820423384600801</v>
      </c>
      <c r="AJ2365">
        <v>62.347044150381102</v>
      </c>
      <c r="AK2365">
        <v>11.292373501230401</v>
      </c>
      <c r="AL2365">
        <v>79.879305625242395</v>
      </c>
      <c r="AM2365">
        <v>80.308505096978195</v>
      </c>
      <c r="AN2365">
        <v>0.99999998632416898</v>
      </c>
    </row>
    <row r="2366" spans="1:40" x14ac:dyDescent="0.3">
      <c r="A2366" t="str">
        <f>"20200111150402680"</f>
        <v>20200111150402680</v>
      </c>
      <c r="B2366" t="str">
        <f>"1578726242670930"</f>
        <v>1578726242670930</v>
      </c>
      <c r="C2366" t="s">
        <v>40</v>
      </c>
      <c r="D2366">
        <v>5.4809359999999998</v>
      </c>
      <c r="E2366">
        <v>0.62614939999999997</v>
      </c>
      <c r="F2366" t="s">
        <v>43</v>
      </c>
      <c r="G2366">
        <v>-317.14269999999999</v>
      </c>
      <c r="H2366">
        <v>-0.05</v>
      </c>
      <c r="I2366">
        <v>12.70787</v>
      </c>
      <c r="J2366">
        <v>-325.31880000000001</v>
      </c>
      <c r="K2366">
        <v>1.095119</v>
      </c>
      <c r="L2366">
        <v>20.430820000000001</v>
      </c>
      <c r="M2366">
        <v>0.96192500000000003</v>
      </c>
      <c r="N2366">
        <v>0</v>
      </c>
      <c r="O2366">
        <v>-0.27300970000000002</v>
      </c>
      <c r="P2366">
        <v>0.89121039999999996</v>
      </c>
      <c r="Q2366">
        <v>0.1671386</v>
      </c>
      <c r="R2366">
        <v>-0.42167369999999998</v>
      </c>
      <c r="S2366">
        <v>2.3879090000000001</v>
      </c>
      <c r="T2366">
        <v>-0.32591799999999999</v>
      </c>
      <c r="U2366">
        <v>-2.217041</v>
      </c>
      <c r="V2366">
        <v>0.16636189999999901</v>
      </c>
      <c r="W2366">
        <v>0.17591760000000001</v>
      </c>
      <c r="X2366">
        <v>0.97024569999999999</v>
      </c>
      <c r="Y2366">
        <v>0.45358310000000002</v>
      </c>
      <c r="Z2366">
        <v>4.2214879999999998E-3</v>
      </c>
      <c r="AA2366">
        <v>0.891204</v>
      </c>
      <c r="AB2366">
        <v>31</v>
      </c>
      <c r="AC2366">
        <v>8.1761000000000195</v>
      </c>
      <c r="AD2366">
        <v>-1.145119</v>
      </c>
      <c r="AE2366">
        <v>-7.72295</v>
      </c>
      <c r="AF2366">
        <v>5.1438512144921296</v>
      </c>
      <c r="AG2366">
        <v>-1.145119</v>
      </c>
      <c r="AH2366">
        <v>9.8717269087514605</v>
      </c>
      <c r="AI2366">
        <v>95.873469447898898</v>
      </c>
      <c r="AJ2366">
        <v>62.477375370791798</v>
      </c>
      <c r="AK2366">
        <v>11.190241060940499</v>
      </c>
      <c r="AL2366">
        <v>79.867938839999098</v>
      </c>
      <c r="AM2366">
        <v>80.270467213234895</v>
      </c>
      <c r="AN2366">
        <v>1.0000000010649299</v>
      </c>
    </row>
    <row r="2367" spans="1:40" x14ac:dyDescent="0.3">
      <c r="A2367" t="str">
        <f>"20200111150402693"</f>
        <v>20200111150402693</v>
      </c>
      <c r="B2367" t="str">
        <f>"1578726242680688"</f>
        <v>1578726242680688</v>
      </c>
      <c r="C2367" t="s">
        <v>40</v>
      </c>
      <c r="D2367">
        <v>5.4854949999999896</v>
      </c>
      <c r="E2367">
        <v>0.62564030000000004</v>
      </c>
      <c r="F2367" t="s">
        <v>43</v>
      </c>
      <c r="G2367">
        <v>-316.98610000000002</v>
      </c>
      <c r="H2367">
        <v>-0.05</v>
      </c>
      <c r="I2367">
        <v>12.567399999999999</v>
      </c>
      <c r="J2367">
        <v>-325.15190000000001</v>
      </c>
      <c r="K2367">
        <v>1.0950899999999999</v>
      </c>
      <c r="L2367">
        <v>20.37744</v>
      </c>
      <c r="M2367">
        <v>0.96015620000000002</v>
      </c>
      <c r="N2367">
        <v>0</v>
      </c>
      <c r="O2367">
        <v>-0.27916659999999999</v>
      </c>
      <c r="P2367">
        <v>0.88860539999999999</v>
      </c>
      <c r="Q2367">
        <v>0.16713529999999999</v>
      </c>
      <c r="R2367">
        <v>-0.42713770000000001</v>
      </c>
      <c r="S2367">
        <v>2.369354</v>
      </c>
      <c r="T2367">
        <v>-0.32560519999999998</v>
      </c>
      <c r="U2367">
        <v>-2.2359010000000001</v>
      </c>
      <c r="V2367">
        <v>0.16611529999999899</v>
      </c>
      <c r="W2367">
        <v>0.17591799999999999</v>
      </c>
      <c r="X2367">
        <v>0.97028789999999998</v>
      </c>
      <c r="Y2367">
        <v>0.45512959999999902</v>
      </c>
      <c r="Z2367">
        <v>4.7865679999999997E-3</v>
      </c>
      <c r="AA2367">
        <v>0.89041229999999905</v>
      </c>
      <c r="AB2367">
        <v>31</v>
      </c>
      <c r="AC2367">
        <v>8.1657999999999902</v>
      </c>
      <c r="AD2367">
        <v>-1.1450899999999999</v>
      </c>
      <c r="AE2367">
        <v>-7.8100399999999999</v>
      </c>
      <c r="AF2367">
        <v>5.1666125363325497</v>
      </c>
      <c r="AG2367">
        <v>-1.1450899999999999</v>
      </c>
      <c r="AH2367">
        <v>9.9197036053682393</v>
      </c>
      <c r="AI2367">
        <v>95.845649141856299</v>
      </c>
      <c r="AJ2367">
        <v>62.487541932760998</v>
      </c>
      <c r="AK2367">
        <v>11.24302609741</v>
      </c>
      <c r="AL2367">
        <v>79.867915775548596</v>
      </c>
      <c r="AM2367">
        <v>80.285028832540206</v>
      </c>
      <c r="AN2367">
        <v>1.0000000222522401</v>
      </c>
    </row>
    <row r="2368" spans="1:40" x14ac:dyDescent="0.3">
      <c r="A2368" t="str">
        <f>"20200111150402706"</f>
        <v>20200111150402706</v>
      </c>
      <c r="B2368" t="str">
        <f>"1578726242701184"</f>
        <v>1578726242701184</v>
      </c>
      <c r="C2368" t="s">
        <v>40</v>
      </c>
      <c r="D2368">
        <v>5.4695780000000003</v>
      </c>
      <c r="E2368">
        <v>0.61338219999999899</v>
      </c>
      <c r="F2368" t="s">
        <v>43</v>
      </c>
      <c r="G2368">
        <v>-316.8682</v>
      </c>
      <c r="H2368">
        <v>-0.05</v>
      </c>
      <c r="I2368">
        <v>12.483079999999999</v>
      </c>
      <c r="J2368">
        <v>-324.97449999999998</v>
      </c>
      <c r="K2368">
        <v>1.095059</v>
      </c>
      <c r="L2368">
        <v>20.31934</v>
      </c>
      <c r="M2368">
        <v>0.95822629999999998</v>
      </c>
      <c r="N2368">
        <v>0</v>
      </c>
      <c r="O2368">
        <v>-0.28572069999999999</v>
      </c>
      <c r="P2368">
        <v>0.88571880000000003</v>
      </c>
      <c r="Q2368">
        <v>0.167407</v>
      </c>
      <c r="R2368">
        <v>-0.43298700000000001</v>
      </c>
      <c r="S2368">
        <v>2.3574519999999999</v>
      </c>
      <c r="T2368">
        <v>-0.32587870000000002</v>
      </c>
      <c r="U2368">
        <v>-2.2466430000000002</v>
      </c>
      <c r="V2368">
        <v>0.165914899999999</v>
      </c>
      <c r="W2368">
        <v>0.1761926</v>
      </c>
      <c r="X2368">
        <v>0.97027240000000003</v>
      </c>
      <c r="Y2368">
        <v>0.4534512</v>
      </c>
      <c r="Z2368">
        <v>5.58831E-3</v>
      </c>
      <c r="AA2368">
        <v>0.89126360000000004</v>
      </c>
      <c r="AB2368">
        <v>31</v>
      </c>
      <c r="AC2368">
        <v>8.1062999999999708</v>
      </c>
      <c r="AD2368">
        <v>-1.145059</v>
      </c>
      <c r="AE2368">
        <v>-7.8362599999999896</v>
      </c>
      <c r="AF2368">
        <v>5.1401858109902703</v>
      </c>
      <c r="AG2368">
        <v>-1.145059</v>
      </c>
      <c r="AH2368">
        <v>9.9053147758832694</v>
      </c>
      <c r="AI2368">
        <v>95.858473614905705</v>
      </c>
      <c r="AJ2368">
        <v>62.573752275763397</v>
      </c>
      <c r="AK2368">
        <v>11.2181964278719</v>
      </c>
      <c r="AL2368">
        <v>79.851933073030693</v>
      </c>
      <c r="AM2368">
        <v>80.296373869916806</v>
      </c>
      <c r="AN2368">
        <v>1.0000000582692601</v>
      </c>
    </row>
    <row r="2369" spans="1:40" x14ac:dyDescent="0.3">
      <c r="A2369" t="str">
        <f>"20200111150402718"</f>
        <v>20200111150402718</v>
      </c>
      <c r="B2369" t="str">
        <f>"1578726242710943"</f>
        <v>1578726242710943</v>
      </c>
      <c r="C2369" t="s">
        <v>40</v>
      </c>
      <c r="D2369">
        <v>5.5533260000000002</v>
      </c>
      <c r="E2369">
        <v>0.61322159999999903</v>
      </c>
      <c r="F2369" t="s">
        <v>43</v>
      </c>
      <c r="G2369">
        <v>-312.97649999999999</v>
      </c>
      <c r="H2369">
        <v>-0.05</v>
      </c>
      <c r="I2369">
        <v>9.3550260000000005</v>
      </c>
      <c r="J2369">
        <v>-324.81130000000002</v>
      </c>
      <c r="K2369">
        <v>1.095037</v>
      </c>
      <c r="L2369">
        <v>20.264469999999999</v>
      </c>
      <c r="M2369">
        <v>0.95640559999999997</v>
      </c>
      <c r="N2369">
        <v>0</v>
      </c>
      <c r="O2369">
        <v>-0.29175610000000002</v>
      </c>
      <c r="P2369">
        <v>0.88317230000000002</v>
      </c>
      <c r="Q2369">
        <v>0.16783600000000001</v>
      </c>
      <c r="R2369">
        <v>-0.43799329999999997</v>
      </c>
      <c r="S2369">
        <v>2.3707280000000002</v>
      </c>
      <c r="T2369">
        <v>-0.22625600000000001</v>
      </c>
      <c r="U2369">
        <v>-2.1664729999999999</v>
      </c>
      <c r="V2369">
        <v>0.16533120000000001</v>
      </c>
      <c r="W2369">
        <v>0.17663519999999999</v>
      </c>
      <c r="X2369">
        <v>0.97029149999999997</v>
      </c>
      <c r="Y2369">
        <v>0.42950929999999998</v>
      </c>
      <c r="Z2369">
        <v>5.3410990000000002E-3</v>
      </c>
      <c r="AA2369">
        <v>0.90304669999999998</v>
      </c>
      <c r="AB2369">
        <v>31</v>
      </c>
      <c r="AC2369">
        <v>11.8348</v>
      </c>
      <c r="AD2369">
        <v>-1.1450370000000001</v>
      </c>
      <c r="AE2369">
        <v>-10.909444000000001</v>
      </c>
      <c r="AF2369">
        <v>6.9464067525385902</v>
      </c>
      <c r="AG2369">
        <v>-1.1450370000000001</v>
      </c>
      <c r="AH2369">
        <v>14.429949583950201</v>
      </c>
      <c r="AI2369">
        <v>94.0895956569248</v>
      </c>
      <c r="AJ2369">
        <v>64.294387442330503</v>
      </c>
      <c r="AK2369">
        <v>16.055750418414799</v>
      </c>
      <c r="AL2369">
        <v>79.826169267377495</v>
      </c>
      <c r="AM2369">
        <v>80.330052946318204</v>
      </c>
      <c r="AN2369">
        <v>0.99999999727236499</v>
      </c>
    </row>
    <row r="2370" spans="1:40" x14ac:dyDescent="0.3">
      <c r="A2370" t="str">
        <f>"20200111150402730"</f>
        <v>20200111150402730</v>
      </c>
      <c r="B2370" t="str">
        <f>"1578726242720704"</f>
        <v>1578726242720704</v>
      </c>
      <c r="C2370" t="s">
        <v>40</v>
      </c>
      <c r="D2370">
        <v>5.4866460000000004</v>
      </c>
      <c r="E2370">
        <v>0.61345640000000001</v>
      </c>
      <c r="F2370" t="s">
        <v>43</v>
      </c>
      <c r="G2370">
        <v>-312.43090000000001</v>
      </c>
      <c r="H2370">
        <v>-0.05</v>
      </c>
      <c r="I2370">
        <v>8.8298649999999999</v>
      </c>
      <c r="J2370">
        <v>-324.65050000000002</v>
      </c>
      <c r="K2370">
        <v>1.0950150000000001</v>
      </c>
      <c r="L2370">
        <v>20.20975</v>
      </c>
      <c r="M2370">
        <v>0.95457219999999998</v>
      </c>
      <c r="N2370">
        <v>0</v>
      </c>
      <c r="O2370">
        <v>-0.29769950000000001</v>
      </c>
      <c r="P2370">
        <v>0.88057929999999995</v>
      </c>
      <c r="Q2370">
        <v>0.168103799999999</v>
      </c>
      <c r="R2370">
        <v>-0.44308170000000002</v>
      </c>
      <c r="S2370">
        <v>2.3581539999999999</v>
      </c>
      <c r="T2370">
        <v>-0.2181012</v>
      </c>
      <c r="U2370">
        <v>-2.1780089999999999</v>
      </c>
      <c r="V2370">
        <v>0.16492309999999999</v>
      </c>
      <c r="W2370">
        <v>0.1769126</v>
      </c>
      <c r="X2370">
        <v>0.97031040000000002</v>
      </c>
      <c r="Y2370">
        <v>0.42871130000000002</v>
      </c>
      <c r="Z2370">
        <v>5.6128699999999998E-3</v>
      </c>
      <c r="AA2370">
        <v>0.90342409999999995</v>
      </c>
      <c r="AB2370">
        <v>31</v>
      </c>
      <c r="AC2370">
        <v>12.2196</v>
      </c>
      <c r="AD2370">
        <v>-1.1450149999999999</v>
      </c>
      <c r="AE2370">
        <v>-11.379885</v>
      </c>
      <c r="AF2370">
        <v>7.19193847048283</v>
      </c>
      <c r="AG2370">
        <v>-1.1450149999999999</v>
      </c>
      <c r="AH2370">
        <v>14.9830800666815</v>
      </c>
      <c r="AI2370">
        <v>93.941151707715406</v>
      </c>
      <c r="AJ2370">
        <v>64.358807578896204</v>
      </c>
      <c r="AK2370">
        <v>16.6591634423228</v>
      </c>
      <c r="AL2370">
        <v>79.810020978544998</v>
      </c>
      <c r="AM2370">
        <v>80.353657349036595</v>
      </c>
      <c r="AN2370">
        <v>0.99999998465026496</v>
      </c>
    </row>
    <row r="2371" spans="1:40" x14ac:dyDescent="0.3">
      <c r="A2371" t="str">
        <f>"20200111150402742"</f>
        <v>20200111150402742</v>
      </c>
      <c r="B2371" t="str">
        <f>"1578726242730465"</f>
        <v>1578726242730465</v>
      </c>
      <c r="C2371" t="s">
        <v>40</v>
      </c>
      <c r="D2371">
        <v>5.3872030000000004</v>
      </c>
      <c r="E2371">
        <v>0.6122725</v>
      </c>
      <c r="F2371" t="s">
        <v>43</v>
      </c>
      <c r="G2371">
        <v>-312.8227</v>
      </c>
      <c r="H2371">
        <v>-0.05</v>
      </c>
      <c r="I2371">
        <v>9.1541440000000005</v>
      </c>
      <c r="J2371">
        <v>-324.49880000000002</v>
      </c>
      <c r="K2371">
        <v>1.0949960000000001</v>
      </c>
      <c r="L2371">
        <v>20.156590000000001</v>
      </c>
      <c r="M2371">
        <v>0.95280160000000003</v>
      </c>
      <c r="N2371">
        <v>0</v>
      </c>
      <c r="O2371">
        <v>-0.3033187</v>
      </c>
      <c r="P2371">
        <v>0.87792590000000004</v>
      </c>
      <c r="Q2371">
        <v>0.16810139999999901</v>
      </c>
      <c r="R2371">
        <v>-0.44831709999999902</v>
      </c>
      <c r="S2371">
        <v>2.3465579999999999</v>
      </c>
      <c r="T2371">
        <v>-0.22716359999999999</v>
      </c>
      <c r="U2371">
        <v>-2.1933590000000001</v>
      </c>
      <c r="V2371">
        <v>0.16499049999999901</v>
      </c>
      <c r="W2371">
        <v>0.1769088</v>
      </c>
      <c r="X2371">
        <v>0.97029969999999999</v>
      </c>
      <c r="Y2371">
        <v>0.42876059999999999</v>
      </c>
      <c r="Z2371">
        <v>6.2651030000000002E-3</v>
      </c>
      <c r="AA2371">
        <v>0.90339639999999999</v>
      </c>
      <c r="AB2371">
        <v>31</v>
      </c>
      <c r="AC2371">
        <v>11.6761</v>
      </c>
      <c r="AD2371">
        <v>-1.1449959999999999</v>
      </c>
      <c r="AE2371">
        <v>-11.0024459999999</v>
      </c>
      <c r="AF2371">
        <v>6.9069666501084601</v>
      </c>
      <c r="AG2371">
        <v>-1.1449959999999999</v>
      </c>
      <c r="AH2371">
        <v>14.390163562905199</v>
      </c>
      <c r="AI2371">
        <v>94.102968033833605</v>
      </c>
      <c r="AJ2371">
        <v>64.360003368267797</v>
      </c>
      <c r="AK2371">
        <v>16.002937590108001</v>
      </c>
      <c r="AL2371">
        <v>79.810242846340699</v>
      </c>
      <c r="AM2371">
        <v>80.349684828920005</v>
      </c>
      <c r="AN2371">
        <v>1.00000004821388</v>
      </c>
    </row>
    <row r="2372" spans="1:40" x14ac:dyDescent="0.3">
      <c r="A2372" t="str">
        <f>"20200111150402753"</f>
        <v>20200111150402753</v>
      </c>
      <c r="B2372" t="str">
        <f>"1578726242750960"</f>
        <v>1578726242750960</v>
      </c>
      <c r="C2372" t="s">
        <v>40</v>
      </c>
      <c r="D2372">
        <v>5.4848699999999999</v>
      </c>
      <c r="E2372">
        <v>0.61069549999999995</v>
      </c>
      <c r="F2372" t="s">
        <v>43</v>
      </c>
      <c r="G2372">
        <v>-312.8349</v>
      </c>
      <c r="H2372">
        <v>-0.05</v>
      </c>
      <c r="I2372">
        <v>9.1914979999999993</v>
      </c>
      <c r="J2372">
        <v>-324.34120000000001</v>
      </c>
      <c r="K2372">
        <v>1.094975</v>
      </c>
      <c r="L2372">
        <v>20.100619999999999</v>
      </c>
      <c r="M2372">
        <v>0.95092520000000003</v>
      </c>
      <c r="N2372">
        <v>0</v>
      </c>
      <c r="O2372">
        <v>-0.3091506</v>
      </c>
      <c r="P2372">
        <v>0.87501450000000003</v>
      </c>
      <c r="Q2372">
        <v>0.168206299999999</v>
      </c>
      <c r="R2372">
        <v>-0.45393450000000002</v>
      </c>
      <c r="S2372">
        <v>2.33847</v>
      </c>
      <c r="T2372">
        <v>-0.22955729999999999</v>
      </c>
      <c r="U2372">
        <v>-2.1983640000000002</v>
      </c>
      <c r="V2372">
        <v>0.16527990000000001</v>
      </c>
      <c r="W2372">
        <v>0.17700639999999901</v>
      </c>
      <c r="X2372">
        <v>0.9702326</v>
      </c>
      <c r="Y2372">
        <v>0.42582049999999999</v>
      </c>
      <c r="Z2372">
        <v>6.8985749999999997E-3</v>
      </c>
      <c r="AA2372">
        <v>0.90478130000000001</v>
      </c>
      <c r="AB2372">
        <v>31</v>
      </c>
      <c r="AC2372">
        <v>11.5063</v>
      </c>
      <c r="AD2372">
        <v>-1.1449750000000001</v>
      </c>
      <c r="AE2372">
        <v>-10.909122</v>
      </c>
      <c r="AF2372">
        <v>6.7817850905654504</v>
      </c>
      <c r="AG2372">
        <v>-1.1449750000000001</v>
      </c>
      <c r="AH2372">
        <v>14.241127230282</v>
      </c>
      <c r="AI2372">
        <v>94.151742241904898</v>
      </c>
      <c r="AJ2372">
        <v>64.535684406021801</v>
      </c>
      <c r="AK2372">
        <v>15.814970172413201</v>
      </c>
      <c r="AL2372">
        <v>79.804560662114298</v>
      </c>
      <c r="AM2372">
        <v>80.332420990039793</v>
      </c>
      <c r="AN2372">
        <v>1.00000000454386</v>
      </c>
    </row>
    <row r="2373" spans="1:40" x14ac:dyDescent="0.3">
      <c r="A2373" t="str">
        <f>"20200111150402769"</f>
        <v>20200111150402769</v>
      </c>
      <c r="B2373" t="str">
        <f>"1578726242760719"</f>
        <v>1578726242760719</v>
      </c>
      <c r="C2373" t="s">
        <v>40</v>
      </c>
      <c r="D2373">
        <v>5.4693480000000001</v>
      </c>
      <c r="E2373">
        <v>0.61012119999999903</v>
      </c>
      <c r="F2373" t="s">
        <v>43</v>
      </c>
      <c r="G2373">
        <v>-312.73869999999999</v>
      </c>
      <c r="H2373">
        <v>-0.05</v>
      </c>
      <c r="I2373">
        <v>9.1406399999999994</v>
      </c>
      <c r="J2373">
        <v>-324.13470000000001</v>
      </c>
      <c r="K2373">
        <v>1.094949</v>
      </c>
      <c r="L2373">
        <v>20.025759999999998</v>
      </c>
      <c r="M2373">
        <v>0.94840610000000003</v>
      </c>
      <c r="N2373">
        <v>0</v>
      </c>
      <c r="O2373">
        <v>-0.31679400000000002</v>
      </c>
      <c r="P2373">
        <v>0.87111499999999997</v>
      </c>
      <c r="Q2373">
        <v>0.1677604</v>
      </c>
      <c r="R2373">
        <v>-0.46153549999999899</v>
      </c>
      <c r="S2373">
        <v>2.3306269999999998</v>
      </c>
      <c r="T2373">
        <v>-0.229995</v>
      </c>
      <c r="U2373">
        <v>-2.2015690000000001</v>
      </c>
      <c r="V2373">
        <v>0.16589019999999999</v>
      </c>
      <c r="W2373">
        <v>0.17654700000000001</v>
      </c>
      <c r="X2373">
        <v>0.97021219999999997</v>
      </c>
      <c r="Y2373">
        <v>0.42073490000000002</v>
      </c>
      <c r="Z2373">
        <v>7.7072629999999998E-3</v>
      </c>
      <c r="AA2373">
        <v>0.90715089999999998</v>
      </c>
      <c r="AB2373">
        <v>31</v>
      </c>
      <c r="AC2373">
        <v>11.396000000000001</v>
      </c>
      <c r="AD2373">
        <v>-1.144949</v>
      </c>
      <c r="AE2373">
        <v>-10.885120000000001</v>
      </c>
      <c r="AF2373">
        <v>6.6786395208562901</v>
      </c>
      <c r="AG2373">
        <v>-1.144949</v>
      </c>
      <c r="AH2373">
        <v>14.182708640686201</v>
      </c>
      <c r="AI2373">
        <v>94.177231374573793</v>
      </c>
      <c r="AJ2373">
        <v>64.784247205173003</v>
      </c>
      <c r="AK2373">
        <v>15.718281027158801</v>
      </c>
      <c r="AL2373">
        <v>79.831304059674807</v>
      </c>
      <c r="AM2373">
        <v>80.297200441876498</v>
      </c>
      <c r="AN2373">
        <v>1.0000000573469301</v>
      </c>
    </row>
    <row r="2374" spans="1:40" x14ac:dyDescent="0.3">
      <c r="A2374" t="str">
        <f>"20200111150402791"</f>
        <v>20200111150402791</v>
      </c>
      <c r="B2374" t="str">
        <f>"1578726242781215"</f>
        <v>1578726242781215</v>
      </c>
      <c r="C2374" t="s">
        <v>40</v>
      </c>
      <c r="D2374">
        <v>5.4767469999999996</v>
      </c>
      <c r="E2374">
        <v>0.60895449999999995</v>
      </c>
      <c r="F2374" t="s">
        <v>43</v>
      </c>
      <c r="G2374">
        <v>-312.75130000000001</v>
      </c>
      <c r="H2374">
        <v>-0.05</v>
      </c>
      <c r="I2374">
        <v>9.1157839999999997</v>
      </c>
      <c r="J2374">
        <v>-323.84199999999998</v>
      </c>
      <c r="K2374">
        <v>1.0949120000000001</v>
      </c>
      <c r="L2374">
        <v>19.915949999999999</v>
      </c>
      <c r="M2374">
        <v>0.94471539999999998</v>
      </c>
      <c r="N2374">
        <v>0</v>
      </c>
      <c r="O2374">
        <v>-0.32763599999999998</v>
      </c>
      <c r="P2374">
        <v>0.86570409999999998</v>
      </c>
      <c r="Q2374">
        <v>0.1664881</v>
      </c>
      <c r="R2374">
        <v>-0.47205720000000001</v>
      </c>
      <c r="S2374">
        <v>2.3137819999999998</v>
      </c>
      <c r="T2374">
        <v>-0.2327224</v>
      </c>
      <c r="U2374">
        <v>-2.2175600000000002</v>
      </c>
      <c r="V2374">
        <v>0.1664349</v>
      </c>
      <c r="W2374">
        <v>0.175265</v>
      </c>
      <c r="X2374">
        <v>0.97035130000000003</v>
      </c>
      <c r="Y2374">
        <v>0.41693350000000001</v>
      </c>
      <c r="Z2374">
        <v>8.7967919999999995E-3</v>
      </c>
      <c r="AA2374">
        <v>0.90889439999999999</v>
      </c>
      <c r="AB2374">
        <v>31</v>
      </c>
      <c r="AC2374">
        <v>11.090699999999901</v>
      </c>
      <c r="AD2374">
        <v>-1.1449119999999999</v>
      </c>
      <c r="AE2374">
        <v>-10.800166000000001</v>
      </c>
      <c r="AF2374">
        <v>6.5341800052447798</v>
      </c>
      <c r="AG2374">
        <v>-1.1449119999999999</v>
      </c>
      <c r="AH2374">
        <v>13.940997483678</v>
      </c>
      <c r="AI2374">
        <v>94.252839298658401</v>
      </c>
      <c r="AJ2374">
        <v>64.887397672495595</v>
      </c>
      <c r="AK2374">
        <v>15.438838773321001</v>
      </c>
      <c r="AL2374">
        <v>79.905920377882893</v>
      </c>
      <c r="AM2374">
        <v>80.267318552414494</v>
      </c>
      <c r="AN2374">
        <v>1.0000000207873401</v>
      </c>
    </row>
    <row r="2375" spans="1:40" x14ac:dyDescent="0.3">
      <c r="A2375" t="str">
        <f>"20200111150402803"</f>
        <v>20200111150402803</v>
      </c>
      <c r="B2375" t="str">
        <f>"1578726242800736"</f>
        <v>1578726242800736</v>
      </c>
      <c r="C2375" t="s">
        <v>40</v>
      </c>
      <c r="D2375">
        <v>5.4668469999999996</v>
      </c>
      <c r="E2375">
        <v>0.60433870000000001</v>
      </c>
      <c r="F2375" t="s">
        <v>43</v>
      </c>
      <c r="G2375">
        <v>-312.82350000000002</v>
      </c>
      <c r="H2375">
        <v>-0.05</v>
      </c>
      <c r="I2375">
        <v>9.15564</v>
      </c>
      <c r="J2375">
        <v>-323.68459999999999</v>
      </c>
      <c r="K2375">
        <v>1.0948979999999999</v>
      </c>
      <c r="L2375">
        <v>19.85529</v>
      </c>
      <c r="M2375">
        <v>0.94267239999999997</v>
      </c>
      <c r="N2375">
        <v>0</v>
      </c>
      <c r="O2375">
        <v>-0.33346809999999899</v>
      </c>
      <c r="P2375">
        <v>0.8625929</v>
      </c>
      <c r="Q2375">
        <v>0.16585859999999999</v>
      </c>
      <c r="R2375">
        <v>-0.47793760000000002</v>
      </c>
      <c r="S2375">
        <v>2.2911069999999998</v>
      </c>
      <c r="T2375">
        <v>-0.23806550000000001</v>
      </c>
      <c r="U2375">
        <v>-2.2374269999999998</v>
      </c>
      <c r="V2375">
        <v>0.1669918</v>
      </c>
      <c r="W2375">
        <v>0.17462369999999999</v>
      </c>
      <c r="X2375">
        <v>0.97037119999999999</v>
      </c>
      <c r="Y2375">
        <v>0.41983290000000001</v>
      </c>
      <c r="Z2375">
        <v>9.3541179999999998E-3</v>
      </c>
      <c r="AA2375">
        <v>0.90755330000000001</v>
      </c>
      <c r="AB2375">
        <v>31</v>
      </c>
      <c r="AC2375">
        <v>10.861099999999899</v>
      </c>
      <c r="AD2375">
        <v>-1.144898</v>
      </c>
      <c r="AE2375">
        <v>-10.69965</v>
      </c>
      <c r="AF2375">
        <v>6.4287243468137802</v>
      </c>
      <c r="AG2375">
        <v>-1.144898</v>
      </c>
      <c r="AH2375">
        <v>13.7301832952087</v>
      </c>
      <c r="AI2375">
        <v>94.3186399845777</v>
      </c>
      <c r="AJ2375">
        <v>64.910142110765506</v>
      </c>
      <c r="AK2375">
        <v>15.203855480691301</v>
      </c>
      <c r="AL2375">
        <v>79.943239291675198</v>
      </c>
      <c r="AM2375">
        <v>80.235574791398406</v>
      </c>
      <c r="AN2375">
        <v>0.99999998182918404</v>
      </c>
    </row>
    <row r="2376" spans="1:40" x14ac:dyDescent="0.3">
      <c r="A2376" t="str">
        <f>"20200111150402815"</f>
        <v>20200111150402815</v>
      </c>
      <c r="B2376" t="str">
        <f>"1578726242811473"</f>
        <v>1578726242811473</v>
      </c>
      <c r="C2376" t="s">
        <v>40</v>
      </c>
      <c r="D2376">
        <v>5.4824549999999999</v>
      </c>
      <c r="E2376">
        <v>0.60471989999999998</v>
      </c>
      <c r="F2376" t="s">
        <v>43</v>
      </c>
      <c r="G2376">
        <v>-316.4282</v>
      </c>
      <c r="H2376">
        <v>-0.05</v>
      </c>
      <c r="I2376">
        <v>12.85374</v>
      </c>
      <c r="J2376">
        <v>-323.54129999999998</v>
      </c>
      <c r="K2376">
        <v>1.0948830000000001</v>
      </c>
      <c r="L2376">
        <v>19.799160000000001</v>
      </c>
      <c r="M2376">
        <v>0.94077770000000005</v>
      </c>
      <c r="N2376">
        <v>0</v>
      </c>
      <c r="O2376">
        <v>-0.33877689999999999</v>
      </c>
      <c r="P2376">
        <v>0.85967179999999999</v>
      </c>
      <c r="Q2376">
        <v>0.16542470000000001</v>
      </c>
      <c r="R2376">
        <v>-0.483321</v>
      </c>
      <c r="S2376">
        <v>2.3120120000000002</v>
      </c>
      <c r="T2376">
        <v>-0.36478290000000002</v>
      </c>
      <c r="U2376">
        <v>-2.230804</v>
      </c>
      <c r="V2376">
        <v>0.1675545</v>
      </c>
      <c r="W2376">
        <v>0.1741781</v>
      </c>
      <c r="X2376">
        <v>0.9703543</v>
      </c>
      <c r="Y2376">
        <v>0.40898790000000002</v>
      </c>
      <c r="Z2376">
        <v>1.557095E-2</v>
      </c>
      <c r="AA2376">
        <v>0.91240699999999997</v>
      </c>
      <c r="AB2376">
        <v>31</v>
      </c>
      <c r="AC2376">
        <v>7.11309999999997</v>
      </c>
      <c r="AD2376">
        <v>-1.1448830000000001</v>
      </c>
      <c r="AE2376">
        <v>-6.9454199999999897</v>
      </c>
      <c r="AF2376">
        <v>4.0707018851860903</v>
      </c>
      <c r="AG2376">
        <v>-1.1448830000000001</v>
      </c>
      <c r="AH2376">
        <v>8.9271588715329795</v>
      </c>
      <c r="AI2376">
        <v>96.655649174230007</v>
      </c>
      <c r="AJ2376">
        <v>65.487452863265204</v>
      </c>
      <c r="AK2376">
        <v>9.8780330248150392</v>
      </c>
      <c r="AL2376">
        <v>79.969167776791707</v>
      </c>
      <c r="AM2376">
        <v>80.203141516695993</v>
      </c>
      <c r="AN2376">
        <v>0.99999999425917496</v>
      </c>
    </row>
    <row r="2377" spans="1:40" x14ac:dyDescent="0.3">
      <c r="A2377" t="str">
        <f>"20200111150402826"</f>
        <v>20200111150402826</v>
      </c>
      <c r="B2377" t="str">
        <f>"1578726242821232"</f>
        <v>1578726242821232</v>
      </c>
      <c r="C2377" t="s">
        <v>40</v>
      </c>
      <c r="D2377">
        <v>5.4504799999999998</v>
      </c>
      <c r="E2377">
        <v>0.60448369999999996</v>
      </c>
      <c r="F2377" t="s">
        <v>43</v>
      </c>
      <c r="G2377">
        <v>-316.42399999999998</v>
      </c>
      <c r="H2377">
        <v>-0.05</v>
      </c>
      <c r="I2377">
        <v>12.832599999999999</v>
      </c>
      <c r="J2377">
        <v>-323.39429999999999</v>
      </c>
      <c r="K2377">
        <v>1.0948709999999999</v>
      </c>
      <c r="L2377">
        <v>19.740749999999998</v>
      </c>
      <c r="M2377">
        <v>0.93879849999999998</v>
      </c>
      <c r="N2377">
        <v>0</v>
      </c>
      <c r="O2377">
        <v>-0.34422320000000001</v>
      </c>
      <c r="P2377">
        <v>0.85664619999999903</v>
      </c>
      <c r="Q2377">
        <v>0.1650459</v>
      </c>
      <c r="R2377">
        <v>-0.488792</v>
      </c>
      <c r="S2377">
        <v>2.2968139999999999</v>
      </c>
      <c r="T2377">
        <v>-0.36946319999999999</v>
      </c>
      <c r="U2377">
        <v>-2.2481689999999999</v>
      </c>
      <c r="V2377">
        <v>0.1680876</v>
      </c>
      <c r="W2377">
        <v>0.17378740000000001</v>
      </c>
      <c r="X2377">
        <v>0.97033210000000003</v>
      </c>
      <c r="Y2377">
        <v>0.4102537</v>
      </c>
      <c r="Z2377">
        <v>1.635764E-2</v>
      </c>
      <c r="AA2377">
        <v>0.91182479999999999</v>
      </c>
      <c r="AB2377">
        <v>31</v>
      </c>
      <c r="AC2377">
        <v>6.9702999999999502</v>
      </c>
      <c r="AD2377">
        <v>-1.144871</v>
      </c>
      <c r="AE2377">
        <v>-6.9081499999999902</v>
      </c>
      <c r="AF2377">
        <v>4.0314967203066896</v>
      </c>
      <c r="AG2377">
        <v>-1.144871</v>
      </c>
      <c r="AH2377">
        <v>8.8025993325761807</v>
      </c>
      <c r="AI2377">
        <v>96.743845613346494</v>
      </c>
      <c r="AJ2377">
        <v>65.392724801502695</v>
      </c>
      <c r="AK2377">
        <v>9.7493307679222401</v>
      </c>
      <c r="AL2377">
        <v>79.991899414592893</v>
      </c>
      <c r="AM2377">
        <v>80.172357691567498</v>
      </c>
      <c r="AN2377">
        <v>0.999999942981463</v>
      </c>
    </row>
    <row r="2378" spans="1:40" x14ac:dyDescent="0.3">
      <c r="A2378" t="str">
        <f>"20200111150402837"</f>
        <v>20200111150402837</v>
      </c>
      <c r="B2378" t="str">
        <f>"1578726242830992"</f>
        <v>1578726242830992</v>
      </c>
      <c r="C2378" t="s">
        <v>40</v>
      </c>
      <c r="D2378">
        <v>5.563504</v>
      </c>
      <c r="E2378">
        <v>0.60550170000000003</v>
      </c>
      <c r="F2378" t="s">
        <v>43</v>
      </c>
      <c r="G2378">
        <v>-316.30540000000002</v>
      </c>
      <c r="H2378">
        <v>-0.05</v>
      </c>
      <c r="I2378">
        <v>12.71968</v>
      </c>
      <c r="J2378">
        <v>-323.24919999999997</v>
      </c>
      <c r="K2378">
        <v>1.094862</v>
      </c>
      <c r="L2378">
        <v>19.681789999999999</v>
      </c>
      <c r="M2378">
        <v>0.93680739999999996</v>
      </c>
      <c r="N2378">
        <v>0</v>
      </c>
      <c r="O2378">
        <v>-0.3496051</v>
      </c>
      <c r="P2378">
        <v>0.85341069999999997</v>
      </c>
      <c r="Q2378">
        <v>0.16482849999999999</v>
      </c>
      <c r="R2378">
        <v>-0.49449169999999998</v>
      </c>
      <c r="S2378">
        <v>2.2829280000000001</v>
      </c>
      <c r="T2378">
        <v>-0.36869619999999997</v>
      </c>
      <c r="U2378">
        <v>-2.2610779999999999</v>
      </c>
      <c r="V2378">
        <v>0.16897200000000001</v>
      </c>
      <c r="W2378">
        <v>0.173549799999999</v>
      </c>
      <c r="X2378">
        <v>0.970221</v>
      </c>
      <c r="Y2378">
        <v>0.4104257</v>
      </c>
      <c r="Z2378">
        <v>1.6981590000000001E-2</v>
      </c>
      <c r="AA2378">
        <v>0.91173599999999999</v>
      </c>
      <c r="AB2378">
        <v>31</v>
      </c>
      <c r="AC2378">
        <v>6.9437999999999498</v>
      </c>
      <c r="AD2378">
        <v>-1.144862</v>
      </c>
      <c r="AE2378">
        <v>-6.9621099999999903</v>
      </c>
      <c r="AF2378">
        <v>4.0401437715607198</v>
      </c>
      <c r="AG2378">
        <v>-1.144862</v>
      </c>
      <c r="AH2378">
        <v>8.8201763890826506</v>
      </c>
      <c r="AI2378">
        <v>96.730306434676805</v>
      </c>
      <c r="AJ2378">
        <v>65.389519472747395</v>
      </c>
      <c r="AK2378">
        <v>9.7687758817804795</v>
      </c>
      <c r="AL2378">
        <v>80.005722815423596</v>
      </c>
      <c r="AM2378">
        <v>80.120556290570406</v>
      </c>
      <c r="AN2378">
        <v>0.99999992935251703</v>
      </c>
    </row>
    <row r="2379" spans="1:40" x14ac:dyDescent="0.3">
      <c r="A2379" t="str">
        <f>"20200111150402849"</f>
        <v>20200111150402849</v>
      </c>
      <c r="B2379" t="str">
        <f>"1578726242840751"</f>
        <v>1578726242840751</v>
      </c>
      <c r="C2379" t="s">
        <v>40</v>
      </c>
      <c r="D2379">
        <v>5.4948540000000001</v>
      </c>
      <c r="E2379">
        <v>0.60550170000000003</v>
      </c>
      <c r="F2379" t="s">
        <v>43</v>
      </c>
      <c r="G2379">
        <v>-316.42020000000002</v>
      </c>
      <c r="H2379">
        <v>-0.05</v>
      </c>
      <c r="I2379">
        <v>12.79391</v>
      </c>
      <c r="J2379">
        <v>-323.09210000000002</v>
      </c>
      <c r="K2379">
        <v>1.0948519999999999</v>
      </c>
      <c r="L2379">
        <v>19.617429999999999</v>
      </c>
      <c r="M2379">
        <v>0.93461450000000001</v>
      </c>
      <c r="N2379">
        <v>0</v>
      </c>
      <c r="O2379">
        <v>-0.35542600000000002</v>
      </c>
      <c r="P2379">
        <v>0.84993059999999998</v>
      </c>
      <c r="Q2379">
        <v>0.1650895</v>
      </c>
      <c r="R2379">
        <v>-0.50036309999999995</v>
      </c>
      <c r="S2379">
        <v>2.264923</v>
      </c>
      <c r="T2379">
        <v>-0.37970920000000002</v>
      </c>
      <c r="U2379">
        <v>-2.2844540000000002</v>
      </c>
      <c r="V2379">
        <v>0.1696531</v>
      </c>
      <c r="W2379">
        <v>0.173794</v>
      </c>
      <c r="X2379">
        <v>0.97005850000000005</v>
      </c>
      <c r="Y2379">
        <v>0.41304200000000002</v>
      </c>
      <c r="Z2379">
        <v>1.803921E-2</v>
      </c>
      <c r="AA2379">
        <v>0.91053329999999999</v>
      </c>
      <c r="AB2379">
        <v>31</v>
      </c>
      <c r="AC2379">
        <v>6.6718999999999902</v>
      </c>
      <c r="AD2379">
        <v>-1.144852</v>
      </c>
      <c r="AE2379">
        <v>-6.8235199999999896</v>
      </c>
      <c r="AF2379">
        <v>3.9494922755891602</v>
      </c>
      <c r="AG2379">
        <v>-1.144852</v>
      </c>
      <c r="AH2379">
        <v>8.5387548449174702</v>
      </c>
      <c r="AI2379">
        <v>96.938228096744695</v>
      </c>
      <c r="AJ2379">
        <v>65.177700003644105</v>
      </c>
      <c r="AK2379">
        <v>9.4773155291170905</v>
      </c>
      <c r="AL2379">
        <v>79.991516107788698</v>
      </c>
      <c r="AM2379">
        <v>80.079894568475297</v>
      </c>
      <c r="AN2379">
        <v>1.00000001109893</v>
      </c>
    </row>
    <row r="2380" spans="1:40" x14ac:dyDescent="0.3">
      <c r="A2380" t="str">
        <f>"20200111150402861"</f>
        <v>20200111150402861</v>
      </c>
      <c r="B2380" t="str">
        <f>"1578726242851487"</f>
        <v>1578726242851487</v>
      </c>
      <c r="C2380" t="s">
        <v>40</v>
      </c>
      <c r="D2380">
        <v>5.4596239999999998</v>
      </c>
      <c r="E2380">
        <v>0.60430329999999999</v>
      </c>
      <c r="F2380" t="s">
        <v>43</v>
      </c>
      <c r="G2380">
        <v>-316.286</v>
      </c>
      <c r="H2380">
        <v>-0.05</v>
      </c>
      <c r="I2380">
        <v>12.65469</v>
      </c>
      <c r="J2380">
        <v>-322.93509999999998</v>
      </c>
      <c r="K2380">
        <v>1.0948519999999999</v>
      </c>
      <c r="L2380">
        <v>19.551269999999999</v>
      </c>
      <c r="M2380">
        <v>0.93237780000000003</v>
      </c>
      <c r="N2380">
        <v>0</v>
      </c>
      <c r="O2380">
        <v>-0.36125239999999997</v>
      </c>
      <c r="P2380">
        <v>0.84647019999999995</v>
      </c>
      <c r="Q2380">
        <v>0.16490729999999901</v>
      </c>
      <c r="R2380">
        <v>-0.50625489999999995</v>
      </c>
      <c r="S2380">
        <v>2.2488100000000002</v>
      </c>
      <c r="T2380">
        <v>-0.37827290000000002</v>
      </c>
      <c r="U2380">
        <v>-2.3005680000000002</v>
      </c>
      <c r="V2380">
        <v>0.1703228</v>
      </c>
      <c r="W2380">
        <v>0.17359729999999901</v>
      </c>
      <c r="X2380">
        <v>0.96997639999999996</v>
      </c>
      <c r="Y2380">
        <v>0.41384009999999999</v>
      </c>
      <c r="Z2380">
        <v>1.8659269999999999E-2</v>
      </c>
      <c r="AA2380">
        <v>0.91015829999999998</v>
      </c>
      <c r="AB2380">
        <v>31</v>
      </c>
      <c r="AC2380">
        <v>6.6490999999999696</v>
      </c>
      <c r="AD2380">
        <v>-1.144852</v>
      </c>
      <c r="AE2380">
        <v>-6.8965800000000002</v>
      </c>
      <c r="AF2380">
        <v>3.9718290943734802</v>
      </c>
      <c r="AG2380">
        <v>-1.144852</v>
      </c>
      <c r="AH2380">
        <v>8.5692271601853793</v>
      </c>
      <c r="AI2380">
        <v>96.911284368150206</v>
      </c>
      <c r="AJ2380">
        <v>65.132319490459395</v>
      </c>
      <c r="AK2380">
        <v>9.5140825400915308</v>
      </c>
      <c r="AL2380">
        <v>80.002960513219605</v>
      </c>
      <c r="AM2380">
        <v>80.040691664672096</v>
      </c>
      <c r="AN2380">
        <v>1.0000000476620401</v>
      </c>
    </row>
    <row r="2381" spans="1:40" x14ac:dyDescent="0.3">
      <c r="A2381" t="str">
        <f>"20200111150402872"</f>
        <v>20200111150402872</v>
      </c>
      <c r="B2381" t="str">
        <f>"1578726242861248"</f>
        <v>1578726242861248</v>
      </c>
      <c r="C2381" t="s">
        <v>40</v>
      </c>
      <c r="D2381">
        <v>5.5625</v>
      </c>
      <c r="E2381">
        <v>0.60433319999999902</v>
      </c>
      <c r="F2381" t="s">
        <v>43</v>
      </c>
      <c r="G2381">
        <v>-316.10879999999997</v>
      </c>
      <c r="H2381">
        <v>-0.05</v>
      </c>
      <c r="I2381">
        <v>12.50853</v>
      </c>
      <c r="J2381">
        <v>-322.7903</v>
      </c>
      <c r="K2381">
        <v>1.094846</v>
      </c>
      <c r="L2381">
        <v>19.489650000000001</v>
      </c>
      <c r="M2381">
        <v>0.93027910000000003</v>
      </c>
      <c r="N2381">
        <v>0</v>
      </c>
      <c r="O2381">
        <v>-0.36662280000000003</v>
      </c>
      <c r="P2381">
        <v>0.84327600000000003</v>
      </c>
      <c r="Q2381">
        <v>0.16494200000000001</v>
      </c>
      <c r="R2381">
        <v>-0.51154650000000002</v>
      </c>
      <c r="S2381">
        <v>2.2369379999999999</v>
      </c>
      <c r="T2381">
        <v>-0.3751602</v>
      </c>
      <c r="U2381">
        <v>-2.3078609999999999</v>
      </c>
      <c r="V2381">
        <v>0.17081070000000001</v>
      </c>
      <c r="W2381">
        <v>0.17362030000000001</v>
      </c>
      <c r="X2381">
        <v>0.96988640000000004</v>
      </c>
      <c r="Y2381">
        <v>0.41248380000000001</v>
      </c>
      <c r="Z2381">
        <v>1.9285739999999999E-2</v>
      </c>
      <c r="AA2381">
        <v>0.91076080000000004</v>
      </c>
      <c r="AB2381">
        <v>31</v>
      </c>
      <c r="AC2381">
        <v>6.6815000000000202</v>
      </c>
      <c r="AD2381">
        <v>-1.14484599999999</v>
      </c>
      <c r="AE2381">
        <v>-6.9811199999999998</v>
      </c>
      <c r="AF2381">
        <v>3.9891484457280399</v>
      </c>
      <c r="AG2381">
        <v>-1.14484599999999</v>
      </c>
      <c r="AH2381">
        <v>8.65436328667829</v>
      </c>
      <c r="AI2381">
        <v>96.8505163780044</v>
      </c>
      <c r="AJ2381">
        <v>65.253099617586798</v>
      </c>
      <c r="AK2381">
        <v>9.5980196698889699</v>
      </c>
      <c r="AL2381">
        <v>80.001621569271094</v>
      </c>
      <c r="AM2381">
        <v>80.011828113248797</v>
      </c>
      <c r="AN2381">
        <v>0.99999996635576904</v>
      </c>
    </row>
    <row r="2382" spans="1:40" x14ac:dyDescent="0.3">
      <c r="A2382" t="str">
        <f>"20200111150402886"</f>
        <v>20200111150402886</v>
      </c>
      <c r="B2382" t="str">
        <f>"1578726242880767"</f>
        <v>1578726242880767</v>
      </c>
      <c r="C2382" t="s">
        <v>40</v>
      </c>
      <c r="D2382">
        <v>5.4463100000000004</v>
      </c>
      <c r="E2382">
        <v>0.60224869999999997</v>
      </c>
      <c r="F2382" t="s">
        <v>43</v>
      </c>
      <c r="G2382">
        <v>-316.1746</v>
      </c>
      <c r="H2382">
        <v>-0.05</v>
      </c>
      <c r="I2382">
        <v>12.57747</v>
      </c>
      <c r="J2382">
        <v>-322.61130000000003</v>
      </c>
      <c r="K2382">
        <v>1.094832</v>
      </c>
      <c r="L2382">
        <v>19.41208</v>
      </c>
      <c r="M2382">
        <v>0.92763450000000003</v>
      </c>
      <c r="N2382">
        <v>0</v>
      </c>
      <c r="O2382">
        <v>-0.37326409999999999</v>
      </c>
      <c r="P2382">
        <v>0.83926229999999902</v>
      </c>
      <c r="Q2382">
        <v>0.16494</v>
      </c>
      <c r="R2382">
        <v>-0.51810579999999995</v>
      </c>
      <c r="S2382">
        <v>2.223541</v>
      </c>
      <c r="T2382">
        <v>-0.38478610000000002</v>
      </c>
      <c r="U2382">
        <v>-2.3232119999999998</v>
      </c>
      <c r="V2382">
        <v>0.17144189999999901</v>
      </c>
      <c r="W2382">
        <v>0.17360149999999999</v>
      </c>
      <c r="X2382">
        <v>0.96977840000000004</v>
      </c>
      <c r="Y2382">
        <v>0.41174719999999998</v>
      </c>
      <c r="Z2382">
        <v>2.067198E-2</v>
      </c>
      <c r="AA2382">
        <v>0.91106359999999997</v>
      </c>
      <c r="AB2382">
        <v>31</v>
      </c>
      <c r="AC2382">
        <v>6.4367000000000196</v>
      </c>
      <c r="AD2382">
        <v>-1.1448320000000001</v>
      </c>
      <c r="AE2382">
        <v>-6.8346099999999996</v>
      </c>
      <c r="AF2382">
        <v>3.88006749729115</v>
      </c>
      <c r="AG2382">
        <v>-1.1448320000000001</v>
      </c>
      <c r="AH2382">
        <v>8.3978642510318906</v>
      </c>
      <c r="AI2382">
        <v>97.054693922355696</v>
      </c>
      <c r="AJ2382">
        <v>65.201633601566201</v>
      </c>
      <c r="AK2382">
        <v>9.3214638373229093</v>
      </c>
      <c r="AL2382">
        <v>80.002715431881697</v>
      </c>
      <c r="AM2382">
        <v>79.974572185250807</v>
      </c>
      <c r="AN2382">
        <v>0.99999997549220898</v>
      </c>
    </row>
    <row r="2383" spans="1:40" x14ac:dyDescent="0.3">
      <c r="A2383" t="str">
        <f>"20200111150402901"</f>
        <v>20200111150402901</v>
      </c>
      <c r="B2383" t="str">
        <f>"1578726242891504"</f>
        <v>1578726242891504</v>
      </c>
      <c r="C2383" t="s">
        <v>40</v>
      </c>
      <c r="D2383">
        <v>5.4639860000000002</v>
      </c>
      <c r="E2383">
        <v>0.60133429999999999</v>
      </c>
      <c r="F2383" t="s">
        <v>43</v>
      </c>
      <c r="G2383">
        <v>-315.94209999999998</v>
      </c>
      <c r="H2383">
        <v>-0.05</v>
      </c>
      <c r="I2383">
        <v>12.40001</v>
      </c>
      <c r="J2383">
        <v>-322.43040000000002</v>
      </c>
      <c r="K2383">
        <v>1.094822</v>
      </c>
      <c r="L2383">
        <v>19.33182</v>
      </c>
      <c r="M2383">
        <v>0.92490360000000005</v>
      </c>
      <c r="N2383">
        <v>0</v>
      </c>
      <c r="O2383">
        <v>-0.3799806</v>
      </c>
      <c r="P2383">
        <v>0.83543489999999998</v>
      </c>
      <c r="Q2383">
        <v>0.16465920000000001</v>
      </c>
      <c r="R2383">
        <v>-0.52434399999999903</v>
      </c>
      <c r="S2383">
        <v>2.2128909999999999</v>
      </c>
      <c r="T2383">
        <v>-0.37986399999999998</v>
      </c>
      <c r="U2383">
        <v>-2.32666</v>
      </c>
      <c r="V2383">
        <v>0.17160899999999901</v>
      </c>
      <c r="W2383">
        <v>0.1733141</v>
      </c>
      <c r="X2383">
        <v>0.96980029999999995</v>
      </c>
      <c r="Y2383">
        <v>0.40806619999999999</v>
      </c>
      <c r="Z2383">
        <v>2.1530589999999999E-2</v>
      </c>
      <c r="AA2383">
        <v>0.91269840000000002</v>
      </c>
      <c r="AB2383">
        <v>31</v>
      </c>
      <c r="AC2383">
        <v>6.4883000000000299</v>
      </c>
      <c r="AD2383">
        <v>-1.144822</v>
      </c>
      <c r="AE2383">
        <v>-6.9318099999999996</v>
      </c>
      <c r="AF2383">
        <v>3.88961041944654</v>
      </c>
      <c r="AG2383">
        <v>-1.144822</v>
      </c>
      <c r="AH2383">
        <v>8.5119796567412003</v>
      </c>
      <c r="AI2383">
        <v>96.974268038372998</v>
      </c>
      <c r="AJ2383">
        <v>65.441627770783896</v>
      </c>
      <c r="AK2383">
        <v>9.4283341213348599</v>
      </c>
      <c r="AL2383">
        <v>80.0194361860203</v>
      </c>
      <c r="AM2383">
        <v>79.965221177607901</v>
      </c>
      <c r="AN2383">
        <v>1.00000002400994</v>
      </c>
    </row>
    <row r="2384" spans="1:40" x14ac:dyDescent="0.3">
      <c r="A2384" t="str">
        <f>"20200111150402915"</f>
        <v>20200111150402915</v>
      </c>
      <c r="B2384" t="str">
        <f>"1578726242911024"</f>
        <v>1578726242911024</v>
      </c>
      <c r="C2384" t="s">
        <v>40</v>
      </c>
      <c r="D2384">
        <v>5.4670779999999999</v>
      </c>
      <c r="E2384">
        <v>0.59961629999999999</v>
      </c>
      <c r="F2384" t="s">
        <v>43</v>
      </c>
      <c r="G2384">
        <v>-315.7758</v>
      </c>
      <c r="H2384">
        <v>-0.05</v>
      </c>
      <c r="I2384">
        <v>12.25827</v>
      </c>
      <c r="J2384">
        <v>-322.24779999999998</v>
      </c>
      <c r="K2384">
        <v>1.094811</v>
      </c>
      <c r="L2384">
        <v>19.249420000000001</v>
      </c>
      <c r="M2384">
        <v>0.92208900000000005</v>
      </c>
      <c r="N2384">
        <v>0</v>
      </c>
      <c r="O2384">
        <v>-0.3867604</v>
      </c>
      <c r="P2384">
        <v>0.83122220000000002</v>
      </c>
      <c r="Q2384">
        <v>0.163802799999999</v>
      </c>
      <c r="R2384">
        <v>-0.53126099999999998</v>
      </c>
      <c r="S2384">
        <v>2.1986690000000002</v>
      </c>
      <c r="T2384">
        <v>-0.37824819999999998</v>
      </c>
      <c r="U2384">
        <v>-2.337097</v>
      </c>
      <c r="V2384">
        <v>0.1724579</v>
      </c>
      <c r="W2384">
        <v>0.17243439999999999</v>
      </c>
      <c r="X2384">
        <v>0.96980650000000002</v>
      </c>
      <c r="Y2384">
        <v>0.40639170000000002</v>
      </c>
      <c r="Z2384">
        <v>2.2424099999999999E-2</v>
      </c>
      <c r="AA2384">
        <v>0.91342369999999995</v>
      </c>
      <c r="AB2384">
        <v>31</v>
      </c>
      <c r="AC2384">
        <v>6.47199999999998</v>
      </c>
      <c r="AD2384">
        <v>-1.144811</v>
      </c>
      <c r="AE2384">
        <v>-6.9911500000000002</v>
      </c>
      <c r="AF2384">
        <v>3.88754592281783</v>
      </c>
      <c r="AG2384">
        <v>-1.144811</v>
      </c>
      <c r="AH2384">
        <v>8.5489452374585202</v>
      </c>
      <c r="AI2384">
        <v>96.950097563139195</v>
      </c>
      <c r="AJ2384">
        <v>65.546815899808195</v>
      </c>
      <c r="AK2384">
        <v>9.4608704779635993</v>
      </c>
      <c r="AL2384">
        <v>80.070609502288207</v>
      </c>
      <c r="AM2384">
        <v>79.916661367369798</v>
      </c>
      <c r="AN2384">
        <v>0.99999999850901</v>
      </c>
    </row>
    <row r="2385" spans="1:40" x14ac:dyDescent="0.3">
      <c r="A2385" t="str">
        <f>"20200111150402928"</f>
        <v>20200111150402928</v>
      </c>
      <c r="B2385" t="str">
        <f>"1578726242920783"</f>
        <v>1578726242920783</v>
      </c>
      <c r="C2385" t="s">
        <v>40</v>
      </c>
      <c r="D2385">
        <v>5.4305870000000001</v>
      </c>
      <c r="E2385">
        <v>0.59879450000000001</v>
      </c>
      <c r="F2385" t="s">
        <v>43</v>
      </c>
      <c r="G2385">
        <v>-315.524</v>
      </c>
      <c r="H2385">
        <v>-0.05</v>
      </c>
      <c r="I2385">
        <v>12.039809999999999</v>
      </c>
      <c r="J2385">
        <v>-322.07569999999998</v>
      </c>
      <c r="K2385">
        <v>1.0948059999999999</v>
      </c>
      <c r="L2385">
        <v>19.170590000000001</v>
      </c>
      <c r="M2385">
        <v>0.91938379999999997</v>
      </c>
      <c r="N2385">
        <v>0</v>
      </c>
      <c r="O2385">
        <v>-0.39314759999999999</v>
      </c>
      <c r="P2385">
        <v>0.82728699999999999</v>
      </c>
      <c r="Q2385">
        <v>0.1637267</v>
      </c>
      <c r="R2385">
        <v>-0.53739159999999997</v>
      </c>
      <c r="S2385">
        <v>2.1850589999999999</v>
      </c>
      <c r="T2385">
        <v>-0.37203269999999999</v>
      </c>
      <c r="U2385">
        <v>-2.3429259999999998</v>
      </c>
      <c r="V2385">
        <v>0.1728942</v>
      </c>
      <c r="W2385">
        <v>0.17234379999999999</v>
      </c>
      <c r="X2385">
        <v>0.96974490000000002</v>
      </c>
      <c r="Y2385">
        <v>0.40407369999999998</v>
      </c>
      <c r="Z2385">
        <v>2.3038679999999999E-2</v>
      </c>
      <c r="AA2385">
        <v>0.91443629999999998</v>
      </c>
      <c r="AB2385">
        <v>31</v>
      </c>
      <c r="AC2385">
        <v>6.5516999999999799</v>
      </c>
      <c r="AD2385">
        <v>-1.144806</v>
      </c>
      <c r="AE2385">
        <v>-7.1307799999999997</v>
      </c>
      <c r="AF2385">
        <v>3.9256088197153698</v>
      </c>
      <c r="AG2385">
        <v>-1.144806</v>
      </c>
      <c r="AH2385">
        <v>8.7060424004647903</v>
      </c>
      <c r="AI2385">
        <v>96.835597237604702</v>
      </c>
      <c r="AJ2385">
        <v>65.729089647449797</v>
      </c>
      <c r="AK2385">
        <v>9.6185320949588693</v>
      </c>
      <c r="AL2385">
        <v>80.075879214659693</v>
      </c>
      <c r="AM2385">
        <v>79.891048148908396</v>
      </c>
      <c r="AN2385">
        <v>0.99999998043404403</v>
      </c>
    </row>
    <row r="2386" spans="1:40" x14ac:dyDescent="0.3">
      <c r="A2386" t="str">
        <f>"20200111150402941"</f>
        <v>20200111150402941</v>
      </c>
      <c r="B2386" t="str">
        <f>"1578726242930543"</f>
        <v>1578726242930543</v>
      </c>
      <c r="C2386" t="s">
        <v>40</v>
      </c>
      <c r="D2386">
        <v>5.4701380000000004</v>
      </c>
      <c r="E2386">
        <v>0.59807069999999996</v>
      </c>
      <c r="F2386" t="s">
        <v>43</v>
      </c>
      <c r="G2386">
        <v>-315.42070000000001</v>
      </c>
      <c r="H2386">
        <v>-0.05</v>
      </c>
      <c r="I2386">
        <v>11.958500000000001</v>
      </c>
      <c r="J2386">
        <v>-321.91449999999998</v>
      </c>
      <c r="K2386">
        <v>1.094803</v>
      </c>
      <c r="L2386">
        <v>19.09479</v>
      </c>
      <c r="M2386">
        <v>0.91679840000000001</v>
      </c>
      <c r="N2386">
        <v>0</v>
      </c>
      <c r="O2386">
        <v>-0.39913969999999999</v>
      </c>
      <c r="P2386">
        <v>0.82359680000000002</v>
      </c>
      <c r="Q2386">
        <v>0.16365170000000001</v>
      </c>
      <c r="R2386">
        <v>-0.54305289999999995</v>
      </c>
      <c r="S2386">
        <v>2.17157</v>
      </c>
      <c r="T2386">
        <v>-0.37355509999999997</v>
      </c>
      <c r="U2386">
        <v>-2.3533330000000001</v>
      </c>
      <c r="V2386">
        <v>0.17320920000000001</v>
      </c>
      <c r="W2386">
        <v>0.172257299999999</v>
      </c>
      <c r="X2386">
        <v>0.96970409999999996</v>
      </c>
      <c r="Y2386">
        <v>0.4029856</v>
      </c>
      <c r="Z2386">
        <v>2.396877E-2</v>
      </c>
      <c r="AA2386">
        <v>0.91489240000000005</v>
      </c>
      <c r="AB2386">
        <v>31</v>
      </c>
      <c r="AC2386">
        <v>6.4937999999999603</v>
      </c>
      <c r="AD2386">
        <v>-1.144803</v>
      </c>
      <c r="AE2386">
        <v>-7.13628999999999</v>
      </c>
      <c r="AF2386">
        <v>3.8960903502768698</v>
      </c>
      <c r="AG2386">
        <v>-1.144803</v>
      </c>
      <c r="AH2386">
        <v>8.6804224568204997</v>
      </c>
      <c r="AI2386">
        <v>96.860823082879506</v>
      </c>
      <c r="AJ2386">
        <v>65.827716811240194</v>
      </c>
      <c r="AK2386">
        <v>9.5833098643007109</v>
      </c>
      <c r="AL2386">
        <v>80.0809109722491</v>
      </c>
      <c r="AM2386">
        <v>79.872594000937895</v>
      </c>
      <c r="AN2386">
        <v>1.00000002296236</v>
      </c>
    </row>
    <row r="2387" spans="1:40" x14ac:dyDescent="0.3">
      <c r="A2387" t="str">
        <f>"20200111150402959"</f>
        <v>20200111150402959</v>
      </c>
      <c r="B2387" t="str">
        <f>"1578726242951039"</f>
        <v>1578726242951039</v>
      </c>
      <c r="C2387" t="s">
        <v>40</v>
      </c>
      <c r="D2387">
        <v>5.4742220000000001</v>
      </c>
      <c r="E2387">
        <v>0.59713300000000002</v>
      </c>
      <c r="F2387" t="s">
        <v>43</v>
      </c>
      <c r="G2387">
        <v>-315.29899999999998</v>
      </c>
      <c r="H2387">
        <v>-0.05</v>
      </c>
      <c r="I2387">
        <v>11.854430000000001</v>
      </c>
      <c r="J2387">
        <v>-321.68400000000003</v>
      </c>
      <c r="K2387">
        <v>1.0948070000000001</v>
      </c>
      <c r="L2387">
        <v>18.98462</v>
      </c>
      <c r="M2387">
        <v>0.91302130000000004</v>
      </c>
      <c r="N2387">
        <v>0</v>
      </c>
      <c r="O2387">
        <v>-0.40770590000000001</v>
      </c>
      <c r="P2387">
        <v>0.81856070000000003</v>
      </c>
      <c r="Q2387">
        <v>0.16320219999999999</v>
      </c>
      <c r="R2387">
        <v>-0.55074840000000003</v>
      </c>
      <c r="S2387">
        <v>2.1588440000000002</v>
      </c>
      <c r="T2387">
        <v>-0.37358710000000001</v>
      </c>
      <c r="U2387">
        <v>-2.362762</v>
      </c>
      <c r="V2387">
        <v>0.1731723</v>
      </c>
      <c r="W2387">
        <v>0.17180589999999901</v>
      </c>
      <c r="X2387">
        <v>0.96979079999999995</v>
      </c>
      <c r="Y2387">
        <v>0.39898519999999998</v>
      </c>
      <c r="Z2387">
        <v>2.531282E-2</v>
      </c>
      <c r="AA2387">
        <v>0.91660790000000003</v>
      </c>
      <c r="AB2387">
        <v>31</v>
      </c>
      <c r="AC2387">
        <v>6.38499999999999</v>
      </c>
      <c r="AD2387">
        <v>-1.1448069999999999</v>
      </c>
      <c r="AE2387">
        <v>-7.13018999999999</v>
      </c>
      <c r="AF2387">
        <v>3.8520324777392299</v>
      </c>
      <c r="AG2387">
        <v>-1.1448069999999999</v>
      </c>
      <c r="AH2387">
        <v>8.6141574959144904</v>
      </c>
      <c r="AI2387">
        <v>96.917361984608306</v>
      </c>
      <c r="AJ2387">
        <v>65.907019122563796</v>
      </c>
      <c r="AK2387">
        <v>9.5053903992012199</v>
      </c>
      <c r="AL2387">
        <v>80.107166020039202</v>
      </c>
      <c r="AM2387">
        <v>79.875593352881594</v>
      </c>
      <c r="AN2387">
        <v>1.00000005426336</v>
      </c>
    </row>
    <row r="2388" spans="1:40" x14ac:dyDescent="0.3">
      <c r="A2388" t="str">
        <f>"20200111150402972"</f>
        <v>20200111150402972</v>
      </c>
      <c r="B2388" t="str">
        <f>"1578726242960801"</f>
        <v>1578726242960801</v>
      </c>
      <c r="C2388" t="s">
        <v>40</v>
      </c>
      <c r="D2388">
        <v>5.4329660000000004</v>
      </c>
      <c r="E2388">
        <v>0.58130150000000003</v>
      </c>
      <c r="F2388" t="s">
        <v>43</v>
      </c>
      <c r="G2388">
        <v>-315.16640000000001</v>
      </c>
      <c r="H2388">
        <v>-0.05</v>
      </c>
      <c r="I2388">
        <v>11.74986</v>
      </c>
      <c r="J2388">
        <v>-321.5249</v>
      </c>
      <c r="K2388">
        <v>1.0948020000000001</v>
      </c>
      <c r="L2388">
        <v>18.907229999999998</v>
      </c>
      <c r="M2388">
        <v>0.91035909999999998</v>
      </c>
      <c r="N2388">
        <v>0</v>
      </c>
      <c r="O2388">
        <v>-0.4136165</v>
      </c>
      <c r="P2388">
        <v>0.81519249999999999</v>
      </c>
      <c r="Q2388">
        <v>0.1635192</v>
      </c>
      <c r="R2388">
        <v>-0.55562880000000003</v>
      </c>
      <c r="S2388">
        <v>2.1409609999999999</v>
      </c>
      <c r="T2388">
        <v>-0.37606010000000001</v>
      </c>
      <c r="U2388">
        <v>-2.3765559999999999</v>
      </c>
      <c r="V2388">
        <v>0.17271159999999999</v>
      </c>
      <c r="W2388">
        <v>0.17213049999999999</v>
      </c>
      <c r="X2388">
        <v>0.96981530000000005</v>
      </c>
      <c r="Y2388">
        <v>0.39951910000000002</v>
      </c>
      <c r="Z2388">
        <v>2.6217460000000001E-2</v>
      </c>
      <c r="AA2388">
        <v>0.91634990000000005</v>
      </c>
      <c r="AB2388">
        <v>31</v>
      </c>
      <c r="AC2388">
        <v>6.3584999999999896</v>
      </c>
      <c r="AD2388">
        <v>-1.1448020000000001</v>
      </c>
      <c r="AE2388">
        <v>-7.1573699999999896</v>
      </c>
      <c r="AF2388">
        <v>3.8313401360826198</v>
      </c>
      <c r="AG2388">
        <v>-1.1448020000000001</v>
      </c>
      <c r="AH2388">
        <v>8.6263156381552406</v>
      </c>
      <c r="AI2388">
        <v>96.915385499859994</v>
      </c>
      <c r="AJ2388">
        <v>66.051810795871006</v>
      </c>
      <c r="AK2388">
        <v>9.5080523950304006</v>
      </c>
      <c r="AL2388">
        <v>80.088285620001102</v>
      </c>
      <c r="AM2388">
        <v>79.9022227145106</v>
      </c>
      <c r="AN2388">
        <v>0.99999996095944899</v>
      </c>
    </row>
    <row r="2389" spans="1:40" x14ac:dyDescent="0.3">
      <c r="A2389" t="str">
        <f>"20200111150402986"</f>
        <v>20200111150402986</v>
      </c>
      <c r="B2389" t="str">
        <f>"1578726242981295"</f>
        <v>1578726242981295</v>
      </c>
      <c r="C2389" t="s">
        <v>40</v>
      </c>
      <c r="D2389">
        <v>5.411429</v>
      </c>
      <c r="E2389">
        <v>0.58029809999999904</v>
      </c>
      <c r="F2389" t="s">
        <v>43</v>
      </c>
      <c r="G2389">
        <v>-315.21440000000001</v>
      </c>
      <c r="H2389">
        <v>-0.05</v>
      </c>
      <c r="I2389">
        <v>12.34869</v>
      </c>
      <c r="J2389">
        <v>-321.34440000000001</v>
      </c>
      <c r="K2389">
        <v>1.0948020000000001</v>
      </c>
      <c r="L2389">
        <v>18.81775</v>
      </c>
      <c r="M2389">
        <v>0.90728019999999998</v>
      </c>
      <c r="N2389">
        <v>0</v>
      </c>
      <c r="O2389">
        <v>-0.42032710000000001</v>
      </c>
      <c r="P2389">
        <v>0.81101409999999996</v>
      </c>
      <c r="Q2389">
        <v>0.16355149999999999</v>
      </c>
      <c r="R2389">
        <v>-0.56170069999999905</v>
      </c>
      <c r="S2389">
        <v>2.2010190000000001</v>
      </c>
      <c r="T2389">
        <v>-0.39928750000000002</v>
      </c>
      <c r="U2389">
        <v>-2.287506</v>
      </c>
      <c r="V2389">
        <v>0.17279639999999999</v>
      </c>
      <c r="W2389">
        <v>0.17215730000000001</v>
      </c>
      <c r="X2389">
        <v>0.96979550000000003</v>
      </c>
      <c r="Y2389">
        <v>0.36263269999999997</v>
      </c>
      <c r="Z2389">
        <v>3.1307630000000003E-2</v>
      </c>
      <c r="AA2389">
        <v>0.93140610000000001</v>
      </c>
      <c r="AB2389">
        <v>31</v>
      </c>
      <c r="AC2389">
        <v>6.1299999999999901</v>
      </c>
      <c r="AD2389">
        <v>-1.1448020000000001</v>
      </c>
      <c r="AE2389">
        <v>-6.4690599999999998</v>
      </c>
      <c r="AF2389">
        <v>3.2394679584065198</v>
      </c>
      <c r="AG2389">
        <v>-1.1448020000000001</v>
      </c>
      <c r="AH2389">
        <v>8.1470128662014591</v>
      </c>
      <c r="AI2389">
        <v>97.4392672460244</v>
      </c>
      <c r="AJ2389">
        <v>68.315921994748905</v>
      </c>
      <c r="AK2389">
        <v>8.8418630907065392</v>
      </c>
      <c r="AL2389">
        <v>80.086727432339302</v>
      </c>
      <c r="AM2389">
        <v>79.897164874782703</v>
      </c>
      <c r="AN2389">
        <v>1.0000000218082401</v>
      </c>
    </row>
    <row r="2390" spans="1:40" x14ac:dyDescent="0.3">
      <c r="A2390" t="str">
        <f>"20200111150403004"</f>
        <v>20200111150403004</v>
      </c>
      <c r="B2390" t="str">
        <f>"1578726243000816"</f>
        <v>1578726243000816</v>
      </c>
      <c r="C2390" t="s">
        <v>40</v>
      </c>
      <c r="D2390">
        <v>5.4138000000000002</v>
      </c>
      <c r="E2390">
        <v>0.57973219999999903</v>
      </c>
      <c r="F2390" t="s">
        <v>43</v>
      </c>
      <c r="G2390">
        <v>-315.04790000000003</v>
      </c>
      <c r="H2390">
        <v>-0.05</v>
      </c>
      <c r="I2390">
        <v>12.20903</v>
      </c>
      <c r="J2390">
        <v>-321.12189999999998</v>
      </c>
      <c r="K2390">
        <v>1.0947819999999999</v>
      </c>
      <c r="L2390">
        <v>18.705169999999999</v>
      </c>
      <c r="M2390">
        <v>0.90305579999999996</v>
      </c>
      <c r="N2390">
        <v>0</v>
      </c>
      <c r="O2390">
        <v>-0.42933969999999999</v>
      </c>
      <c r="P2390">
        <v>0.80554619999999999</v>
      </c>
      <c r="Q2390">
        <v>0.1635837</v>
      </c>
      <c r="R2390">
        <v>-0.56950469999999997</v>
      </c>
      <c r="S2390">
        <v>2.1884459999999999</v>
      </c>
      <c r="T2390">
        <v>-0.39789439999999998</v>
      </c>
      <c r="U2390">
        <v>-2.296967</v>
      </c>
      <c r="V2390">
        <v>0.17246449999999999</v>
      </c>
      <c r="W2390">
        <v>0.17184449999999901</v>
      </c>
      <c r="X2390">
        <v>0.96991000000000005</v>
      </c>
      <c r="Y2390">
        <v>0.35802240000000002</v>
      </c>
      <c r="Z2390">
        <v>3.2728559999999997E-2</v>
      </c>
      <c r="AA2390">
        <v>0.93313919999999995</v>
      </c>
      <c r="AB2390">
        <v>31</v>
      </c>
      <c r="AC2390">
        <v>6.0739999999999501</v>
      </c>
      <c r="AD2390">
        <v>-1.144782</v>
      </c>
      <c r="AE2390">
        <v>-6.4961399999999996</v>
      </c>
      <c r="AF2390">
        <v>3.2057079042462799</v>
      </c>
      <c r="AG2390">
        <v>-1.144782</v>
      </c>
      <c r="AH2390">
        <v>8.1399895487428093</v>
      </c>
      <c r="AI2390">
        <v>97.455073982812806</v>
      </c>
      <c r="AJ2390">
        <v>68.504382760976597</v>
      </c>
      <c r="AK2390">
        <v>8.8230674285371595</v>
      </c>
      <c r="AL2390">
        <v>80.1049201921291</v>
      </c>
      <c r="AM2390">
        <v>79.917337358883799</v>
      </c>
      <c r="AN2390">
        <v>0.99999997202024904</v>
      </c>
    </row>
    <row r="2391" spans="1:40" x14ac:dyDescent="0.3">
      <c r="A2391" t="str">
        <f>"20200111150403017"</f>
        <v>20200111150403017</v>
      </c>
      <c r="B2391" t="str">
        <f>"1578726243010575"</f>
        <v>1578726243010575</v>
      </c>
      <c r="C2391" t="s">
        <v>40</v>
      </c>
      <c r="D2391">
        <v>5.3906140000000002</v>
      </c>
      <c r="E2391">
        <v>0.57959869999999902</v>
      </c>
      <c r="F2391" t="s">
        <v>43</v>
      </c>
      <c r="G2391">
        <v>-314.82960000000003</v>
      </c>
      <c r="H2391">
        <v>-0.05</v>
      </c>
      <c r="I2391">
        <v>11.994289999999999</v>
      </c>
      <c r="J2391">
        <v>-320.964</v>
      </c>
      <c r="K2391">
        <v>1.094695</v>
      </c>
      <c r="L2391">
        <v>18.623930000000001</v>
      </c>
      <c r="M2391">
        <v>0.89988880000000004</v>
      </c>
      <c r="N2391">
        <v>0</v>
      </c>
      <c r="O2391">
        <v>-0.43594640000000001</v>
      </c>
      <c r="P2391">
        <v>0.80149689999999996</v>
      </c>
      <c r="Q2391">
        <v>0.1638752</v>
      </c>
      <c r="R2391">
        <v>-0.57510689999999998</v>
      </c>
      <c r="S2391">
        <v>2.1689150000000001</v>
      </c>
      <c r="T2391">
        <v>-0.39460000000000001</v>
      </c>
      <c r="U2391">
        <v>-2.313202</v>
      </c>
      <c r="V2391">
        <v>0.1721434</v>
      </c>
      <c r="W2391">
        <v>0.17189189999999999</v>
      </c>
      <c r="X2391">
        <v>0.96995869999999995</v>
      </c>
      <c r="Y2391">
        <v>0.35866930000000002</v>
      </c>
      <c r="Z2391">
        <v>3.3326599999999998E-2</v>
      </c>
      <c r="AA2391">
        <v>0.93286959999999997</v>
      </c>
      <c r="AB2391">
        <v>31</v>
      </c>
      <c r="AC2391">
        <v>6.1343999999999701</v>
      </c>
      <c r="AD2391">
        <v>-1.144695</v>
      </c>
      <c r="AE2391">
        <v>-6.6296399999999904</v>
      </c>
      <c r="AF2391">
        <v>3.2398809350175402</v>
      </c>
      <c r="AG2391">
        <v>-1.144695</v>
      </c>
      <c r="AH2391">
        <v>8.2781229292230698</v>
      </c>
      <c r="AI2391">
        <v>97.337518117882993</v>
      </c>
      <c r="AJ2391">
        <v>68.625683771854995</v>
      </c>
      <c r="AK2391">
        <v>8.9629500917635294</v>
      </c>
      <c r="AL2391">
        <v>80.102163905595603</v>
      </c>
      <c r="AM2391">
        <v>79.936220458260607</v>
      </c>
      <c r="AN2391">
        <v>1.0000000275774199</v>
      </c>
    </row>
    <row r="2392" spans="1:40" x14ac:dyDescent="0.3">
      <c r="A2392" t="str">
        <f>"20200111150403030"</f>
        <v>20200111150403030</v>
      </c>
      <c r="B2392" t="str">
        <f>"1578726243021312"</f>
        <v>1578726243021312</v>
      </c>
      <c r="C2392" t="s">
        <v>40</v>
      </c>
      <c r="D2392">
        <v>5.3904290000000001</v>
      </c>
      <c r="E2392">
        <v>0.57908549999999903</v>
      </c>
      <c r="F2392" t="s">
        <v>43</v>
      </c>
      <c r="G2392">
        <v>-314.69990000000001</v>
      </c>
      <c r="H2392">
        <v>-0.05</v>
      </c>
      <c r="I2392">
        <v>11.8537</v>
      </c>
      <c r="J2392">
        <v>-320.80079999999998</v>
      </c>
      <c r="K2392">
        <v>1.0945560000000001</v>
      </c>
      <c r="L2392">
        <v>18.539090000000002</v>
      </c>
      <c r="M2392">
        <v>0.89651619999999999</v>
      </c>
      <c r="N2392">
        <v>0</v>
      </c>
      <c r="O2392">
        <v>-0.44284669999999998</v>
      </c>
      <c r="P2392">
        <v>0.79734099999999997</v>
      </c>
      <c r="Q2392">
        <v>0.16386800000000001</v>
      </c>
      <c r="R2392">
        <v>-0.58085730000000002</v>
      </c>
      <c r="S2392">
        <v>2.1534119999999999</v>
      </c>
      <c r="T2392">
        <v>-0.3935149</v>
      </c>
      <c r="U2392">
        <v>-2.327423</v>
      </c>
      <c r="V2392">
        <v>0.1716821</v>
      </c>
      <c r="W2392">
        <v>0.17166970000000001</v>
      </c>
      <c r="X2392">
        <v>0.97007980000000005</v>
      </c>
      <c r="Y2392">
        <v>0.357734</v>
      </c>
      <c r="Z2392">
        <v>3.422356E-2</v>
      </c>
      <c r="AA2392">
        <v>0.93319620000000003</v>
      </c>
      <c r="AB2392">
        <v>31</v>
      </c>
      <c r="AC2392">
        <v>6.1008999999999602</v>
      </c>
      <c r="AD2392">
        <v>-1.1445559999999999</v>
      </c>
      <c r="AE2392">
        <v>-6.6853899999999902</v>
      </c>
      <c r="AF2392">
        <v>3.24021827182878</v>
      </c>
      <c r="AG2392">
        <v>-1.1445559999999999</v>
      </c>
      <c r="AH2392">
        <v>8.29806753790165</v>
      </c>
      <c r="AI2392">
        <v>97.321404455366405</v>
      </c>
      <c r="AJ2392">
        <v>68.670415836630696</v>
      </c>
      <c r="AK2392">
        <v>8.9814780381519803</v>
      </c>
      <c r="AL2392">
        <v>80.115087091550393</v>
      </c>
      <c r="AM2392">
        <v>79.963867232488795</v>
      </c>
      <c r="AN2392">
        <v>1.00000002386326</v>
      </c>
    </row>
    <row r="2393" spans="1:40" x14ac:dyDescent="0.3">
      <c r="A2393" t="str">
        <f>"20200111150403041"</f>
        <v>20200111150403041</v>
      </c>
      <c r="B2393" t="str">
        <f>"1578726243031072"</f>
        <v>1578726243031072</v>
      </c>
      <c r="C2393" t="s">
        <v>40</v>
      </c>
      <c r="D2393">
        <v>5.4274760000000004</v>
      </c>
      <c r="E2393">
        <v>0.57823570000000002</v>
      </c>
      <c r="F2393" t="s">
        <v>43</v>
      </c>
      <c r="G2393">
        <v>-314.6087</v>
      </c>
      <c r="H2393">
        <v>-0.05</v>
      </c>
      <c r="I2393">
        <v>11.76601</v>
      </c>
      <c r="J2393">
        <v>-320.64460000000003</v>
      </c>
      <c r="K2393">
        <v>1.0942889999999901</v>
      </c>
      <c r="L2393">
        <v>18.456209999999999</v>
      </c>
      <c r="M2393">
        <v>0.89324239999999999</v>
      </c>
      <c r="N2393">
        <v>0</v>
      </c>
      <c r="O2393">
        <v>-0.44941229999999999</v>
      </c>
      <c r="P2393">
        <v>0.79365129999999995</v>
      </c>
      <c r="Q2393">
        <v>0.16412489999999999</v>
      </c>
      <c r="R2393">
        <v>-0.58581680000000003</v>
      </c>
      <c r="S2393">
        <v>2.1391300000000002</v>
      </c>
      <c r="T2393">
        <v>-0.39540530000000002</v>
      </c>
      <c r="U2393">
        <v>-2.339874</v>
      </c>
      <c r="V2393">
        <v>0.1707138</v>
      </c>
      <c r="W2393">
        <v>0.17190739999999999</v>
      </c>
      <c r="X2393">
        <v>0.97020859999999998</v>
      </c>
      <c r="Y2393">
        <v>0.35650880000000001</v>
      </c>
      <c r="Z2393">
        <v>3.535642E-2</v>
      </c>
      <c r="AA2393">
        <v>0.93362270000000003</v>
      </c>
      <c r="AB2393">
        <v>31</v>
      </c>
      <c r="AC2393">
        <v>6.0359000000000202</v>
      </c>
      <c r="AD2393">
        <v>-1.1442889999999999</v>
      </c>
      <c r="AE2393">
        <v>-6.6901999999999999</v>
      </c>
      <c r="AF2393">
        <v>3.2118037976554299</v>
      </c>
      <c r="AG2393">
        <v>-1.1442889999999999</v>
      </c>
      <c r="AH2393">
        <v>8.2654947084919392</v>
      </c>
      <c r="AI2393">
        <v>97.352915243292998</v>
      </c>
      <c r="AJ2393">
        <v>68.764882049376197</v>
      </c>
      <c r="AK2393">
        <v>8.9411119960697896</v>
      </c>
      <c r="AL2393">
        <v>80.10126254187</v>
      </c>
      <c r="AM2393">
        <v>80.020628855498202</v>
      </c>
      <c r="AN2393">
        <v>1.00000004159957</v>
      </c>
    </row>
    <row r="2394" spans="1:40" x14ac:dyDescent="0.3">
      <c r="A2394" t="str">
        <f>"20200111150403056"</f>
        <v>20200111150403056</v>
      </c>
      <c r="B2394" t="str">
        <f>"1578726243050591"</f>
        <v>1578726243050591</v>
      </c>
      <c r="C2394" t="s">
        <v>40</v>
      </c>
      <c r="D2394">
        <v>5.4194420000000001</v>
      </c>
      <c r="E2394">
        <v>0.577215699999999</v>
      </c>
      <c r="F2394" t="s">
        <v>43</v>
      </c>
      <c r="G2394">
        <v>-314.49880000000002</v>
      </c>
      <c r="H2394">
        <v>-0.05</v>
      </c>
      <c r="I2394">
        <v>11.672499999999999</v>
      </c>
      <c r="J2394">
        <v>-320.47910000000002</v>
      </c>
      <c r="K2394">
        <v>1.093855</v>
      </c>
      <c r="L2394">
        <v>18.367280000000001</v>
      </c>
      <c r="M2394">
        <v>0.88984039999999998</v>
      </c>
      <c r="N2394">
        <v>0</v>
      </c>
      <c r="O2394">
        <v>-0.45611069999999998</v>
      </c>
      <c r="P2394">
        <v>0.78979500000000002</v>
      </c>
      <c r="Q2394">
        <v>0.16435329999999901</v>
      </c>
      <c r="R2394">
        <v>-0.59094190000000002</v>
      </c>
      <c r="S2394">
        <v>2.1280519999999998</v>
      </c>
      <c r="T2394">
        <v>-0.39622780000000002</v>
      </c>
      <c r="U2394">
        <v>-2.3489689999999999</v>
      </c>
      <c r="V2394">
        <v>0.169849</v>
      </c>
      <c r="W2394">
        <v>0.17207510000000001</v>
      </c>
      <c r="X2394">
        <v>0.97033060000000004</v>
      </c>
      <c r="Y2394">
        <v>0.3537631</v>
      </c>
      <c r="Z2394">
        <v>3.6515880000000001E-2</v>
      </c>
      <c r="AA2394">
        <v>0.93462199999999995</v>
      </c>
      <c r="AB2394">
        <v>31</v>
      </c>
      <c r="AC2394">
        <v>5.9802999999999997</v>
      </c>
      <c r="AD2394">
        <v>-1.1438549999999901</v>
      </c>
      <c r="AE2394">
        <v>-6.69477999999999</v>
      </c>
      <c r="AF2394">
        <v>3.1782408948057101</v>
      </c>
      <c r="AG2394">
        <v>-1.1438549999999901</v>
      </c>
      <c r="AH2394">
        <v>8.2418701249915092</v>
      </c>
      <c r="AI2394">
        <v>97.378258153772904</v>
      </c>
      <c r="AJ2394">
        <v>68.912297001898196</v>
      </c>
      <c r="AK2394">
        <v>8.9071905000211995</v>
      </c>
      <c r="AL2394">
        <v>80.091508257164506</v>
      </c>
      <c r="AM2394">
        <v>80.0713971862086</v>
      </c>
      <c r="AN2394">
        <v>0.999999998068685</v>
      </c>
    </row>
    <row r="2395" spans="1:40" x14ac:dyDescent="0.3">
      <c r="A2395" t="str">
        <f>"20200111150403069"</f>
        <v>20200111150403069</v>
      </c>
      <c r="B2395" t="str">
        <f>"1578726243061327"</f>
        <v>1578726243061327</v>
      </c>
      <c r="C2395" t="s">
        <v>40</v>
      </c>
      <c r="D2395">
        <v>5.3983349999999897</v>
      </c>
      <c r="E2395">
        <v>0.57681009999999999</v>
      </c>
      <c r="F2395" t="s">
        <v>43</v>
      </c>
      <c r="G2395">
        <v>-314.39839999999998</v>
      </c>
      <c r="H2395">
        <v>-0.05</v>
      </c>
      <c r="I2395">
        <v>11.597340000000001</v>
      </c>
      <c r="J2395">
        <v>-320.3098</v>
      </c>
      <c r="K2395">
        <v>1.093259</v>
      </c>
      <c r="L2395">
        <v>18.275179999999999</v>
      </c>
      <c r="M2395">
        <v>0.88643649999999996</v>
      </c>
      <c r="N2395">
        <v>0</v>
      </c>
      <c r="O2395">
        <v>-0.46268999999999999</v>
      </c>
      <c r="P2395">
        <v>0.78607479999999996</v>
      </c>
      <c r="Q2395">
        <v>0.16477339999999999</v>
      </c>
      <c r="R2395">
        <v>-0.59576569999999995</v>
      </c>
      <c r="S2395">
        <v>2.117432</v>
      </c>
      <c r="T2395">
        <v>-0.39831689999999997</v>
      </c>
      <c r="U2395">
        <v>-2.3574519999999999</v>
      </c>
      <c r="V2395">
        <v>0.1688125</v>
      </c>
      <c r="W2395">
        <v>0.172404799999999</v>
      </c>
      <c r="X2395">
        <v>0.97045300000000001</v>
      </c>
      <c r="Y2395">
        <v>0.35089710000000002</v>
      </c>
      <c r="Z2395">
        <v>3.7791209999999999E-2</v>
      </c>
      <c r="AA2395">
        <v>0.93565109999999996</v>
      </c>
      <c r="AB2395">
        <v>31</v>
      </c>
      <c r="AC2395">
        <v>5.9114000000000102</v>
      </c>
      <c r="AD2395">
        <v>-1.143259</v>
      </c>
      <c r="AE2395">
        <v>-6.6778399999999998</v>
      </c>
      <c r="AF2395">
        <v>3.1330859824766102</v>
      </c>
      <c r="AG2395">
        <v>-1.143259</v>
      </c>
      <c r="AH2395">
        <v>8.1957878769833208</v>
      </c>
      <c r="AI2395">
        <v>97.423663180375797</v>
      </c>
      <c r="AJ2395">
        <v>69.079143341104398</v>
      </c>
      <c r="AK2395">
        <v>8.8484014284603507</v>
      </c>
      <c r="AL2395">
        <v>80.072331761360303</v>
      </c>
      <c r="AM2395">
        <v>80.132011669849206</v>
      </c>
      <c r="AN2395">
        <v>1.00000005021414</v>
      </c>
    </row>
    <row r="2396" spans="1:40" x14ac:dyDescent="0.3">
      <c r="A2396" t="str">
        <f>"20200111150403081"</f>
        <v>20200111150403081</v>
      </c>
      <c r="B2396" t="str">
        <f>"1578726243071087"</f>
        <v>1578726243071087</v>
      </c>
      <c r="C2396" t="s">
        <v>40</v>
      </c>
      <c r="D2396">
        <v>5.4218909999999996</v>
      </c>
      <c r="E2396">
        <v>0.57623230000000003</v>
      </c>
      <c r="F2396" t="s">
        <v>43</v>
      </c>
      <c r="G2396">
        <v>-314.24209999999999</v>
      </c>
      <c r="H2396">
        <v>-0.05</v>
      </c>
      <c r="I2396">
        <v>11.44469</v>
      </c>
      <c r="J2396">
        <v>-320.14760000000001</v>
      </c>
      <c r="K2396">
        <v>1.092527</v>
      </c>
      <c r="L2396">
        <v>18.184750000000001</v>
      </c>
      <c r="M2396">
        <v>0.88344929999999999</v>
      </c>
      <c r="N2396">
        <v>0</v>
      </c>
      <c r="O2396">
        <v>-0.46836169999999999</v>
      </c>
      <c r="P2396">
        <v>0.7833078</v>
      </c>
      <c r="Q2396">
        <v>0.1647737</v>
      </c>
      <c r="R2396">
        <v>-0.59939869999999995</v>
      </c>
      <c r="S2396">
        <v>2.104279</v>
      </c>
      <c r="T2396">
        <v>-0.39648119999999998</v>
      </c>
      <c r="U2396">
        <v>-2.368805</v>
      </c>
      <c r="V2396">
        <v>0.1672815</v>
      </c>
      <c r="W2396">
        <v>0.17251900000000001</v>
      </c>
      <c r="X2396">
        <v>0.97069780000000006</v>
      </c>
      <c r="Y2396">
        <v>0.35005779999999997</v>
      </c>
      <c r="Z2396">
        <v>3.8446050000000002E-2</v>
      </c>
      <c r="AA2396">
        <v>0.93593879999999996</v>
      </c>
      <c r="AB2396">
        <v>31</v>
      </c>
      <c r="AC2396">
        <v>5.9055000000000097</v>
      </c>
      <c r="AD2396">
        <v>-1.1425270000000001</v>
      </c>
      <c r="AE2396">
        <v>-6.7400599999999997</v>
      </c>
      <c r="AF2396">
        <v>3.1378309649807501</v>
      </c>
      <c r="AG2396">
        <v>-1.1425270000000001</v>
      </c>
      <c r="AH2396">
        <v>8.2406872197710896</v>
      </c>
      <c r="AI2396">
        <v>97.382651195026</v>
      </c>
      <c r="AJ2396">
        <v>69.154519133165493</v>
      </c>
      <c r="AK2396">
        <v>8.8915846149389903</v>
      </c>
      <c r="AL2396">
        <v>80.065689171474503</v>
      </c>
      <c r="AM2396">
        <v>80.222189614025496</v>
      </c>
      <c r="AN2396">
        <v>1.0000000622640399</v>
      </c>
    </row>
    <row r="2397" spans="1:40" x14ac:dyDescent="0.3">
      <c r="A2397" t="str">
        <f>"20200111150403105"</f>
        <v>20200111150403105</v>
      </c>
      <c r="B2397" t="str">
        <f>"1578726243101344"</f>
        <v>1578726243101344</v>
      </c>
      <c r="C2397" t="s">
        <v>40</v>
      </c>
      <c r="D2397">
        <v>5.4511729999999998</v>
      </c>
      <c r="E2397">
        <v>0.57524370000000002</v>
      </c>
      <c r="F2397" t="s">
        <v>43</v>
      </c>
      <c r="G2397">
        <v>-314.1087</v>
      </c>
      <c r="H2397">
        <v>-0.05</v>
      </c>
      <c r="I2397">
        <v>11.336320000000001</v>
      </c>
      <c r="J2397">
        <v>-319.87099999999998</v>
      </c>
      <c r="K2397">
        <v>1.0912299999999999</v>
      </c>
      <c r="L2397">
        <v>18.027709999999999</v>
      </c>
      <c r="M2397">
        <v>0.87853219999999999</v>
      </c>
      <c r="N2397">
        <v>0</v>
      </c>
      <c r="O2397">
        <v>-0.47750090000000001</v>
      </c>
      <c r="P2397">
        <v>0.77832170000000001</v>
      </c>
      <c r="Q2397">
        <v>0.16430919999999999</v>
      </c>
      <c r="R2397">
        <v>-0.60598479999999999</v>
      </c>
      <c r="S2397">
        <v>2.095154</v>
      </c>
      <c r="T2397">
        <v>-0.3963893</v>
      </c>
      <c r="U2397">
        <v>-2.376007</v>
      </c>
      <c r="V2397">
        <v>0.1656571</v>
      </c>
      <c r="W2397">
        <v>0.17255139999999999</v>
      </c>
      <c r="X2397">
        <v>0.97097049999999996</v>
      </c>
      <c r="Y2397">
        <v>0.3438484</v>
      </c>
      <c r="Z2397">
        <v>4.0066409999999997E-2</v>
      </c>
      <c r="AA2397">
        <v>0.93816999999999995</v>
      </c>
      <c r="AB2397">
        <v>31</v>
      </c>
      <c r="AC2397">
        <v>5.7622999999999802</v>
      </c>
      <c r="AD2397">
        <v>-1.14123</v>
      </c>
      <c r="AE2397">
        <v>-6.6913899999999904</v>
      </c>
      <c r="AF2397">
        <v>3.0759949112541198</v>
      </c>
      <c r="AG2397">
        <v>-1.14123</v>
      </c>
      <c r="AH2397">
        <v>8.1225660925177703</v>
      </c>
      <c r="AI2397">
        <v>97.485493297449494</v>
      </c>
      <c r="AJ2397">
        <v>69.258451887922803</v>
      </c>
      <c r="AK2397">
        <v>8.7601501433640205</v>
      </c>
      <c r="AL2397">
        <v>80.063803760963197</v>
      </c>
      <c r="AM2397">
        <v>80.317999531343403</v>
      </c>
      <c r="AN2397">
        <v>0.99999998614630903</v>
      </c>
    </row>
    <row r="2398" spans="1:40" x14ac:dyDescent="0.3">
      <c r="A2398" t="str">
        <f>"20200111150403118"</f>
        <v>20200111150403118</v>
      </c>
      <c r="B2398" t="str">
        <f>"1578726243111105"</f>
        <v>1578726243111105</v>
      </c>
      <c r="C2398" t="s">
        <v>40</v>
      </c>
      <c r="D2398">
        <v>5.4510459999999998</v>
      </c>
      <c r="E2398">
        <v>0.56726469999999996</v>
      </c>
      <c r="F2398" t="s">
        <v>43</v>
      </c>
      <c r="G2398">
        <v>-313.93169999999998</v>
      </c>
      <c r="H2398">
        <v>-0.05</v>
      </c>
      <c r="I2398">
        <v>11.20407</v>
      </c>
      <c r="J2398">
        <v>-319.7004</v>
      </c>
      <c r="K2398">
        <v>1.0904039999999999</v>
      </c>
      <c r="L2398">
        <v>17.928470000000001</v>
      </c>
      <c r="M2398">
        <v>0.87556429999999996</v>
      </c>
      <c r="N2398">
        <v>0</v>
      </c>
      <c r="O2398">
        <v>-0.48290270000000002</v>
      </c>
      <c r="P2398">
        <v>0.77547119999999903</v>
      </c>
      <c r="Q2398">
        <v>0.1636118</v>
      </c>
      <c r="R2398">
        <v>-0.60981609999999997</v>
      </c>
      <c r="S2398">
        <v>2.0790410000000001</v>
      </c>
      <c r="T2398">
        <v>-0.39948790000000001</v>
      </c>
      <c r="U2398">
        <v>-2.388611</v>
      </c>
      <c r="V2398">
        <v>0.16453690000000001</v>
      </c>
      <c r="W2398">
        <v>0.1723954</v>
      </c>
      <c r="X2398">
        <v>0.97118870000000002</v>
      </c>
      <c r="Y2398">
        <v>0.34415230000000002</v>
      </c>
      <c r="Z2398">
        <v>4.1116220000000002E-2</v>
      </c>
      <c r="AA2398">
        <v>0.93801310000000004</v>
      </c>
      <c r="AB2398">
        <v>31</v>
      </c>
      <c r="AC2398">
        <v>5.7687000000000204</v>
      </c>
      <c r="AD2398">
        <v>-1.140404</v>
      </c>
      <c r="AE2398">
        <v>-6.7244000000000002</v>
      </c>
      <c r="AF2398">
        <v>3.0516615541415502</v>
      </c>
      <c r="AG2398">
        <v>-1.140404</v>
      </c>
      <c r="AH2398">
        <v>8.1636399229708498</v>
      </c>
      <c r="AI2398">
        <v>97.454785892603198</v>
      </c>
      <c r="AJ2398">
        <v>69.503684460385202</v>
      </c>
      <c r="AK2398">
        <v>8.7896630376917795</v>
      </c>
      <c r="AL2398">
        <v>80.072878307700705</v>
      </c>
      <c r="AM2398">
        <v>80.384364276750503</v>
      </c>
      <c r="AN2398">
        <v>1.0000000282052199</v>
      </c>
    </row>
    <row r="2399" spans="1:40" x14ac:dyDescent="0.3">
      <c r="A2399" t="str">
        <f>"20200111150403134"</f>
        <v>20200111150403134</v>
      </c>
      <c r="B2399" t="str">
        <f>"1578726243130624"</f>
        <v>1578726243130624</v>
      </c>
      <c r="C2399" t="s">
        <v>40</v>
      </c>
      <c r="D2399">
        <v>5.4093710000000002</v>
      </c>
      <c r="E2399">
        <v>0.56626200000000004</v>
      </c>
      <c r="F2399" t="s">
        <v>43</v>
      </c>
      <c r="G2399">
        <v>-314.02710000000002</v>
      </c>
      <c r="H2399">
        <v>-0.05</v>
      </c>
      <c r="I2399">
        <v>11.59918</v>
      </c>
      <c r="J2399">
        <v>-319.51389999999998</v>
      </c>
      <c r="K2399">
        <v>1.0894980000000001</v>
      </c>
      <c r="L2399">
        <v>17.818300000000001</v>
      </c>
      <c r="M2399">
        <v>0.87228639999999902</v>
      </c>
      <c r="N2399">
        <v>0</v>
      </c>
      <c r="O2399">
        <v>-0.48877510000000002</v>
      </c>
      <c r="P2399">
        <v>0.77253859999999996</v>
      </c>
      <c r="Q2399">
        <v>0.162725799999999</v>
      </c>
      <c r="R2399">
        <v>-0.61376269999999999</v>
      </c>
      <c r="S2399">
        <v>2.108368</v>
      </c>
      <c r="T2399">
        <v>-0.42380580000000001</v>
      </c>
      <c r="U2399">
        <v>-2.3521420000000002</v>
      </c>
      <c r="V2399">
        <v>0.1629919</v>
      </c>
      <c r="W2399">
        <v>0.1722254</v>
      </c>
      <c r="X2399">
        <v>0.97147930000000005</v>
      </c>
      <c r="Y2399">
        <v>0.32435330000000001</v>
      </c>
      <c r="Z2399">
        <v>4.5819070000000003E-2</v>
      </c>
      <c r="AA2399">
        <v>0.94482569999999999</v>
      </c>
      <c r="AB2399">
        <v>31</v>
      </c>
      <c r="AC2399">
        <v>5.4867999999999597</v>
      </c>
      <c r="AD2399">
        <v>-1.1394979999999999</v>
      </c>
      <c r="AE2399">
        <v>-6.2191199999999904</v>
      </c>
      <c r="AF2399">
        <v>2.69250951402265</v>
      </c>
      <c r="AG2399">
        <v>-1.1394979999999999</v>
      </c>
      <c r="AH2399">
        <v>7.6816428194511897</v>
      </c>
      <c r="AI2399">
        <v>97.969046103529195</v>
      </c>
      <c r="AJ2399">
        <v>70.683813795271007</v>
      </c>
      <c r="AK2399">
        <v>8.2192274321089691</v>
      </c>
      <c r="AL2399">
        <v>80.082766098698002</v>
      </c>
      <c r="AM2399">
        <v>80.475789931804997</v>
      </c>
      <c r="AN2399">
        <v>0.99999998909962995</v>
      </c>
    </row>
    <row r="2400" spans="1:40" x14ac:dyDescent="0.3">
      <c r="A2400" t="str">
        <f>"20200111150403151"</f>
        <v>20200111150403151</v>
      </c>
      <c r="B2400" t="str">
        <f>"1578726243141359"</f>
        <v>1578726243141359</v>
      </c>
      <c r="C2400" t="s">
        <v>40</v>
      </c>
      <c r="D2400">
        <v>5.4204270000000001</v>
      </c>
      <c r="E2400">
        <v>0.56631209999999998</v>
      </c>
      <c r="F2400" t="s">
        <v>43</v>
      </c>
      <c r="G2400">
        <v>-313.88690000000003</v>
      </c>
      <c r="H2400">
        <v>-0.05</v>
      </c>
      <c r="I2400">
        <v>11.50024</v>
      </c>
      <c r="J2400">
        <v>-319.32029999999997</v>
      </c>
      <c r="K2400">
        <v>1.0885739999999999</v>
      </c>
      <c r="L2400">
        <v>17.70187</v>
      </c>
      <c r="M2400">
        <v>0.86880349999999995</v>
      </c>
      <c r="N2400">
        <v>0</v>
      </c>
      <c r="O2400">
        <v>-0.49491190000000002</v>
      </c>
      <c r="P2400">
        <v>0.77096409999999904</v>
      </c>
      <c r="Q2400">
        <v>0.16080320000000001</v>
      </c>
      <c r="R2400">
        <v>-0.61624419999999902</v>
      </c>
      <c r="S2400">
        <v>2.0997620000000001</v>
      </c>
      <c r="T2400">
        <v>-0.4252147</v>
      </c>
      <c r="U2400">
        <v>-2.3576350000000001</v>
      </c>
      <c r="V2400">
        <v>0.15911539999999999</v>
      </c>
      <c r="W2400">
        <v>0.17123050000000001</v>
      </c>
      <c r="X2400">
        <v>0.97229750000000004</v>
      </c>
      <c r="Y2400">
        <v>0.32076389999999999</v>
      </c>
      <c r="Z2400">
        <v>4.7118720000000003E-2</v>
      </c>
      <c r="AA2400">
        <v>0.94598640000000001</v>
      </c>
      <c r="AB2400">
        <v>31</v>
      </c>
      <c r="AC2400">
        <v>5.4333999999999403</v>
      </c>
      <c r="AD2400">
        <v>-1.138574</v>
      </c>
      <c r="AE2400">
        <v>-6.2016299999999998</v>
      </c>
      <c r="AF2400">
        <v>2.6487618151741201</v>
      </c>
      <c r="AG2400">
        <v>-1.138574</v>
      </c>
      <c r="AH2400">
        <v>7.6449805975910499</v>
      </c>
      <c r="AI2400">
        <v>98.0102830409365</v>
      </c>
      <c r="AJ2400">
        <v>70.890297501893301</v>
      </c>
      <c r="AK2400">
        <v>8.1705580130456301</v>
      </c>
      <c r="AL2400">
        <v>80.140629488232193</v>
      </c>
      <c r="AM2400">
        <v>80.705992791216801</v>
      </c>
      <c r="AN2400">
        <v>1.0000000115768299</v>
      </c>
    </row>
    <row r="2401" spans="1:40" x14ac:dyDescent="0.3">
      <c r="A2401" t="str">
        <f>"20200111150403171"</f>
        <v>20200111150403171</v>
      </c>
      <c r="B2401" t="str">
        <f>"1578726243160880"</f>
        <v>1578726243160880</v>
      </c>
      <c r="C2401" t="s">
        <v>40</v>
      </c>
      <c r="D2401">
        <v>5.4057940000000002</v>
      </c>
      <c r="E2401">
        <v>0.56563299999999905</v>
      </c>
      <c r="F2401" t="s">
        <v>43</v>
      </c>
      <c r="G2401">
        <v>-313.78309999999999</v>
      </c>
      <c r="H2401">
        <v>-0.05</v>
      </c>
      <c r="I2401">
        <v>11.42937</v>
      </c>
      <c r="J2401">
        <v>-319.06659999999999</v>
      </c>
      <c r="K2401">
        <v>1.087407</v>
      </c>
      <c r="L2401">
        <v>17.545679999999901</v>
      </c>
      <c r="M2401">
        <v>0.8639926</v>
      </c>
      <c r="N2401">
        <v>0</v>
      </c>
      <c r="O2401">
        <v>-0.503224</v>
      </c>
      <c r="P2401">
        <v>0.76765699999999903</v>
      </c>
      <c r="Q2401">
        <v>0.16044029999999901</v>
      </c>
      <c r="R2401">
        <v>-0.62045299999999903</v>
      </c>
      <c r="S2401">
        <v>2.089172</v>
      </c>
      <c r="T2401">
        <v>-0.42958150000000001</v>
      </c>
      <c r="U2401">
        <v>-2.3666079999999998</v>
      </c>
      <c r="V2401">
        <v>0.15510209999999999</v>
      </c>
      <c r="W2401">
        <v>0.17216719999999999</v>
      </c>
      <c r="X2401">
        <v>0.97278050000000005</v>
      </c>
      <c r="Y2401">
        <v>0.3159325</v>
      </c>
      <c r="Z2401">
        <v>4.9138220000000003E-2</v>
      </c>
      <c r="AA2401">
        <v>0.94750840000000003</v>
      </c>
      <c r="AB2401">
        <v>31</v>
      </c>
      <c r="AC2401">
        <v>5.2835000000000001</v>
      </c>
      <c r="AD2401">
        <v>-1.1374070000000001</v>
      </c>
      <c r="AE2401">
        <v>-6.1163099999999897</v>
      </c>
      <c r="AF2401">
        <v>2.57503712031248</v>
      </c>
      <c r="AG2401">
        <v>-1.1374070000000001</v>
      </c>
      <c r="AH2401">
        <v>7.4954183061059902</v>
      </c>
      <c r="AI2401">
        <v>98.166980101470699</v>
      </c>
      <c r="AJ2401">
        <v>71.039935627443896</v>
      </c>
      <c r="AK2401">
        <v>8.0066101714861198</v>
      </c>
      <c r="AL2401">
        <v>80.086151925414697</v>
      </c>
      <c r="AM2401">
        <v>80.940896995346094</v>
      </c>
      <c r="AN2401">
        <v>1.00000005368024</v>
      </c>
    </row>
    <row r="2402" spans="1:40" x14ac:dyDescent="0.3">
      <c r="A2402" t="str">
        <f>"20200111150403194"</f>
        <v>20200111150403194</v>
      </c>
      <c r="B2402" t="str">
        <f>"1578726243191135"</f>
        <v>1578726243191135</v>
      </c>
      <c r="C2402" t="s">
        <v>40</v>
      </c>
      <c r="D2402">
        <v>5.3641199999999998</v>
      </c>
      <c r="E2402">
        <v>0.56478459999999997</v>
      </c>
      <c r="F2402" t="s">
        <v>43</v>
      </c>
      <c r="G2402">
        <v>-313.59269999999998</v>
      </c>
      <c r="H2402">
        <v>-0.05</v>
      </c>
      <c r="I2402">
        <v>11.289949999999999</v>
      </c>
      <c r="J2402">
        <v>-318.79910000000001</v>
      </c>
      <c r="K2402">
        <v>1.0862830000000001</v>
      </c>
      <c r="L2402">
        <v>17.37735</v>
      </c>
      <c r="M2402">
        <v>0.85816599999999998</v>
      </c>
      <c r="N2402">
        <v>0</v>
      </c>
      <c r="O2402">
        <v>-0.51306269999999998</v>
      </c>
      <c r="P2402">
        <v>0.76219230000000004</v>
      </c>
      <c r="Q2402">
        <v>0.1623462</v>
      </c>
      <c r="R2402">
        <v>-0.62666350000000004</v>
      </c>
      <c r="S2402">
        <v>2.07843</v>
      </c>
      <c r="T2402">
        <v>-0.43187310000000001</v>
      </c>
      <c r="U2402">
        <v>-2.375305</v>
      </c>
      <c r="V2402">
        <v>0.1520446</v>
      </c>
      <c r="W2402">
        <v>0.17526929999999999</v>
      </c>
      <c r="X2402">
        <v>0.97270919999999905</v>
      </c>
      <c r="Y2402">
        <v>0.30934509999999998</v>
      </c>
      <c r="Z2402">
        <v>5.1286129999999999E-2</v>
      </c>
      <c r="AA2402">
        <v>0.94956589999999996</v>
      </c>
      <c r="AB2402">
        <v>31</v>
      </c>
      <c r="AC2402">
        <v>5.2064000000000297</v>
      </c>
      <c r="AD2402">
        <v>-1.1362829999999999</v>
      </c>
      <c r="AE2402">
        <v>-6.0873999999999997</v>
      </c>
      <c r="AF2402">
        <v>2.5028318326141301</v>
      </c>
      <c r="AG2402">
        <v>-1.1362829999999999</v>
      </c>
      <c r="AH2402">
        <v>7.4426136848908104</v>
      </c>
      <c r="AI2402">
        <v>98.234074571163404</v>
      </c>
      <c r="AJ2402">
        <v>71.413031898813998</v>
      </c>
      <c r="AK2402">
        <v>7.93396525710566</v>
      </c>
      <c r="AL2402">
        <v>79.905670306385005</v>
      </c>
      <c r="AM2402">
        <v>81.115960628715698</v>
      </c>
      <c r="AN2402">
        <v>1.00000003783814</v>
      </c>
    </row>
    <row r="2403" spans="1:40" x14ac:dyDescent="0.3">
      <c r="A2403" t="str">
        <f>"20200111150403206"</f>
        <v>20200111150403206</v>
      </c>
      <c r="B2403" t="str">
        <f>"1578726243200896"</f>
        <v>1578726243200896</v>
      </c>
      <c r="C2403" t="s">
        <v>40</v>
      </c>
      <c r="D2403">
        <v>5.3500819999999996</v>
      </c>
      <c r="E2403">
        <v>0.5646603</v>
      </c>
      <c r="F2403" t="s">
        <v>43</v>
      </c>
      <c r="G2403">
        <v>-313.33870000000002</v>
      </c>
      <c r="H2403">
        <v>-0.05</v>
      </c>
      <c r="I2403">
        <v>11.061199999999999</v>
      </c>
      <c r="J2403">
        <v>-318.64620000000002</v>
      </c>
      <c r="K2403">
        <v>1.0855980000000001</v>
      </c>
      <c r="L2403">
        <v>17.279540000000001</v>
      </c>
      <c r="M2403">
        <v>0.85460270000000005</v>
      </c>
      <c r="N2403">
        <v>0</v>
      </c>
      <c r="O2403">
        <v>-0.51895420000000003</v>
      </c>
      <c r="P2403">
        <v>0.75825669999999901</v>
      </c>
      <c r="Q2403">
        <v>0.16412860000000001</v>
      </c>
      <c r="R2403">
        <v>-0.63095869999999998</v>
      </c>
      <c r="S2403">
        <v>2.0643009999999999</v>
      </c>
      <c r="T2403">
        <v>-0.42956549999999999</v>
      </c>
      <c r="U2403">
        <v>-2.3877869999999999</v>
      </c>
      <c r="V2403">
        <v>0.1510254</v>
      </c>
      <c r="W2403">
        <v>0.17775489999999999</v>
      </c>
      <c r="X2403">
        <v>0.97241679999999997</v>
      </c>
      <c r="Y2403">
        <v>0.30849949999999998</v>
      </c>
      <c r="Z2403">
        <v>5.1938249999999998E-2</v>
      </c>
      <c r="AA2403">
        <v>0.94980549999999997</v>
      </c>
      <c r="AB2403">
        <v>31</v>
      </c>
      <c r="AC2403">
        <v>5.3075000000000001</v>
      </c>
      <c r="AD2403">
        <v>-1.1355979999999899</v>
      </c>
      <c r="AE2403">
        <v>-6.2183400000000004</v>
      </c>
      <c r="AF2403">
        <v>2.5118328059697901</v>
      </c>
      <c r="AG2403">
        <v>-1.1355979999999899</v>
      </c>
      <c r="AH2403">
        <v>7.6171916673119497</v>
      </c>
      <c r="AI2403">
        <v>98.058613541147906</v>
      </c>
      <c r="AJ2403">
        <v>71.749595078072502</v>
      </c>
      <c r="AK2403">
        <v>8.1006478604687402</v>
      </c>
      <c r="AL2403">
        <v>79.760983222582198</v>
      </c>
      <c r="AM2403">
        <v>81.171960431015705</v>
      </c>
      <c r="AN2403">
        <v>0.999999954420704</v>
      </c>
    </row>
    <row r="2404" spans="1:40" x14ac:dyDescent="0.3">
      <c r="A2404" t="str">
        <f>"20200111150403229"</f>
        <v>20200111150403229</v>
      </c>
      <c r="B2404" t="str">
        <f>"1578726243221391"</f>
        <v>1578726243221391</v>
      </c>
      <c r="C2404" t="s">
        <v>40</v>
      </c>
      <c r="D2404">
        <v>5.379467</v>
      </c>
      <c r="E2404">
        <v>0.60594359999999903</v>
      </c>
      <c r="F2404" t="s">
        <v>43</v>
      </c>
      <c r="G2404">
        <v>-313.16640000000001</v>
      </c>
      <c r="H2404">
        <v>-0.05</v>
      </c>
      <c r="I2404">
        <v>10.87579</v>
      </c>
      <c r="J2404">
        <v>-318.38619999999997</v>
      </c>
      <c r="K2404">
        <v>1.0841620000000001</v>
      </c>
      <c r="L2404">
        <v>17.110379999999999</v>
      </c>
      <c r="M2404">
        <v>0.84841880000000003</v>
      </c>
      <c r="N2404">
        <v>0</v>
      </c>
      <c r="O2404">
        <v>-0.52895939999999997</v>
      </c>
      <c r="P2404">
        <v>0.75068829999999998</v>
      </c>
      <c r="Q2404">
        <v>0.16741919999999999</v>
      </c>
      <c r="R2404">
        <v>-0.63909159999999998</v>
      </c>
      <c r="S2404">
        <v>2.0525509999999998</v>
      </c>
      <c r="T2404">
        <v>-0.42536160000000001</v>
      </c>
      <c r="U2404">
        <v>-2.3986510000000001</v>
      </c>
      <c r="V2404">
        <v>0.1504982</v>
      </c>
      <c r="W2404">
        <v>0.1823089</v>
      </c>
      <c r="X2404">
        <v>0.97165520000000005</v>
      </c>
      <c r="Y2404">
        <v>0.3021935</v>
      </c>
      <c r="Z2404">
        <v>5.3281839999999997E-2</v>
      </c>
      <c r="AA2404">
        <v>0.95175639999999995</v>
      </c>
      <c r="AB2404">
        <v>31</v>
      </c>
      <c r="AC2404">
        <v>5.2197999999999602</v>
      </c>
      <c r="AD2404">
        <v>-1.1341619999999999</v>
      </c>
      <c r="AE2404">
        <v>-6.2345899999999901</v>
      </c>
      <c r="AF2404">
        <v>2.4807078793975901</v>
      </c>
      <c r="AG2404">
        <v>-1.1341619999999999</v>
      </c>
      <c r="AH2404">
        <v>7.5804381591029504</v>
      </c>
      <c r="AI2404">
        <v>98.092999303474699</v>
      </c>
      <c r="AJ2404">
        <v>71.879251154456796</v>
      </c>
      <c r="AK2404">
        <v>8.0562570533178395</v>
      </c>
      <c r="AL2404">
        <v>79.495724701377398</v>
      </c>
      <c r="AM2404">
        <v>81.195506663409205</v>
      </c>
      <c r="AN2404">
        <v>1.00000003545474</v>
      </c>
    </row>
    <row r="2405" spans="1:40" x14ac:dyDescent="0.3">
      <c r="A2405" t="str">
        <f>"20200111150403250"</f>
        <v>20200111150403250</v>
      </c>
      <c r="B2405" t="str">
        <f>"1578726243240911"</f>
        <v>1578726243240911</v>
      </c>
      <c r="C2405" t="s">
        <v>40</v>
      </c>
      <c r="D2405">
        <v>5.2571949999999896</v>
      </c>
      <c r="E2405">
        <v>0.6353415</v>
      </c>
      <c r="F2405" t="s">
        <v>43</v>
      </c>
      <c r="G2405">
        <v>-311.80540000000002</v>
      </c>
      <c r="H2405">
        <v>-0.05</v>
      </c>
      <c r="I2405">
        <v>7.4219819999999999</v>
      </c>
      <c r="J2405">
        <v>-318.12700000000001</v>
      </c>
      <c r="K2405">
        <v>1.0822969999999901</v>
      </c>
      <c r="L2405">
        <v>16.93787</v>
      </c>
      <c r="M2405">
        <v>0.8423699</v>
      </c>
      <c r="N2405">
        <v>0</v>
      </c>
      <c r="O2405">
        <v>-0.53849590000000003</v>
      </c>
      <c r="P2405">
        <v>0.74269069999999904</v>
      </c>
      <c r="Q2405">
        <v>0.16817839999999901</v>
      </c>
      <c r="R2405">
        <v>-0.64817199999999997</v>
      </c>
      <c r="S2405">
        <v>1.8042910000000001</v>
      </c>
      <c r="T2405">
        <v>-0.31095810000000002</v>
      </c>
      <c r="U2405">
        <v>-2.6563110000000001</v>
      </c>
      <c r="V2405">
        <v>0.15150379999999899</v>
      </c>
      <c r="W2405">
        <v>0.1841689</v>
      </c>
      <c r="X2405">
        <v>0.97114800000000001</v>
      </c>
      <c r="Y2405">
        <v>0.39470149999999998</v>
      </c>
      <c r="Z2405">
        <v>3.5267229999999997E-2</v>
      </c>
      <c r="AA2405">
        <v>0.91813230000000001</v>
      </c>
      <c r="AB2405">
        <v>31</v>
      </c>
      <c r="AC2405">
        <v>6.3215999999999797</v>
      </c>
      <c r="AD2405">
        <v>-1.1322970000000001</v>
      </c>
      <c r="AE2405">
        <v>-9.5158880000000003</v>
      </c>
      <c r="AF2405">
        <v>4.5678736174319798</v>
      </c>
      <c r="AG2405">
        <v>-1.1322970000000001</v>
      </c>
      <c r="AH2405">
        <v>10.3499943628886</v>
      </c>
      <c r="AI2405">
        <v>95.715506358205204</v>
      </c>
      <c r="AJ2405">
        <v>66.186181025795705</v>
      </c>
      <c r="AK2405">
        <v>11.3696943315494</v>
      </c>
      <c r="AL2405">
        <v>79.387318801385405</v>
      </c>
      <c r="AM2405">
        <v>81.133052562171301</v>
      </c>
      <c r="AN2405">
        <v>1.00000001152282</v>
      </c>
    </row>
    <row r="2406" spans="1:40" x14ac:dyDescent="0.3">
      <c r="A2406" t="str">
        <f>"20200111150403272"</f>
        <v>20200111150403272</v>
      </c>
      <c r="B2406" t="str">
        <f>"1578726243261408"</f>
        <v>1578726243261408</v>
      </c>
      <c r="C2406" t="s">
        <v>40</v>
      </c>
      <c r="D2406">
        <v>5.193365</v>
      </c>
      <c r="E2406">
        <v>0.65085209999999905</v>
      </c>
      <c r="F2406" t="s">
        <v>43</v>
      </c>
      <c r="G2406">
        <v>-310.92919999999998</v>
      </c>
      <c r="H2406">
        <v>-0.05</v>
      </c>
      <c r="I2406">
        <v>4.2812039999999998</v>
      </c>
      <c r="J2406">
        <v>-317.8777</v>
      </c>
      <c r="K2406">
        <v>1.080139</v>
      </c>
      <c r="L2406">
        <v>16.7684</v>
      </c>
      <c r="M2406">
        <v>0.83699519999999905</v>
      </c>
      <c r="N2406">
        <v>0</v>
      </c>
      <c r="O2406">
        <v>-0.54678159999999998</v>
      </c>
      <c r="P2406">
        <v>0.736811199999999</v>
      </c>
      <c r="Q2406">
        <v>0.16471820000000001</v>
      </c>
      <c r="R2406">
        <v>-0.65572710000000001</v>
      </c>
      <c r="S2406">
        <v>1.6163940000000001</v>
      </c>
      <c r="T2406">
        <v>-0.25427810000000001</v>
      </c>
      <c r="U2406">
        <v>-2.842285</v>
      </c>
      <c r="V2406">
        <v>0.1513948</v>
      </c>
      <c r="W2406">
        <v>0.18144009999999999</v>
      </c>
      <c r="X2406">
        <v>0.9716785</v>
      </c>
      <c r="Y2406">
        <v>0.45746009999999998</v>
      </c>
      <c r="Z2406">
        <v>2.6714290000000002E-2</v>
      </c>
      <c r="AA2406">
        <v>0.88882879999999997</v>
      </c>
      <c r="AB2406">
        <v>31</v>
      </c>
      <c r="AC2406">
        <v>6.9485000000000197</v>
      </c>
      <c r="AD2406">
        <v>-1.130139</v>
      </c>
      <c r="AE2406">
        <v>-12.487196000000001</v>
      </c>
      <c r="AF2406">
        <v>6.6126137438568797</v>
      </c>
      <c r="AG2406">
        <v>-1.130139</v>
      </c>
      <c r="AH2406">
        <v>12.567990831385</v>
      </c>
      <c r="AI2406">
        <v>94.549961028526297</v>
      </c>
      <c r="AJ2406">
        <v>62.249022067751199</v>
      </c>
      <c r="AK2406">
        <v>14.2463422752138</v>
      </c>
      <c r="AL2406">
        <v>79.546347215033805</v>
      </c>
      <c r="AM2406">
        <v>81.144091551920098</v>
      </c>
      <c r="AN2406">
        <v>1.0000000013586501</v>
      </c>
    </row>
    <row r="2407" spans="1:40" x14ac:dyDescent="0.3">
      <c r="A2407" t="str">
        <f>"20200111150403294"</f>
        <v>20200111150403294</v>
      </c>
      <c r="B2407" t="str">
        <f>"1578726243290688"</f>
        <v>1578726243290688</v>
      </c>
      <c r="C2407" t="s">
        <v>40</v>
      </c>
      <c r="D2407">
        <v>5.2025090000000001</v>
      </c>
      <c r="E2407">
        <v>0.66014240000000002</v>
      </c>
      <c r="F2407" t="s">
        <v>43</v>
      </c>
      <c r="G2407">
        <v>-310.94920000000002</v>
      </c>
      <c r="H2407">
        <v>-0.05</v>
      </c>
      <c r="I2407">
        <v>3.2297210000000001</v>
      </c>
      <c r="J2407">
        <v>-317.61340000000001</v>
      </c>
      <c r="K2407">
        <v>1.077604</v>
      </c>
      <c r="L2407">
        <v>16.58511</v>
      </c>
      <c r="M2407">
        <v>0.83187180000000005</v>
      </c>
      <c r="N2407">
        <v>0</v>
      </c>
      <c r="O2407">
        <v>-0.55452209999999902</v>
      </c>
      <c r="P2407">
        <v>0.73301959999999999</v>
      </c>
      <c r="Q2407">
        <v>0.15405579999999999</v>
      </c>
      <c r="R2407">
        <v>-0.66253260000000003</v>
      </c>
      <c r="S2407">
        <v>1.506561</v>
      </c>
      <c r="T2407">
        <v>-0.24574480000000001</v>
      </c>
      <c r="U2407">
        <v>-2.9439389999999999</v>
      </c>
      <c r="V2407">
        <v>0.14988489999999999</v>
      </c>
      <c r="W2407">
        <v>0.17136109999999999</v>
      </c>
      <c r="X2407">
        <v>0.97374019999999994</v>
      </c>
      <c r="Y2407">
        <v>0.4880504</v>
      </c>
      <c r="Z2407">
        <v>2.5058529999999999E-2</v>
      </c>
      <c r="AA2407">
        <v>0.87245569999999895</v>
      </c>
      <c r="AB2407">
        <v>31</v>
      </c>
      <c r="AC2407">
        <v>6.6641999999999904</v>
      </c>
      <c r="AD2407">
        <v>-1.1276040000000001</v>
      </c>
      <c r="AE2407">
        <v>-13.355389000000001</v>
      </c>
      <c r="AF2407">
        <v>7.37427123920728</v>
      </c>
      <c r="AG2407">
        <v>-1.1276040000000001</v>
      </c>
      <c r="AH2407">
        <v>12.8793138583603</v>
      </c>
      <c r="AI2407">
        <v>94.344913772588299</v>
      </c>
      <c r="AJ2407">
        <v>60.205967755276603</v>
      </c>
      <c r="AK2407">
        <v>14.883819823968899</v>
      </c>
      <c r="AL2407">
        <v>80.133034719255306</v>
      </c>
      <c r="AM2407">
        <v>81.249313196958198</v>
      </c>
      <c r="AN2407">
        <v>1.00000004346862</v>
      </c>
    </row>
    <row r="2408" spans="1:40" x14ac:dyDescent="0.3">
      <c r="A2408" t="str">
        <f>"20200111150403318"</f>
        <v>20200111150403318</v>
      </c>
      <c r="B2408" t="str">
        <f>"1578726243311186"</f>
        <v>1578726243311186</v>
      </c>
      <c r="C2408" t="s">
        <v>40</v>
      </c>
      <c r="D2408">
        <v>5.200043</v>
      </c>
      <c r="E2408">
        <v>0.6616147</v>
      </c>
      <c r="F2408" t="s">
        <v>43</v>
      </c>
      <c r="G2408">
        <v>-311.34129999999999</v>
      </c>
      <c r="H2408">
        <v>-0.05</v>
      </c>
      <c r="I2408">
        <v>3.4059300000000001</v>
      </c>
      <c r="J2408">
        <v>-317.34870000000001</v>
      </c>
      <c r="K2408">
        <v>1.07511</v>
      </c>
      <c r="L2408">
        <v>16.397919999999999</v>
      </c>
      <c r="M2408">
        <v>0.82720400000000005</v>
      </c>
      <c r="N2408">
        <v>0</v>
      </c>
      <c r="O2408">
        <v>-0.56144559999999999</v>
      </c>
      <c r="P2408">
        <v>0.7298962</v>
      </c>
      <c r="Q2408">
        <v>0.14238010000000001</v>
      </c>
      <c r="R2408">
        <v>-0.66856549999999904</v>
      </c>
      <c r="S2408">
        <v>1.4302979999999901</v>
      </c>
      <c r="T2408">
        <v>-0.2571408</v>
      </c>
      <c r="U2408">
        <v>-3.0054020000000001</v>
      </c>
      <c r="V2408">
        <v>0.14813319999999999</v>
      </c>
      <c r="W2408">
        <v>0.16016</v>
      </c>
      <c r="X2408">
        <v>0.97591260000000002</v>
      </c>
      <c r="Y2408">
        <v>0.50577249999999996</v>
      </c>
      <c r="Z2408">
        <v>2.5978850000000001E-2</v>
      </c>
      <c r="AA2408">
        <v>0.86227569999999998</v>
      </c>
      <c r="AB2408">
        <v>31</v>
      </c>
      <c r="AC2408">
        <v>6.0074000000000103</v>
      </c>
      <c r="AD2408">
        <v>-1.1251100000000001</v>
      </c>
      <c r="AE2408">
        <v>-12.991989999999999</v>
      </c>
      <c r="AF2408">
        <v>7.3307937922242203</v>
      </c>
      <c r="AG2408">
        <v>-1.1251100000000001</v>
      </c>
      <c r="AH2408">
        <v>12.1914580078495</v>
      </c>
      <c r="AI2408">
        <v>94.522089173336099</v>
      </c>
      <c r="AJ2408">
        <v>58.981264918693</v>
      </c>
      <c r="AK2408">
        <v>14.270180744944</v>
      </c>
      <c r="AL2408">
        <v>80.783817029101598</v>
      </c>
      <c r="AM2408">
        <v>81.368991103102601</v>
      </c>
      <c r="AN2408">
        <v>1.00000003669049</v>
      </c>
    </row>
    <row r="2409" spans="1:40" x14ac:dyDescent="0.3">
      <c r="A2409" t="str">
        <f>"20200111150403329"</f>
        <v>20200111150403329</v>
      </c>
      <c r="B2409" t="str">
        <f>"1578726243320945"</f>
        <v>1578726243320945</v>
      </c>
      <c r="C2409" t="s">
        <v>40</v>
      </c>
      <c r="D2409">
        <v>5.1783679999999999</v>
      </c>
      <c r="E2409">
        <v>0.66188190000000002</v>
      </c>
      <c r="F2409" t="s">
        <v>43</v>
      </c>
      <c r="G2409">
        <v>-311.77260000000001</v>
      </c>
      <c r="H2409">
        <v>-0.05</v>
      </c>
      <c r="I2409">
        <v>4.3505250000000002</v>
      </c>
      <c r="J2409">
        <v>-317.21140000000003</v>
      </c>
      <c r="K2409">
        <v>1.073882</v>
      </c>
      <c r="L2409">
        <v>16.29974</v>
      </c>
      <c r="M2409">
        <v>0.82488629999999996</v>
      </c>
      <c r="N2409">
        <v>0</v>
      </c>
      <c r="O2409">
        <v>-0.56484009999999996</v>
      </c>
      <c r="P2409">
        <v>0.72856269999999901</v>
      </c>
      <c r="Q2409">
        <v>0.13737449999999901</v>
      </c>
      <c r="R2409">
        <v>-0.67106290000000002</v>
      </c>
      <c r="S2409">
        <v>1.398193</v>
      </c>
      <c r="T2409">
        <v>-0.28211740000000002</v>
      </c>
      <c r="U2409">
        <v>-3.0208439999999999</v>
      </c>
      <c r="V2409">
        <v>0.14674400000000001</v>
      </c>
      <c r="W2409">
        <v>0.15537699999999999</v>
      </c>
      <c r="X2409">
        <v>0.97689519999999996</v>
      </c>
      <c r="Y2409">
        <v>0.51143179999999999</v>
      </c>
      <c r="Z2409">
        <v>2.8581929999999998E-2</v>
      </c>
      <c r="AA2409">
        <v>0.85884850000000001</v>
      </c>
      <c r="AB2409">
        <v>31</v>
      </c>
      <c r="AC2409">
        <v>5.4388000000000103</v>
      </c>
      <c r="AD2409">
        <v>-1.123882</v>
      </c>
      <c r="AE2409">
        <v>-11.949215000000001</v>
      </c>
      <c r="AF2409">
        <v>6.7370798828766603</v>
      </c>
      <c r="AG2409">
        <v>-1.123882</v>
      </c>
      <c r="AH2409">
        <v>11.1569403345728</v>
      </c>
      <c r="AI2409">
        <v>94.928532973239896</v>
      </c>
      <c r="AJ2409">
        <v>58.874466346413598</v>
      </c>
      <c r="AK2409">
        <v>13.081615868362899</v>
      </c>
      <c r="AL2409">
        <v>81.061338540624305</v>
      </c>
      <c r="AM2409">
        <v>81.457205169004396</v>
      </c>
      <c r="AN2409">
        <v>1.00000002272401</v>
      </c>
    </row>
    <row r="2410" spans="1:40" x14ac:dyDescent="0.3">
      <c r="A2410" t="str">
        <f>"20200111150403351"</f>
        <v>20200111150403351</v>
      </c>
      <c r="B2410" t="str">
        <f>"1578726243341439"</f>
        <v>1578726243341439</v>
      </c>
      <c r="C2410" t="s">
        <v>40</v>
      </c>
      <c r="D2410">
        <v>5.1814429999999998</v>
      </c>
      <c r="E2410">
        <v>0.66193760000000001</v>
      </c>
      <c r="F2410" t="s">
        <v>43</v>
      </c>
      <c r="G2410">
        <v>-311.8297</v>
      </c>
      <c r="H2410">
        <v>-0.05</v>
      </c>
      <c r="I2410">
        <v>4.5425420000000001</v>
      </c>
      <c r="J2410">
        <v>-316.97280000000001</v>
      </c>
      <c r="K2410">
        <v>1.071971</v>
      </c>
      <c r="L2410">
        <v>16.126739999999899</v>
      </c>
      <c r="M2410">
        <v>0.82105049999999902</v>
      </c>
      <c r="N2410">
        <v>0</v>
      </c>
      <c r="O2410">
        <v>-0.57039989999999996</v>
      </c>
      <c r="P2410">
        <v>0.72632680000000005</v>
      </c>
      <c r="Q2410">
        <v>0.1334197</v>
      </c>
      <c r="R2410">
        <v>-0.67427689999999996</v>
      </c>
      <c r="S2410">
        <v>1.3851009999999999</v>
      </c>
      <c r="T2410">
        <v>-0.2892554</v>
      </c>
      <c r="U2410">
        <v>-3.02597</v>
      </c>
      <c r="V2410">
        <v>0.14376829999999999</v>
      </c>
      <c r="W2410">
        <v>0.15170169999999999</v>
      </c>
      <c r="X2410">
        <v>0.97791479999999997</v>
      </c>
      <c r="Y2410">
        <v>0.50926300000000002</v>
      </c>
      <c r="Z2410">
        <v>2.997849E-2</v>
      </c>
      <c r="AA2410">
        <v>0.86008859999999998</v>
      </c>
      <c r="AB2410">
        <v>31</v>
      </c>
      <c r="AC2410">
        <v>5.1430999999999996</v>
      </c>
      <c r="AD2410">
        <v>-1.1219709999999901</v>
      </c>
      <c r="AE2410">
        <v>-11.584197999999899</v>
      </c>
      <c r="AF2410">
        <v>6.5281440851474004</v>
      </c>
      <c r="AG2410">
        <v>-1.1219709999999901</v>
      </c>
      <c r="AH2410">
        <v>10.7489582792271</v>
      </c>
      <c r="AI2410">
        <v>95.098143999259193</v>
      </c>
      <c r="AJ2410">
        <v>58.728515227086397</v>
      </c>
      <c r="AK2410">
        <v>12.625988603267899</v>
      </c>
      <c r="AL2410">
        <v>81.2744449218238</v>
      </c>
      <c r="AM2410">
        <v>81.636562714523293</v>
      </c>
      <c r="AN2410">
        <v>1.0000000429633999</v>
      </c>
    </row>
    <row r="2411" spans="1:40" x14ac:dyDescent="0.3">
      <c r="A2411" t="str">
        <f>"20200111150403373"</f>
        <v>20200111150403373</v>
      </c>
      <c r="B2411" t="str">
        <f>"1578726243360959"</f>
        <v>1578726243360959</v>
      </c>
      <c r="C2411" t="s">
        <v>40</v>
      </c>
      <c r="D2411">
        <v>5.1618559999999896</v>
      </c>
      <c r="E2411">
        <v>0.66148839999999998</v>
      </c>
      <c r="F2411" t="s">
        <v>43</v>
      </c>
      <c r="G2411">
        <v>-311.64260000000002</v>
      </c>
      <c r="H2411">
        <v>-0.05</v>
      </c>
      <c r="I2411">
        <v>4.3134920000000001</v>
      </c>
      <c r="J2411">
        <v>-316.7192</v>
      </c>
      <c r="K2411">
        <v>1.0701929999999999</v>
      </c>
      <c r="L2411">
        <v>15.940429999999999</v>
      </c>
      <c r="M2411">
        <v>0.81712249999999997</v>
      </c>
      <c r="N2411">
        <v>0</v>
      </c>
      <c r="O2411">
        <v>-0.57601959999999996</v>
      </c>
      <c r="P2411">
        <v>0.72267300000000001</v>
      </c>
      <c r="Q2411">
        <v>0.1393172</v>
      </c>
      <c r="R2411">
        <v>-0.67700400000000005</v>
      </c>
      <c r="S2411">
        <v>1.368225</v>
      </c>
      <c r="T2411">
        <v>-0.28800229999999999</v>
      </c>
      <c r="U2411">
        <v>-3.0323790000000002</v>
      </c>
      <c r="V2411">
        <v>0.1412764</v>
      </c>
      <c r="W2411">
        <v>0.15771099999999999</v>
      </c>
      <c r="X2411">
        <v>0.97732699999999995</v>
      </c>
      <c r="Y2411">
        <v>0.50803350000000003</v>
      </c>
      <c r="Z2411">
        <v>3.0491330000000001E-2</v>
      </c>
      <c r="AA2411">
        <v>0.86079749999999999</v>
      </c>
      <c r="AB2411">
        <v>31</v>
      </c>
      <c r="AC2411">
        <v>5.0765999999999796</v>
      </c>
      <c r="AD2411">
        <v>-1.120193</v>
      </c>
      <c r="AE2411">
        <v>-11.626938000000001</v>
      </c>
      <c r="AF2411">
        <v>6.5272101192914498</v>
      </c>
      <c r="AG2411">
        <v>-1.120193</v>
      </c>
      <c r="AH2411">
        <v>10.764407286416301</v>
      </c>
      <c r="AI2411">
        <v>95.084990066335294</v>
      </c>
      <c r="AJ2411">
        <v>58.768647886181</v>
      </c>
      <c r="AK2411">
        <v>12.6385034132401</v>
      </c>
      <c r="AL2411">
        <v>80.925939926561696</v>
      </c>
      <c r="AM2411">
        <v>81.774649366927605</v>
      </c>
      <c r="AN2411">
        <v>0.99999992282347605</v>
      </c>
    </row>
    <row r="2412" spans="1:40" x14ac:dyDescent="0.3">
      <c r="A2412" t="str">
        <f>"20200111150403395"</f>
        <v>20200111150403395</v>
      </c>
      <c r="B2412" t="str">
        <f>"1578726243391215"</f>
        <v>1578726243391215</v>
      </c>
      <c r="C2412" t="s">
        <v>40</v>
      </c>
      <c r="D2412">
        <v>5.1748510000000003</v>
      </c>
      <c r="E2412">
        <v>0.66103319999999999</v>
      </c>
      <c r="F2412" t="s">
        <v>43</v>
      </c>
      <c r="G2412">
        <v>-310.84210000000002</v>
      </c>
      <c r="H2412">
        <v>-0.05</v>
      </c>
      <c r="I2412">
        <v>2.7772519999999998</v>
      </c>
      <c r="J2412">
        <v>-316.47539999999998</v>
      </c>
      <c r="K2412">
        <v>1.0686150000000001</v>
      </c>
      <c r="L2412">
        <v>15.759219999999999</v>
      </c>
      <c r="M2412">
        <v>0.81344890000000003</v>
      </c>
      <c r="N2412">
        <v>0</v>
      </c>
      <c r="O2412">
        <v>-0.58120909999999903</v>
      </c>
      <c r="P2412">
        <v>0.71809269999999903</v>
      </c>
      <c r="Q2412">
        <v>0.14819170000000001</v>
      </c>
      <c r="R2412">
        <v>-0.67998719999999901</v>
      </c>
      <c r="S2412">
        <v>1.355988</v>
      </c>
      <c r="T2412">
        <v>-0.25845439999999997</v>
      </c>
      <c r="U2412">
        <v>-3.037048</v>
      </c>
      <c r="V2412">
        <v>0.14004920000000001</v>
      </c>
      <c r="W2412">
        <v>0.1665151</v>
      </c>
      <c r="X2412">
        <v>0.97604250000000004</v>
      </c>
      <c r="Y2412">
        <v>0.50595369999999995</v>
      </c>
      <c r="Z2412">
        <v>2.7943900000000001E-2</v>
      </c>
      <c r="AA2412">
        <v>0.86210789999999904</v>
      </c>
      <c r="AB2412">
        <v>31</v>
      </c>
      <c r="AC2412">
        <v>5.6332999999999602</v>
      </c>
      <c r="AD2412">
        <v>-1.1186149999999999</v>
      </c>
      <c r="AE2412">
        <v>-12.981968</v>
      </c>
      <c r="AF2412">
        <v>7.2425999248269104</v>
      </c>
      <c r="AG2412">
        <v>-1.1186149999999999</v>
      </c>
      <c r="AH2412">
        <v>12.055329550060399</v>
      </c>
      <c r="AI2412">
        <v>94.547700903890004</v>
      </c>
      <c r="AJ2412">
        <v>59.003397321350903</v>
      </c>
      <c r="AK2412">
        <v>14.1080659110272</v>
      </c>
      <c r="AL2412">
        <v>80.414739065112002</v>
      </c>
      <c r="AM2412">
        <v>81.8345464659306</v>
      </c>
      <c r="AN2412">
        <v>1.0000000093774499</v>
      </c>
    </row>
    <row r="2413" spans="1:40" x14ac:dyDescent="0.3">
      <c r="A2413" t="str">
        <f>"20200111150403418"</f>
        <v>20200111150403418</v>
      </c>
      <c r="B2413" t="str">
        <f>"1578726243410735"</f>
        <v>1578726243410735</v>
      </c>
      <c r="C2413" t="s">
        <v>40</v>
      </c>
      <c r="D2413">
        <v>5.1796509999999998</v>
      </c>
      <c r="E2413">
        <v>0.66088549999999902</v>
      </c>
      <c r="F2413" t="s">
        <v>43</v>
      </c>
      <c r="G2413">
        <v>-309.7269</v>
      </c>
      <c r="H2413">
        <v>-0.05</v>
      </c>
      <c r="I2413">
        <v>0.46006770000000002</v>
      </c>
      <c r="J2413">
        <v>-316.21319999999997</v>
      </c>
      <c r="K2413">
        <v>1.066967</v>
      </c>
      <c r="L2413">
        <v>15.56207</v>
      </c>
      <c r="M2413">
        <v>0.8095675</v>
      </c>
      <c r="N2413">
        <v>0</v>
      </c>
      <c r="O2413">
        <v>-0.58662239999999999</v>
      </c>
      <c r="P2413">
        <v>0.7122771</v>
      </c>
      <c r="Q2413">
        <v>0.1576697</v>
      </c>
      <c r="R2413">
        <v>-0.68396069999999998</v>
      </c>
      <c r="S2413">
        <v>1.3422240000000001</v>
      </c>
      <c r="T2413">
        <v>-0.2224835</v>
      </c>
      <c r="U2413">
        <v>-3.0428769999999998</v>
      </c>
      <c r="V2413">
        <v>0.14001939999999999</v>
      </c>
      <c r="W2413">
        <v>0.17574709999999999</v>
      </c>
      <c r="X2413">
        <v>0.97442669999999998</v>
      </c>
      <c r="Y2413">
        <v>0.50408850000000005</v>
      </c>
      <c r="Z2413">
        <v>2.4563439999999999E-2</v>
      </c>
      <c r="AA2413">
        <v>0.86330260000000003</v>
      </c>
      <c r="AB2413">
        <v>31</v>
      </c>
      <c r="AC2413">
        <v>6.4862999999999698</v>
      </c>
      <c r="AD2413">
        <v>-1.116967</v>
      </c>
      <c r="AE2413">
        <v>-15.102002300000001</v>
      </c>
      <c r="AF2413">
        <v>8.3843585278589003</v>
      </c>
      <c r="AG2413">
        <v>-1.116967</v>
      </c>
      <c r="AH2413">
        <v>14.0487381159585</v>
      </c>
      <c r="AI2413">
        <v>93.905657645358005</v>
      </c>
      <c r="AJ2413">
        <v>59.1710320307809</v>
      </c>
      <c r="AK2413">
        <v>16.3985403574085</v>
      </c>
      <c r="AL2413">
        <v>79.877861698061807</v>
      </c>
      <c r="AM2413">
        <v>81.822906270261598</v>
      </c>
      <c r="AN2413">
        <v>0.99999993460382697</v>
      </c>
    </row>
    <row r="2414" spans="1:40" x14ac:dyDescent="0.3">
      <c r="A2414" t="str">
        <f>"20200111150403431"</f>
        <v>20200111150403431</v>
      </c>
      <c r="B2414" t="str">
        <f>"1578726243421472"</f>
        <v>1578726243421472</v>
      </c>
      <c r="C2414" t="s">
        <v>40</v>
      </c>
      <c r="D2414">
        <v>5.1337799999999998</v>
      </c>
      <c r="E2414">
        <v>0.66085059999999995</v>
      </c>
      <c r="F2414" t="s">
        <v>41</v>
      </c>
      <c r="G2414">
        <v>-308.74009999999998</v>
      </c>
      <c r="H2414" s="1">
        <v>-5.336038E-6</v>
      </c>
      <c r="I2414">
        <v>-1.6916249999999999</v>
      </c>
      <c r="J2414">
        <v>-316.07339999999999</v>
      </c>
      <c r="K2414">
        <v>1.0660909999999999</v>
      </c>
      <c r="L2414">
        <v>15.456049999999999</v>
      </c>
      <c r="M2414">
        <v>0.80748900000000001</v>
      </c>
      <c r="N2414">
        <v>0</v>
      </c>
      <c r="O2414">
        <v>-0.58949079999999998</v>
      </c>
      <c r="P2414">
        <v>0.70916590000000002</v>
      </c>
      <c r="Q2414">
        <v>0.1615452</v>
      </c>
      <c r="R2414">
        <v>-0.68628469999999997</v>
      </c>
      <c r="S2414">
        <v>1.322235</v>
      </c>
      <c r="T2414">
        <v>-0.1887817</v>
      </c>
      <c r="U2414">
        <v>-3.0527340000000001</v>
      </c>
      <c r="V2414">
        <v>0.1401589</v>
      </c>
      <c r="W2414">
        <v>0.17945899999999901</v>
      </c>
      <c r="X2414">
        <v>0.97372990000000004</v>
      </c>
      <c r="Y2414">
        <v>0.50680139999999996</v>
      </c>
      <c r="Z2414">
        <v>2.096195E-2</v>
      </c>
      <c r="AA2414">
        <v>0.86180789999999996</v>
      </c>
      <c r="AB2414">
        <v>31</v>
      </c>
      <c r="AC2414">
        <v>7.3333000000000004</v>
      </c>
      <c r="AD2414">
        <v>-1.06609633603799</v>
      </c>
      <c r="AE2414">
        <v>-17.147675</v>
      </c>
      <c r="AF2414">
        <v>9.4948213608540293</v>
      </c>
      <c r="AG2414">
        <v>-1.06609633603799</v>
      </c>
      <c r="AH2414">
        <v>15.981438755794199</v>
      </c>
      <c r="AI2414">
        <v>93.282336735047906</v>
      </c>
      <c r="AJ2414">
        <v>59.284794410480799</v>
      </c>
      <c r="AK2414">
        <v>18.619736270351499</v>
      </c>
      <c r="AL2414">
        <v>79.661750153554095</v>
      </c>
      <c r="AM2414">
        <v>81.809092025399295</v>
      </c>
      <c r="AN2414">
        <v>0.99999998404210999</v>
      </c>
    </row>
    <row r="2415" spans="1:40" x14ac:dyDescent="0.3">
      <c r="A2415" t="str">
        <f>"20200111150403450"</f>
        <v>20200111150403450</v>
      </c>
      <c r="B2415" t="str">
        <f>"1578726243440991"</f>
        <v>1578726243440991</v>
      </c>
      <c r="C2415" t="s">
        <v>40</v>
      </c>
      <c r="D2415">
        <v>5.1439859999999999</v>
      </c>
      <c r="E2415">
        <v>0.66069750000000005</v>
      </c>
      <c r="F2415" t="s">
        <v>41</v>
      </c>
      <c r="G2415">
        <v>-308.09179999999998</v>
      </c>
      <c r="H2415" s="1">
        <v>-4.6553699999999999E-6</v>
      </c>
      <c r="I2415">
        <v>-3.1646580000000002</v>
      </c>
      <c r="J2415">
        <v>-315.8562</v>
      </c>
      <c r="K2415">
        <v>1.0647470000000001</v>
      </c>
      <c r="L2415">
        <v>15.28979</v>
      </c>
      <c r="M2415">
        <v>0.8041642</v>
      </c>
      <c r="N2415">
        <v>0</v>
      </c>
      <c r="O2415">
        <v>-0.5940356</v>
      </c>
      <c r="P2415">
        <v>0.70279510000000001</v>
      </c>
      <c r="Q2415">
        <v>0.16733139999999999</v>
      </c>
      <c r="R2415">
        <v>-0.69143330000000003</v>
      </c>
      <c r="S2415">
        <v>1.3108219999999999</v>
      </c>
      <c r="T2415">
        <v>-0.17508470000000001</v>
      </c>
      <c r="U2415">
        <v>-3.0580750000000001</v>
      </c>
      <c r="V2415">
        <v>0.14241229999999999</v>
      </c>
      <c r="W2415">
        <v>0.18491879999999999</v>
      </c>
      <c r="X2415">
        <v>0.97238049999999998</v>
      </c>
      <c r="Y2415">
        <v>0.50521190000000005</v>
      </c>
      <c r="Z2415">
        <v>1.9769849999999999E-2</v>
      </c>
      <c r="AA2415">
        <v>0.86276889999999995</v>
      </c>
      <c r="AB2415">
        <v>31</v>
      </c>
      <c r="AC2415">
        <v>7.7644000000000197</v>
      </c>
      <c r="AD2415">
        <v>-1.0647516553699901</v>
      </c>
      <c r="AE2415">
        <v>-18.454447999999999</v>
      </c>
      <c r="AF2415">
        <v>10.2014837787474</v>
      </c>
      <c r="AG2415">
        <v>-1.0647516553699901</v>
      </c>
      <c r="AH2415">
        <v>17.161715465993399</v>
      </c>
      <c r="AI2415">
        <v>93.052768920323302</v>
      </c>
      <c r="AJ2415">
        <v>59.271368491416901</v>
      </c>
      <c r="AK2415">
        <v>19.9932099751735</v>
      </c>
      <c r="AL2415">
        <v>79.343602038221206</v>
      </c>
      <c r="AM2415">
        <v>81.667847520817702</v>
      </c>
      <c r="AN2415">
        <v>1.0000000312824799</v>
      </c>
    </row>
    <row r="2416" spans="1:40" x14ac:dyDescent="0.3">
      <c r="A2416" t="str">
        <f>"20200111150403473"</f>
        <v>20200111150403473</v>
      </c>
      <c r="B2416" t="str">
        <f>"1578726243461488"</f>
        <v>1578726243461488</v>
      </c>
      <c r="C2416" t="s">
        <v>40</v>
      </c>
      <c r="D2416">
        <v>5.1253669999999998</v>
      </c>
      <c r="E2416">
        <v>0.66070620000000002</v>
      </c>
      <c r="F2416" t="s">
        <v>41</v>
      </c>
      <c r="G2416">
        <v>-307.13780000000003</v>
      </c>
      <c r="H2416" s="1">
        <v>-3.5922889999999998E-6</v>
      </c>
      <c r="I2416">
        <v>-5.4923029999999997</v>
      </c>
      <c r="J2416">
        <v>-315.61169999999998</v>
      </c>
      <c r="K2416">
        <v>1.063207</v>
      </c>
      <c r="L2416">
        <v>15.1004</v>
      </c>
      <c r="M2416">
        <v>0.80028129999999997</v>
      </c>
      <c r="N2416">
        <v>0</v>
      </c>
      <c r="O2416">
        <v>-0.59927549999999996</v>
      </c>
      <c r="P2416">
        <v>0.69374729999999996</v>
      </c>
      <c r="Q2416">
        <v>0.17295360000000001</v>
      </c>
      <c r="R2416">
        <v>-0.69914379999999998</v>
      </c>
      <c r="S2416">
        <v>1.2872619999999999</v>
      </c>
      <c r="T2416">
        <v>-0.15720909999999999</v>
      </c>
      <c r="U2416">
        <v>-3.068451</v>
      </c>
      <c r="V2416">
        <v>0.14747469999999999</v>
      </c>
      <c r="W2416">
        <v>0.19006390000000001</v>
      </c>
      <c r="X2416">
        <v>0.9706323</v>
      </c>
      <c r="Y2416">
        <v>0.50625759999999997</v>
      </c>
      <c r="Z2416">
        <v>1.8025010000000001E-2</v>
      </c>
      <c r="AA2416">
        <v>0.86219389999999996</v>
      </c>
      <c r="AB2416">
        <v>31</v>
      </c>
      <c r="AC2416">
        <v>8.4738999999999507</v>
      </c>
      <c r="AD2416">
        <v>-1.0632105922890001</v>
      </c>
      <c r="AE2416">
        <v>-20.592703</v>
      </c>
      <c r="AF2416">
        <v>11.3782036017199</v>
      </c>
      <c r="AG2416">
        <v>-1.0632105922890001</v>
      </c>
      <c r="AH2416">
        <v>19.0827082684998</v>
      </c>
      <c r="AI2416">
        <v>92.739790260823099</v>
      </c>
      <c r="AJ2416">
        <v>59.194182119574897</v>
      </c>
      <c r="AK2416">
        <v>22.242834550174098</v>
      </c>
      <c r="AL2416">
        <v>79.043487396678501</v>
      </c>
      <c r="AM2416">
        <v>81.360740561200203</v>
      </c>
      <c r="AN2416">
        <v>1.0000000675132901</v>
      </c>
    </row>
    <row r="2417" spans="1:40" x14ac:dyDescent="0.3">
      <c r="A2417" t="str">
        <f>"20200111150403495"</f>
        <v>20200111150403495</v>
      </c>
      <c r="B2417" t="str">
        <f>"1578726243490768"</f>
        <v>1578726243490768</v>
      </c>
      <c r="C2417" t="s">
        <v>40</v>
      </c>
      <c r="D2417">
        <v>5.0554560000000004</v>
      </c>
      <c r="E2417">
        <v>0.66078619999999899</v>
      </c>
      <c r="F2417" t="s">
        <v>41</v>
      </c>
      <c r="G2417">
        <v>-305.99430000000001</v>
      </c>
      <c r="H2417" s="1">
        <v>-1.9925080000000002E-6</v>
      </c>
      <c r="I2417">
        <v>-8.6216159999999995</v>
      </c>
      <c r="J2417">
        <v>-315.36520000000002</v>
      </c>
      <c r="K2417">
        <v>1.061558</v>
      </c>
      <c r="L2417">
        <v>14.90686</v>
      </c>
      <c r="M2417">
        <v>0.79628460000000001</v>
      </c>
      <c r="N2417">
        <v>0</v>
      </c>
      <c r="O2417">
        <v>-0.60459569999999996</v>
      </c>
      <c r="P2417">
        <v>0.68524370000000001</v>
      </c>
      <c r="Q2417">
        <v>0.17045959999999999</v>
      </c>
      <c r="R2417">
        <v>-0.70808549999999904</v>
      </c>
      <c r="S2417">
        <v>1.2504580000000001</v>
      </c>
      <c r="T2417">
        <v>-0.138239</v>
      </c>
      <c r="U2417">
        <v>-3.0843509999999998</v>
      </c>
      <c r="V2417">
        <v>0.15300420000000001</v>
      </c>
      <c r="W2417">
        <v>0.18703130000000001</v>
      </c>
      <c r="X2417">
        <v>0.97036540000000004</v>
      </c>
      <c r="Y2417">
        <v>0.51089459999999998</v>
      </c>
      <c r="Z2417">
        <v>1.601963E-2</v>
      </c>
      <c r="AA2417">
        <v>0.85949399999999998</v>
      </c>
      <c r="AB2417">
        <v>31</v>
      </c>
      <c r="AC2417">
        <v>9.3709000000000007</v>
      </c>
      <c r="AD2417">
        <v>-1.0615599925079999</v>
      </c>
      <c r="AE2417">
        <v>-23.528476000000001</v>
      </c>
      <c r="AF2417">
        <v>13.0494113857584</v>
      </c>
      <c r="AG2417">
        <v>-1.0615599925079999</v>
      </c>
      <c r="AH2417">
        <v>21.653358141699002</v>
      </c>
      <c r="AI2417">
        <v>92.404412721444402</v>
      </c>
      <c r="AJ2417">
        <v>58.9247021545591</v>
      </c>
      <c r="AK2417">
        <v>25.303793508980799</v>
      </c>
      <c r="AL2417">
        <v>79.220415298750098</v>
      </c>
      <c r="AM2417">
        <v>81.039551799104601</v>
      </c>
      <c r="AN2417">
        <v>1.0000000009572401</v>
      </c>
    </row>
    <row r="2418" spans="1:40" x14ac:dyDescent="0.3">
      <c r="A2418" t="str">
        <f>"20200111150403518"</f>
        <v>20200111150403518</v>
      </c>
      <c r="B2418" t="str">
        <f>"1578726243511263"</f>
        <v>1578726243511263</v>
      </c>
      <c r="C2418" t="s">
        <v>40</v>
      </c>
      <c r="D2418">
        <v>5.0974969999999997</v>
      </c>
      <c r="E2418">
        <v>0.66080729999999999</v>
      </c>
      <c r="F2418" t="s">
        <v>41</v>
      </c>
      <c r="G2418">
        <v>-306.41759999999999</v>
      </c>
      <c r="H2418" s="1">
        <v>-2.3850949999999999E-6</v>
      </c>
      <c r="I2418">
        <v>-8.0293740000000007</v>
      </c>
      <c r="J2418">
        <v>-315.11840000000001</v>
      </c>
      <c r="K2418">
        <v>1.0599050000000001</v>
      </c>
      <c r="L2418">
        <v>14.7103</v>
      </c>
      <c r="M2418">
        <v>0.79222079999999995</v>
      </c>
      <c r="N2418">
        <v>0</v>
      </c>
      <c r="O2418">
        <v>-0.60993069999999905</v>
      </c>
      <c r="P2418">
        <v>0.67675750000000001</v>
      </c>
      <c r="Q2418">
        <v>0.169297</v>
      </c>
      <c r="R2418">
        <v>-0.71647659999999902</v>
      </c>
      <c r="S2418">
        <v>1.209625</v>
      </c>
      <c r="T2418">
        <v>-0.1435119</v>
      </c>
      <c r="U2418">
        <v>-3.1007389999999999</v>
      </c>
      <c r="V2418">
        <v>0.15814249999999999</v>
      </c>
      <c r="W2418">
        <v>0.1852646</v>
      </c>
      <c r="X2418">
        <v>0.96988039999999998</v>
      </c>
      <c r="Y2418">
        <v>0.51647969999999999</v>
      </c>
      <c r="Z2418">
        <v>1.6787389999999999E-2</v>
      </c>
      <c r="AA2418">
        <v>0.85613490000000003</v>
      </c>
      <c r="AB2418">
        <v>31</v>
      </c>
      <c r="AC2418">
        <v>8.7008000000000099</v>
      </c>
      <c r="AD2418">
        <v>-1.0599073850949901</v>
      </c>
      <c r="AE2418">
        <v>-22.739674000000001</v>
      </c>
      <c r="AF2418">
        <v>12.6862724157762</v>
      </c>
      <c r="AG2418">
        <v>-1.0599073850949901</v>
      </c>
      <c r="AH2418">
        <v>20.7271500666488</v>
      </c>
      <c r="AI2418">
        <v>92.497380728855205</v>
      </c>
      <c r="AJ2418">
        <v>58.530840761124502</v>
      </c>
      <c r="AK2418">
        <v>24.324466311877099</v>
      </c>
      <c r="AL2418">
        <v>79.3234405274968</v>
      </c>
      <c r="AM2418">
        <v>80.739213024032694</v>
      </c>
      <c r="AN2418">
        <v>1.00000000631178</v>
      </c>
    </row>
    <row r="2419" spans="1:40" x14ac:dyDescent="0.3">
      <c r="A2419" t="str">
        <f>"20200111150403540"</f>
        <v>20200111150403540</v>
      </c>
      <c r="B2419" t="str">
        <f>"1578726243530786"</f>
        <v>1578726243530786</v>
      </c>
      <c r="C2419" t="s">
        <v>40</v>
      </c>
      <c r="D2419">
        <v>5.1270949999999997</v>
      </c>
      <c r="E2419">
        <v>0.66034479999999995</v>
      </c>
      <c r="F2419" t="s">
        <v>41</v>
      </c>
      <c r="G2419">
        <v>-306.6463</v>
      </c>
      <c r="H2419" s="1">
        <v>-2.5374189999999999E-6</v>
      </c>
      <c r="I2419">
        <v>-7.8358460000000001</v>
      </c>
      <c r="J2419">
        <v>-314.8777</v>
      </c>
      <c r="K2419">
        <v>1.0583739999999999</v>
      </c>
      <c r="L2419">
        <v>14.51581</v>
      </c>
      <c r="M2419">
        <v>0.78815970000000002</v>
      </c>
      <c r="N2419">
        <v>0</v>
      </c>
      <c r="O2419">
        <v>-0.61518790000000001</v>
      </c>
      <c r="P2419">
        <v>0.66814879999999999</v>
      </c>
      <c r="Q2419">
        <v>0.16708020000000001</v>
      </c>
      <c r="R2419">
        <v>-0.72502519999999904</v>
      </c>
      <c r="S2419">
        <v>1.1708369999999999</v>
      </c>
      <c r="T2419">
        <v>-0.14647779999999999</v>
      </c>
      <c r="U2419">
        <v>-3.1158450000000002</v>
      </c>
      <c r="V2419">
        <v>0.16358349999999999</v>
      </c>
      <c r="W2419">
        <v>0.18242050000000001</v>
      </c>
      <c r="X2419">
        <v>0.96951699999999996</v>
      </c>
      <c r="Y2419">
        <v>0.5214879</v>
      </c>
      <c r="Z2419">
        <v>1.7303820000000001E-2</v>
      </c>
      <c r="AA2419">
        <v>0.85308329999999999</v>
      </c>
      <c r="AB2419">
        <v>31</v>
      </c>
      <c r="AC2419">
        <v>8.2314000000000007</v>
      </c>
      <c r="AD2419">
        <v>-1.058376537419</v>
      </c>
      <c r="AE2419">
        <v>-22.351655999999998</v>
      </c>
      <c r="AF2419">
        <v>12.5302631018476</v>
      </c>
      <c r="AG2419">
        <v>-1.058376537419</v>
      </c>
      <c r="AH2419">
        <v>20.201764133545499</v>
      </c>
      <c r="AI2419">
        <v>92.549213846025594</v>
      </c>
      <c r="AJ2419">
        <v>58.190498125870498</v>
      </c>
      <c r="AK2419">
        <v>23.795775431867899</v>
      </c>
      <c r="AL2419">
        <v>79.489221134428107</v>
      </c>
      <c r="AM2419">
        <v>80.422869597711397</v>
      </c>
      <c r="AN2419">
        <v>1.00000000679075</v>
      </c>
    </row>
    <row r="2420" spans="1:40" x14ac:dyDescent="0.3">
      <c r="A2420" t="str">
        <f>"20200111150403562"</f>
        <v>20200111150403562</v>
      </c>
      <c r="B2420" t="str">
        <f>"1578726243551279"</f>
        <v>1578726243551279</v>
      </c>
      <c r="C2420" t="s">
        <v>40</v>
      </c>
      <c r="D2420">
        <v>5.1147369999999999</v>
      </c>
      <c r="E2420">
        <v>0.65970200000000001</v>
      </c>
      <c r="F2420" t="s">
        <v>41</v>
      </c>
      <c r="G2420">
        <v>-307.28100000000001</v>
      </c>
      <c r="H2420" s="1">
        <v>-3.279519E-6</v>
      </c>
      <c r="I2420">
        <v>-6.3729329999999997</v>
      </c>
      <c r="J2420">
        <v>-314.6404</v>
      </c>
      <c r="K2420">
        <v>1.0569729999999999</v>
      </c>
      <c r="L2420">
        <v>14.321199999999999</v>
      </c>
      <c r="M2420">
        <v>0.78400439999999905</v>
      </c>
      <c r="N2420">
        <v>0</v>
      </c>
      <c r="O2420">
        <v>-0.62049189999999999</v>
      </c>
      <c r="P2420">
        <v>0.66041619999999901</v>
      </c>
      <c r="Q2420">
        <v>0.16647579999999901</v>
      </c>
      <c r="R2420">
        <v>-0.73221309999999995</v>
      </c>
      <c r="S2420">
        <v>1.137024</v>
      </c>
      <c r="T2420">
        <v>-0.15840979999999999</v>
      </c>
      <c r="U2420">
        <v>-3.126465</v>
      </c>
      <c r="V2420">
        <v>0.16738510000000001</v>
      </c>
      <c r="W2420">
        <v>0.18122199999999999</v>
      </c>
      <c r="X2420">
        <v>0.96909279999999998</v>
      </c>
      <c r="Y2420">
        <v>0.52480939999999998</v>
      </c>
      <c r="Z2420">
        <v>1.8950419999999999E-2</v>
      </c>
      <c r="AA2420">
        <v>0.85100880000000001</v>
      </c>
      <c r="AB2420">
        <v>31</v>
      </c>
      <c r="AC2420">
        <v>7.3593999999999902</v>
      </c>
      <c r="AD2420">
        <v>-1.0569762795190001</v>
      </c>
      <c r="AE2420">
        <v>-20.694132999999901</v>
      </c>
      <c r="AF2420">
        <v>11.6328090051459</v>
      </c>
      <c r="AG2420">
        <v>-1.0569762795190001</v>
      </c>
      <c r="AH2420">
        <v>18.570379746195101</v>
      </c>
      <c r="AI2420">
        <v>92.761523868995994</v>
      </c>
      <c r="AJ2420">
        <v>57.936255025259797</v>
      </c>
      <c r="AK2420">
        <v>21.9385151759084</v>
      </c>
      <c r="AL2420">
        <v>79.559054274304899</v>
      </c>
      <c r="AM2420">
        <v>80.2003612441614</v>
      </c>
      <c r="AN2420">
        <v>1.0000000199989201</v>
      </c>
    </row>
    <row r="2421" spans="1:40" x14ac:dyDescent="0.3">
      <c r="A2421" t="str">
        <f>"20200111150403584"</f>
        <v>20200111150403584</v>
      </c>
      <c r="B2421" t="str">
        <f>"1578726243580559"</f>
        <v>1578726243580559</v>
      </c>
      <c r="C2421" t="s">
        <v>40</v>
      </c>
      <c r="D2421">
        <v>5.0941210000000003</v>
      </c>
      <c r="E2421">
        <v>0.65873719999999902</v>
      </c>
      <c r="F2421" t="s">
        <v>41</v>
      </c>
      <c r="G2421">
        <v>-307.56760000000003</v>
      </c>
      <c r="H2421" s="1">
        <v>-3.6010360000000001E-6</v>
      </c>
      <c r="I2421">
        <v>-5.6680570000000001</v>
      </c>
      <c r="J2421">
        <v>-314.40230000000003</v>
      </c>
      <c r="K2421">
        <v>1.055725</v>
      </c>
      <c r="L2421">
        <v>14.12302</v>
      </c>
      <c r="M2421">
        <v>0.7796476</v>
      </c>
      <c r="N2421">
        <v>0</v>
      </c>
      <c r="O2421">
        <v>-0.62597349999999996</v>
      </c>
      <c r="P2421">
        <v>0.65335569999999998</v>
      </c>
      <c r="Q2421">
        <v>0.16685510000000001</v>
      </c>
      <c r="R2421">
        <v>-0.73843490000000001</v>
      </c>
      <c r="S2421">
        <v>1.1091</v>
      </c>
      <c r="T2421">
        <v>-0.1657448</v>
      </c>
      <c r="U2421">
        <v>-3.1345209999999999</v>
      </c>
      <c r="V2421">
        <v>0.16979710000000001</v>
      </c>
      <c r="W2421">
        <v>0.1810485</v>
      </c>
      <c r="X2421">
        <v>0.9687055</v>
      </c>
      <c r="Y2421">
        <v>0.5262713</v>
      </c>
      <c r="Z2421">
        <v>2.013562E-2</v>
      </c>
      <c r="AA2421">
        <v>0.85007829999999995</v>
      </c>
      <c r="AB2421">
        <v>31</v>
      </c>
      <c r="AC2421">
        <v>6.83469999999999</v>
      </c>
      <c r="AD2421">
        <v>-1.0557286010359901</v>
      </c>
      <c r="AE2421">
        <v>-19.791076999999898</v>
      </c>
      <c r="AF2421">
        <v>11.125151702555</v>
      </c>
      <c r="AG2421">
        <v>-1.0557286010359901</v>
      </c>
      <c r="AH2421">
        <v>17.675129386410301</v>
      </c>
      <c r="AI2421">
        <v>92.8938294870444</v>
      </c>
      <c r="AJ2421">
        <v>57.812701378517701</v>
      </c>
      <c r="AK2421">
        <v>20.911570053686901</v>
      </c>
      <c r="AL2421">
        <v>79.569161876226303</v>
      </c>
      <c r="AM2421">
        <v>80.058051408883102</v>
      </c>
      <c r="AN2421">
        <v>0.99999998012545399</v>
      </c>
    </row>
    <row r="2422" spans="1:40" x14ac:dyDescent="0.3">
      <c r="A2422" t="str">
        <f>"20200111150403607"</f>
        <v>20200111150403607</v>
      </c>
      <c r="B2422" t="str">
        <f>"1578726243601058"</f>
        <v>1578726243601058</v>
      </c>
      <c r="C2422" t="s">
        <v>40</v>
      </c>
      <c r="D2422">
        <v>5.1031449999999996</v>
      </c>
      <c r="E2422">
        <v>0.65794189999999997</v>
      </c>
      <c r="F2422" t="s">
        <v>41</v>
      </c>
      <c r="G2422">
        <v>-307.64330000000001</v>
      </c>
      <c r="H2422" s="1">
        <v>-3.7166160000000001E-6</v>
      </c>
      <c r="I2422">
        <v>-5.4020479999999997</v>
      </c>
      <c r="J2422">
        <v>-314.15519999999998</v>
      </c>
      <c r="K2422">
        <v>1.0545800000000001</v>
      </c>
      <c r="L2422">
        <v>13.914249999999999</v>
      </c>
      <c r="M2422">
        <v>0.77492280000000002</v>
      </c>
      <c r="N2422">
        <v>0</v>
      </c>
      <c r="O2422">
        <v>-0.63182839999999996</v>
      </c>
      <c r="P2422">
        <v>0.64532330000000004</v>
      </c>
      <c r="Q2422">
        <v>0.1687236</v>
      </c>
      <c r="R2422">
        <v>-0.74504399999999904</v>
      </c>
      <c r="S2422">
        <v>1.086792</v>
      </c>
      <c r="T2422">
        <v>-0.1697506</v>
      </c>
      <c r="U2422">
        <v>-3.1394350000000002</v>
      </c>
      <c r="V2422">
        <v>0.17266229999999999</v>
      </c>
      <c r="W2422">
        <v>0.18236279999999999</v>
      </c>
      <c r="X2422">
        <v>0.96795229999999999</v>
      </c>
      <c r="Y2422">
        <v>0.52567819999999899</v>
      </c>
      <c r="Z2422">
        <v>2.1020420000000001E-2</v>
      </c>
      <c r="AA2422">
        <v>0.85042379999999995</v>
      </c>
      <c r="AB2422">
        <v>31</v>
      </c>
      <c r="AC2422">
        <v>6.5118999999999598</v>
      </c>
      <c r="AD2422">
        <v>-1.0545837166159999</v>
      </c>
      <c r="AE2422">
        <v>-19.316298</v>
      </c>
      <c r="AF2422">
        <v>10.826819268881501</v>
      </c>
      <c r="AG2422">
        <v>-1.0545837166159999</v>
      </c>
      <c r="AH2422">
        <v>17.207231012406201</v>
      </c>
      <c r="AI2422">
        <v>92.9694586002406</v>
      </c>
      <c r="AJ2422">
        <v>57.821826812103801</v>
      </c>
      <c r="AK2422">
        <v>20.357331883394998</v>
      </c>
      <c r="AL2422">
        <v>79.492584044176994</v>
      </c>
      <c r="AM2422">
        <v>79.886016968839698</v>
      </c>
      <c r="AN2422">
        <v>1.0000000578702</v>
      </c>
    </row>
    <row r="2423" spans="1:40" x14ac:dyDescent="0.3">
      <c r="A2423" t="str">
        <f>"20200111150403629"</f>
        <v>20200111150403629</v>
      </c>
      <c r="B2423" t="str">
        <f>"1578726243620575"</f>
        <v>1578726243620575</v>
      </c>
      <c r="C2423" t="s">
        <v>40</v>
      </c>
      <c r="D2423">
        <v>5.0649089999999903</v>
      </c>
      <c r="E2423">
        <v>0.64276</v>
      </c>
      <c r="F2423" t="s">
        <v>41</v>
      </c>
      <c r="G2423">
        <v>-307.62990000000002</v>
      </c>
      <c r="H2423" s="1">
        <v>-3.713519E-6</v>
      </c>
      <c r="I2423">
        <v>-5.4039279999999996</v>
      </c>
      <c r="J2423">
        <v>-313.92570000000001</v>
      </c>
      <c r="K2423">
        <v>1.053653</v>
      </c>
      <c r="L2423">
        <v>13.717320000000001</v>
      </c>
      <c r="M2423">
        <v>0.77035520000000002</v>
      </c>
      <c r="N2423">
        <v>0</v>
      </c>
      <c r="O2423">
        <v>-0.63740189999999997</v>
      </c>
      <c r="P2423">
        <v>0.63822570000000001</v>
      </c>
      <c r="Q2423">
        <v>0.16984350000000001</v>
      </c>
      <c r="R2423">
        <v>-0.75088080000000001</v>
      </c>
      <c r="S2423">
        <v>1.062408</v>
      </c>
      <c r="T2423">
        <v>-0.17170070000000001</v>
      </c>
      <c r="U2423">
        <v>-3.1452640000000001</v>
      </c>
      <c r="V2423">
        <v>0.174665299999999</v>
      </c>
      <c r="W2423">
        <v>0.18301400000000001</v>
      </c>
      <c r="X2423">
        <v>0.96746989999999999</v>
      </c>
      <c r="Y2423">
        <v>0.52594200000000002</v>
      </c>
      <c r="Z2423">
        <v>2.1624730000000002E-2</v>
      </c>
      <c r="AA2423">
        <v>0.85024549999999999</v>
      </c>
      <c r="AB2423">
        <v>31</v>
      </c>
      <c r="AC2423">
        <v>6.2957999999999803</v>
      </c>
      <c r="AD2423">
        <v>-1.053656713519</v>
      </c>
      <c r="AE2423">
        <v>-19.121248000000001</v>
      </c>
      <c r="AF2423">
        <v>10.6893709544513</v>
      </c>
      <c r="AG2423">
        <v>-1.053656713519</v>
      </c>
      <c r="AH2423">
        <v>16.993683448716499</v>
      </c>
      <c r="AI2423">
        <v>93.004312784505004</v>
      </c>
      <c r="AJ2423">
        <v>57.8292759688294</v>
      </c>
      <c r="AK2423">
        <v>20.103684265004599</v>
      </c>
      <c r="AL2423">
        <v>79.454634282618699</v>
      </c>
      <c r="AM2423">
        <v>79.766158771337501</v>
      </c>
      <c r="AN2423">
        <v>1.0000000493130401</v>
      </c>
    </row>
    <row r="2424" spans="1:40" x14ac:dyDescent="0.3">
      <c r="A2424" t="str">
        <f>"20200111150403651"</f>
        <v>20200111150403651</v>
      </c>
      <c r="B2424" t="str">
        <f>"1578726243641071"</f>
        <v>1578726243641071</v>
      </c>
      <c r="C2424" t="s">
        <v>40</v>
      </c>
      <c r="D2424">
        <v>5.150487</v>
      </c>
      <c r="E2424">
        <v>0.64028300000000005</v>
      </c>
      <c r="F2424" t="s">
        <v>41</v>
      </c>
      <c r="G2424">
        <v>-307.73509999999999</v>
      </c>
      <c r="H2424" s="1">
        <v>-4.5965479999999996E-6</v>
      </c>
      <c r="I2424">
        <v>-3.1530640000000001</v>
      </c>
      <c r="J2424">
        <v>-313.69450000000001</v>
      </c>
      <c r="K2424">
        <v>1.0528189999999999</v>
      </c>
      <c r="L2424">
        <v>13.51587</v>
      </c>
      <c r="M2424">
        <v>0.76560130000000004</v>
      </c>
      <c r="N2424">
        <v>0</v>
      </c>
      <c r="O2424">
        <v>-0.64311450000000003</v>
      </c>
      <c r="P2424">
        <v>0.63249119999999903</v>
      </c>
      <c r="Q2424">
        <v>0.17043239999999901</v>
      </c>
      <c r="R2424">
        <v>-0.7555847</v>
      </c>
      <c r="S2424">
        <v>1.1296999999999999</v>
      </c>
      <c r="T2424">
        <v>-0.192278</v>
      </c>
      <c r="U2424">
        <v>-3.0786129999999998</v>
      </c>
      <c r="V2424">
        <v>0.17472270000000001</v>
      </c>
      <c r="W2424">
        <v>0.18320049999999999</v>
      </c>
      <c r="X2424">
        <v>0.96742419999999996</v>
      </c>
      <c r="Y2424">
        <v>0.49730849999999999</v>
      </c>
      <c r="Z2424">
        <v>2.5725910000000001E-2</v>
      </c>
      <c r="AA2424">
        <v>0.86719230000000003</v>
      </c>
      <c r="AB2424">
        <v>31</v>
      </c>
      <c r="AC2424">
        <v>5.9594000000000102</v>
      </c>
      <c r="AD2424">
        <v>-1.052823596548</v>
      </c>
      <c r="AE2424">
        <v>-16.668934</v>
      </c>
      <c r="AF2424">
        <v>8.8988579757299799</v>
      </c>
      <c r="AG2424">
        <v>-1.052823596548</v>
      </c>
      <c r="AH2424">
        <v>15.230658807960101</v>
      </c>
      <c r="AI2424">
        <v>93.415620602982102</v>
      </c>
      <c r="AJ2424">
        <v>59.703422570450599</v>
      </c>
      <c r="AK2424">
        <v>17.671193466264601</v>
      </c>
      <c r="AL2424">
        <v>79.443764472258394</v>
      </c>
      <c r="AM2424">
        <v>79.762393384564803</v>
      </c>
      <c r="AN2424">
        <v>1.00000001392059</v>
      </c>
    </row>
    <row r="2425" spans="1:40" x14ac:dyDescent="0.3">
      <c r="A2425" t="str">
        <f>"20200111150403674"</f>
        <v>20200111150403674</v>
      </c>
      <c r="B2425" t="str">
        <f>"1578726243671328"</f>
        <v>1578726243671328</v>
      </c>
      <c r="C2425" t="s">
        <v>40</v>
      </c>
      <c r="D2425">
        <v>5.137302</v>
      </c>
      <c r="E2425">
        <v>0.63801200000000002</v>
      </c>
      <c r="F2425" t="s">
        <v>41</v>
      </c>
      <c r="G2425">
        <v>-307.5856</v>
      </c>
      <c r="H2425" s="1">
        <v>-4.5343209999999999E-6</v>
      </c>
      <c r="I2425">
        <v>-3.2460640000000001</v>
      </c>
      <c r="J2425">
        <v>-313.45870000000002</v>
      </c>
      <c r="K2425">
        <v>1.052073</v>
      </c>
      <c r="L2425">
        <v>13.307219999999999</v>
      </c>
      <c r="M2425">
        <v>0.76061979999999996</v>
      </c>
      <c r="N2425">
        <v>0</v>
      </c>
      <c r="O2425">
        <v>-0.64900839999999904</v>
      </c>
      <c r="P2425">
        <v>0.62653239999999999</v>
      </c>
      <c r="Q2425">
        <v>0.17055509999999999</v>
      </c>
      <c r="R2425">
        <v>-0.76050519999999999</v>
      </c>
      <c r="S2425">
        <v>1.120941</v>
      </c>
      <c r="T2425">
        <v>-0.19318489999999999</v>
      </c>
      <c r="U2425">
        <v>-3.0756839999999999</v>
      </c>
      <c r="V2425">
        <v>0.17482200000000001</v>
      </c>
      <c r="W2425">
        <v>0.18294550000000001</v>
      </c>
      <c r="X2425">
        <v>0.9674545</v>
      </c>
      <c r="Y2425">
        <v>0.49252649999999998</v>
      </c>
      <c r="Z2425">
        <v>2.6449540000000001E-2</v>
      </c>
      <c r="AA2425">
        <v>0.86989550000000004</v>
      </c>
      <c r="AB2425">
        <v>31</v>
      </c>
      <c r="AC2425">
        <v>5.8731000000000204</v>
      </c>
      <c r="AD2425">
        <v>-1.052077534321</v>
      </c>
      <c r="AE2425">
        <v>-16.553283999999898</v>
      </c>
      <c r="AF2425">
        <v>8.7487534789949795</v>
      </c>
      <c r="AG2425">
        <v>-1.052077534321</v>
      </c>
      <c r="AH2425">
        <v>15.157900585324301</v>
      </c>
      <c r="AI2425">
        <v>93.440112938236894</v>
      </c>
      <c r="AJ2425">
        <v>60.0075543016249</v>
      </c>
      <c r="AK2425">
        <v>17.533097408302499</v>
      </c>
      <c r="AL2425">
        <v>79.458625903679703</v>
      </c>
      <c r="AM2425">
        <v>79.757012228825701</v>
      </c>
      <c r="AN2425">
        <v>0.99999999861224897</v>
      </c>
    </row>
    <row r="2426" spans="1:40" x14ac:dyDescent="0.3">
      <c r="A2426" t="str">
        <f>"20200111150403697"</f>
        <v>20200111150403697</v>
      </c>
      <c r="B2426" t="str">
        <f>"1578726243690850"</f>
        <v>1578726243690850</v>
      </c>
      <c r="C2426" t="s">
        <v>40</v>
      </c>
      <c r="D2426">
        <v>5.1629239999999896</v>
      </c>
      <c r="E2426">
        <v>0.63679490000000005</v>
      </c>
      <c r="F2426" t="s">
        <v>41</v>
      </c>
      <c r="G2426">
        <v>-307.50810000000001</v>
      </c>
      <c r="H2426" s="1">
        <v>-4.5551660000000004E-6</v>
      </c>
      <c r="I2426">
        <v>-3.1559889999999999</v>
      </c>
      <c r="J2426">
        <v>-313.21879999999999</v>
      </c>
      <c r="K2426">
        <v>1.051412</v>
      </c>
      <c r="L2426">
        <v>13.09158</v>
      </c>
      <c r="M2426">
        <v>0.75542339999999997</v>
      </c>
      <c r="N2426">
        <v>0</v>
      </c>
      <c r="O2426">
        <v>-0.65505839999999904</v>
      </c>
      <c r="P2426">
        <v>0.62014729999999996</v>
      </c>
      <c r="Q2426">
        <v>0.1700931</v>
      </c>
      <c r="R2426">
        <v>-0.76582329999999998</v>
      </c>
      <c r="S2426">
        <v>1.1109309999999999</v>
      </c>
      <c r="T2426">
        <v>-0.19641420000000001</v>
      </c>
      <c r="U2426">
        <v>-3.073547</v>
      </c>
      <c r="V2426">
        <v>0.17525669999999999</v>
      </c>
      <c r="W2426">
        <v>0.1821265</v>
      </c>
      <c r="X2426">
        <v>0.96753040000000001</v>
      </c>
      <c r="Y2426">
        <v>0.48789890000000002</v>
      </c>
      <c r="Z2426">
        <v>2.7508580000000001E-2</v>
      </c>
      <c r="AA2426">
        <v>0.87246659999999998</v>
      </c>
      <c r="AB2426">
        <v>31</v>
      </c>
      <c r="AC2426">
        <v>5.7106999999999699</v>
      </c>
      <c r="AD2426">
        <v>-1.051416555166</v>
      </c>
      <c r="AE2426">
        <v>-16.247568999999999</v>
      </c>
      <c r="AF2426">
        <v>8.5022604651981197</v>
      </c>
      <c r="AG2426">
        <v>-1.051416555166</v>
      </c>
      <c r="AH2426">
        <v>14.903305212414701</v>
      </c>
      <c r="AI2426">
        <v>93.506614955379504</v>
      </c>
      <c r="AJ2426">
        <v>60.295459787639203</v>
      </c>
      <c r="AK2426">
        <v>17.190183711785501</v>
      </c>
      <c r="AL2426">
        <v>79.506353272017705</v>
      </c>
      <c r="AM2426">
        <v>79.732872271107993</v>
      </c>
      <c r="AN2426">
        <v>1.0000000239106399</v>
      </c>
    </row>
    <row r="2427" spans="1:40" x14ac:dyDescent="0.3">
      <c r="A2427" t="str">
        <f>"20200111150403718"</f>
        <v>20200111150403718</v>
      </c>
      <c r="B2427" t="str">
        <f>"1578726243711344"</f>
        <v>1578726243711344</v>
      </c>
      <c r="C2427" t="s">
        <v>40</v>
      </c>
      <c r="D2427">
        <v>5.1643249999999998</v>
      </c>
      <c r="E2427">
        <v>0.63589259999999903</v>
      </c>
      <c r="F2427" t="s">
        <v>41</v>
      </c>
      <c r="G2427">
        <v>-307.55259999999998</v>
      </c>
      <c r="H2427" s="1">
        <v>-4.684706E-6</v>
      </c>
      <c r="I2427">
        <v>-2.8391860000000002</v>
      </c>
      <c r="J2427">
        <v>-312.9939</v>
      </c>
      <c r="K2427">
        <v>1.0508740000000001</v>
      </c>
      <c r="L2427">
        <v>12.88626</v>
      </c>
      <c r="M2427">
        <v>0.75043919999999997</v>
      </c>
      <c r="N2427">
        <v>0</v>
      </c>
      <c r="O2427">
        <v>-0.66076979999999996</v>
      </c>
      <c r="P2427">
        <v>0.61409309999999995</v>
      </c>
      <c r="Q2427">
        <v>0.16976150000000001</v>
      </c>
      <c r="R2427">
        <v>-0.77076009999999995</v>
      </c>
      <c r="S2427">
        <v>1.0942080000000001</v>
      </c>
      <c r="T2427">
        <v>-0.20303879999999999</v>
      </c>
      <c r="U2427">
        <v>-3.0763850000000001</v>
      </c>
      <c r="V2427">
        <v>0.1755881</v>
      </c>
      <c r="W2427">
        <v>0.18148929999999999</v>
      </c>
      <c r="X2427">
        <v>0.96758999999999995</v>
      </c>
      <c r="Y2427">
        <v>0.48575269999999998</v>
      </c>
      <c r="Z2427">
        <v>2.8955660000000001E-2</v>
      </c>
      <c r="AA2427">
        <v>0.87361650000000002</v>
      </c>
      <c r="AB2427">
        <v>31</v>
      </c>
      <c r="AC2427">
        <v>5.4413000000000098</v>
      </c>
      <c r="AD2427">
        <v>-1.0508786847059901</v>
      </c>
      <c r="AE2427">
        <v>-15.725446</v>
      </c>
      <c r="AF2427">
        <v>8.1738650103329498</v>
      </c>
      <c r="AG2427">
        <v>-1.0508786847059901</v>
      </c>
      <c r="AH2427">
        <v>14.418383397205501</v>
      </c>
      <c r="AI2427">
        <v>93.627968081708801</v>
      </c>
      <c r="AJ2427">
        <v>60.450848231762897</v>
      </c>
      <c r="AK2427">
        <v>16.6074138566462</v>
      </c>
      <c r="AL2427">
        <v>79.543480418355202</v>
      </c>
      <c r="AM2427">
        <v>79.714491899152904</v>
      </c>
      <c r="AN2427">
        <v>0.99999997748804903</v>
      </c>
    </row>
    <row r="2428" spans="1:40" x14ac:dyDescent="0.3">
      <c r="A2428" t="str">
        <f>"20200111150403741"</f>
        <v>20200111150403741</v>
      </c>
      <c r="B2428" t="str">
        <f>"1578726243731443"</f>
        <v>1578726243731443</v>
      </c>
      <c r="C2428" t="s">
        <v>40</v>
      </c>
      <c r="D2428">
        <v>5.200672</v>
      </c>
      <c r="E2428">
        <v>0.63469779999999998</v>
      </c>
      <c r="F2428" t="s">
        <v>41</v>
      </c>
      <c r="G2428">
        <v>-307.50040000000001</v>
      </c>
      <c r="H2428" s="1">
        <v>-4.6678380000000002E-6</v>
      </c>
      <c r="I2428">
        <v>-2.8590309999999999</v>
      </c>
      <c r="J2428">
        <v>-312.77010000000001</v>
      </c>
      <c r="K2428">
        <v>1.050403</v>
      </c>
      <c r="L2428">
        <v>12.67883</v>
      </c>
      <c r="M2428">
        <v>0.74536910000000001</v>
      </c>
      <c r="N2428">
        <v>0</v>
      </c>
      <c r="O2428">
        <v>-0.66648980000000002</v>
      </c>
      <c r="P2428">
        <v>0.60880419999999902</v>
      </c>
      <c r="Q2428">
        <v>0.16982990000000001</v>
      </c>
      <c r="R2428">
        <v>-0.77492930000000004</v>
      </c>
      <c r="S2428">
        <v>1.0749820000000001</v>
      </c>
      <c r="T2428">
        <v>-0.20563909999999999</v>
      </c>
      <c r="U2428">
        <v>-3.0810849999999999</v>
      </c>
      <c r="V2428">
        <v>0.1747976</v>
      </c>
      <c r="W2428">
        <v>0.1812984</v>
      </c>
      <c r="X2428">
        <v>0.96776890000000004</v>
      </c>
      <c r="Y2428">
        <v>0.48435070000000002</v>
      </c>
      <c r="Z2428">
        <v>2.9825319999999999E-2</v>
      </c>
      <c r="AA2428">
        <v>0.87436539999999996</v>
      </c>
      <c r="AB2428">
        <v>31</v>
      </c>
      <c r="AC2428">
        <v>5.2697000000000003</v>
      </c>
      <c r="AD2428">
        <v>-1.0504076678380001</v>
      </c>
      <c r="AE2428">
        <v>-15.537860999999999</v>
      </c>
      <c r="AF2428">
        <v>8.0371706348498702</v>
      </c>
      <c r="AG2428">
        <v>-1.0504076678380001</v>
      </c>
      <c r="AH2428">
        <v>14.2269297987062</v>
      </c>
      <c r="AI2428">
        <v>93.6781242140258</v>
      </c>
      <c r="AJ2428">
        <v>60.536741047210903</v>
      </c>
      <c r="AK2428">
        <v>16.373912164771699</v>
      </c>
      <c r="AL2428">
        <v>79.554602693714699</v>
      </c>
      <c r="AM2428">
        <v>79.761668395115905</v>
      </c>
      <c r="AN2428">
        <v>0.99999997730776402</v>
      </c>
    </row>
    <row r="2429" spans="1:40" x14ac:dyDescent="0.3">
      <c r="A2429" t="str">
        <f>"20200111150403763"</f>
        <v>20200111150403763</v>
      </c>
      <c r="B2429" t="str">
        <f>"1578726243750966"</f>
        <v>1578726243750966</v>
      </c>
      <c r="C2429" t="s">
        <v>40</v>
      </c>
      <c r="D2429">
        <v>5.1941870000000003</v>
      </c>
      <c r="E2429">
        <v>0.63371889999999997</v>
      </c>
      <c r="F2429" t="s">
        <v>41</v>
      </c>
      <c r="G2429">
        <v>-307.35539999999997</v>
      </c>
      <c r="H2429" s="1">
        <v>-4.5635810000000003E-6</v>
      </c>
      <c r="I2429">
        <v>-3.063517</v>
      </c>
      <c r="J2429">
        <v>-312.54539999999997</v>
      </c>
      <c r="K2429">
        <v>1.0499889999999901</v>
      </c>
      <c r="L2429">
        <v>12.467320000000001</v>
      </c>
      <c r="M2429">
        <v>0.74016369999999998</v>
      </c>
      <c r="N2429">
        <v>0</v>
      </c>
      <c r="O2429">
        <v>-0.67227139999999996</v>
      </c>
      <c r="P2429">
        <v>0.60276619999999903</v>
      </c>
      <c r="Q2429">
        <v>0.17028660000000001</v>
      </c>
      <c r="R2429">
        <v>-0.77953539999999999</v>
      </c>
      <c r="S2429">
        <v>1.060516</v>
      </c>
      <c r="T2429">
        <v>-0.20572969999999999</v>
      </c>
      <c r="U2429">
        <v>-3.0832519999999999</v>
      </c>
      <c r="V2429">
        <v>0.17472179999999901</v>
      </c>
      <c r="W2429">
        <v>0.18150430000000001</v>
      </c>
      <c r="X2429">
        <v>0.96774400000000005</v>
      </c>
      <c r="Y2429">
        <v>0.481404</v>
      </c>
      <c r="Z2429">
        <v>3.0395249999999999E-2</v>
      </c>
      <c r="AA2429">
        <v>0.87597169999999902</v>
      </c>
      <c r="AB2429">
        <v>31</v>
      </c>
      <c r="AC2429">
        <v>5.1899999999999897</v>
      </c>
      <c r="AD2429">
        <v>-1.0499935635809901</v>
      </c>
      <c r="AE2429">
        <v>-15.530836999999901</v>
      </c>
      <c r="AF2429">
        <v>7.9743225267281304</v>
      </c>
      <c r="AG2429">
        <v>-1.0499935635809901</v>
      </c>
      <c r="AH2429">
        <v>14.2253903232283</v>
      </c>
      <c r="AI2429">
        <v>93.683909629598602</v>
      </c>
      <c r="AJ2429">
        <v>60.726331676060497</v>
      </c>
      <c r="AK2429">
        <v>16.341788032282199</v>
      </c>
      <c r="AL2429">
        <v>79.5426065347161</v>
      </c>
      <c r="AM2429">
        <v>79.765756585319807</v>
      </c>
      <c r="AN2429">
        <v>0.999999983924864</v>
      </c>
    </row>
    <row r="2430" spans="1:40" x14ac:dyDescent="0.3">
      <c r="A2430" t="str">
        <f>"20200111150403788"</f>
        <v>20200111150403788</v>
      </c>
      <c r="B2430" t="str">
        <f>"1578726243781219"</f>
        <v>1578726243781219</v>
      </c>
      <c r="C2430" t="s">
        <v>40</v>
      </c>
      <c r="D2430">
        <v>5.2115989999999996</v>
      </c>
      <c r="E2430">
        <v>0.62356999999999996</v>
      </c>
      <c r="F2430" t="s">
        <v>41</v>
      </c>
      <c r="G2430">
        <v>-307.25709999999998</v>
      </c>
      <c r="H2430" s="1">
        <v>-4.5047430000000004E-6</v>
      </c>
      <c r="I2430">
        <v>-3.1713360000000002</v>
      </c>
      <c r="J2430">
        <v>-312.29820000000001</v>
      </c>
      <c r="K2430">
        <v>1.049585</v>
      </c>
      <c r="L2430">
        <v>12.2309</v>
      </c>
      <c r="M2430">
        <v>0.73429769999999905</v>
      </c>
      <c r="N2430">
        <v>0</v>
      </c>
      <c r="O2430">
        <v>-0.67867909999999998</v>
      </c>
      <c r="P2430">
        <v>0.59538179999999996</v>
      </c>
      <c r="Q2430">
        <v>0.1711231</v>
      </c>
      <c r="R2430">
        <v>-0.78500800000000004</v>
      </c>
      <c r="S2430">
        <v>1.0437620000000001</v>
      </c>
      <c r="T2430">
        <v>-0.2072397</v>
      </c>
      <c r="U2430">
        <v>-3.0866389999999999</v>
      </c>
      <c r="V2430">
        <v>0.17533969999999999</v>
      </c>
      <c r="W2430">
        <v>0.1820744</v>
      </c>
      <c r="X2430">
        <v>0.96752510000000003</v>
      </c>
      <c r="Y2430">
        <v>0.47835220000000001</v>
      </c>
      <c r="Z2430">
        <v>3.1226819999999999E-2</v>
      </c>
      <c r="AA2430">
        <v>0.87761270000000002</v>
      </c>
      <c r="AB2430">
        <v>31</v>
      </c>
      <c r="AC2430">
        <v>5.0411000000000197</v>
      </c>
      <c r="AD2430">
        <v>-1.0495895047429999</v>
      </c>
      <c r="AE2430">
        <v>-15.402235999999901</v>
      </c>
      <c r="AF2430">
        <v>7.8563791869343698</v>
      </c>
      <c r="AG2430">
        <v>-1.0495895047429999</v>
      </c>
      <c r="AH2430">
        <v>14.097140774476101</v>
      </c>
      <c r="AI2430">
        <v>93.721062878814195</v>
      </c>
      <c r="AJ2430">
        <v>60.8689438973717</v>
      </c>
      <c r="AK2430">
        <v>16.1726222386093</v>
      </c>
      <c r="AL2430">
        <v>79.509388446241502</v>
      </c>
      <c r="AM2430">
        <v>79.728058277533805</v>
      </c>
      <c r="AN2430">
        <v>0.99999995833072897</v>
      </c>
    </row>
    <row r="2431" spans="1:40" x14ac:dyDescent="0.3">
      <c r="A2431" t="str">
        <f>"20200111150403808"</f>
        <v>20200111150403808</v>
      </c>
      <c r="B2431" t="str">
        <f>"1578726243800739"</f>
        <v>1578726243800739</v>
      </c>
      <c r="C2431" t="s">
        <v>40</v>
      </c>
      <c r="D2431">
        <v>5.2467059999999996</v>
      </c>
      <c r="E2431">
        <v>0.62306680000000003</v>
      </c>
      <c r="F2431" t="s">
        <v>41</v>
      </c>
      <c r="G2431">
        <v>-307.3186</v>
      </c>
      <c r="H2431" s="1">
        <v>-5.03628499999999E-6</v>
      </c>
      <c r="I2431">
        <v>-1.8155779999999999</v>
      </c>
      <c r="J2431">
        <v>-312.09100000000001</v>
      </c>
      <c r="K2431">
        <v>1.0492840000000001</v>
      </c>
      <c r="L2431">
        <v>12.02927</v>
      </c>
      <c r="M2431">
        <v>0.72924480000000003</v>
      </c>
      <c r="N2431">
        <v>0</v>
      </c>
      <c r="O2431">
        <v>-0.68410939999999998</v>
      </c>
      <c r="P2431">
        <v>0.58870459999999902</v>
      </c>
      <c r="Q2431">
        <v>0.17182839999999999</v>
      </c>
      <c r="R2431">
        <v>-0.78987479999999999</v>
      </c>
      <c r="S2431">
        <v>1.081604</v>
      </c>
      <c r="T2431">
        <v>-0.22797829999999999</v>
      </c>
      <c r="U2431">
        <v>-3.0509949999999999</v>
      </c>
      <c r="V2431">
        <v>0.176283299999999</v>
      </c>
      <c r="W2431">
        <v>0.18255689999999999</v>
      </c>
      <c r="X2431">
        <v>0.96726270000000003</v>
      </c>
      <c r="Y2431">
        <v>0.45896520000000002</v>
      </c>
      <c r="Z2431">
        <v>3.5635090000000001E-2</v>
      </c>
      <c r="AA2431">
        <v>0.88773939999999996</v>
      </c>
      <c r="AB2431">
        <v>31</v>
      </c>
      <c r="AC2431">
        <v>4.7724000000000002</v>
      </c>
      <c r="AD2431">
        <v>-1.049289036285</v>
      </c>
      <c r="AE2431">
        <v>-13.844848000000001</v>
      </c>
      <c r="AF2431">
        <v>6.7972138343100896</v>
      </c>
      <c r="AG2431">
        <v>-1.049289036285</v>
      </c>
      <c r="AH2431">
        <v>12.8867501446422</v>
      </c>
      <c r="AI2431">
        <v>94.119303739057401</v>
      </c>
      <c r="AJ2431">
        <v>62.190255305984302</v>
      </c>
      <c r="AK2431">
        <v>14.607239735194399</v>
      </c>
      <c r="AL2431">
        <v>79.481272201807499</v>
      </c>
      <c r="AM2431">
        <v>79.671224468275298</v>
      </c>
      <c r="AN2431">
        <v>0.999999977203894</v>
      </c>
    </row>
    <row r="2432" spans="1:40" x14ac:dyDescent="0.3">
      <c r="A2432" t="str">
        <f>"20200111150403830"</f>
        <v>20200111150403830</v>
      </c>
      <c r="B2432" t="str">
        <f>"1578726243821238"</f>
        <v>1578726243821238</v>
      </c>
      <c r="C2432" t="s">
        <v>40</v>
      </c>
      <c r="D2432">
        <v>5.2229080000000003</v>
      </c>
      <c r="E2432">
        <v>0.62524159999999995</v>
      </c>
      <c r="F2432" t="s">
        <v>41</v>
      </c>
      <c r="G2432">
        <v>-307.45499999999998</v>
      </c>
      <c r="H2432" s="1">
        <v>-5.2373599999999998E-6</v>
      </c>
      <c r="I2432">
        <v>-1.354965</v>
      </c>
      <c r="J2432">
        <v>-311.87670000000003</v>
      </c>
      <c r="K2432">
        <v>1.0489869999999999</v>
      </c>
      <c r="L2432">
        <v>11.817500000000001</v>
      </c>
      <c r="M2432">
        <v>0.72387480000000004</v>
      </c>
      <c r="N2432">
        <v>0</v>
      </c>
      <c r="O2432">
        <v>-0.68979259999999998</v>
      </c>
      <c r="P2432">
        <v>0.58194609999999902</v>
      </c>
      <c r="Q2432">
        <v>0.171264</v>
      </c>
      <c r="R2432">
        <v>-0.79498899999999995</v>
      </c>
      <c r="S2432">
        <v>1.059998</v>
      </c>
      <c r="T2432">
        <v>-0.23991489999999999</v>
      </c>
      <c r="U2432">
        <v>-3.0602420000000001</v>
      </c>
      <c r="V2432">
        <v>0.17707410000000001</v>
      </c>
      <c r="W2432">
        <v>0.1817763</v>
      </c>
      <c r="X2432">
        <v>0.96726529999999999</v>
      </c>
      <c r="Y2432">
        <v>0.45847260000000001</v>
      </c>
      <c r="Z2432">
        <v>3.800692E-2</v>
      </c>
      <c r="AA2432">
        <v>0.88789549999999995</v>
      </c>
      <c r="AB2432">
        <v>31</v>
      </c>
      <c r="AC2432">
        <v>4.4217000000000404</v>
      </c>
      <c r="AD2432">
        <v>-1.04899223736</v>
      </c>
      <c r="AE2432">
        <v>-13.1724649999999</v>
      </c>
      <c r="AF2432">
        <v>6.4490238659835297</v>
      </c>
      <c r="AG2432">
        <v>-1.04899223736</v>
      </c>
      <c r="AH2432">
        <v>12.2185621056044</v>
      </c>
      <c r="AI2432">
        <v>94.34188823465</v>
      </c>
      <c r="AJ2432">
        <v>62.174662834518699</v>
      </c>
      <c r="AK2432">
        <v>13.8558129846855</v>
      </c>
      <c r="AL2432">
        <v>79.526758730086399</v>
      </c>
      <c r="AM2432">
        <v>79.625921149157705</v>
      </c>
      <c r="AN2432">
        <v>1.00000001035829</v>
      </c>
    </row>
    <row r="2433" spans="1:40" x14ac:dyDescent="0.3">
      <c r="A2433" t="str">
        <f>"20200111150403852"</f>
        <v>20200111150403852</v>
      </c>
      <c r="B2433" t="str">
        <f>"1578726243840755"</f>
        <v>1578726243840755</v>
      </c>
      <c r="C2433" t="s">
        <v>40</v>
      </c>
      <c r="D2433">
        <v>5.2271749999999999</v>
      </c>
      <c r="E2433">
        <v>0.62497650000000005</v>
      </c>
      <c r="F2433" t="s">
        <v>41</v>
      </c>
      <c r="G2433">
        <v>-307.49950000000001</v>
      </c>
      <c r="H2433" s="1">
        <v>-5.2181920000000001E-6</v>
      </c>
      <c r="I2433">
        <v>-1.4254150000000001</v>
      </c>
      <c r="J2433">
        <v>-311.65559999999999</v>
      </c>
      <c r="K2433">
        <v>1.0487089999999999</v>
      </c>
      <c r="L2433">
        <v>11.59515</v>
      </c>
      <c r="M2433">
        <v>0.71816219999999997</v>
      </c>
      <c r="N2433">
        <v>0</v>
      </c>
      <c r="O2433">
        <v>-0.69574179999999997</v>
      </c>
      <c r="P2433">
        <v>0.57465180000000005</v>
      </c>
      <c r="Q2433">
        <v>0.1712629</v>
      </c>
      <c r="R2433">
        <v>-0.80027809999999999</v>
      </c>
      <c r="S2433">
        <v>1.018311</v>
      </c>
      <c r="T2433">
        <v>-0.24403330000000001</v>
      </c>
      <c r="U2433">
        <v>-3.0807799999999999</v>
      </c>
      <c r="V2433">
        <v>0.17797499999999999</v>
      </c>
      <c r="W2433">
        <v>0.18156149999999999</v>
      </c>
      <c r="X2433">
        <v>0.96714029999999995</v>
      </c>
      <c r="Y2433">
        <v>0.46375909999999898</v>
      </c>
      <c r="Z2433">
        <v>3.8964150000000003E-2</v>
      </c>
      <c r="AA2433">
        <v>0.88510409999999995</v>
      </c>
      <c r="AB2433">
        <v>31</v>
      </c>
      <c r="AC2433">
        <v>4.1560999999999799</v>
      </c>
      <c r="AD2433">
        <v>-1.0487142181919999</v>
      </c>
      <c r="AE2433">
        <v>-13.020565</v>
      </c>
      <c r="AF2433">
        <v>6.4220982142932703</v>
      </c>
      <c r="AG2433">
        <v>-1.0487142181919999</v>
      </c>
      <c r="AH2433">
        <v>11.9743310853738</v>
      </c>
      <c r="AI2433">
        <v>94.413376105349798</v>
      </c>
      <c r="AJ2433">
        <v>61.794357986749702</v>
      </c>
      <c r="AK2433">
        <v>13.628196943382299</v>
      </c>
      <c r="AL2433">
        <v>79.539274218201498</v>
      </c>
      <c r="AM2433">
        <v>79.572977538160501</v>
      </c>
      <c r="AN2433">
        <v>1.00000001939566</v>
      </c>
    </row>
    <row r="2434" spans="1:40" x14ac:dyDescent="0.3">
      <c r="A2434" t="str">
        <f>"20200111150403874"</f>
        <v>20200111150403874</v>
      </c>
      <c r="B2434" t="str">
        <f>"1578726243871011"</f>
        <v>1578726243871011</v>
      </c>
      <c r="C2434" t="s">
        <v>40</v>
      </c>
      <c r="D2434">
        <v>5.2574399999999999</v>
      </c>
      <c r="E2434">
        <v>0.62456350000000005</v>
      </c>
      <c r="F2434" t="s">
        <v>41</v>
      </c>
      <c r="G2434">
        <v>-307.39139999999998</v>
      </c>
      <c r="H2434" s="1">
        <v>-5.09546999999999E-6</v>
      </c>
      <c r="I2434">
        <v>-1.695098</v>
      </c>
      <c r="J2434">
        <v>-311.43630000000002</v>
      </c>
      <c r="K2434">
        <v>1.048467</v>
      </c>
      <c r="L2434">
        <v>11.37079</v>
      </c>
      <c r="M2434">
        <v>0.712323699999999</v>
      </c>
      <c r="N2434">
        <v>0</v>
      </c>
      <c r="O2434">
        <v>-0.70172109999999999</v>
      </c>
      <c r="P2434">
        <v>0.56674609999999903</v>
      </c>
      <c r="Q2434">
        <v>0.17199970000000001</v>
      </c>
      <c r="R2434">
        <v>-0.80573879999999998</v>
      </c>
      <c r="S2434">
        <v>0.99114990000000003</v>
      </c>
      <c r="T2434">
        <v>-0.24375720000000001</v>
      </c>
      <c r="U2434">
        <v>-3.0891109999999999</v>
      </c>
      <c r="V2434">
        <v>0.17934839999999999</v>
      </c>
      <c r="W2434">
        <v>0.18209130000000001</v>
      </c>
      <c r="X2434">
        <v>0.9667869</v>
      </c>
      <c r="Y2434">
        <v>0.46411039999999998</v>
      </c>
      <c r="Z2434">
        <v>3.9470230000000002E-2</v>
      </c>
      <c r="AA2434">
        <v>0.8848975</v>
      </c>
      <c r="AB2434">
        <v>31</v>
      </c>
      <c r="AC2434">
        <v>4.0449000000000401</v>
      </c>
      <c r="AD2434">
        <v>-1.04847209547</v>
      </c>
      <c r="AE2434">
        <v>-13.065887999999999</v>
      </c>
      <c r="AF2434">
        <v>6.43154773154839</v>
      </c>
      <c r="AG2434">
        <v>-1.04847209547</v>
      </c>
      <c r="AH2434">
        <v>11.980587611641001</v>
      </c>
      <c r="AI2434">
        <v>94.409135257250398</v>
      </c>
      <c r="AJ2434">
        <v>61.771729250386798</v>
      </c>
      <c r="AK2434">
        <v>13.6381296180368</v>
      </c>
      <c r="AL2434">
        <v>79.508404128288007</v>
      </c>
      <c r="AM2434">
        <v>79.490544201476197</v>
      </c>
      <c r="AN2434">
        <v>1.0000000000649301</v>
      </c>
    </row>
    <row r="2435" spans="1:40" x14ac:dyDescent="0.3">
      <c r="A2435" t="str">
        <f>"20200111150403898"</f>
        <v>20200111150403898</v>
      </c>
      <c r="B2435" t="str">
        <f>"1578726243890531"</f>
        <v>1578726243890531</v>
      </c>
      <c r="C2435" t="s">
        <v>40</v>
      </c>
      <c r="D2435">
        <v>5.2627030000000001</v>
      </c>
      <c r="E2435">
        <v>0.62391969999999997</v>
      </c>
      <c r="F2435" t="s">
        <v>41</v>
      </c>
      <c r="G2435">
        <v>-307.29309999999998</v>
      </c>
      <c r="H2435" s="1">
        <v>-4.9867309999999998E-6</v>
      </c>
      <c r="I2435">
        <v>-1.932849</v>
      </c>
      <c r="J2435">
        <v>-311.2124</v>
      </c>
      <c r="K2435">
        <v>1.048243</v>
      </c>
      <c r="L2435">
        <v>11.137700000000001</v>
      </c>
      <c r="M2435">
        <v>0.70616669999999904</v>
      </c>
      <c r="N2435">
        <v>0</v>
      </c>
      <c r="O2435">
        <v>-0.70791949999999904</v>
      </c>
      <c r="P2435">
        <v>0.55871919999999897</v>
      </c>
      <c r="Q2435">
        <v>0.17269889999999999</v>
      </c>
      <c r="R2435">
        <v>-0.81117709999999998</v>
      </c>
      <c r="S2435">
        <v>0.96450809999999998</v>
      </c>
      <c r="T2435">
        <v>-0.24407870000000001</v>
      </c>
      <c r="U2435">
        <v>-3.0970149999999999</v>
      </c>
      <c r="V2435">
        <v>0.18044450000000001</v>
      </c>
      <c r="W2435">
        <v>0.182592</v>
      </c>
      <c r="X2435">
        <v>0.96648840000000003</v>
      </c>
      <c r="Y2435">
        <v>0.4639588</v>
      </c>
      <c r="Z2435">
        <v>4.011141E-2</v>
      </c>
      <c r="AA2435">
        <v>0.88494819999999996</v>
      </c>
      <c r="AB2435">
        <v>31</v>
      </c>
      <c r="AC2435">
        <v>3.9193000000000202</v>
      </c>
      <c r="AD2435">
        <v>-1.0482479867309999</v>
      </c>
      <c r="AE2435">
        <v>-13.070549</v>
      </c>
      <c r="AF2435">
        <v>6.4181386302454397</v>
      </c>
      <c r="AG2435">
        <v>-1.0482479867309999</v>
      </c>
      <c r="AH2435">
        <v>11.951121873118399</v>
      </c>
      <c r="AI2435">
        <v>94.418652273039797</v>
      </c>
      <c r="AJ2435">
        <v>61.762764512108902</v>
      </c>
      <c r="AK2435">
        <v>13.605904649998999</v>
      </c>
      <c r="AL2435">
        <v>79.4792263619414</v>
      </c>
      <c r="AM2435">
        <v>79.424567125746805</v>
      </c>
      <c r="AN2435">
        <v>0.99999994168940298</v>
      </c>
    </row>
    <row r="2436" spans="1:40" x14ac:dyDescent="0.3">
      <c r="A2436" t="str">
        <f>"20200111150403920"</f>
        <v>20200111150403920</v>
      </c>
      <c r="B2436" t="str">
        <f>"1578726243911027"</f>
        <v>1578726243911027</v>
      </c>
      <c r="C2436" t="s">
        <v>40</v>
      </c>
      <c r="D2436">
        <v>5.2775829999999999</v>
      </c>
      <c r="E2436">
        <v>0.62311700000000003</v>
      </c>
      <c r="F2436" t="s">
        <v>41</v>
      </c>
      <c r="G2436">
        <v>-307.16140000000001</v>
      </c>
      <c r="H2436" s="1">
        <v>-4.8374399999999999E-6</v>
      </c>
      <c r="I2436">
        <v>-2.2607940000000002</v>
      </c>
      <c r="J2436">
        <v>-311.00099999999998</v>
      </c>
      <c r="K2436">
        <v>1.048027</v>
      </c>
      <c r="L2436">
        <v>10.9137</v>
      </c>
      <c r="M2436">
        <v>0.70014690000000002</v>
      </c>
      <c r="N2436">
        <v>0</v>
      </c>
      <c r="O2436">
        <v>-0.71387639999999997</v>
      </c>
      <c r="P2436">
        <v>0.55069939999999995</v>
      </c>
      <c r="Q2436">
        <v>0.17390559999999999</v>
      </c>
      <c r="R2436">
        <v>-0.81638669999999902</v>
      </c>
      <c r="S2436">
        <v>0.93838500000000002</v>
      </c>
      <c r="T2436">
        <v>-0.2428218</v>
      </c>
      <c r="U2436">
        <v>-3.1036990000000002</v>
      </c>
      <c r="V2436">
        <v>0.18166570000000001</v>
      </c>
      <c r="W2436">
        <v>0.18360460000000001</v>
      </c>
      <c r="X2436">
        <v>0.96606780000000003</v>
      </c>
      <c r="Y2436">
        <v>0.46381119999999998</v>
      </c>
      <c r="Z2436">
        <v>4.048119E-2</v>
      </c>
      <c r="AA2436">
        <v>0.88500869999999998</v>
      </c>
      <c r="AB2436">
        <v>31</v>
      </c>
      <c r="AC2436">
        <v>3.8395999999999599</v>
      </c>
      <c r="AD2436">
        <v>-1.0480318374399999</v>
      </c>
      <c r="AE2436">
        <v>-13.174493999999999</v>
      </c>
      <c r="AF2436">
        <v>6.4460495934714697</v>
      </c>
      <c r="AG2436">
        <v>-1.0480318374399999</v>
      </c>
      <c r="AH2436">
        <v>12.0241671138364</v>
      </c>
      <c r="AI2436">
        <v>94.392728145958799</v>
      </c>
      <c r="AJ2436">
        <v>61.804634753459901</v>
      </c>
      <c r="AK2436">
        <v>13.683220413164699</v>
      </c>
      <c r="AL2436">
        <v>79.420211969102894</v>
      </c>
      <c r="AM2436">
        <v>79.350097207038601</v>
      </c>
      <c r="AN2436">
        <v>1.00000003494724</v>
      </c>
    </row>
    <row r="2437" spans="1:40" x14ac:dyDescent="0.3">
      <c r="A2437" t="str">
        <f>"20200111150403942"</f>
        <v>20200111150403942</v>
      </c>
      <c r="B2437" t="str">
        <f>"1578726243930547"</f>
        <v>1578726243930547</v>
      </c>
      <c r="C2437" t="s">
        <v>40</v>
      </c>
      <c r="D2437">
        <v>5.2986820000000003</v>
      </c>
      <c r="E2437">
        <v>0.62227460000000001</v>
      </c>
      <c r="F2437" t="s">
        <v>41</v>
      </c>
      <c r="G2437">
        <v>-307.017</v>
      </c>
      <c r="H2437" s="1">
        <v>-4.6607610000000003E-6</v>
      </c>
      <c r="I2437">
        <v>-2.6541579999999998</v>
      </c>
      <c r="J2437">
        <v>-310.7937</v>
      </c>
      <c r="K2437">
        <v>1.0478179999999999</v>
      </c>
      <c r="L2437">
        <v>10.690250000000001</v>
      </c>
      <c r="M2437">
        <v>0.69403019999999904</v>
      </c>
      <c r="N2437">
        <v>0</v>
      </c>
      <c r="O2437">
        <v>-0.71982659999999998</v>
      </c>
      <c r="P2437">
        <v>0.5434194</v>
      </c>
      <c r="Q2437">
        <v>0.17461109999999999</v>
      </c>
      <c r="R2437">
        <v>-0.82110099999999997</v>
      </c>
      <c r="S2437">
        <v>0.91317749999999998</v>
      </c>
      <c r="T2437">
        <v>-0.2402222</v>
      </c>
      <c r="U2437">
        <v>-3.1099239999999999</v>
      </c>
      <c r="V2437">
        <v>0.1819663</v>
      </c>
      <c r="W2437">
        <v>0.1841305</v>
      </c>
      <c r="X2437">
        <v>0.96591110000000002</v>
      </c>
      <c r="Y2437">
        <v>0.46333489999999999</v>
      </c>
      <c r="Z2437">
        <v>4.0630180000000002E-2</v>
      </c>
      <c r="AA2437">
        <v>0.88525129999999996</v>
      </c>
      <c r="AB2437">
        <v>31</v>
      </c>
      <c r="AC2437">
        <v>3.7766999999999999</v>
      </c>
      <c r="AD2437">
        <v>-1.0478226607609999</v>
      </c>
      <c r="AE2437">
        <v>-13.344408</v>
      </c>
      <c r="AF2437">
        <v>6.5062746281262402</v>
      </c>
      <c r="AG2437">
        <v>-1.0478226607609999</v>
      </c>
      <c r="AH2437">
        <v>12.1584486569216</v>
      </c>
      <c r="AI2437">
        <v>94.345279065893493</v>
      </c>
      <c r="AJ2437">
        <v>61.847706582121901</v>
      </c>
      <c r="AK2437">
        <v>13.8295847952136</v>
      </c>
      <c r="AL2437">
        <v>79.3895572697202</v>
      </c>
      <c r="AM2437">
        <v>79.331188211519304</v>
      </c>
      <c r="AN2437">
        <v>1.00000001423457</v>
      </c>
    </row>
    <row r="2438" spans="1:40" x14ac:dyDescent="0.3">
      <c r="A2438" t="str">
        <f>"20200111150403965"</f>
        <v>20200111150403965</v>
      </c>
      <c r="B2438" t="str">
        <f>"1578726243960804"</f>
        <v>1578726243960804</v>
      </c>
      <c r="C2438" t="s">
        <v>40</v>
      </c>
      <c r="D2438">
        <v>5.3113460000000003</v>
      </c>
      <c r="E2438">
        <v>0.61235030000000001</v>
      </c>
      <c r="F2438" t="s">
        <v>41</v>
      </c>
      <c r="G2438">
        <v>-306.89780000000002</v>
      </c>
      <c r="H2438" s="1">
        <v>-4.5368530000000003E-6</v>
      </c>
      <c r="I2438">
        <v>-2.9217659999999999</v>
      </c>
      <c r="J2438">
        <v>-310.57819999999998</v>
      </c>
      <c r="K2438">
        <v>1.0475890000000001</v>
      </c>
      <c r="L2438">
        <v>10.453609999999999</v>
      </c>
      <c r="M2438">
        <v>0.68742349999999997</v>
      </c>
      <c r="N2438">
        <v>0</v>
      </c>
      <c r="O2438">
        <v>-0.72614109999999998</v>
      </c>
      <c r="P2438">
        <v>0.53610150000000001</v>
      </c>
      <c r="Q2438">
        <v>0.17434349999999901</v>
      </c>
      <c r="R2438">
        <v>-0.82595399999999997</v>
      </c>
      <c r="S2438">
        <v>0.89144899999999905</v>
      </c>
      <c r="T2438">
        <v>-0.2397591</v>
      </c>
      <c r="U2438">
        <v>-3.114655</v>
      </c>
      <c r="V2438">
        <v>0.18181220000000001</v>
      </c>
      <c r="W2438">
        <v>0.1836796</v>
      </c>
      <c r="X2438">
        <v>0.96602589999999999</v>
      </c>
      <c r="Y2438">
        <v>0.4613042</v>
      </c>
      <c r="Z2438">
        <v>4.1218150000000002E-2</v>
      </c>
      <c r="AA2438">
        <v>0.88628410000000002</v>
      </c>
      <c r="AB2438">
        <v>31</v>
      </c>
      <c r="AC2438">
        <v>3.6803999999999601</v>
      </c>
      <c r="AD2438">
        <v>-1.0475935368529901</v>
      </c>
      <c r="AE2438">
        <v>-13.375375999999999</v>
      </c>
      <c r="AF2438">
        <v>6.4856208919090701</v>
      </c>
      <c r="AG2438">
        <v>-1.0475935368529901</v>
      </c>
      <c r="AH2438">
        <v>12.1740082930698</v>
      </c>
      <c r="AI2438">
        <v>94.343078268167503</v>
      </c>
      <c r="AJ2438">
        <v>61.953841076825498</v>
      </c>
      <c r="AK2438">
        <v>13.83355371883</v>
      </c>
      <c r="AL2438">
        <v>79.415839589353695</v>
      </c>
      <c r="AM2438">
        <v>79.341253835185995</v>
      </c>
      <c r="AN2438">
        <v>0.99999995549790399</v>
      </c>
    </row>
    <row r="2439" spans="1:40" x14ac:dyDescent="0.3">
      <c r="A2439" t="str">
        <f>"20200111150403987"</f>
        <v>20200111150403987</v>
      </c>
      <c r="B2439" t="str">
        <f>"1578726243981299"</f>
        <v>1578726243981299</v>
      </c>
      <c r="C2439" t="s">
        <v>40</v>
      </c>
      <c r="D2439">
        <v>5.29582</v>
      </c>
      <c r="E2439">
        <v>0.61200089999999996</v>
      </c>
      <c r="F2439" t="s">
        <v>41</v>
      </c>
      <c r="G2439">
        <v>-306.9676</v>
      </c>
      <c r="H2439" s="1">
        <v>-5.0945339999999998E-6</v>
      </c>
      <c r="I2439">
        <v>-1.5017739999999999</v>
      </c>
      <c r="J2439">
        <v>-310.37130000000002</v>
      </c>
      <c r="K2439">
        <v>1.0473680000000001</v>
      </c>
      <c r="L2439">
        <v>10.22208</v>
      </c>
      <c r="M2439">
        <v>0.68082640000000005</v>
      </c>
      <c r="N2439">
        <v>0</v>
      </c>
      <c r="O2439">
        <v>-0.73233230000000005</v>
      </c>
      <c r="P2439">
        <v>0.52949639999999998</v>
      </c>
      <c r="Q2439">
        <v>0.17366029999999999</v>
      </c>
      <c r="R2439">
        <v>-0.8303469</v>
      </c>
      <c r="S2439">
        <v>0.93154910000000002</v>
      </c>
      <c r="T2439">
        <v>-0.27028580000000002</v>
      </c>
      <c r="U2439">
        <v>-3.0845639999999999</v>
      </c>
      <c r="V2439">
        <v>0.180921</v>
      </c>
      <c r="W2439">
        <v>0.18283350000000001</v>
      </c>
      <c r="X2439">
        <v>0.96635369999999998</v>
      </c>
      <c r="Y2439">
        <v>0.44036570000000003</v>
      </c>
      <c r="Z2439">
        <v>4.8048540000000001E-2</v>
      </c>
      <c r="AA2439">
        <v>0.89653189999999905</v>
      </c>
      <c r="AB2439">
        <v>31</v>
      </c>
      <c r="AC2439">
        <v>3.4037000000000099</v>
      </c>
      <c r="AD2439">
        <v>-1.0473730945340001</v>
      </c>
      <c r="AE2439">
        <v>-11.723853999999999</v>
      </c>
      <c r="AF2439">
        <v>5.4496094696000599</v>
      </c>
      <c r="AG2439">
        <v>-1.0473730945340001</v>
      </c>
      <c r="AH2439">
        <v>10.8243101552026</v>
      </c>
      <c r="AI2439">
        <v>94.939564266652894</v>
      </c>
      <c r="AJ2439">
        <v>63.276564076982901</v>
      </c>
      <c r="AK2439">
        <v>12.1639189452385</v>
      </c>
      <c r="AL2439">
        <v>79.465152979940299</v>
      </c>
      <c r="AM2439">
        <v>79.395828567425198</v>
      </c>
      <c r="AN2439">
        <v>0.99999998523347</v>
      </c>
    </row>
    <row r="2440" spans="1:40" x14ac:dyDescent="0.3">
      <c r="A2440" t="str">
        <f>"20200111150404010"</f>
        <v>20200111150404010</v>
      </c>
      <c r="B2440" t="str">
        <f>"1578726244000819"</f>
        <v>1578726244000819</v>
      </c>
      <c r="C2440" t="s">
        <v>40</v>
      </c>
      <c r="D2440">
        <v>5.3205819999999999</v>
      </c>
      <c r="E2440">
        <v>0.61135550000000005</v>
      </c>
      <c r="F2440" t="s">
        <v>41</v>
      </c>
      <c r="G2440">
        <v>-306.80259999999998</v>
      </c>
      <c r="H2440" s="1">
        <v>-4.9042929999999998E-6</v>
      </c>
      <c r="I2440">
        <v>-1.9209419999999999</v>
      </c>
      <c r="J2440">
        <v>-310.1617</v>
      </c>
      <c r="K2440">
        <v>1.04714</v>
      </c>
      <c r="L2440">
        <v>9.9827580000000005</v>
      </c>
      <c r="M2440">
        <v>0.67386140000000005</v>
      </c>
      <c r="N2440">
        <v>0</v>
      </c>
      <c r="O2440">
        <v>-0.73874830000000002</v>
      </c>
      <c r="P2440">
        <v>0.52201059999999999</v>
      </c>
      <c r="Q2440">
        <v>0.17241049999999999</v>
      </c>
      <c r="R2440">
        <v>-0.83533210000000002</v>
      </c>
      <c r="S2440">
        <v>0.90802000000000005</v>
      </c>
      <c r="T2440">
        <v>-0.26649020000000001</v>
      </c>
      <c r="U2440">
        <v>-3.0896300000000001</v>
      </c>
      <c r="V2440">
        <v>0.18067259999999999</v>
      </c>
      <c r="W2440">
        <v>0.18140770000000001</v>
      </c>
      <c r="X2440">
        <v>0.96666879999999999</v>
      </c>
      <c r="Y2440">
        <v>0.4385443</v>
      </c>
      <c r="Z2440">
        <v>4.812611E-2</v>
      </c>
      <c r="AA2440">
        <v>0.89742</v>
      </c>
      <c r="AB2440">
        <v>31</v>
      </c>
      <c r="AC2440">
        <v>3.35910000000001</v>
      </c>
      <c r="AD2440">
        <v>-1.0471449042929999</v>
      </c>
      <c r="AE2440">
        <v>-11.903700000000001</v>
      </c>
      <c r="AF2440">
        <v>5.5009341194254704</v>
      </c>
      <c r="AG2440">
        <v>-1.0471449042929999</v>
      </c>
      <c r="AH2440">
        <v>10.979602916290601</v>
      </c>
      <c r="AI2440">
        <v>94.873739193494998</v>
      </c>
      <c r="AJ2440">
        <v>63.388492077440397</v>
      </c>
      <c r="AK2440">
        <v>12.325115368071099</v>
      </c>
      <c r="AL2440">
        <v>79.548234439654394</v>
      </c>
      <c r="AM2440">
        <v>79.413432191792495</v>
      </c>
      <c r="AN2440">
        <v>0.99999995545174403</v>
      </c>
    </row>
    <row r="2441" spans="1:40" x14ac:dyDescent="0.3">
      <c r="A2441" t="str">
        <f>"20200111150404031"</f>
        <v>20200111150404031</v>
      </c>
      <c r="B2441" t="str">
        <f>"1578726244020913"</f>
        <v>1578726244020913</v>
      </c>
      <c r="C2441" t="s">
        <v>40</v>
      </c>
      <c r="D2441">
        <v>5.3043040000000001</v>
      </c>
      <c r="E2441">
        <v>0.61077269999999995</v>
      </c>
      <c r="F2441" t="s">
        <v>41</v>
      </c>
      <c r="G2441">
        <v>-306.74220000000003</v>
      </c>
      <c r="H2441" s="1">
        <v>-4.8660319999999997E-6</v>
      </c>
      <c r="I2441">
        <v>-1.992702</v>
      </c>
      <c r="J2441">
        <v>-309.96210000000002</v>
      </c>
      <c r="K2441">
        <v>1.046926</v>
      </c>
      <c r="L2441">
        <v>9.7500920000000004</v>
      </c>
      <c r="M2441">
        <v>0.66695000000000004</v>
      </c>
      <c r="N2441">
        <v>0</v>
      </c>
      <c r="O2441">
        <v>-0.74499579999999999</v>
      </c>
      <c r="P2441">
        <v>0.5145535</v>
      </c>
      <c r="Q2441">
        <v>0.17111219999999999</v>
      </c>
      <c r="R2441">
        <v>-0.84021159999999995</v>
      </c>
      <c r="S2441">
        <v>0.88372799999999996</v>
      </c>
      <c r="T2441">
        <v>-0.27062700000000001</v>
      </c>
      <c r="U2441">
        <v>-3.0949710000000001</v>
      </c>
      <c r="V2441">
        <v>0.18048729999999999</v>
      </c>
      <c r="W2441">
        <v>0.1799482</v>
      </c>
      <c r="X2441">
        <v>0.96697619999999895</v>
      </c>
      <c r="Y2441">
        <v>0.43710840000000001</v>
      </c>
      <c r="Z2441">
        <v>4.9597370000000002E-2</v>
      </c>
      <c r="AA2441">
        <v>0.89804030000000001</v>
      </c>
      <c r="AB2441">
        <v>31</v>
      </c>
      <c r="AC2441">
        <v>3.2198999999999902</v>
      </c>
      <c r="AD2441">
        <v>-1.046930866032</v>
      </c>
      <c r="AE2441">
        <v>-11.742794</v>
      </c>
      <c r="AF2441">
        <v>5.3936024945062497</v>
      </c>
      <c r="AG2441">
        <v>-1.046930866032</v>
      </c>
      <c r="AH2441">
        <v>10.8167445257048</v>
      </c>
      <c r="AI2441">
        <v>94.950436351766498</v>
      </c>
      <c r="AJ2441">
        <v>63.497570807401601</v>
      </c>
      <c r="AK2441">
        <v>12.132146316351401</v>
      </c>
      <c r="AL2441">
        <v>79.633257338022304</v>
      </c>
      <c r="AM2441">
        <v>79.427331093553803</v>
      </c>
      <c r="AN2441">
        <v>0.99999999575548404</v>
      </c>
    </row>
    <row r="2442" spans="1:40" x14ac:dyDescent="0.3">
      <c r="A2442" t="str">
        <f>"20200111150404055"</f>
        <v>20200111150404055</v>
      </c>
      <c r="B2442" t="str">
        <f>"1578726244051169"</f>
        <v>1578726244051169</v>
      </c>
      <c r="C2442" t="s">
        <v>40</v>
      </c>
      <c r="D2442">
        <v>5.2814410000000001</v>
      </c>
      <c r="E2442">
        <v>0.61018249999999996</v>
      </c>
      <c r="F2442" t="s">
        <v>41</v>
      </c>
      <c r="G2442">
        <v>-306.70479999999998</v>
      </c>
      <c r="H2442" s="1">
        <v>-4.8546070000000001E-6</v>
      </c>
      <c r="I2442">
        <v>-2.0051540000000001</v>
      </c>
      <c r="J2442">
        <v>-309.75790000000001</v>
      </c>
      <c r="K2442">
        <v>1.046726</v>
      </c>
      <c r="L2442">
        <v>9.5072329999999994</v>
      </c>
      <c r="M2442">
        <v>0.65961269999999905</v>
      </c>
      <c r="N2442">
        <v>0</v>
      </c>
      <c r="O2442">
        <v>-0.75150169999999905</v>
      </c>
      <c r="P2442">
        <v>0.50660590000000005</v>
      </c>
      <c r="Q2442">
        <v>0.17028869999999999</v>
      </c>
      <c r="R2442">
        <v>-0.84519359999999999</v>
      </c>
      <c r="S2442">
        <v>0.85916139999999996</v>
      </c>
      <c r="T2442">
        <v>-0.27614309999999997</v>
      </c>
      <c r="U2442">
        <v>-3.100616</v>
      </c>
      <c r="V2442">
        <v>0.18027799999999999</v>
      </c>
      <c r="W2442">
        <v>0.17897299999999999</v>
      </c>
      <c r="X2442">
        <v>0.96719619999999995</v>
      </c>
      <c r="Y2442">
        <v>0.43533729999999998</v>
      </c>
      <c r="Z2442">
        <v>5.138011E-2</v>
      </c>
      <c r="AA2442">
        <v>0.89880009999999999</v>
      </c>
      <c r="AB2442">
        <v>31</v>
      </c>
      <c r="AC2442">
        <v>3.0531000000000201</v>
      </c>
      <c r="AD2442">
        <v>-1.046730854607</v>
      </c>
      <c r="AE2442">
        <v>-11.512387</v>
      </c>
      <c r="AF2442">
        <v>5.2591016688359904</v>
      </c>
      <c r="AG2442">
        <v>-1.046730854607</v>
      </c>
      <c r="AH2442">
        <v>10.5845245915588</v>
      </c>
      <c r="AI2442">
        <v>95.061076593670805</v>
      </c>
      <c r="AJ2442">
        <v>63.578731866400901</v>
      </c>
      <c r="AK2442">
        <v>11.865325814087599</v>
      </c>
      <c r="AL2442">
        <v>79.690054220872298</v>
      </c>
      <c r="AM2442">
        <v>79.441663736502306</v>
      </c>
      <c r="AN2442">
        <v>0.99999999065371903</v>
      </c>
    </row>
    <row r="2443" spans="1:40" x14ac:dyDescent="0.3">
      <c r="A2443" t="str">
        <f>"20200111150404099"</f>
        <v>20200111150404099</v>
      </c>
      <c r="B2443" t="str">
        <f>"1578726244091185"</f>
        <v>1578726244091185</v>
      </c>
      <c r="C2443" t="s">
        <v>40</v>
      </c>
      <c r="D2443">
        <v>5.2603730000000004</v>
      </c>
      <c r="E2443">
        <v>0.60929259999999996</v>
      </c>
      <c r="F2443" t="s">
        <v>41</v>
      </c>
      <c r="G2443">
        <v>-306.70499999999998</v>
      </c>
      <c r="H2443" s="1">
        <v>-4.9067540000000002E-6</v>
      </c>
      <c r="I2443">
        <v>-1.8694729999999999</v>
      </c>
      <c r="J2443">
        <v>-309.35789999999997</v>
      </c>
      <c r="K2443">
        <v>1.046389</v>
      </c>
      <c r="L2443">
        <v>9.0164790000000004</v>
      </c>
      <c r="M2443">
        <v>0.64442549999999998</v>
      </c>
      <c r="N2443">
        <v>0</v>
      </c>
      <c r="O2443">
        <v>-0.76456749999999996</v>
      </c>
      <c r="P2443">
        <v>0.48997839999999998</v>
      </c>
      <c r="Q2443">
        <v>0.16992270000000001</v>
      </c>
      <c r="R2443">
        <v>-0.85501340000000003</v>
      </c>
      <c r="S2443">
        <v>0.83383180000000001</v>
      </c>
      <c r="T2443">
        <v>-0.28589170000000003</v>
      </c>
      <c r="U2443">
        <v>-3.1073</v>
      </c>
      <c r="V2443">
        <v>0.1799655</v>
      </c>
      <c r="W2443">
        <v>0.17834469999999999</v>
      </c>
      <c r="X2443">
        <v>0.96737050000000002</v>
      </c>
      <c r="Y2443">
        <v>0.42464429999999997</v>
      </c>
      <c r="Z2443">
        <v>5.5004699999999997E-2</v>
      </c>
      <c r="AA2443">
        <v>0.90368780000000004</v>
      </c>
      <c r="AB2443">
        <v>31</v>
      </c>
      <c r="AC2443">
        <v>2.6528999999999798</v>
      </c>
      <c r="AD2443">
        <v>-1.046393906754</v>
      </c>
      <c r="AE2443">
        <v>-10.8859519999999</v>
      </c>
      <c r="AF2443">
        <v>4.94412253142875</v>
      </c>
      <c r="AG2443">
        <v>-1.046393906754</v>
      </c>
      <c r="AH2443">
        <v>9.9466537609918895</v>
      </c>
      <c r="AI2443">
        <v>95.381646592948599</v>
      </c>
      <c r="AJ2443">
        <v>63.569687630990799</v>
      </c>
      <c r="AK2443">
        <v>11.1568458291278</v>
      </c>
      <c r="AL2443">
        <v>79.726642418210503</v>
      </c>
      <c r="AM2443">
        <v>79.461412039352197</v>
      </c>
      <c r="AN2443">
        <v>1.0000000487392899</v>
      </c>
    </row>
    <row r="2444" spans="1:40" x14ac:dyDescent="0.3">
      <c r="A2444" t="str">
        <f>"20200111150404113"</f>
        <v>20200111150404113</v>
      </c>
      <c r="B2444" t="str">
        <f>"1578726244100945"</f>
        <v>1578726244100945</v>
      </c>
      <c r="C2444" t="s">
        <v>40</v>
      </c>
      <c r="D2444">
        <v>5.3023179999999996</v>
      </c>
      <c r="E2444">
        <v>0.60929259999999996</v>
      </c>
      <c r="F2444" t="s">
        <v>41</v>
      </c>
      <c r="G2444">
        <v>-306.59160000000003</v>
      </c>
      <c r="H2444" s="1">
        <v>-4.8099609999999997E-6</v>
      </c>
      <c r="I2444">
        <v>-2.0691090000000001</v>
      </c>
      <c r="J2444">
        <v>-309.23649999999998</v>
      </c>
      <c r="K2444">
        <v>1.0462929999999999</v>
      </c>
      <c r="L2444">
        <v>8.8634640000000005</v>
      </c>
      <c r="M2444">
        <v>0.63960539999999999</v>
      </c>
      <c r="N2444">
        <v>0</v>
      </c>
      <c r="O2444">
        <v>-0.76860490000000004</v>
      </c>
      <c r="P2444">
        <v>0.48480499999999999</v>
      </c>
      <c r="Q2444">
        <v>0.16924690000000001</v>
      </c>
      <c r="R2444">
        <v>-0.8580911</v>
      </c>
      <c r="S2444">
        <v>0.77880859999999996</v>
      </c>
      <c r="T2444">
        <v>-0.29459279999999999</v>
      </c>
      <c r="U2444">
        <v>-3.1209410000000002</v>
      </c>
      <c r="V2444">
        <v>0.17982870000000001</v>
      </c>
      <c r="W2444">
        <v>0.17760329999999999</v>
      </c>
      <c r="X2444">
        <v>0.96753230000000001</v>
      </c>
      <c r="Y2444">
        <v>0.43485990000000002</v>
      </c>
      <c r="Z2444">
        <v>5.6796310000000003E-2</v>
      </c>
      <c r="AA2444">
        <v>0.89870519999999998</v>
      </c>
      <c r="AB2444">
        <v>31</v>
      </c>
      <c r="AC2444">
        <v>2.6448999999999501</v>
      </c>
      <c r="AD2444">
        <v>-1.0462978099609901</v>
      </c>
      <c r="AE2444">
        <v>-10.932573</v>
      </c>
      <c r="AF2444">
        <v>4.9174746730009202</v>
      </c>
      <c r="AG2444">
        <v>-1.0462978099609901</v>
      </c>
      <c r="AH2444">
        <v>10.0086815698811</v>
      </c>
      <c r="AI2444">
        <v>95.360141892744096</v>
      </c>
      <c r="AJ2444">
        <v>63.834147815017701</v>
      </c>
      <c r="AK2444">
        <v>11.2004465551161</v>
      </c>
      <c r="AL2444">
        <v>79.769810410196897</v>
      </c>
      <c r="AM2444">
        <v>79.470965310563599</v>
      </c>
      <c r="AN2444">
        <v>1.0000000225289301</v>
      </c>
    </row>
    <row r="2445" spans="1:40" x14ac:dyDescent="0.3">
      <c r="A2445" t="str">
        <f>"20200111150404134"</f>
        <v>20200111150404134</v>
      </c>
      <c r="B2445" t="str">
        <f>"1578726244120789"</f>
        <v>1578726244120789</v>
      </c>
      <c r="C2445" t="s">
        <v>40</v>
      </c>
      <c r="D2445">
        <v>5.2574690000000004</v>
      </c>
      <c r="E2445">
        <v>0.60345369999999998</v>
      </c>
      <c r="F2445" t="s">
        <v>41</v>
      </c>
      <c r="G2445">
        <v>-306.55369999999999</v>
      </c>
      <c r="H2445" s="1">
        <v>-4.7586959999999997E-6</v>
      </c>
      <c r="I2445">
        <v>-2.1851090000000002</v>
      </c>
      <c r="J2445">
        <v>-309.07049999999998</v>
      </c>
      <c r="K2445">
        <v>1.0461750000000001</v>
      </c>
      <c r="L2445">
        <v>8.6509090000000004</v>
      </c>
      <c r="M2445">
        <v>0.6328511</v>
      </c>
      <c r="N2445">
        <v>0</v>
      </c>
      <c r="O2445">
        <v>-0.77417650000000005</v>
      </c>
      <c r="P2445">
        <v>0.47820770000000001</v>
      </c>
      <c r="Q2445">
        <v>0.16889179999999901</v>
      </c>
      <c r="R2445">
        <v>-0.86185460000000003</v>
      </c>
      <c r="S2445">
        <v>0.75897219999999999</v>
      </c>
      <c r="T2445">
        <v>-0.29600349999999997</v>
      </c>
      <c r="U2445">
        <v>-3.125702</v>
      </c>
      <c r="V2445">
        <v>0.17885429999999999</v>
      </c>
      <c r="W2445">
        <v>0.17718709999999999</v>
      </c>
      <c r="X2445">
        <v>0.96778920000000002</v>
      </c>
      <c r="Y2445">
        <v>0.43268790000000001</v>
      </c>
      <c r="Z2445">
        <v>5.7793629999999999E-2</v>
      </c>
      <c r="AA2445">
        <v>0.89968939999999997</v>
      </c>
      <c r="AB2445">
        <v>31</v>
      </c>
      <c r="AC2445">
        <v>2.5167999999999799</v>
      </c>
      <c r="AD2445">
        <v>-1.046179758696</v>
      </c>
      <c r="AE2445">
        <v>-10.836017999999999</v>
      </c>
      <c r="AF2445">
        <v>4.8664676418193604</v>
      </c>
      <c r="AG2445">
        <v>-1.046179758696</v>
      </c>
      <c r="AH2445">
        <v>9.8949875005535493</v>
      </c>
      <c r="AI2445">
        <v>95.419711133208494</v>
      </c>
      <c r="AJ2445">
        <v>63.8115146777725</v>
      </c>
      <c r="AK2445">
        <v>11.076451463916101</v>
      </c>
      <c r="AL2445">
        <v>79.794041322439</v>
      </c>
      <c r="AM2445">
        <v>79.529469716494006</v>
      </c>
      <c r="AN2445">
        <v>1.0000000323357601</v>
      </c>
    </row>
    <row r="2446" spans="1:40" x14ac:dyDescent="0.3">
      <c r="A2446" t="str">
        <f>"20200111150404154"</f>
        <v>20200111150404154</v>
      </c>
      <c r="B2446" t="str">
        <f>"1578726244151044"</f>
        <v>1578726244151044</v>
      </c>
      <c r="C2446" t="s">
        <v>40</v>
      </c>
      <c r="D2446">
        <v>5.2720510000000003</v>
      </c>
      <c r="E2446">
        <v>0.60339209999999999</v>
      </c>
      <c r="F2446" t="s">
        <v>41</v>
      </c>
      <c r="G2446">
        <v>-306.4606</v>
      </c>
      <c r="H2446" s="1">
        <v>-4.8885459999999999E-6</v>
      </c>
      <c r="I2446">
        <v>-1.8039639999999999</v>
      </c>
      <c r="J2446">
        <v>-308.88659999999999</v>
      </c>
      <c r="K2446">
        <v>1.046052</v>
      </c>
      <c r="L2446">
        <v>8.4104309999999902</v>
      </c>
      <c r="M2446">
        <v>0.62513779999999997</v>
      </c>
      <c r="N2446">
        <v>0</v>
      </c>
      <c r="O2446">
        <v>-0.78041890000000003</v>
      </c>
      <c r="P2446">
        <v>0.47047</v>
      </c>
      <c r="Q2446">
        <v>0.1686655</v>
      </c>
      <c r="R2446">
        <v>-0.866146999999999</v>
      </c>
      <c r="S2446">
        <v>0.7766113</v>
      </c>
      <c r="T2446">
        <v>-0.31130229999999998</v>
      </c>
      <c r="U2446">
        <v>-3.1109619999999998</v>
      </c>
      <c r="V2446">
        <v>0.177981</v>
      </c>
      <c r="W2446">
        <v>0.176898</v>
      </c>
      <c r="X2446">
        <v>0.96800299999999995</v>
      </c>
      <c r="Y2446">
        <v>0.41797329999999999</v>
      </c>
      <c r="Z2446">
        <v>6.2236039999999999E-2</v>
      </c>
      <c r="AA2446">
        <v>0.90632500000000005</v>
      </c>
      <c r="AB2446">
        <v>31</v>
      </c>
      <c r="AC2446">
        <v>2.4259999999999802</v>
      </c>
      <c r="AD2446">
        <v>-1.046056888546</v>
      </c>
      <c r="AE2446">
        <v>-10.214395</v>
      </c>
      <c r="AF2446">
        <v>4.4482814019625501</v>
      </c>
      <c r="AG2446">
        <v>-1.046056888546</v>
      </c>
      <c r="AH2446">
        <v>9.3955216818231797</v>
      </c>
      <c r="AI2446">
        <v>95.746188577656795</v>
      </c>
      <c r="AJ2446">
        <v>64.664926306529196</v>
      </c>
      <c r="AK2446">
        <v>10.4478356667172</v>
      </c>
      <c r="AL2446">
        <v>79.810870786048397</v>
      </c>
      <c r="AM2446">
        <v>79.581723188344895</v>
      </c>
      <c r="AN2446">
        <v>0.99999997338699897</v>
      </c>
    </row>
    <row r="2447" spans="1:40" x14ac:dyDescent="0.3">
      <c r="A2447" t="str">
        <f>"20200111150404177"</f>
        <v>20200111150404177</v>
      </c>
      <c r="B2447" t="str">
        <f>"1578726244170564"</f>
        <v>1578726244170564</v>
      </c>
      <c r="C2447" t="s">
        <v>40</v>
      </c>
      <c r="D2447">
        <v>5.2640500000000001</v>
      </c>
      <c r="E2447">
        <v>0.60267910000000002</v>
      </c>
      <c r="F2447" t="s">
        <v>41</v>
      </c>
      <c r="G2447">
        <v>-306.39859999999999</v>
      </c>
      <c r="H2447" s="1">
        <v>-4.8253960000000003E-6</v>
      </c>
      <c r="I2447">
        <v>-1.939775</v>
      </c>
      <c r="J2447">
        <v>-308.69240000000002</v>
      </c>
      <c r="K2447">
        <v>1.04593799999999</v>
      </c>
      <c r="L2447">
        <v>8.1510309999999997</v>
      </c>
      <c r="M2447">
        <v>0.61674619999999902</v>
      </c>
      <c r="N2447">
        <v>0</v>
      </c>
      <c r="O2447">
        <v>-0.78706779999999998</v>
      </c>
      <c r="P2447">
        <v>0.46219939999999998</v>
      </c>
      <c r="Q2447">
        <v>0.16875799999999999</v>
      </c>
      <c r="R2447">
        <v>-0.87057039999999997</v>
      </c>
      <c r="S2447">
        <v>0.74948119999999996</v>
      </c>
      <c r="T2447">
        <v>-0.31511349999999999</v>
      </c>
      <c r="U2447">
        <v>-3.1178889999999999</v>
      </c>
      <c r="V2447">
        <v>0.17686470000000001</v>
      </c>
      <c r="W2447">
        <v>0.17693929999999999</v>
      </c>
      <c r="X2447">
        <v>0.96820010000000001</v>
      </c>
      <c r="Y2447">
        <v>0.41618369999999999</v>
      </c>
      <c r="Z2447">
        <v>6.3877840000000005E-2</v>
      </c>
      <c r="AA2447">
        <v>0.90703409999999995</v>
      </c>
      <c r="AB2447">
        <v>31</v>
      </c>
      <c r="AC2447">
        <v>2.2938000000000298</v>
      </c>
      <c r="AD2447">
        <v>-1.0459428253959999</v>
      </c>
      <c r="AE2447">
        <v>-10.090806000000001</v>
      </c>
      <c r="AF2447">
        <v>4.3737356320067997</v>
      </c>
      <c r="AG2447">
        <v>-1.0459428253959999</v>
      </c>
      <c r="AH2447">
        <v>9.2629048396165992</v>
      </c>
      <c r="AI2447">
        <v>95.830102787678996</v>
      </c>
      <c r="AJ2447">
        <v>64.724371049971197</v>
      </c>
      <c r="AK2447">
        <v>10.296842517999099</v>
      </c>
      <c r="AL2447">
        <v>79.808467187564503</v>
      </c>
      <c r="AM2447">
        <v>79.647711358119196</v>
      </c>
      <c r="AN2447">
        <v>1.0000000358152901</v>
      </c>
    </row>
    <row r="2448" spans="1:40" x14ac:dyDescent="0.3">
      <c r="A2448" t="str">
        <f>"20200111150404199"</f>
        <v>20200111150404199</v>
      </c>
      <c r="B2448" t="str">
        <f>"1578726244191063"</f>
        <v>1578726244191063</v>
      </c>
      <c r="C2448" t="s">
        <v>40</v>
      </c>
      <c r="D2448">
        <v>5.2870990000000004</v>
      </c>
      <c r="E2448">
        <v>0.60210589999999997</v>
      </c>
      <c r="F2448" t="s">
        <v>41</v>
      </c>
      <c r="G2448">
        <v>-306.31270000000001</v>
      </c>
      <c r="H2448" s="1">
        <v>-4.7531619999999999E-6</v>
      </c>
      <c r="I2448">
        <v>-2.0881980000000002</v>
      </c>
      <c r="J2448">
        <v>-308.50560000000002</v>
      </c>
      <c r="K2448">
        <v>1.045841</v>
      </c>
      <c r="L2448">
        <v>7.895905</v>
      </c>
      <c r="M2448">
        <v>0.60843899999999995</v>
      </c>
      <c r="N2448">
        <v>0</v>
      </c>
      <c r="O2448">
        <v>-0.79350750000000003</v>
      </c>
      <c r="P2448">
        <v>0.45414739999999998</v>
      </c>
      <c r="Q2448">
        <v>0.168934</v>
      </c>
      <c r="R2448">
        <v>-0.87476369999999903</v>
      </c>
      <c r="S2448">
        <v>0.72570800000000002</v>
      </c>
      <c r="T2448">
        <v>-0.31896780000000002</v>
      </c>
      <c r="U2448">
        <v>-3.122528</v>
      </c>
      <c r="V2448">
        <v>0.1756345</v>
      </c>
      <c r="W2448">
        <v>0.1770806</v>
      </c>
      <c r="X2448">
        <v>0.96839819999999999</v>
      </c>
      <c r="Y2448">
        <v>0.41349619999999998</v>
      </c>
      <c r="Z2448">
        <v>6.5580899999999998E-2</v>
      </c>
      <c r="AA2448">
        <v>0.90814099999999998</v>
      </c>
      <c r="AB2448">
        <v>31</v>
      </c>
      <c r="AC2448">
        <v>2.1928999999999998</v>
      </c>
      <c r="AD2448">
        <v>-1.045845753162</v>
      </c>
      <c r="AE2448">
        <v>-9.9841029999999993</v>
      </c>
      <c r="AF2448">
        <v>4.2900480672949</v>
      </c>
      <c r="AG2448">
        <v>-1.045845753162</v>
      </c>
      <c r="AH2448">
        <v>9.1614900358782307</v>
      </c>
      <c r="AI2448">
        <v>95.902458087112706</v>
      </c>
      <c r="AJ2448">
        <v>64.907731658354095</v>
      </c>
      <c r="AK2448">
        <v>10.1701133443341</v>
      </c>
      <c r="AL2448">
        <v>79.800241497301997</v>
      </c>
      <c r="AM2448">
        <v>79.720235030806606</v>
      </c>
      <c r="AN2448">
        <v>1.00000004512492</v>
      </c>
    </row>
    <row r="2449" spans="1:40" x14ac:dyDescent="0.3">
      <c r="A2449" t="str">
        <f>"20200111150404221"</f>
        <v>20200111150404221</v>
      </c>
      <c r="B2449" t="str">
        <f>"1578726244210580"</f>
        <v>1578726244210580</v>
      </c>
      <c r="C2449" t="s">
        <v>40</v>
      </c>
      <c r="D2449">
        <v>5.2888169999999999</v>
      </c>
      <c r="E2449">
        <v>0.60189630000000005</v>
      </c>
      <c r="F2449" t="s">
        <v>41</v>
      </c>
      <c r="G2449">
        <v>-306.22340000000003</v>
      </c>
      <c r="H2449" s="1">
        <v>-4.6647219999999998E-6</v>
      </c>
      <c r="I2449">
        <v>-2.2772869999999998</v>
      </c>
      <c r="J2449">
        <v>-308.32909999999998</v>
      </c>
      <c r="K2449">
        <v>1.045763</v>
      </c>
      <c r="L2449">
        <v>7.6494140000000002</v>
      </c>
      <c r="M2449">
        <v>0.60037609999999997</v>
      </c>
      <c r="N2449">
        <v>0</v>
      </c>
      <c r="O2449">
        <v>-0.79962580000000005</v>
      </c>
      <c r="P2449">
        <v>0.44712069999999998</v>
      </c>
      <c r="Q2449">
        <v>0.16881399999999999</v>
      </c>
      <c r="R2449">
        <v>-0.87839899999999904</v>
      </c>
      <c r="S2449">
        <v>0.70156859999999999</v>
      </c>
      <c r="T2449">
        <v>-0.3215074</v>
      </c>
      <c r="U2449">
        <v>-3.12738</v>
      </c>
      <c r="V2449">
        <v>0.17362810000000001</v>
      </c>
      <c r="W2449">
        <v>0.17695720000000001</v>
      </c>
      <c r="X2449">
        <v>0.96878249999999999</v>
      </c>
      <c r="Y2449">
        <v>0.41127259999999999</v>
      </c>
      <c r="Z2449">
        <v>6.6972160000000003E-2</v>
      </c>
      <c r="AA2449">
        <v>0.90904870000000004</v>
      </c>
      <c r="AB2449">
        <v>31</v>
      </c>
      <c r="AC2449">
        <v>2.1056999999999499</v>
      </c>
      <c r="AD2449">
        <v>-1.045767664722</v>
      </c>
      <c r="AE2449">
        <v>-9.9267009999999996</v>
      </c>
      <c r="AF2449">
        <v>4.2313573701887099</v>
      </c>
      <c r="AG2449">
        <v>-1.045767664722</v>
      </c>
      <c r="AH2449">
        <v>9.1058265852877103</v>
      </c>
      <c r="AI2449">
        <v>95.945940002440395</v>
      </c>
      <c r="AJ2449">
        <v>65.076329057470105</v>
      </c>
      <c r="AK2449">
        <v>10.095251012439499</v>
      </c>
      <c r="AL2449">
        <v>79.807425296328006</v>
      </c>
      <c r="AM2449">
        <v>79.839154134610794</v>
      </c>
      <c r="AN2449">
        <v>1.00000005002384</v>
      </c>
    </row>
    <row r="2450" spans="1:40" x14ac:dyDescent="0.3">
      <c r="A2450" t="str">
        <f>"20200111150404243"</f>
        <v>20200111150404243</v>
      </c>
      <c r="B2450" t="str">
        <f>"1578726244240836"</f>
        <v>1578726244240836</v>
      </c>
      <c r="C2450" t="s">
        <v>40</v>
      </c>
      <c r="D2450">
        <v>5.2578569999999996</v>
      </c>
      <c r="E2450">
        <v>0.60152810000000001</v>
      </c>
      <c r="F2450" t="s">
        <v>41</v>
      </c>
      <c r="G2450">
        <v>-306.13959999999997</v>
      </c>
      <c r="H2450" s="1">
        <v>-4.5765509999999996E-6</v>
      </c>
      <c r="I2450">
        <v>-2.4681440000000001</v>
      </c>
      <c r="J2450">
        <v>-308.14569999999998</v>
      </c>
      <c r="K2450">
        <v>1.045695</v>
      </c>
      <c r="L2450">
        <v>7.3876949999999999</v>
      </c>
      <c r="M2450">
        <v>0.59178450000000005</v>
      </c>
      <c r="N2450">
        <v>0</v>
      </c>
      <c r="O2450">
        <v>-0.80600519999999998</v>
      </c>
      <c r="P2450">
        <v>0.4396679</v>
      </c>
      <c r="Q2450">
        <v>0.16827320000000001</v>
      </c>
      <c r="R2450">
        <v>-0.88225659999999895</v>
      </c>
      <c r="S2450">
        <v>0.67788700000000002</v>
      </c>
      <c r="T2450">
        <v>-0.32377790000000001</v>
      </c>
      <c r="U2450">
        <v>-3.1324770000000002</v>
      </c>
      <c r="V2450">
        <v>0.1715293</v>
      </c>
      <c r="W2450">
        <v>0.176423</v>
      </c>
      <c r="X2450">
        <v>0.9692537</v>
      </c>
      <c r="Y2450">
        <v>0.40840720000000003</v>
      </c>
      <c r="Z2450">
        <v>6.8367170000000005E-2</v>
      </c>
      <c r="AA2450">
        <v>0.91023600000000005</v>
      </c>
      <c r="AB2450">
        <v>31</v>
      </c>
      <c r="AC2450">
        <v>2.0061</v>
      </c>
      <c r="AD2450">
        <v>-1.045699576551</v>
      </c>
      <c r="AE2450">
        <v>-9.8558389999999996</v>
      </c>
      <c r="AF2450">
        <v>4.1708313682974403</v>
      </c>
      <c r="AG2450">
        <v>-1.045699576551</v>
      </c>
      <c r="AH2450">
        <v>9.0340547524921799</v>
      </c>
      <c r="AI2450">
        <v>95.999276317378005</v>
      </c>
      <c r="AJ2450">
        <v>65.218232014685299</v>
      </c>
      <c r="AK2450">
        <v>10.0051720214197</v>
      </c>
      <c r="AL2450">
        <v>79.8385220133259</v>
      </c>
      <c r="AM2450">
        <v>79.964245477858697</v>
      </c>
      <c r="AN2450">
        <v>1.0000000553255799</v>
      </c>
    </row>
    <row r="2451" spans="1:40" x14ac:dyDescent="0.3">
      <c r="A2451" t="str">
        <f>"20200111150404267"</f>
        <v>20200111150404267</v>
      </c>
      <c r="B2451" t="str">
        <f>"1578726244261333"</f>
        <v>1578726244261333</v>
      </c>
      <c r="C2451" t="s">
        <v>40</v>
      </c>
      <c r="D2451">
        <v>5.2619369999999996</v>
      </c>
      <c r="E2451">
        <v>0.60123199999999999</v>
      </c>
      <c r="F2451" t="s">
        <v>41</v>
      </c>
      <c r="G2451">
        <v>-306.06909999999999</v>
      </c>
      <c r="H2451" s="1">
        <v>-4.5207879999999997E-6</v>
      </c>
      <c r="I2451">
        <v>-2.5808070000000001</v>
      </c>
      <c r="J2451">
        <v>-307.96370000000002</v>
      </c>
      <c r="K2451">
        <v>1.045641</v>
      </c>
      <c r="L2451">
        <v>7.1221009999999998</v>
      </c>
      <c r="M2451">
        <v>0.58304519999999904</v>
      </c>
      <c r="N2451">
        <v>0</v>
      </c>
      <c r="O2451">
        <v>-0.81234969999999995</v>
      </c>
      <c r="P2451">
        <v>0.43133539999999998</v>
      </c>
      <c r="Q2451">
        <v>0.16786760000000001</v>
      </c>
      <c r="R2451">
        <v>-0.88643709999999898</v>
      </c>
      <c r="S2451">
        <v>0.65356449999999999</v>
      </c>
      <c r="T2451">
        <v>-0.32911990000000002</v>
      </c>
      <c r="U2451">
        <v>-3.137451</v>
      </c>
      <c r="V2451">
        <v>0.17024449999999999</v>
      </c>
      <c r="W2451">
        <v>0.17601240000000001</v>
      </c>
      <c r="X2451">
        <v>0.96955480000000005</v>
      </c>
      <c r="Y2451">
        <v>0.4056266</v>
      </c>
      <c r="Z2451">
        <v>7.042147E-2</v>
      </c>
      <c r="AA2451">
        <v>0.91132210000000002</v>
      </c>
      <c r="AB2451">
        <v>31</v>
      </c>
      <c r="AC2451">
        <v>1.89460000000002</v>
      </c>
      <c r="AD2451">
        <v>-1.045645520788</v>
      </c>
      <c r="AE2451">
        <v>-9.7029080000000008</v>
      </c>
      <c r="AF2451">
        <v>4.0728938123961802</v>
      </c>
      <c r="AG2451">
        <v>-1.045645520788</v>
      </c>
      <c r="AH2451">
        <v>8.8880186061541</v>
      </c>
      <c r="AI2451">
        <v>96.104691161351496</v>
      </c>
      <c r="AJ2451">
        <v>65.380598011449095</v>
      </c>
      <c r="AK2451">
        <v>9.8325334123785506</v>
      </c>
      <c r="AL2451">
        <v>79.862421425405401</v>
      </c>
      <c r="AM2451">
        <v>80.040936408855302</v>
      </c>
      <c r="AN2451">
        <v>1.0000000324685201</v>
      </c>
    </row>
    <row r="2452" spans="1:40" x14ac:dyDescent="0.3">
      <c r="A2452" t="str">
        <f>"20200111150404289"</f>
        <v>20200111150404289</v>
      </c>
      <c r="B2452" t="str">
        <f>"1578726244280852"</f>
        <v>1578726244280852</v>
      </c>
      <c r="C2452" t="s">
        <v>40</v>
      </c>
      <c r="D2452">
        <v>5.2660970000000002</v>
      </c>
      <c r="E2452">
        <v>0.60112959999999904</v>
      </c>
      <c r="F2452" t="s">
        <v>41</v>
      </c>
      <c r="G2452">
        <v>-305.99059999999997</v>
      </c>
      <c r="H2452" s="1">
        <v>-4.4360450000000001E-6</v>
      </c>
      <c r="I2452">
        <v>-2.7652209999999999</v>
      </c>
      <c r="J2452">
        <v>-307.7869</v>
      </c>
      <c r="K2452">
        <v>1.0456030000000001</v>
      </c>
      <c r="L2452">
        <v>6.8579100000000004</v>
      </c>
      <c r="M2452">
        <v>0.57433599999999996</v>
      </c>
      <c r="N2452">
        <v>0</v>
      </c>
      <c r="O2452">
        <v>-0.81853039999999999</v>
      </c>
      <c r="P2452">
        <v>0.4218906</v>
      </c>
      <c r="Q2452">
        <v>0.16779759999999999</v>
      </c>
      <c r="R2452">
        <v>-0.89098389999999905</v>
      </c>
      <c r="S2452">
        <v>0.62704469999999901</v>
      </c>
      <c r="T2452">
        <v>-0.33230169999999998</v>
      </c>
      <c r="U2452">
        <v>-3.1421510000000001</v>
      </c>
      <c r="V2452">
        <v>0.17021269999999999</v>
      </c>
      <c r="W2452">
        <v>0.17591470000000001</v>
      </c>
      <c r="X2452">
        <v>0.9695781</v>
      </c>
      <c r="Y2452">
        <v>0.40354210000000001</v>
      </c>
      <c r="Z2452">
        <v>7.2008589999999997E-2</v>
      </c>
      <c r="AA2452">
        <v>0.91212309999999996</v>
      </c>
      <c r="AB2452">
        <v>31</v>
      </c>
      <c r="AC2452">
        <v>1.79630000000003</v>
      </c>
      <c r="AD2452">
        <v>-1.0456074360450001</v>
      </c>
      <c r="AE2452">
        <v>-9.6231309999999901</v>
      </c>
      <c r="AF2452">
        <v>4.01111987484291</v>
      </c>
      <c r="AG2452">
        <v>-1.0456074360450001</v>
      </c>
      <c r="AH2452">
        <v>8.8086621542966306</v>
      </c>
      <c r="AI2452">
        <v>96.165710785385002</v>
      </c>
      <c r="AJ2452">
        <v>65.517338237230206</v>
      </c>
      <c r="AK2452">
        <v>9.7352404443449796</v>
      </c>
      <c r="AL2452">
        <v>79.868107808103701</v>
      </c>
      <c r="AM2452">
        <v>80.042993925439802</v>
      </c>
      <c r="AN2452">
        <v>1.0000000184584901</v>
      </c>
    </row>
    <row r="2453" spans="1:40" x14ac:dyDescent="0.3">
      <c r="A2453" t="str">
        <f>"20200111150404310"</f>
        <v>20200111150404310</v>
      </c>
      <c r="B2453" t="str">
        <f>"1578726244301349"</f>
        <v>1578726244301349</v>
      </c>
      <c r="C2453" t="s">
        <v>40</v>
      </c>
      <c r="D2453">
        <v>5.2590640000000004</v>
      </c>
      <c r="E2453">
        <v>0.60093359999999996</v>
      </c>
      <c r="F2453" t="s">
        <v>41</v>
      </c>
      <c r="G2453">
        <v>-305.93029999999999</v>
      </c>
      <c r="H2453" s="1">
        <v>-4.3499230000000001E-6</v>
      </c>
      <c r="I2453">
        <v>-2.9616319999999998</v>
      </c>
      <c r="J2453">
        <v>-307.62119999999999</v>
      </c>
      <c r="K2453">
        <v>1.04557099999999</v>
      </c>
      <c r="L2453">
        <v>6.6043699999999896</v>
      </c>
      <c r="M2453">
        <v>0.5659748</v>
      </c>
      <c r="N2453">
        <v>0</v>
      </c>
      <c r="O2453">
        <v>-0.82433409999999996</v>
      </c>
      <c r="P2453">
        <v>0.41327249999999999</v>
      </c>
      <c r="Q2453">
        <v>0.1677303</v>
      </c>
      <c r="R2453">
        <v>-0.89502660000000001</v>
      </c>
      <c r="S2453">
        <v>0.59524540000000004</v>
      </c>
      <c r="T2453">
        <v>-0.33523969999999997</v>
      </c>
      <c r="U2453">
        <v>-3.1483150000000002</v>
      </c>
      <c r="V2453">
        <v>0.169715899999999</v>
      </c>
      <c r="W2453">
        <v>0.17583679999999999</v>
      </c>
      <c r="X2453">
        <v>0.96967930000000002</v>
      </c>
      <c r="Y2453">
        <v>0.40346690000000002</v>
      </c>
      <c r="Z2453">
        <v>7.3427980000000004E-2</v>
      </c>
      <c r="AA2453">
        <v>0.91204320000000005</v>
      </c>
      <c r="AB2453">
        <v>31</v>
      </c>
      <c r="AC2453">
        <v>1.6908999999999901</v>
      </c>
      <c r="AD2453">
        <v>-1.0455753499229901</v>
      </c>
      <c r="AE2453">
        <v>-9.5660019999999992</v>
      </c>
      <c r="AF2453">
        <v>3.9744989584877</v>
      </c>
      <c r="AG2453">
        <v>-1.0455753499229901</v>
      </c>
      <c r="AH2453">
        <v>8.7419594724274692</v>
      </c>
      <c r="AI2453">
        <v>96.213861202259594</v>
      </c>
      <c r="AJ2453">
        <v>65.551259867470193</v>
      </c>
      <c r="AK2453">
        <v>9.6597994389609791</v>
      </c>
      <c r="AL2453">
        <v>79.872641695239807</v>
      </c>
      <c r="AM2453">
        <v>80.072491913717599</v>
      </c>
      <c r="AN2453">
        <v>1.0000000058977601</v>
      </c>
    </row>
    <row r="2454" spans="1:40" x14ac:dyDescent="0.3">
      <c r="A2454" t="str">
        <f>"20200111150404333"</f>
        <v>20200111150404333</v>
      </c>
      <c r="B2454" t="str">
        <f>"1578726244330628"</f>
        <v>1578726244330628</v>
      </c>
      <c r="C2454" t="s">
        <v>40</v>
      </c>
      <c r="D2454">
        <v>5.2579219999999998</v>
      </c>
      <c r="E2454">
        <v>0.60082209999999903</v>
      </c>
      <c r="F2454" t="s">
        <v>41</v>
      </c>
      <c r="G2454">
        <v>-305.86430000000001</v>
      </c>
      <c r="H2454" s="1">
        <v>-4.2473879999999999E-6</v>
      </c>
      <c r="I2454">
        <v>-3.1981739999999999</v>
      </c>
      <c r="J2454">
        <v>-307.44400000000002</v>
      </c>
      <c r="K2454">
        <v>1.0455380000000001</v>
      </c>
      <c r="L2454">
        <v>6.3267819999999997</v>
      </c>
      <c r="M2454">
        <v>0.55681689999999995</v>
      </c>
      <c r="N2454">
        <v>0</v>
      </c>
      <c r="O2454">
        <v>-0.83054799999999995</v>
      </c>
      <c r="P2454">
        <v>0.40362189999999998</v>
      </c>
      <c r="Q2454">
        <v>0.16787170000000001</v>
      </c>
      <c r="R2454">
        <v>-0.89939389999999997</v>
      </c>
      <c r="S2454">
        <v>0.56524659999999904</v>
      </c>
      <c r="T2454">
        <v>-0.33640969999999998</v>
      </c>
      <c r="U2454">
        <v>-3.153931</v>
      </c>
      <c r="V2454">
        <v>0.16941129999999999</v>
      </c>
      <c r="W2454">
        <v>0.17596400000000001</v>
      </c>
      <c r="X2454">
        <v>0.9697095</v>
      </c>
      <c r="Y2454">
        <v>0.40204109999999998</v>
      </c>
      <c r="Z2454">
        <v>7.4575870000000002E-2</v>
      </c>
      <c r="AA2454">
        <v>0.91257949999999999</v>
      </c>
      <c r="AB2454">
        <v>31</v>
      </c>
      <c r="AC2454">
        <v>1.5797000000000001</v>
      </c>
      <c r="AD2454">
        <v>-1.0455422473879901</v>
      </c>
      <c r="AE2454">
        <v>-9.5249559999999995</v>
      </c>
      <c r="AF2454">
        <v>3.9456598760270398</v>
      </c>
      <c r="AG2454">
        <v>-1.0455422473879901</v>
      </c>
      <c r="AH2454">
        <v>8.6892781301362305</v>
      </c>
      <c r="AI2454">
        <v>96.252354775587605</v>
      </c>
      <c r="AJ2454">
        <v>65.577973674825401</v>
      </c>
      <c r="AK2454">
        <v>9.6002575419218203</v>
      </c>
      <c r="AL2454">
        <v>79.865238341941804</v>
      </c>
      <c r="AM2454">
        <v>80.090258419870196</v>
      </c>
      <c r="AN2454">
        <v>1.00000001612696</v>
      </c>
    </row>
    <row r="2455" spans="1:40" x14ac:dyDescent="0.3">
      <c r="A2455" t="str">
        <f>"20200111150404356"</f>
        <v>20200111150404356</v>
      </c>
      <c r="B2455" t="str">
        <f>"1578726244351124"</f>
        <v>1578726244351124</v>
      </c>
      <c r="C2455" t="s">
        <v>40</v>
      </c>
      <c r="D2455">
        <v>5.2511599999999996</v>
      </c>
      <c r="E2455">
        <v>0.60073549999999998</v>
      </c>
      <c r="F2455" t="s">
        <v>41</v>
      </c>
      <c r="G2455">
        <v>-305.79500000000002</v>
      </c>
      <c r="H2455" s="1">
        <v>-4.1288859999999996E-6</v>
      </c>
      <c r="I2455">
        <v>-3.474742</v>
      </c>
      <c r="J2455">
        <v>-307.28339999999997</v>
      </c>
      <c r="K2455">
        <v>1.045506</v>
      </c>
      <c r="L2455">
        <v>6.0693359999999998</v>
      </c>
      <c r="M2455">
        <v>0.54831980000000002</v>
      </c>
      <c r="N2455">
        <v>0</v>
      </c>
      <c r="O2455">
        <v>-0.83618210000000004</v>
      </c>
      <c r="P2455">
        <v>0.39403139999999998</v>
      </c>
      <c r="Q2455">
        <v>0.16729559999999999</v>
      </c>
      <c r="R2455">
        <v>-0.90374299999999996</v>
      </c>
      <c r="S2455">
        <v>0.53161619999999998</v>
      </c>
      <c r="T2455">
        <v>-0.33707549999999997</v>
      </c>
      <c r="U2455">
        <v>-3.1599430000000002</v>
      </c>
      <c r="V2455">
        <v>0.16989499999999999</v>
      </c>
      <c r="W2455">
        <v>0.17536170000000001</v>
      </c>
      <c r="X2455">
        <v>0.96973399999999998</v>
      </c>
      <c r="Y2455">
        <v>0.40244449999999998</v>
      </c>
      <c r="Z2455">
        <v>7.5479499999999894E-2</v>
      </c>
      <c r="AA2455">
        <v>0.91232740000000001</v>
      </c>
      <c r="AB2455">
        <v>31</v>
      </c>
      <c r="AC2455">
        <v>1.48839999999995</v>
      </c>
      <c r="AD2455">
        <v>-1.045510128886</v>
      </c>
      <c r="AE2455">
        <v>-9.5440780000000007</v>
      </c>
      <c r="AF2455">
        <v>3.94273228093871</v>
      </c>
      <c r="AG2455">
        <v>-1.045510128886</v>
      </c>
      <c r="AH2455">
        <v>8.69547381793139</v>
      </c>
      <c r="AI2455">
        <v>96.249284719387603</v>
      </c>
      <c r="AJ2455">
        <v>65.609342992010198</v>
      </c>
      <c r="AK2455">
        <v>9.6046600245448399</v>
      </c>
      <c r="AL2455">
        <v>79.900292851640799</v>
      </c>
      <c r="AM2455">
        <v>80.062773619012205</v>
      </c>
      <c r="AN2455">
        <v>1.0000000338039401</v>
      </c>
    </row>
    <row r="2456" spans="1:40" x14ac:dyDescent="0.3">
      <c r="A2456" t="str">
        <f>"20200111150404378"</f>
        <v>20200111150404378</v>
      </c>
      <c r="B2456" t="str">
        <f>"1578726244370644"</f>
        <v>1578726244370644</v>
      </c>
      <c r="C2456" t="s">
        <v>40</v>
      </c>
      <c r="D2456">
        <v>5.2299670000000003</v>
      </c>
      <c r="E2456">
        <v>0.6007034</v>
      </c>
      <c r="F2456" t="s">
        <v>41</v>
      </c>
      <c r="G2456">
        <v>-305.75200000000001</v>
      </c>
      <c r="H2456" s="1">
        <v>-4.0616799999999999E-6</v>
      </c>
      <c r="I2456">
        <v>-3.6298750000000002</v>
      </c>
      <c r="J2456">
        <v>-307.11660000000001</v>
      </c>
      <c r="K2456">
        <v>1.045474</v>
      </c>
      <c r="L2456">
        <v>5.7955319999999997</v>
      </c>
      <c r="M2456">
        <v>0.53927919999999996</v>
      </c>
      <c r="N2456">
        <v>0</v>
      </c>
      <c r="O2456">
        <v>-0.84204120000000005</v>
      </c>
      <c r="P2456">
        <v>0.38452579999999997</v>
      </c>
      <c r="Q2456">
        <v>0.16673740000000001</v>
      </c>
      <c r="R2456">
        <v>-0.9079313</v>
      </c>
      <c r="S2456">
        <v>0.49969479999999999</v>
      </c>
      <c r="T2456">
        <v>-0.34114709999999998</v>
      </c>
      <c r="U2456">
        <v>-3.164825</v>
      </c>
      <c r="V2456">
        <v>0.1696742</v>
      </c>
      <c r="W2456">
        <v>0.17479510000000001</v>
      </c>
      <c r="X2456">
        <v>0.96987489999999998</v>
      </c>
      <c r="Y2456">
        <v>0.4017946</v>
      </c>
      <c r="Z2456">
        <v>7.7230770000000004E-2</v>
      </c>
      <c r="AA2456">
        <v>0.91246729999999998</v>
      </c>
      <c r="AB2456">
        <v>31</v>
      </c>
      <c r="AC2456">
        <v>1.36459999999999</v>
      </c>
      <c r="AD2456">
        <v>-1.0454780616799999</v>
      </c>
      <c r="AE2456">
        <v>-9.4254069999999999</v>
      </c>
      <c r="AF2456">
        <v>3.8873151444881802</v>
      </c>
      <c r="AG2456">
        <v>-1.0454780616799999</v>
      </c>
      <c r="AH2456">
        <v>8.5698338871883397</v>
      </c>
      <c r="AI2456">
        <v>96.339542024801304</v>
      </c>
      <c r="AJ2456">
        <v>65.600742541166099</v>
      </c>
      <c r="AK2456">
        <v>9.4681728049303597</v>
      </c>
      <c r="AL2456">
        <v>79.933265494023701</v>
      </c>
      <c r="AM2456">
        <v>80.076844500817899</v>
      </c>
      <c r="AN2456">
        <v>0.99999999138982998</v>
      </c>
    </row>
    <row r="2457" spans="1:40" x14ac:dyDescent="0.3">
      <c r="A2457" t="str">
        <f>"20200111150404399"</f>
        <v>20200111150404399</v>
      </c>
      <c r="B2457" t="str">
        <f>"1578726244391141"</f>
        <v>1578726244391141</v>
      </c>
      <c r="C2457" t="s">
        <v>40</v>
      </c>
      <c r="D2457">
        <v>5.215846</v>
      </c>
      <c r="E2457">
        <v>0.62166390000000005</v>
      </c>
      <c r="F2457" t="s">
        <v>41</v>
      </c>
      <c r="G2457">
        <v>-305.69560000000001</v>
      </c>
      <c r="H2457" s="1">
        <v>-3.958467E-6</v>
      </c>
      <c r="I2457">
        <v>-3.8726229999999999</v>
      </c>
      <c r="J2457">
        <v>-306.95890000000003</v>
      </c>
      <c r="K2457">
        <v>1.0454509999999999</v>
      </c>
      <c r="L2457">
        <v>5.5305790000000004</v>
      </c>
      <c r="M2457">
        <v>0.53052739999999998</v>
      </c>
      <c r="N2457">
        <v>0</v>
      </c>
      <c r="O2457">
        <v>-0.84758239999999996</v>
      </c>
      <c r="P2457">
        <v>0.37654290000000001</v>
      </c>
      <c r="Q2457">
        <v>0.16581949999999901</v>
      </c>
      <c r="R2457">
        <v>-0.91143810000000003</v>
      </c>
      <c r="S2457">
        <v>0.4658813</v>
      </c>
      <c r="T2457">
        <v>-0.3427769</v>
      </c>
      <c r="U2457">
        <v>-3.169861</v>
      </c>
      <c r="V2457">
        <v>0.168211</v>
      </c>
      <c r="W2457">
        <v>0.17389969999999999</v>
      </c>
      <c r="X2457">
        <v>0.97029069999999995</v>
      </c>
      <c r="Y2457">
        <v>0.4020553</v>
      </c>
      <c r="Z2457">
        <v>7.8373620000000005E-2</v>
      </c>
      <c r="AA2457">
        <v>0.91225500000000004</v>
      </c>
      <c r="AB2457">
        <v>31</v>
      </c>
      <c r="AC2457">
        <v>1.2633000000000101</v>
      </c>
      <c r="AD2457">
        <v>-1.0454549584669901</v>
      </c>
      <c r="AE2457">
        <v>-9.4032020000000003</v>
      </c>
      <c r="AF2457">
        <v>3.8711851212894199</v>
      </c>
      <c r="AG2457">
        <v>-1.0454549584669901</v>
      </c>
      <c r="AH2457">
        <v>8.5371708552286005</v>
      </c>
      <c r="AI2457">
        <v>96.363824292686701</v>
      </c>
      <c r="AJ2457">
        <v>65.608056367385402</v>
      </c>
      <c r="AK2457">
        <v>9.4319847606344496</v>
      </c>
      <c r="AL2457">
        <v>79.985366635350601</v>
      </c>
      <c r="AM2457">
        <v>80.164872218959204</v>
      </c>
      <c r="AN2457">
        <v>1.00000004434378</v>
      </c>
    </row>
    <row r="2458" spans="1:40" x14ac:dyDescent="0.3">
      <c r="A2458" t="str">
        <f>"20200111150404422"</f>
        <v>20200111150404422</v>
      </c>
      <c r="B2458" t="str">
        <f>"1578726244410660"</f>
        <v>1578726244410660</v>
      </c>
      <c r="C2458" t="s">
        <v>40</v>
      </c>
      <c r="D2458">
        <v>5.2131129999999999</v>
      </c>
      <c r="E2458">
        <v>0.62556730000000005</v>
      </c>
      <c r="F2458" t="s">
        <v>41</v>
      </c>
      <c r="G2458">
        <v>-305.90390000000002</v>
      </c>
      <c r="H2458" s="1">
        <v>-2.8765030000000002E-6</v>
      </c>
      <c r="I2458">
        <v>-6.7006479999999904</v>
      </c>
      <c r="J2458">
        <v>-306.79899999999998</v>
      </c>
      <c r="K2458">
        <v>1.045426</v>
      </c>
      <c r="L2458">
        <v>5.2554319999999999</v>
      </c>
      <c r="M2458">
        <v>0.52143539999999999</v>
      </c>
      <c r="N2458">
        <v>0</v>
      </c>
      <c r="O2458">
        <v>-0.85320629999999997</v>
      </c>
      <c r="P2458">
        <v>0.36757250000000002</v>
      </c>
      <c r="Q2458">
        <v>0.1652834</v>
      </c>
      <c r="R2458">
        <v>-0.91519010000000001</v>
      </c>
      <c r="S2458">
        <v>0.27832030000000002</v>
      </c>
      <c r="T2458">
        <v>-0.27579809999999999</v>
      </c>
      <c r="U2458">
        <v>-3.2266849999999998</v>
      </c>
      <c r="V2458">
        <v>0.16741099999999901</v>
      </c>
      <c r="W2458">
        <v>0.1733662</v>
      </c>
      <c r="X2458">
        <v>0.97052439999999995</v>
      </c>
      <c r="Y2458">
        <v>0.446301</v>
      </c>
      <c r="Z2458">
        <v>6.2000989999999999E-2</v>
      </c>
      <c r="AA2458">
        <v>0.89273250000000004</v>
      </c>
      <c r="AB2458">
        <v>31</v>
      </c>
      <c r="AC2458">
        <v>0.895100000000013</v>
      </c>
      <c r="AD2458">
        <v>-1.045428876503</v>
      </c>
      <c r="AE2458">
        <v>-11.95608</v>
      </c>
      <c r="AF2458">
        <v>5.4297305434131298</v>
      </c>
      <c r="AG2458">
        <v>-1.045428876503</v>
      </c>
      <c r="AH2458">
        <v>10.5880080371033</v>
      </c>
      <c r="AI2458">
        <v>95.021001466768098</v>
      </c>
      <c r="AJ2458">
        <v>62.8503918599325</v>
      </c>
      <c r="AK2458">
        <v>11.9449072622462</v>
      </c>
      <c r="AL2458">
        <v>80.016404412205503</v>
      </c>
      <c r="AM2458">
        <v>80.213051969890302</v>
      </c>
      <c r="AN2458">
        <v>0.99999994660939795</v>
      </c>
    </row>
    <row r="2459" spans="1:40" x14ac:dyDescent="0.3">
      <c r="A2459" t="str">
        <f>"20200111150404444"</f>
        <v>20200111150404444</v>
      </c>
      <c r="B2459" t="str">
        <f>"1578726244440916"</f>
        <v>1578726244440916</v>
      </c>
      <c r="C2459" t="s">
        <v>40</v>
      </c>
      <c r="D2459">
        <v>5.1523960000000004</v>
      </c>
      <c r="E2459">
        <v>0.62660909999999903</v>
      </c>
      <c r="F2459" t="s">
        <v>41</v>
      </c>
      <c r="G2459">
        <v>-305.93759999999997</v>
      </c>
      <c r="H2459" s="1">
        <v>-2.4460759999999999E-6</v>
      </c>
      <c r="I2459">
        <v>-7.6302000000000003</v>
      </c>
      <c r="J2459">
        <v>-306.64229999999998</v>
      </c>
      <c r="K2459">
        <v>1.04541</v>
      </c>
      <c r="L2459">
        <v>4.9791559999999997</v>
      </c>
      <c r="M2459">
        <v>0.51230310000000001</v>
      </c>
      <c r="N2459">
        <v>0</v>
      </c>
      <c r="O2459">
        <v>-0.85872090000000001</v>
      </c>
      <c r="P2459">
        <v>0.35855759999999998</v>
      </c>
      <c r="Q2459">
        <v>0.16498460000000001</v>
      </c>
      <c r="R2459">
        <v>-0.91881250000000003</v>
      </c>
      <c r="S2459">
        <v>0.21649170000000001</v>
      </c>
      <c r="T2459">
        <v>-0.26274589999999998</v>
      </c>
      <c r="U2459">
        <v>-3.2385250000000001</v>
      </c>
      <c r="V2459">
        <v>0.1666224</v>
      </c>
      <c r="W2459">
        <v>0.173069</v>
      </c>
      <c r="X2459">
        <v>0.97071320000000005</v>
      </c>
      <c r="Y2459">
        <v>0.45395540000000001</v>
      </c>
      <c r="Z2459">
        <v>5.9386649999999999E-2</v>
      </c>
      <c r="AA2459">
        <v>0.88904319999999903</v>
      </c>
      <c r="AB2459">
        <v>31</v>
      </c>
      <c r="AC2459">
        <v>0.70470000000000199</v>
      </c>
      <c r="AD2459">
        <v>-1.0454124460759999</v>
      </c>
      <c r="AE2459">
        <v>-12.609356</v>
      </c>
      <c r="AF2459">
        <v>5.8152452883304102</v>
      </c>
      <c r="AG2459">
        <v>-1.0454124460759999</v>
      </c>
      <c r="AH2459">
        <v>11.1135894962124</v>
      </c>
      <c r="AI2459">
        <v>94.764346963095207</v>
      </c>
      <c r="AJ2459">
        <v>62.378945372772598</v>
      </c>
      <c r="AK2459">
        <v>12.586573657520301</v>
      </c>
      <c r="AL2459">
        <v>80.033694712933894</v>
      </c>
      <c r="AM2459">
        <v>80.260127035672696</v>
      </c>
      <c r="AN2459">
        <v>1.0000000097985</v>
      </c>
    </row>
    <row r="2460" spans="1:40" x14ac:dyDescent="0.3">
      <c r="A2460" t="str">
        <f>"20200111150404467"</f>
        <v>20200111150404467</v>
      </c>
      <c r="B2460" t="str">
        <f>"1578726244461417"</f>
        <v>1578726244461417</v>
      </c>
      <c r="C2460" t="s">
        <v>40</v>
      </c>
      <c r="D2460">
        <v>5.2033379999999996</v>
      </c>
      <c r="E2460">
        <v>0.62637529999999997</v>
      </c>
      <c r="F2460" t="s">
        <v>41</v>
      </c>
      <c r="G2460">
        <v>-305.91219999999998</v>
      </c>
      <c r="H2460" s="1">
        <v>-2.052566E-6</v>
      </c>
      <c r="I2460">
        <v>-8.4483409999999992</v>
      </c>
      <c r="J2460">
        <v>-306.48610000000002</v>
      </c>
      <c r="K2460">
        <v>1.045398</v>
      </c>
      <c r="L2460">
        <v>4.6968990000000002</v>
      </c>
      <c r="M2460">
        <v>0.50297040000000004</v>
      </c>
      <c r="N2460">
        <v>0</v>
      </c>
      <c r="O2460">
        <v>-0.86422069999999995</v>
      </c>
      <c r="P2460">
        <v>0.3489738</v>
      </c>
      <c r="Q2460">
        <v>0.1662264</v>
      </c>
      <c r="R2460">
        <v>-0.92227250000000005</v>
      </c>
      <c r="S2460">
        <v>0.1762695</v>
      </c>
      <c r="T2460">
        <v>-0.25237880000000001</v>
      </c>
      <c r="U2460">
        <v>-3.2416079999999998</v>
      </c>
      <c r="V2460">
        <v>0.1661299</v>
      </c>
      <c r="W2460">
        <v>0.17430399999999999</v>
      </c>
      <c r="X2460">
        <v>0.97057660000000001</v>
      </c>
      <c r="Y2460">
        <v>0.45535029999999999</v>
      </c>
      <c r="Z2460">
        <v>5.7612190000000001E-2</v>
      </c>
      <c r="AA2460">
        <v>0.88844630000000002</v>
      </c>
      <c r="AB2460">
        <v>31</v>
      </c>
      <c r="AC2460">
        <v>0.57390000000003705</v>
      </c>
      <c r="AD2460">
        <v>-1.0454000525660001</v>
      </c>
      <c r="AE2460">
        <v>-13.145239999999999</v>
      </c>
      <c r="AF2460">
        <v>6.0777629326586498</v>
      </c>
      <c r="AG2460">
        <v>-1.0454000525660001</v>
      </c>
      <c r="AH2460">
        <v>11.576799828804701</v>
      </c>
      <c r="AI2460">
        <v>94.571230780596807</v>
      </c>
      <c r="AJ2460">
        <v>62.300748254446603</v>
      </c>
      <c r="AK2460">
        <v>13.1169492570383</v>
      </c>
      <c r="AL2460">
        <v>79.961842057138099</v>
      </c>
      <c r="AM2460">
        <v>80.287026178190999</v>
      </c>
      <c r="AN2460">
        <v>0.99999998227878395</v>
      </c>
    </row>
    <row r="2461" spans="1:40" x14ac:dyDescent="0.3">
      <c r="A2461" t="str">
        <f>"20200111150404489"</f>
        <v>20200111150404489</v>
      </c>
      <c r="B2461" t="str">
        <f>"1578726244480934"</f>
        <v>1578726244480934</v>
      </c>
      <c r="C2461" t="s">
        <v>40</v>
      </c>
      <c r="D2461">
        <v>5.170706</v>
      </c>
      <c r="E2461">
        <v>0.62672640000000002</v>
      </c>
      <c r="F2461" t="s">
        <v>41</v>
      </c>
      <c r="G2461">
        <v>-305.8272</v>
      </c>
      <c r="H2461" s="1">
        <v>-1.226998E-6</v>
      </c>
      <c r="I2461">
        <v>-10.147</v>
      </c>
      <c r="J2461">
        <v>-306.33629999999999</v>
      </c>
      <c r="K2461">
        <v>1.0453840000000001</v>
      </c>
      <c r="L2461">
        <v>4.4187320000000003</v>
      </c>
      <c r="M2461">
        <v>0.49377300000000002</v>
      </c>
      <c r="N2461">
        <v>0</v>
      </c>
      <c r="O2461">
        <v>-0.86950839999999996</v>
      </c>
      <c r="P2461">
        <v>0.34020470000000003</v>
      </c>
      <c r="Q2461">
        <v>0.16685129999999901</v>
      </c>
      <c r="R2461">
        <v>-0.92543050000000004</v>
      </c>
      <c r="S2461">
        <v>0.14379879999999901</v>
      </c>
      <c r="T2461">
        <v>-0.22814799999999999</v>
      </c>
      <c r="U2461">
        <v>-3.2395320000000001</v>
      </c>
      <c r="V2461">
        <v>0.16500399999999901</v>
      </c>
      <c r="W2461">
        <v>0.17494009999999999</v>
      </c>
      <c r="X2461">
        <v>0.97065420000000002</v>
      </c>
      <c r="Y2461">
        <v>0.4547601</v>
      </c>
      <c r="Z2461">
        <v>5.2704040000000001E-2</v>
      </c>
      <c r="AA2461">
        <v>0.88905319999999899</v>
      </c>
      <c r="AB2461">
        <v>31</v>
      </c>
      <c r="AC2461">
        <v>0.50909999999998901</v>
      </c>
      <c r="AD2461">
        <v>-1.045385226998</v>
      </c>
      <c r="AE2461">
        <v>-14.565732000000001</v>
      </c>
      <c r="AF2461">
        <v>6.71543362257166</v>
      </c>
      <c r="AG2461">
        <v>-1.045385226998</v>
      </c>
      <c r="AH2461">
        <v>12.851216830647299</v>
      </c>
      <c r="AI2461">
        <v>94.123627028895299</v>
      </c>
      <c r="AJ2461">
        <v>62.410575957149298</v>
      </c>
      <c r="AK2461">
        <v>14.537663259282899</v>
      </c>
      <c r="AL2461">
        <v>79.924827349059299</v>
      </c>
      <c r="AM2461">
        <v>80.352368551663602</v>
      </c>
      <c r="AN2461">
        <v>0.99999996729082397</v>
      </c>
    </row>
    <row r="2462" spans="1:40" x14ac:dyDescent="0.3">
      <c r="A2462" t="str">
        <f>"20200111150404511"</f>
        <v>20200111150404511</v>
      </c>
      <c r="B2462" t="str">
        <f>"1578726244501429"</f>
        <v>1578726244501429</v>
      </c>
      <c r="C2462" t="s">
        <v>40</v>
      </c>
      <c r="D2462">
        <v>5.1913239999999998</v>
      </c>
      <c r="E2462">
        <v>0.62705080000000002</v>
      </c>
      <c r="F2462" t="s">
        <v>41</v>
      </c>
      <c r="G2462">
        <v>-305.80279999999999</v>
      </c>
      <c r="H2462" s="1">
        <v>-5.008364E-6</v>
      </c>
      <c r="I2462">
        <v>-11.32057</v>
      </c>
      <c r="J2462">
        <v>-306.19310000000002</v>
      </c>
      <c r="K2462">
        <v>1.045377</v>
      </c>
      <c r="L2462">
        <v>4.1461180000000004</v>
      </c>
      <c r="M2462">
        <v>0.48475800000000002</v>
      </c>
      <c r="N2462">
        <v>0</v>
      </c>
      <c r="O2462">
        <v>-0.87456630000000002</v>
      </c>
      <c r="P2462">
        <v>0.33172459999999998</v>
      </c>
      <c r="Q2462">
        <v>0.16784869999999999</v>
      </c>
      <c r="R2462">
        <v>-0.92832420000000004</v>
      </c>
      <c r="S2462">
        <v>0.10983279999999999</v>
      </c>
      <c r="T2462">
        <v>-0.21520710000000001</v>
      </c>
      <c r="U2462">
        <v>-3.2401430000000002</v>
      </c>
      <c r="V2462">
        <v>0.1637854</v>
      </c>
      <c r="W2462">
        <v>0.17595229999999901</v>
      </c>
      <c r="X2462">
        <v>0.97067769999999998</v>
      </c>
      <c r="Y2462">
        <v>0.45486989999999999</v>
      </c>
      <c r="Z2462">
        <v>5.0214109999999999E-2</v>
      </c>
      <c r="AA2462">
        <v>0.88914110000000002</v>
      </c>
      <c r="AB2462">
        <v>31</v>
      </c>
      <c r="AC2462">
        <v>0.39030000000002402</v>
      </c>
      <c r="AD2462">
        <v>-1.045382008364</v>
      </c>
      <c r="AE2462">
        <v>-15.466688</v>
      </c>
      <c r="AF2462">
        <v>7.1242458793091599</v>
      </c>
      <c r="AG2462">
        <v>-1.045382008364</v>
      </c>
      <c r="AH2462">
        <v>13.6544909199592</v>
      </c>
      <c r="AI2462">
        <v>93.883065173710904</v>
      </c>
      <c r="AJ2462">
        <v>62.446648628515099</v>
      </c>
      <c r="AK2462">
        <v>15.4367362216083</v>
      </c>
      <c r="AL2462">
        <v>79.865919502403699</v>
      </c>
      <c r="AM2462">
        <v>80.422521867060595</v>
      </c>
      <c r="AN2462">
        <v>1.00000003320286</v>
      </c>
    </row>
    <row r="2463" spans="1:40" x14ac:dyDescent="0.3">
      <c r="A2463" t="str">
        <f>"20200111150404545"</f>
        <v>20200111150404545</v>
      </c>
      <c r="B2463" t="str">
        <f>"1578726244541444"</f>
        <v>1578726244541444</v>
      </c>
      <c r="C2463" t="s">
        <v>40</v>
      </c>
      <c r="D2463">
        <v>5.2226350000000004</v>
      </c>
      <c r="E2463">
        <v>0.62620980000000004</v>
      </c>
      <c r="F2463" t="s">
        <v>41</v>
      </c>
      <c r="G2463">
        <v>-305.79349999999999</v>
      </c>
      <c r="H2463" s="1">
        <v>-4.622945E-6</v>
      </c>
      <c r="I2463">
        <v>-12.44834</v>
      </c>
      <c r="J2463">
        <v>-305.97680000000003</v>
      </c>
      <c r="K2463">
        <v>1.045355</v>
      </c>
      <c r="L2463">
        <v>3.7207029999999999</v>
      </c>
      <c r="M2463">
        <v>0.47068359999999898</v>
      </c>
      <c r="N2463">
        <v>0</v>
      </c>
      <c r="O2463">
        <v>-0.88222109999999998</v>
      </c>
      <c r="P2463">
        <v>0.31749139999999998</v>
      </c>
      <c r="Q2463">
        <v>0.1683713</v>
      </c>
      <c r="R2463">
        <v>-0.93319379999999996</v>
      </c>
      <c r="S2463">
        <v>7.8033450000000004E-2</v>
      </c>
      <c r="T2463">
        <v>-0.2041482</v>
      </c>
      <c r="U2463">
        <v>-3.2406619999999999</v>
      </c>
      <c r="V2463">
        <v>0.16304649999999901</v>
      </c>
      <c r="W2463">
        <v>0.17647379999999999</v>
      </c>
      <c r="X2463">
        <v>0.9707074</v>
      </c>
      <c r="Y2463">
        <v>0.44932100000000003</v>
      </c>
      <c r="Z2463">
        <v>4.84401E-2</v>
      </c>
      <c r="AA2463">
        <v>0.89205619999999997</v>
      </c>
      <c r="AB2463">
        <v>31</v>
      </c>
      <c r="AC2463">
        <v>0.18330000000003099</v>
      </c>
      <c r="AD2463">
        <v>-1.045359622945</v>
      </c>
      <c r="AE2463">
        <v>-16.169042999999999</v>
      </c>
      <c r="AF2463">
        <v>7.4183208020078704</v>
      </c>
      <c r="AG2463">
        <v>-1.045359622945</v>
      </c>
      <c r="AH2463">
        <v>14.292240506783701</v>
      </c>
      <c r="AI2463">
        <v>93.714312457674197</v>
      </c>
      <c r="AJ2463">
        <v>62.568641016938301</v>
      </c>
      <c r="AK2463">
        <v>16.136678684491901</v>
      </c>
      <c r="AL2463">
        <v>79.835564524572703</v>
      </c>
      <c r="AM2463">
        <v>80.465220899509006</v>
      </c>
      <c r="AN2463">
        <v>1.0000000098317201</v>
      </c>
    </row>
    <row r="2464" spans="1:40" x14ac:dyDescent="0.3">
      <c r="A2464" t="str">
        <f>"20200111150404567"</f>
        <v>20200111150404567</v>
      </c>
      <c r="B2464" t="str">
        <f>"1578726244560967"</f>
        <v>1578726244560967</v>
      </c>
      <c r="C2464" t="s">
        <v>40</v>
      </c>
      <c r="D2464">
        <v>5.1799689999999998</v>
      </c>
      <c r="E2464">
        <v>0.62559569999999998</v>
      </c>
      <c r="F2464" t="s">
        <v>41</v>
      </c>
      <c r="G2464">
        <v>-305.79360000000003</v>
      </c>
      <c r="H2464" s="1">
        <v>-4.7309449999999996E-6</v>
      </c>
      <c r="I2464">
        <v>-12.131019999999999</v>
      </c>
      <c r="J2464">
        <v>-305.83609999999999</v>
      </c>
      <c r="K2464">
        <v>1.0453429999999999</v>
      </c>
      <c r="L2464">
        <v>3.4350589999999999</v>
      </c>
      <c r="M2464">
        <v>0.46122829999999898</v>
      </c>
      <c r="N2464">
        <v>0</v>
      </c>
      <c r="O2464">
        <v>-0.88720119999999902</v>
      </c>
      <c r="P2464">
        <v>0.30837599999999998</v>
      </c>
      <c r="Q2464">
        <v>0.16892270000000001</v>
      </c>
      <c r="R2464">
        <v>-0.93614640000000005</v>
      </c>
      <c r="S2464">
        <v>3.7445069999999997E-2</v>
      </c>
      <c r="T2464">
        <v>-0.21370500000000001</v>
      </c>
      <c r="U2464">
        <v>-3.2406009999999998</v>
      </c>
      <c r="V2464">
        <v>0.16210669999999999</v>
      </c>
      <c r="W2464">
        <v>0.17703650000000001</v>
      </c>
      <c r="X2464">
        <v>0.97076229999999997</v>
      </c>
      <c r="Y2464">
        <v>0.45093860000000002</v>
      </c>
      <c r="Z2464">
        <v>5.1156920000000002E-2</v>
      </c>
      <c r="AA2464">
        <v>0.89108779999999999</v>
      </c>
      <c r="AB2464">
        <v>31</v>
      </c>
      <c r="AC2464">
        <v>4.2499999999961298E-2</v>
      </c>
      <c r="AD2464">
        <v>-1.0453477309450001</v>
      </c>
      <c r="AE2464">
        <v>-15.566078999999901</v>
      </c>
      <c r="AF2464">
        <v>7.1102529528054204</v>
      </c>
      <c r="AG2464">
        <v>-1.0453477309450001</v>
      </c>
      <c r="AH2464">
        <v>13.7687369369119</v>
      </c>
      <c r="AI2464">
        <v>93.859217746899802</v>
      </c>
      <c r="AJ2464">
        <v>62.687916020491798</v>
      </c>
      <c r="AK2464">
        <v>15.5314701741127</v>
      </c>
      <c r="AL2464">
        <v>79.802808068683603</v>
      </c>
      <c r="AM2464">
        <v>80.519705271005705</v>
      </c>
      <c r="AN2464">
        <v>0.99999997380921402</v>
      </c>
    </row>
    <row r="2465" spans="1:40" x14ac:dyDescent="0.3">
      <c r="A2465" t="str">
        <f>"20200111150404591"</f>
        <v>20200111150404591</v>
      </c>
      <c r="B2465" t="str">
        <f>"1578726244580487"</f>
        <v>1578726244580487</v>
      </c>
      <c r="C2465" t="s">
        <v>40</v>
      </c>
      <c r="D2465">
        <v>5.2158959999999999</v>
      </c>
      <c r="E2465">
        <v>0.62505149999999998</v>
      </c>
      <c r="F2465" t="s">
        <v>41</v>
      </c>
      <c r="G2465">
        <v>-305.78460000000001</v>
      </c>
      <c r="H2465" s="1">
        <v>-4.6849239999999996E-6</v>
      </c>
      <c r="I2465">
        <v>-12.26158</v>
      </c>
      <c r="J2465">
        <v>-305.69670000000002</v>
      </c>
      <c r="K2465">
        <v>1.0453300000000001</v>
      </c>
      <c r="L2465">
        <v>3.144104</v>
      </c>
      <c r="M2465">
        <v>0.45159700000000003</v>
      </c>
      <c r="N2465">
        <v>0</v>
      </c>
      <c r="O2465">
        <v>-0.89214210000000005</v>
      </c>
      <c r="P2465">
        <v>0.29924390000000001</v>
      </c>
      <c r="Q2465">
        <v>0.16934109999999999</v>
      </c>
      <c r="R2465">
        <v>-0.93903000000000003</v>
      </c>
      <c r="S2465">
        <v>1.062012E-2</v>
      </c>
      <c r="T2465">
        <v>-0.21577940000000001</v>
      </c>
      <c r="U2465">
        <v>-3.2400820000000001</v>
      </c>
      <c r="V2465">
        <v>0.16102939999999999</v>
      </c>
      <c r="W2465">
        <v>0.17747009999999999</v>
      </c>
      <c r="X2465">
        <v>0.97086240000000001</v>
      </c>
      <c r="Y2465">
        <v>0.44865120000000003</v>
      </c>
      <c r="Z2465">
        <v>5.218391E-2</v>
      </c>
      <c r="AA2465">
        <v>0.89218220000000004</v>
      </c>
      <c r="AB2465">
        <v>31</v>
      </c>
      <c r="AC2465">
        <v>-8.78999999999905E-2</v>
      </c>
      <c r="AD2465">
        <v>-1.0453346849239999</v>
      </c>
      <c r="AE2465">
        <v>-15.4056839999999</v>
      </c>
      <c r="AF2465">
        <v>7.0038361299689402</v>
      </c>
      <c r="AG2465">
        <v>-1.0453346849239999</v>
      </c>
      <c r="AH2465">
        <v>13.6425311707409</v>
      </c>
      <c r="AI2465">
        <v>93.899541455991496</v>
      </c>
      <c r="AJ2465">
        <v>62.824831452390903</v>
      </c>
      <c r="AK2465">
        <v>15.3709174053991</v>
      </c>
      <c r="AL2465">
        <v>79.777564672461395</v>
      </c>
      <c r="AM2465">
        <v>80.582528915813</v>
      </c>
      <c r="AN2465">
        <v>0.99999995189606306</v>
      </c>
    </row>
    <row r="2466" spans="1:40" x14ac:dyDescent="0.3">
      <c r="A2466" t="str">
        <f>"20200111150404612"</f>
        <v>20200111150404612</v>
      </c>
      <c r="B2466" t="str">
        <f>"1578726244600980"</f>
        <v>1578726244600980</v>
      </c>
      <c r="C2466" t="s">
        <v>40</v>
      </c>
      <c r="D2466">
        <v>5.2074049999999996</v>
      </c>
      <c r="E2466">
        <v>0.62425229999999998</v>
      </c>
      <c r="F2466" t="s">
        <v>41</v>
      </c>
      <c r="G2466">
        <v>-305.77600000000001</v>
      </c>
      <c r="H2466" s="1">
        <v>-4.6513909999999996E-6</v>
      </c>
      <c r="I2466">
        <v>-12.35563</v>
      </c>
      <c r="J2466">
        <v>-305.5652</v>
      </c>
      <c r="K2466">
        <v>1.0453129999999999</v>
      </c>
      <c r="L2466">
        <v>2.8614199999999999</v>
      </c>
      <c r="M2466">
        <v>0.44223899999999999</v>
      </c>
      <c r="N2466">
        <v>0</v>
      </c>
      <c r="O2466">
        <v>-0.8968178</v>
      </c>
      <c r="P2466">
        <v>0.29027380000000003</v>
      </c>
      <c r="Q2466">
        <v>0.1686608</v>
      </c>
      <c r="R2466">
        <v>-0.94196329999999995</v>
      </c>
      <c r="S2466">
        <v>-1.6571039999999999E-2</v>
      </c>
      <c r="T2466">
        <v>-0.2184767</v>
      </c>
      <c r="U2466">
        <v>-3.239471</v>
      </c>
      <c r="V2466">
        <v>0.1601735</v>
      </c>
      <c r="W2466">
        <v>0.17680419999999999</v>
      </c>
      <c r="X2466">
        <v>0.97112549999999997</v>
      </c>
      <c r="Y2466">
        <v>0.44678869999999998</v>
      </c>
      <c r="Z2466">
        <v>5.3339150000000002E-2</v>
      </c>
      <c r="AA2466">
        <v>0.89304799999999995</v>
      </c>
      <c r="AB2466">
        <v>31</v>
      </c>
      <c r="AC2466">
        <v>-0.21080000000000601</v>
      </c>
      <c r="AD2466">
        <v>-1.0453176513910001</v>
      </c>
      <c r="AE2466">
        <v>-15.21705</v>
      </c>
      <c r="AF2466">
        <v>6.8866245007704503</v>
      </c>
      <c r="AG2466">
        <v>-1.0453176513910001</v>
      </c>
      <c r="AH2466">
        <v>13.491013354992701</v>
      </c>
      <c r="AI2466">
        <v>93.947797843830401</v>
      </c>
      <c r="AJ2466">
        <v>62.957500312441503</v>
      </c>
      <c r="AK2466">
        <v>15.1830737122466</v>
      </c>
      <c r="AL2466">
        <v>79.816331535050395</v>
      </c>
      <c r="AM2466">
        <v>80.634187869731704</v>
      </c>
      <c r="AN2466">
        <v>1.00000000599506</v>
      </c>
    </row>
    <row r="2467" spans="1:40" x14ac:dyDescent="0.3">
      <c r="A2467" t="str">
        <f>"20200111150404635"</f>
        <v>20200111150404635</v>
      </c>
      <c r="B2467" t="str">
        <f>"1578726244631238"</f>
        <v>1578726244631238</v>
      </c>
      <c r="C2467" t="s">
        <v>40</v>
      </c>
      <c r="D2467">
        <v>5.2083300000000001</v>
      </c>
      <c r="E2467">
        <v>0.62295349999999905</v>
      </c>
      <c r="F2467" t="s">
        <v>41</v>
      </c>
      <c r="G2467">
        <v>-305.75360000000001</v>
      </c>
      <c r="H2467" s="1">
        <v>-4.7354639999999997E-6</v>
      </c>
      <c r="I2467">
        <v>-12.096869999999999</v>
      </c>
      <c r="J2467">
        <v>-305.43360000000001</v>
      </c>
      <c r="K2467">
        <v>1.0452950000000001</v>
      </c>
      <c r="L2467">
        <v>2.5707399999999998</v>
      </c>
      <c r="M2467">
        <v>0.4326141</v>
      </c>
      <c r="N2467">
        <v>0</v>
      </c>
      <c r="O2467">
        <v>-0.90149999999999997</v>
      </c>
      <c r="P2467">
        <v>0.28179340000000003</v>
      </c>
      <c r="Q2467">
        <v>0.16728579999999901</v>
      </c>
      <c r="R2467">
        <v>-0.94477960000000005</v>
      </c>
      <c r="S2467">
        <v>-4.0771479999999999E-2</v>
      </c>
      <c r="T2467">
        <v>-0.22627259999999999</v>
      </c>
      <c r="U2467">
        <v>-3.2379150000000001</v>
      </c>
      <c r="V2467">
        <v>0.15858529999999901</v>
      </c>
      <c r="W2467">
        <v>0.17546220000000001</v>
      </c>
      <c r="X2467">
        <v>0.97162939999999998</v>
      </c>
      <c r="Y2467">
        <v>0.44388309999999997</v>
      </c>
      <c r="Z2467">
        <v>5.5792540000000002E-2</v>
      </c>
      <c r="AA2467">
        <v>0.89434609999999903</v>
      </c>
      <c r="AB2467">
        <v>31</v>
      </c>
      <c r="AC2467">
        <v>-0.31999999999999301</v>
      </c>
      <c r="AD2467">
        <v>-1.0452997354639999</v>
      </c>
      <c r="AE2467">
        <v>-14.66761</v>
      </c>
      <c r="AF2467">
        <v>6.6008599365221903</v>
      </c>
      <c r="AG2467">
        <v>-1.0452997354639999</v>
      </c>
      <c r="AH2467">
        <v>13.019257138711501</v>
      </c>
      <c r="AI2467">
        <v>94.095992426666001</v>
      </c>
      <c r="AJ2467">
        <v>63.114653598323002</v>
      </c>
      <c r="AK2467">
        <v>14.634379381526101</v>
      </c>
      <c r="AL2467">
        <v>79.894443450916896</v>
      </c>
      <c r="AM2467">
        <v>80.730159357961995</v>
      </c>
      <c r="AN2467">
        <v>0.99999998597464401</v>
      </c>
    </row>
    <row r="2468" spans="1:40" x14ac:dyDescent="0.3">
      <c r="A2468" t="str">
        <f>"20200111150404657"</f>
        <v>20200111150404657</v>
      </c>
      <c r="B2468" t="str">
        <f>"1578726244650772"</f>
        <v>1578726244650772</v>
      </c>
      <c r="C2468" t="s">
        <v>40</v>
      </c>
      <c r="D2468">
        <v>5.2353269999999998</v>
      </c>
      <c r="E2468">
        <v>0.62198920000000002</v>
      </c>
      <c r="F2468" t="s">
        <v>41</v>
      </c>
      <c r="G2468">
        <v>-305.6986</v>
      </c>
      <c r="H2468" s="1">
        <v>-4.860198E-6</v>
      </c>
      <c r="I2468">
        <v>-11.70167</v>
      </c>
      <c r="J2468">
        <v>-305.30020000000002</v>
      </c>
      <c r="K2468">
        <v>1.0452760000000001</v>
      </c>
      <c r="L2468">
        <v>2.267334</v>
      </c>
      <c r="M2468">
        <v>0.42256529999999998</v>
      </c>
      <c r="N2468">
        <v>0</v>
      </c>
      <c r="O2468">
        <v>-0.90625409999999995</v>
      </c>
      <c r="P2468">
        <v>0.2725322</v>
      </c>
      <c r="Q2468">
        <v>0.166468</v>
      </c>
      <c r="R2468">
        <v>-0.94763660000000005</v>
      </c>
      <c r="S2468">
        <v>-6.0058590000000002E-2</v>
      </c>
      <c r="T2468">
        <v>-0.2369434</v>
      </c>
      <c r="U2468">
        <v>-3.2351990000000002</v>
      </c>
      <c r="V2468">
        <v>0.15733810000000001</v>
      </c>
      <c r="W2468">
        <v>0.1746692</v>
      </c>
      <c r="X2468">
        <v>0.97197500000000003</v>
      </c>
      <c r="Y2468">
        <v>0.4392489</v>
      </c>
      <c r="Z2468">
        <v>5.9056650000000002E-2</v>
      </c>
      <c r="AA2468">
        <v>0.89642219999999995</v>
      </c>
      <c r="AB2468">
        <v>31</v>
      </c>
      <c r="AC2468">
        <v>-0.39839999999998099</v>
      </c>
      <c r="AD2468">
        <v>-1.0452808601979999</v>
      </c>
      <c r="AE2468">
        <v>-13.969004</v>
      </c>
      <c r="AF2468">
        <v>6.22946063126202</v>
      </c>
      <c r="AG2468">
        <v>-1.0452808601979999</v>
      </c>
      <c r="AH2468">
        <v>12.422503543207601</v>
      </c>
      <c r="AI2468">
        <v>94.301496994483799</v>
      </c>
      <c r="AJ2468">
        <v>63.367801070625802</v>
      </c>
      <c r="AK2468">
        <v>13.9361897990141</v>
      </c>
      <c r="AL2468">
        <v>79.940591866643402</v>
      </c>
      <c r="AM2468">
        <v>80.805026074414698</v>
      </c>
      <c r="AN2468">
        <v>1.00000000388262</v>
      </c>
    </row>
    <row r="2469" spans="1:40" x14ac:dyDescent="0.3">
      <c r="A2469" t="str">
        <f>"20200111150404679"</f>
        <v>20200111150404679</v>
      </c>
      <c r="B2469" t="str">
        <f>"1578726244671254"</f>
        <v>1578726244671254</v>
      </c>
      <c r="C2469" t="s">
        <v>40</v>
      </c>
      <c r="D2469">
        <v>5.2184689999999998</v>
      </c>
      <c r="E2469">
        <v>0.62155439999999995</v>
      </c>
      <c r="F2469" t="s">
        <v>41</v>
      </c>
      <c r="G2469">
        <v>-305.66160000000002</v>
      </c>
      <c r="H2469" s="1">
        <v>-4.8787319999999996E-6</v>
      </c>
      <c r="I2469">
        <v>-11.6279</v>
      </c>
      <c r="J2469">
        <v>-305.18</v>
      </c>
      <c r="K2469">
        <v>1.045261</v>
      </c>
      <c r="L2469">
        <v>1.985962</v>
      </c>
      <c r="M2469">
        <v>0.41324529999999898</v>
      </c>
      <c r="N2469">
        <v>0</v>
      </c>
      <c r="O2469">
        <v>-0.91054170000000001</v>
      </c>
      <c r="P2469">
        <v>0.26313049999999999</v>
      </c>
      <c r="Q2469">
        <v>0.16580980000000001</v>
      </c>
      <c r="R2469">
        <v>-0.95040519999999995</v>
      </c>
      <c r="S2469">
        <v>-8.4075929999999993E-2</v>
      </c>
      <c r="T2469">
        <v>-0.24318229999999999</v>
      </c>
      <c r="U2469">
        <v>-3.2326969999999999</v>
      </c>
      <c r="V2469">
        <v>0.15703159999999999</v>
      </c>
      <c r="W2469">
        <v>0.17401659999999999</v>
      </c>
      <c r="X2469">
        <v>0.97214160000000005</v>
      </c>
      <c r="Y2469">
        <v>0.43669570000000002</v>
      </c>
      <c r="Z2469">
        <v>6.1169250000000001E-2</v>
      </c>
      <c r="AA2469">
        <v>0.89752730000000003</v>
      </c>
      <c r="AB2469">
        <v>31</v>
      </c>
      <c r="AC2469">
        <v>-0.48160000000001402</v>
      </c>
      <c r="AD2469">
        <v>-1.0452658787319999</v>
      </c>
      <c r="AE2469">
        <v>-13.613861999999999</v>
      </c>
      <c r="AF2469">
        <v>6.0293134393262298</v>
      </c>
      <c r="AG2469">
        <v>-1.0452658787319999</v>
      </c>
      <c r="AH2469">
        <v>12.1264398366894</v>
      </c>
      <c r="AI2469">
        <v>94.413527233994998</v>
      </c>
      <c r="AJ2469">
        <v>63.563254912992498</v>
      </c>
      <c r="AK2469">
        <v>13.582921056228299</v>
      </c>
      <c r="AL2469">
        <v>79.9785645607368</v>
      </c>
      <c r="AM2469">
        <v>80.824179114352205</v>
      </c>
      <c r="AN2469">
        <v>0.99999999546233997</v>
      </c>
    </row>
    <row r="2470" spans="1:40" x14ac:dyDescent="0.3">
      <c r="A2470" t="str">
        <f>"20200111150404701"</f>
        <v>20200111150404701</v>
      </c>
      <c r="B2470" t="str">
        <f>"1578726244690772"</f>
        <v>1578726244690772</v>
      </c>
      <c r="C2470" t="s">
        <v>40</v>
      </c>
      <c r="D2470">
        <v>5.2402179999999996</v>
      </c>
      <c r="E2470">
        <v>0.60742929999999995</v>
      </c>
      <c r="F2470" t="s">
        <v>41</v>
      </c>
      <c r="G2470">
        <v>-305.65440000000001</v>
      </c>
      <c r="H2470" s="1">
        <v>-4.8645139999999997E-6</v>
      </c>
      <c r="I2470">
        <v>-11.66595</v>
      </c>
      <c r="J2470">
        <v>-305.06009999999998</v>
      </c>
      <c r="K2470">
        <v>1.0452410000000001</v>
      </c>
      <c r="L2470">
        <v>1.69714399999999</v>
      </c>
      <c r="M2470">
        <v>0.4036767</v>
      </c>
      <c r="N2470">
        <v>0</v>
      </c>
      <c r="O2470">
        <v>-0.91482390000000002</v>
      </c>
      <c r="P2470">
        <v>0.25357180000000001</v>
      </c>
      <c r="Q2470">
        <v>0.1644555</v>
      </c>
      <c r="R2470">
        <v>-0.95323460000000004</v>
      </c>
      <c r="S2470">
        <v>-0.1122742</v>
      </c>
      <c r="T2470">
        <v>-0.24736610000000001</v>
      </c>
      <c r="U2470">
        <v>-3.2307739999999998</v>
      </c>
      <c r="V2470">
        <v>0.15667110000000001</v>
      </c>
      <c r="W2470">
        <v>0.17267489999999999</v>
      </c>
      <c r="X2470">
        <v>0.97243900000000005</v>
      </c>
      <c r="Y2470">
        <v>0.43510080000000001</v>
      </c>
      <c r="Z2470">
        <v>6.2759010000000004E-2</v>
      </c>
      <c r="AA2470">
        <v>0.89819189999999904</v>
      </c>
      <c r="AB2470">
        <v>31</v>
      </c>
      <c r="AC2470">
        <v>-0.59430000000003202</v>
      </c>
      <c r="AD2470">
        <v>-1.0452458645139999</v>
      </c>
      <c r="AE2470">
        <v>-13.363094</v>
      </c>
      <c r="AF2470">
        <v>5.9024313241711202</v>
      </c>
      <c r="AG2470">
        <v>-1.0452458645139999</v>
      </c>
      <c r="AH2470">
        <v>11.913083234856</v>
      </c>
      <c r="AI2470">
        <v>94.495276387037407</v>
      </c>
      <c r="AJ2470">
        <v>63.643520902826303</v>
      </c>
      <c r="AK2470">
        <v>13.336145868070201</v>
      </c>
      <c r="AL2470">
        <v>80.056620357640895</v>
      </c>
      <c r="AM2470">
        <v>80.847639574252199</v>
      </c>
      <c r="AN2470">
        <v>1.0000000316930999</v>
      </c>
    </row>
    <row r="2471" spans="1:40" x14ac:dyDescent="0.3">
      <c r="A2471" t="str">
        <f>"20200111150404723"</f>
        <v>20200111150404723</v>
      </c>
      <c r="B2471" t="str">
        <f>"1578726244721028"</f>
        <v>1578726244721028</v>
      </c>
      <c r="C2471" t="s">
        <v>40</v>
      </c>
      <c r="D2471">
        <v>5.2730499999999996</v>
      </c>
      <c r="E2471">
        <v>0.60484130000000003</v>
      </c>
      <c r="F2471" t="s">
        <v>41</v>
      </c>
      <c r="G2471">
        <v>-305.1755</v>
      </c>
      <c r="H2471" s="1">
        <v>-1.508169E-6</v>
      </c>
      <c r="I2471">
        <v>-9.1853610000000003</v>
      </c>
      <c r="J2471">
        <v>-304.93950000000001</v>
      </c>
      <c r="K2471">
        <v>1.045226</v>
      </c>
      <c r="L2471">
        <v>1.39801</v>
      </c>
      <c r="M2471">
        <v>0.39376299999999997</v>
      </c>
      <c r="N2471">
        <v>0</v>
      </c>
      <c r="O2471">
        <v>-0.91913429999999996</v>
      </c>
      <c r="P2471">
        <v>0.2444405</v>
      </c>
      <c r="Q2471">
        <v>0.16301640000000001</v>
      </c>
      <c r="R2471">
        <v>-0.95586369999999998</v>
      </c>
      <c r="S2471">
        <v>-3.4057619999999997E-2</v>
      </c>
      <c r="T2471">
        <v>-0.30825740000000001</v>
      </c>
      <c r="U2471">
        <v>-3.2094119999999999</v>
      </c>
      <c r="V2471">
        <v>0.15552820000000001</v>
      </c>
      <c r="W2471">
        <v>0.17127039999999999</v>
      </c>
      <c r="X2471">
        <v>0.97287069999999998</v>
      </c>
      <c r="Y2471">
        <v>0.40340589999999998</v>
      </c>
      <c r="Z2471">
        <v>7.9963859999999998E-2</v>
      </c>
      <c r="AA2471">
        <v>0.91152040000000001</v>
      </c>
      <c r="AB2471">
        <v>31</v>
      </c>
      <c r="AC2471">
        <v>-0.235999999999989</v>
      </c>
      <c r="AD2471">
        <v>-1.0452275081689999</v>
      </c>
      <c r="AE2471">
        <v>-10.583371</v>
      </c>
      <c r="AF2471">
        <v>4.3422365285421396</v>
      </c>
      <c r="AG2471">
        <v>-1.0452275081689999</v>
      </c>
      <c r="AH2471">
        <v>9.5422722883949191</v>
      </c>
      <c r="AI2471">
        <v>95.693536460483699</v>
      </c>
      <c r="AJ2471">
        <v>65.531964540108604</v>
      </c>
      <c r="AK2471">
        <v>10.5357714022044</v>
      </c>
      <c r="AL2471">
        <v>80.138308843361202</v>
      </c>
      <c r="AM2471">
        <v>80.917252144533506</v>
      </c>
      <c r="AN2471">
        <v>0.99999998491494402</v>
      </c>
    </row>
    <row r="2472" spans="1:40" x14ac:dyDescent="0.3">
      <c r="A2472" t="str">
        <f>"20200111150404747"</f>
        <v>20200111150404747</v>
      </c>
      <c r="B2472" t="str">
        <f>"1578726244740548"</f>
        <v>1578726244740548</v>
      </c>
      <c r="C2472" t="s">
        <v>40</v>
      </c>
      <c r="D2472">
        <v>5.2606580000000003</v>
      </c>
      <c r="E2472">
        <v>0.60378889999999996</v>
      </c>
      <c r="F2472" t="s">
        <v>41</v>
      </c>
      <c r="G2472">
        <v>-305.09339999999997</v>
      </c>
      <c r="H2472" s="1">
        <v>-1.4571410000000001E-6</v>
      </c>
      <c r="I2472">
        <v>-9.2470879999999998</v>
      </c>
      <c r="J2472">
        <v>-304.8202</v>
      </c>
      <c r="K2472">
        <v>1.0455570000000001</v>
      </c>
      <c r="L2472">
        <v>1.093475</v>
      </c>
      <c r="M2472">
        <v>0.38308589999999998</v>
      </c>
      <c r="N2472">
        <v>0</v>
      </c>
      <c r="O2472">
        <v>-0.92363039999999996</v>
      </c>
      <c r="P2472">
        <v>0.23424339999999999</v>
      </c>
      <c r="Q2472">
        <v>0.1611641</v>
      </c>
      <c r="R2472">
        <v>-0.95872659999999998</v>
      </c>
      <c r="S2472">
        <v>-4.6325680000000001E-2</v>
      </c>
      <c r="T2472">
        <v>-0.3146002</v>
      </c>
      <c r="U2472">
        <v>-3.2040410000000001</v>
      </c>
      <c r="V2472">
        <v>0.15461510000000001</v>
      </c>
      <c r="W2472">
        <v>0.1699234</v>
      </c>
      <c r="X2472">
        <v>0.97325240000000002</v>
      </c>
      <c r="Y2472">
        <v>0.39629760000000003</v>
      </c>
      <c r="Z2472">
        <v>8.2535949999999997E-2</v>
      </c>
      <c r="AA2472">
        <v>0.91440469999999896</v>
      </c>
      <c r="AB2472">
        <v>31</v>
      </c>
      <c r="AC2472">
        <v>-0.27319999999997402</v>
      </c>
      <c r="AD2472">
        <v>-1.0455584571409999</v>
      </c>
      <c r="AE2472">
        <v>-10.340563</v>
      </c>
      <c r="AF2472">
        <v>4.1713631124445802</v>
      </c>
      <c r="AG2472">
        <v>-1.0455584571409999</v>
      </c>
      <c r="AH2472">
        <v>9.3513785926654194</v>
      </c>
      <c r="AI2472">
        <v>95.8302494197535</v>
      </c>
      <c r="AJ2472">
        <v>65.959815755577495</v>
      </c>
      <c r="AK2472">
        <v>10.2928006046228</v>
      </c>
      <c r="AL2472">
        <v>80.216634721785098</v>
      </c>
      <c r="AM2472">
        <v>80.973178655577598</v>
      </c>
      <c r="AN2472">
        <v>1.0000000125606601</v>
      </c>
    </row>
    <row r="2473" spans="1:40" x14ac:dyDescent="0.3">
      <c r="A2473" t="str">
        <f>"20200111150404769"</f>
        <v>20200111150404769</v>
      </c>
      <c r="B2473" t="str">
        <f>"1578726244761044"</f>
        <v>1578726244761044</v>
      </c>
      <c r="C2473" t="s">
        <v>40</v>
      </c>
      <c r="D2473">
        <v>5.2838440000000002</v>
      </c>
      <c r="E2473">
        <v>0.60303200000000001</v>
      </c>
      <c r="F2473" t="s">
        <v>41</v>
      </c>
      <c r="G2473">
        <v>-305.05810000000002</v>
      </c>
      <c r="H2473" s="1">
        <v>-1.431746E-6</v>
      </c>
      <c r="I2473">
        <v>-9.2809089999999994</v>
      </c>
      <c r="J2473">
        <v>-304.70839999999998</v>
      </c>
      <c r="K2473">
        <v>1.045906</v>
      </c>
      <c r="L2473">
        <v>0.80099489999999995</v>
      </c>
      <c r="M2473">
        <v>0.37158140000000001</v>
      </c>
      <c r="N2473">
        <v>0</v>
      </c>
      <c r="O2473">
        <v>-0.92831180000000002</v>
      </c>
      <c r="P2473">
        <v>0.22332060000000001</v>
      </c>
      <c r="Q2473">
        <v>0.1599141</v>
      </c>
      <c r="R2473">
        <v>-0.96153829999999996</v>
      </c>
      <c r="S2473">
        <v>-7.3394780000000007E-2</v>
      </c>
      <c r="T2473">
        <v>-0.32263799999999998</v>
      </c>
      <c r="U2473">
        <v>-3.2013240000000001</v>
      </c>
      <c r="V2473">
        <v>0.15362410000000001</v>
      </c>
      <c r="W2473">
        <v>0.16920199999999999</v>
      </c>
      <c r="X2473">
        <v>0.97353489999999998</v>
      </c>
      <c r="Y2473">
        <v>0.39262520000000001</v>
      </c>
      <c r="Z2473">
        <v>8.546687E-2</v>
      </c>
      <c r="AA2473">
        <v>0.91571880000000005</v>
      </c>
      <c r="AB2473">
        <v>31</v>
      </c>
      <c r="AC2473">
        <v>-0.34970000000004098</v>
      </c>
      <c r="AD2473">
        <v>-1.045907431746</v>
      </c>
      <c r="AE2473">
        <v>-10.0819039</v>
      </c>
      <c r="AF2473">
        <v>4.0279162206691703</v>
      </c>
      <c r="AG2473">
        <v>-1.045907431746</v>
      </c>
      <c r="AH2473">
        <v>9.1318070651360799</v>
      </c>
      <c r="AI2473">
        <v>95.982372269080003</v>
      </c>
      <c r="AJ2473">
        <v>66.198374822334202</v>
      </c>
      <c r="AK2473">
        <v>10.0353341604243</v>
      </c>
      <c r="AL2473">
        <v>80.258574519308198</v>
      </c>
      <c r="AM2473">
        <v>81.032652638214898</v>
      </c>
      <c r="AN2473">
        <v>0.99999994121140801</v>
      </c>
    </row>
    <row r="2474" spans="1:40" x14ac:dyDescent="0.3">
      <c r="A2474" t="str">
        <f>"20200111150404790"</f>
        <v>20200111150404790</v>
      </c>
      <c r="B2474" t="str">
        <f>"1578726244780564"</f>
        <v>1578726244780564</v>
      </c>
      <c r="C2474" t="s">
        <v>40</v>
      </c>
      <c r="D2474">
        <v>5.2919640000000001</v>
      </c>
      <c r="E2474">
        <v>0.60266070000000005</v>
      </c>
      <c r="F2474" t="s">
        <v>41</v>
      </c>
      <c r="G2474">
        <v>-305.04050000000001</v>
      </c>
      <c r="H2474" s="1">
        <v>-1.3517440000000001E-6</v>
      </c>
      <c r="I2474">
        <v>-9.4402690000000007</v>
      </c>
      <c r="J2474">
        <v>-304.60000000000002</v>
      </c>
      <c r="K2474">
        <v>1.0454060000000001</v>
      </c>
      <c r="L2474">
        <v>0.50854489999999997</v>
      </c>
      <c r="M2474">
        <v>0.36023729999999998</v>
      </c>
      <c r="N2474">
        <v>0</v>
      </c>
      <c r="O2474">
        <v>-0.93277410000000005</v>
      </c>
      <c r="P2474">
        <v>0.2138158</v>
      </c>
      <c r="Q2474">
        <v>0.15939320000000001</v>
      </c>
      <c r="R2474">
        <v>-0.96378260000000004</v>
      </c>
      <c r="S2474">
        <v>-0.10372919999999999</v>
      </c>
      <c r="T2474">
        <v>-0.32664480000000001</v>
      </c>
      <c r="U2474">
        <v>-3.1984249999999999</v>
      </c>
      <c r="V2474">
        <v>0.15171579999999901</v>
      </c>
      <c r="W2474">
        <v>0.1683161</v>
      </c>
      <c r="X2474">
        <v>0.97398770000000001</v>
      </c>
      <c r="Y2474">
        <v>0.39010590000000001</v>
      </c>
      <c r="Z2474">
        <v>8.7312329999999994E-2</v>
      </c>
      <c r="AA2474">
        <v>0.91662089999999996</v>
      </c>
      <c r="AB2474">
        <v>31</v>
      </c>
      <c r="AC2474">
        <v>-0.44049999999998501</v>
      </c>
      <c r="AD2474">
        <v>-1.0454073517439999</v>
      </c>
      <c r="AE2474">
        <v>-9.9488138999999993</v>
      </c>
      <c r="AF2474">
        <v>3.9515973669588602</v>
      </c>
      <c r="AG2474">
        <v>-1.0454073517439999</v>
      </c>
      <c r="AH2474">
        <v>9.0226199074984308</v>
      </c>
      <c r="AI2474">
        <v>96.058269029123593</v>
      </c>
      <c r="AJ2474">
        <v>66.348233780602996</v>
      </c>
      <c r="AK2474">
        <v>9.9053353439862697</v>
      </c>
      <c r="AL2474">
        <v>80.3100721963837</v>
      </c>
      <c r="AM2474">
        <v>81.146319382912296</v>
      </c>
      <c r="AN2474">
        <v>1.00000001662006</v>
      </c>
    </row>
    <row r="2475" spans="1:40" x14ac:dyDescent="0.3">
      <c r="A2475" t="str">
        <f>"20200111150404813"</f>
        <v>20200111150404813</v>
      </c>
      <c r="B2475" t="str">
        <f>"1578726244810820"</f>
        <v>1578726244810820</v>
      </c>
      <c r="C2475" t="s">
        <v>40</v>
      </c>
      <c r="D2475">
        <v>5.3057550000000004</v>
      </c>
      <c r="E2475">
        <v>0.5950413</v>
      </c>
      <c r="F2475" t="s">
        <v>41</v>
      </c>
      <c r="G2475">
        <v>-305.02530000000002</v>
      </c>
      <c r="H2475" s="1">
        <v>-1.234308E-6</v>
      </c>
      <c r="I2475">
        <v>-9.6801220000000008</v>
      </c>
      <c r="J2475">
        <v>-304.49360000000001</v>
      </c>
      <c r="K2475">
        <v>1.0449409999999999</v>
      </c>
      <c r="L2475">
        <v>0.20962520000000001</v>
      </c>
      <c r="M2475">
        <v>0.35227320000000001</v>
      </c>
      <c r="N2475">
        <v>0</v>
      </c>
      <c r="O2475">
        <v>-0.93581270000000005</v>
      </c>
      <c r="P2475">
        <v>0.20952950000000001</v>
      </c>
      <c r="Q2475">
        <v>0.15836339999999999</v>
      </c>
      <c r="R2475">
        <v>-0.96489340000000001</v>
      </c>
      <c r="S2475">
        <v>-0.13342290000000001</v>
      </c>
      <c r="T2475">
        <v>-0.32798620000000001</v>
      </c>
      <c r="U2475">
        <v>-3.1965940000000002</v>
      </c>
      <c r="V2475">
        <v>0.14819760000000001</v>
      </c>
      <c r="W2475">
        <v>0.16686529999999899</v>
      </c>
      <c r="X2475">
        <v>0.9747787</v>
      </c>
      <c r="Y2475">
        <v>0.39077509999999999</v>
      </c>
      <c r="Z2475">
        <v>8.8147100000000006E-2</v>
      </c>
      <c r="AA2475">
        <v>0.91625599999999996</v>
      </c>
      <c r="AB2475">
        <v>31</v>
      </c>
      <c r="AC2475">
        <v>-0.53169999999999995</v>
      </c>
      <c r="AD2475">
        <v>-1.0449422343079999</v>
      </c>
      <c r="AE2475">
        <v>-9.8897471999999897</v>
      </c>
      <c r="AF2475">
        <v>3.93794351806191</v>
      </c>
      <c r="AG2475">
        <v>-1.0449422343079999</v>
      </c>
      <c r="AH2475">
        <v>8.9685298281867798</v>
      </c>
      <c r="AI2475">
        <v>96.089353896216494</v>
      </c>
      <c r="AJ2475">
        <v>66.294460820990395</v>
      </c>
      <c r="AK2475">
        <v>9.8505751458258697</v>
      </c>
      <c r="AL2475">
        <v>80.394389630338296</v>
      </c>
      <c r="AM2475">
        <v>81.355402800378798</v>
      </c>
      <c r="AN2475">
        <v>1.00000003548176</v>
      </c>
    </row>
    <row r="2476" spans="1:40" x14ac:dyDescent="0.3">
      <c r="A2476" t="str">
        <f>"20200111150404835"</f>
        <v>20200111150404835</v>
      </c>
      <c r="B2476" t="str">
        <f>"1578726244831316"</f>
        <v>1578726244831316</v>
      </c>
      <c r="C2476" t="s">
        <v>40</v>
      </c>
      <c r="D2476">
        <v>5.299798</v>
      </c>
      <c r="E2476">
        <v>0.594477699999999</v>
      </c>
      <c r="F2476" t="s">
        <v>41</v>
      </c>
      <c r="G2476">
        <v>-304.77429999999998</v>
      </c>
      <c r="H2476" s="1">
        <v>-1.2126850000000001E-6</v>
      </c>
      <c r="I2476">
        <v>-9.5846020000000003</v>
      </c>
      <c r="J2476">
        <v>-304.39479999999998</v>
      </c>
      <c r="K2476">
        <v>1.045088</v>
      </c>
      <c r="L2476">
        <v>-7.9589839999999995E-2</v>
      </c>
      <c r="M2476">
        <v>0.3462962</v>
      </c>
      <c r="N2476">
        <v>0</v>
      </c>
      <c r="O2476">
        <v>-0.93804889999999996</v>
      </c>
      <c r="P2476">
        <v>0.2079133</v>
      </c>
      <c r="Q2476">
        <v>0.15723709999999999</v>
      </c>
      <c r="R2476">
        <v>-0.96542689999999998</v>
      </c>
      <c r="S2476">
        <v>-9.1278079999999998E-2</v>
      </c>
      <c r="T2476">
        <v>-0.33978009999999997</v>
      </c>
      <c r="U2476">
        <v>-3.1847530000000002</v>
      </c>
      <c r="V2476">
        <v>0.1438912</v>
      </c>
      <c r="W2476">
        <v>0.16505449999999999</v>
      </c>
      <c r="X2476">
        <v>0.97573169999999998</v>
      </c>
      <c r="Y2476">
        <v>0.37285190000000001</v>
      </c>
      <c r="Z2476">
        <v>9.2396049999999993E-2</v>
      </c>
      <c r="AA2476">
        <v>0.92327919999999997</v>
      </c>
      <c r="AB2476">
        <v>31</v>
      </c>
      <c r="AC2476">
        <v>-0.379500000000007</v>
      </c>
      <c r="AD2476">
        <v>-1.045089212685</v>
      </c>
      <c r="AE2476">
        <v>-9.5050121599999997</v>
      </c>
      <c r="AF2476">
        <v>3.60429625630975</v>
      </c>
      <c r="AG2476">
        <v>-1.045089212685</v>
      </c>
      <c r="AH2476">
        <v>8.6806004491731699</v>
      </c>
      <c r="AI2476">
        <v>96.344651610158607</v>
      </c>
      <c r="AJ2476">
        <v>67.451150458226806</v>
      </c>
      <c r="AK2476">
        <v>9.4570601734315094</v>
      </c>
      <c r="AL2476">
        <v>80.499599577807601</v>
      </c>
      <c r="AM2476">
        <v>81.611052612239504</v>
      </c>
      <c r="AN2476">
        <v>1.0000000078962801</v>
      </c>
    </row>
    <row r="2477" spans="1:40" x14ac:dyDescent="0.3">
      <c r="A2477" t="str">
        <f>"20200111150404859"</f>
        <v>20200111150404859</v>
      </c>
      <c r="B2477" t="str">
        <f>"1578726244850836"</f>
        <v>1578726244850836</v>
      </c>
      <c r="C2477" t="s">
        <v>40</v>
      </c>
      <c r="D2477">
        <v>5.327744</v>
      </c>
      <c r="E2477">
        <v>0.59399069999999898</v>
      </c>
      <c r="F2477" t="s">
        <v>41</v>
      </c>
      <c r="G2477">
        <v>-304.68090000000001</v>
      </c>
      <c r="H2477" s="1">
        <v>-1.066567E-6</v>
      </c>
      <c r="I2477">
        <v>-9.8411439999999999</v>
      </c>
      <c r="J2477">
        <v>-304.29109999999997</v>
      </c>
      <c r="K2477">
        <v>1.0461499999999999</v>
      </c>
      <c r="L2477">
        <v>-0.39590449999999999</v>
      </c>
      <c r="M2477">
        <v>0.33858660000000002</v>
      </c>
      <c r="N2477">
        <v>0</v>
      </c>
      <c r="O2477">
        <v>-0.94087790000000004</v>
      </c>
      <c r="P2477">
        <v>0.20322899999999999</v>
      </c>
      <c r="Q2477">
        <v>0.15775110000000001</v>
      </c>
      <c r="R2477">
        <v>-0.96633979999999997</v>
      </c>
      <c r="S2477">
        <v>-9.3292239999999999E-2</v>
      </c>
      <c r="T2477">
        <v>-0.340779</v>
      </c>
      <c r="U2477">
        <v>-3.183014</v>
      </c>
      <c r="V2477">
        <v>0.14053640000000001</v>
      </c>
      <c r="W2477">
        <v>0.1641195</v>
      </c>
      <c r="X2477">
        <v>0.97637810000000003</v>
      </c>
      <c r="Y2477">
        <v>0.36582130000000002</v>
      </c>
      <c r="Z2477">
        <v>9.3311649999999996E-2</v>
      </c>
      <c r="AA2477">
        <v>0.92599549999999997</v>
      </c>
      <c r="AB2477">
        <v>31</v>
      </c>
      <c r="AC2477">
        <v>-0.38980000000003601</v>
      </c>
      <c r="AD2477">
        <v>-1.046151066567</v>
      </c>
      <c r="AE2477">
        <v>-9.4452394999999996</v>
      </c>
      <c r="AF2477">
        <v>3.5218465865340001</v>
      </c>
      <c r="AG2477">
        <v>-1.046151066567</v>
      </c>
      <c r="AH2477">
        <v>8.6493808482793</v>
      </c>
      <c r="AI2477">
        <v>96.391667346212103</v>
      </c>
      <c r="AJ2477">
        <v>67.844876968418902</v>
      </c>
      <c r="AK2477">
        <v>9.3973200696656694</v>
      </c>
      <c r="AL2477">
        <v>80.553911185315798</v>
      </c>
      <c r="AM2477">
        <v>81.809303735533106</v>
      </c>
      <c r="AN2477">
        <v>0.99999994208240806</v>
      </c>
    </row>
    <row r="2478" spans="1:40" x14ac:dyDescent="0.3">
      <c r="A2478" t="str">
        <f>"20200111150404881"</f>
        <v>20200111150404881</v>
      </c>
      <c r="B2478" t="str">
        <f>"1578726244871333"</f>
        <v>1578726244871333</v>
      </c>
      <c r="C2478" t="s">
        <v>40</v>
      </c>
      <c r="D2478">
        <v>5.3264990000000001</v>
      </c>
      <c r="E2478">
        <v>0.59325249999999996</v>
      </c>
      <c r="F2478" t="s">
        <v>41</v>
      </c>
      <c r="G2478">
        <v>-304.60809999999998</v>
      </c>
      <c r="H2478" s="1">
        <v>-8.8391909999999995E-7</v>
      </c>
      <c r="I2478">
        <v>-10.18655</v>
      </c>
      <c r="J2478">
        <v>-304.19839999999999</v>
      </c>
      <c r="K2478">
        <v>1.047965</v>
      </c>
      <c r="L2478">
        <v>-0.68792719999999996</v>
      </c>
      <c r="M2478">
        <v>0.32980569999999998</v>
      </c>
      <c r="N2478">
        <v>0</v>
      </c>
      <c r="O2478">
        <v>-0.94400969999999995</v>
      </c>
      <c r="P2478">
        <v>0.19753499999999999</v>
      </c>
      <c r="Q2478">
        <v>0.1589545</v>
      </c>
      <c r="R2478">
        <v>-0.96732289999999999</v>
      </c>
      <c r="S2478">
        <v>-0.1030273</v>
      </c>
      <c r="T2478">
        <v>-0.339968099999999</v>
      </c>
      <c r="U2478">
        <v>-3.1816710000000001</v>
      </c>
      <c r="V2478">
        <v>0.13684389999999999</v>
      </c>
      <c r="W2478">
        <v>0.16387959999999999</v>
      </c>
      <c r="X2478">
        <v>0.9769428</v>
      </c>
      <c r="Y2478">
        <v>0.35998350000000001</v>
      </c>
      <c r="Z2478">
        <v>9.3742469999999994E-2</v>
      </c>
      <c r="AA2478">
        <v>0.92823710000000004</v>
      </c>
      <c r="AB2478">
        <v>31</v>
      </c>
      <c r="AC2478">
        <v>-0.40969999999998602</v>
      </c>
      <c r="AD2478">
        <v>-1.0479658839190999</v>
      </c>
      <c r="AE2478">
        <v>-9.4986227999999997</v>
      </c>
      <c r="AF2478">
        <v>3.4773420578854002</v>
      </c>
      <c r="AG2478">
        <v>-1.0479658839190999</v>
      </c>
      <c r="AH2478">
        <v>8.7259788712553608</v>
      </c>
      <c r="AI2478">
        <v>96.365874543996398</v>
      </c>
      <c r="AJ2478">
        <v>68.272494492396703</v>
      </c>
      <c r="AK2478">
        <v>9.4516055537137191</v>
      </c>
      <c r="AL2478">
        <v>80.567845705527404</v>
      </c>
      <c r="AM2478">
        <v>82.026253453692604</v>
      </c>
      <c r="AN2478">
        <v>1.0000000053675999</v>
      </c>
    </row>
    <row r="2479" spans="1:40" x14ac:dyDescent="0.3">
      <c r="A2479" t="str">
        <f>"20200111150404903"</f>
        <v>20200111150404903</v>
      </c>
      <c r="B2479" t="str">
        <f>"1578726244890852"</f>
        <v>1578726244890852</v>
      </c>
      <c r="C2479" t="s">
        <v>40</v>
      </c>
      <c r="D2479">
        <v>5.3128089999999997</v>
      </c>
      <c r="E2479">
        <v>0.59311990000000003</v>
      </c>
      <c r="F2479" t="s">
        <v>41</v>
      </c>
      <c r="G2479">
        <v>-304.55410000000001</v>
      </c>
      <c r="H2479" s="1">
        <v>-5.0323909999999998E-6</v>
      </c>
      <c r="I2479">
        <v>-10.599119999999999</v>
      </c>
      <c r="J2479">
        <v>-304.10579999999999</v>
      </c>
      <c r="K2479">
        <v>1.050251</v>
      </c>
      <c r="L2479">
        <v>-0.98767090000000002</v>
      </c>
      <c r="M2479">
        <v>0.31971959999999999</v>
      </c>
      <c r="N2479">
        <v>0</v>
      </c>
      <c r="O2479">
        <v>-0.94748719999999997</v>
      </c>
      <c r="P2479">
        <v>0.1906072</v>
      </c>
      <c r="Q2479">
        <v>0.15959949999999901</v>
      </c>
      <c r="R2479">
        <v>-0.96860550000000001</v>
      </c>
      <c r="S2479">
        <v>-0.11413570000000001</v>
      </c>
      <c r="T2479">
        <v>-0.33623009999999998</v>
      </c>
      <c r="U2479">
        <v>-3.1799010000000001</v>
      </c>
      <c r="V2479">
        <v>0.13301160000000001</v>
      </c>
      <c r="W2479">
        <v>0.16320029999999999</v>
      </c>
      <c r="X2479">
        <v>0.97758560000000005</v>
      </c>
      <c r="Y2479">
        <v>0.3532843</v>
      </c>
      <c r="Z2479">
        <v>9.3448020000000007E-2</v>
      </c>
      <c r="AA2479">
        <v>0.93083709999999997</v>
      </c>
      <c r="AB2479">
        <v>31</v>
      </c>
      <c r="AC2479">
        <v>-0.44830000000001702</v>
      </c>
      <c r="AD2479">
        <v>-1.050256032391</v>
      </c>
      <c r="AE2479">
        <v>-9.6114490999999997</v>
      </c>
      <c r="AF2479">
        <v>3.45662672553535</v>
      </c>
      <c r="AG2479">
        <v>-1.050256032391</v>
      </c>
      <c r="AH2479">
        <v>8.8580692923957898</v>
      </c>
      <c r="AI2479">
        <v>96.302951179214503</v>
      </c>
      <c r="AJ2479">
        <v>68.683102642123401</v>
      </c>
      <c r="AK2479">
        <v>9.5664359947759205</v>
      </c>
      <c r="AL2479">
        <v>80.607297971682399</v>
      </c>
      <c r="AM2479">
        <v>82.251839168444405</v>
      </c>
      <c r="AN2479">
        <v>1.000000014491</v>
      </c>
    </row>
    <row r="2480" spans="1:40" x14ac:dyDescent="0.3">
      <c r="A2480" t="str">
        <f>"20200111150404925"</f>
        <v>20200111150404925</v>
      </c>
      <c r="B2480" t="str">
        <f>"1578726244921108"</f>
        <v>1578726244921108</v>
      </c>
      <c r="C2480" t="s">
        <v>40</v>
      </c>
      <c r="D2480">
        <v>5.294162</v>
      </c>
      <c r="E2480">
        <v>0.61846869999999998</v>
      </c>
      <c r="F2480" t="s">
        <v>41</v>
      </c>
      <c r="G2480">
        <v>-304.53379999999999</v>
      </c>
      <c r="H2480" s="1">
        <v>-4.886197E-6</v>
      </c>
      <c r="I2480">
        <v>-11.01812</v>
      </c>
      <c r="J2480">
        <v>-304.01459999999997</v>
      </c>
      <c r="K2480">
        <v>1.052756</v>
      </c>
      <c r="L2480">
        <v>-1.2911379999999999</v>
      </c>
      <c r="M2480">
        <v>0.30845460000000002</v>
      </c>
      <c r="N2480">
        <v>0</v>
      </c>
      <c r="O2480">
        <v>-0.9512235</v>
      </c>
      <c r="P2480">
        <v>0.18147569999999999</v>
      </c>
      <c r="Q2480">
        <v>0.15981049999999999</v>
      </c>
      <c r="R2480">
        <v>-0.97032359999999895</v>
      </c>
      <c r="S2480">
        <v>-0.13562009999999999</v>
      </c>
      <c r="T2480">
        <v>-0.332839</v>
      </c>
      <c r="U2480">
        <v>-3.1787719999999999</v>
      </c>
      <c r="V2480">
        <v>0.13023560000000001</v>
      </c>
      <c r="W2480">
        <v>0.16238449999999999</v>
      </c>
      <c r="X2480">
        <v>0.9780951</v>
      </c>
      <c r="Y2480">
        <v>0.34847719999999999</v>
      </c>
      <c r="Z2480">
        <v>9.3209449999999999E-2</v>
      </c>
      <c r="AA2480">
        <v>0.93267120000000003</v>
      </c>
      <c r="AB2480">
        <v>31</v>
      </c>
      <c r="AC2480">
        <v>-0.51920000000001199</v>
      </c>
      <c r="AD2480">
        <v>-1.0527608861969999</v>
      </c>
      <c r="AE2480">
        <v>-9.7269819999999996</v>
      </c>
      <c r="AF2480">
        <v>3.4539152857465099</v>
      </c>
      <c r="AG2480">
        <v>-1.0527608861969999</v>
      </c>
      <c r="AH2480">
        <v>8.9875384167418808</v>
      </c>
      <c r="AI2480">
        <v>96.239907147583395</v>
      </c>
      <c r="AJ2480">
        <v>68.978208479548996</v>
      </c>
      <c r="AK2480">
        <v>9.6857463871934399</v>
      </c>
      <c r="AL2480">
        <v>80.654671975819497</v>
      </c>
      <c r="AM2480">
        <v>82.415548842137198</v>
      </c>
      <c r="AN2480">
        <v>1.0000000309957999</v>
      </c>
    </row>
    <row r="2481" spans="1:40" x14ac:dyDescent="0.3">
      <c r="A2481" t="str">
        <f>"20200111150404948"</f>
        <v>20200111150404948</v>
      </c>
      <c r="B2481" t="str">
        <f>"1578726244940628"</f>
        <v>1578726244940628</v>
      </c>
      <c r="C2481" t="s">
        <v>40</v>
      </c>
      <c r="D2481">
        <v>5.2539530000000001</v>
      </c>
      <c r="E2481">
        <v>0.625781699999999</v>
      </c>
      <c r="F2481" t="s">
        <v>41</v>
      </c>
      <c r="G2481">
        <v>-306.14600000000002</v>
      </c>
      <c r="H2481" s="1">
        <v>-1.8623360000000001E-6</v>
      </c>
      <c r="I2481">
        <v>-19.881640000000001</v>
      </c>
      <c r="J2481">
        <v>-303.92250000000001</v>
      </c>
      <c r="K2481">
        <v>1.055221</v>
      </c>
      <c r="L2481">
        <v>-1.6049800000000001</v>
      </c>
      <c r="M2481">
        <v>0.29598010000000002</v>
      </c>
      <c r="N2481">
        <v>0</v>
      </c>
      <c r="O2481">
        <v>-0.95518329999999996</v>
      </c>
      <c r="P2481">
        <v>0.1693818</v>
      </c>
      <c r="Q2481">
        <v>0.16064990000000001</v>
      </c>
      <c r="R2481">
        <v>-0.97236920000000004</v>
      </c>
      <c r="S2481">
        <v>-0.36572270000000001</v>
      </c>
      <c r="T2481">
        <v>-0.18064089999999999</v>
      </c>
      <c r="U2481">
        <v>-3.1899109999999999</v>
      </c>
      <c r="V2481">
        <v>0.12937080000000001</v>
      </c>
      <c r="W2481">
        <v>0.16247809999999999</v>
      </c>
      <c r="X2481">
        <v>0.97819429999999996</v>
      </c>
      <c r="Y2481">
        <v>0.40268690000000001</v>
      </c>
      <c r="Z2481">
        <v>5.0160379999999997E-2</v>
      </c>
      <c r="AA2481">
        <v>0.91396239999999995</v>
      </c>
      <c r="AB2481">
        <v>31</v>
      </c>
      <c r="AC2481">
        <v>-2.2234999999999401</v>
      </c>
      <c r="AD2481">
        <v>-1.055222862336</v>
      </c>
      <c r="AE2481">
        <v>-18.27666</v>
      </c>
      <c r="AF2481">
        <v>7.5087903206171696</v>
      </c>
      <c r="AG2481">
        <v>-1.055222862336</v>
      </c>
      <c r="AH2481">
        <v>16.744618700980499</v>
      </c>
      <c r="AI2481">
        <v>93.2909849789079</v>
      </c>
      <c r="AJ2481">
        <v>65.847102022892898</v>
      </c>
      <c r="AK2481">
        <v>18.381449420799601</v>
      </c>
      <c r="AL2481">
        <v>80.649236740101102</v>
      </c>
      <c r="AM2481">
        <v>82.466086468633804</v>
      </c>
      <c r="AN2481">
        <v>1.0000000127123601</v>
      </c>
    </row>
    <row r="2482" spans="1:40" x14ac:dyDescent="0.3">
      <c r="A2482" t="str">
        <f>"20200111150404970"</f>
        <v>20200111150404970</v>
      </c>
      <c r="B2482" t="str">
        <f>"1578726244961124"</f>
        <v>1578726244961124</v>
      </c>
      <c r="C2482" t="s">
        <v>40</v>
      </c>
      <c r="D2482">
        <v>5.2834789999999998</v>
      </c>
      <c r="E2482">
        <v>0.62869659999999905</v>
      </c>
      <c r="F2482" t="s">
        <v>41</v>
      </c>
      <c r="G2482">
        <v>-306.76150000000001</v>
      </c>
      <c r="H2482" s="1">
        <v>-5.177525E-6</v>
      </c>
      <c r="I2482">
        <v>-21.323250000000002</v>
      </c>
      <c r="J2482">
        <v>-303.83710000000002</v>
      </c>
      <c r="K2482">
        <v>1.057275</v>
      </c>
      <c r="L2482">
        <v>-1.9047240000000001</v>
      </c>
      <c r="M2482">
        <v>0.28497450000000002</v>
      </c>
      <c r="N2482">
        <v>0</v>
      </c>
      <c r="O2482">
        <v>-0.95852570000000004</v>
      </c>
      <c r="P2482">
        <v>0.15934599999999999</v>
      </c>
      <c r="Q2482">
        <v>0.16106960000000001</v>
      </c>
      <c r="R2482">
        <v>-0.97399469999999999</v>
      </c>
      <c r="S2482">
        <v>-0.4598083</v>
      </c>
      <c r="T2482">
        <v>-0.17090459999999999</v>
      </c>
      <c r="U2482">
        <v>-3.1935730000000002</v>
      </c>
      <c r="V2482">
        <v>0.12825619999999999</v>
      </c>
      <c r="W2482">
        <v>0.16260659999999999</v>
      </c>
      <c r="X2482">
        <v>0.97831970000000001</v>
      </c>
      <c r="Y2482">
        <v>0.41848360000000001</v>
      </c>
      <c r="Z2482">
        <v>4.7396540000000001E-2</v>
      </c>
      <c r="AA2482">
        <v>0.90698679999999998</v>
      </c>
      <c r="AB2482">
        <v>31</v>
      </c>
      <c r="AC2482">
        <v>-2.9243999999999901</v>
      </c>
      <c r="AD2482">
        <v>-1.057280177525</v>
      </c>
      <c r="AE2482">
        <v>-19.418526</v>
      </c>
      <c r="AF2482">
        <v>8.3128756061339306</v>
      </c>
      <c r="AG2482">
        <v>-1.057280177525</v>
      </c>
      <c r="AH2482">
        <v>17.7285466779235</v>
      </c>
      <c r="AI2482">
        <v>93.090737674115402</v>
      </c>
      <c r="AJ2482">
        <v>64.878225168835201</v>
      </c>
      <c r="AK2482">
        <v>19.609260810345599</v>
      </c>
      <c r="AL2482">
        <v>80.641774857641806</v>
      </c>
      <c r="AM2482">
        <v>82.531205772949804</v>
      </c>
      <c r="AN2482">
        <v>0.99999999730504496</v>
      </c>
    </row>
    <row r="2483" spans="1:40" x14ac:dyDescent="0.3">
      <c r="A2483" t="str">
        <f>"20200111150404992"</f>
        <v>20200111150404992</v>
      </c>
      <c r="B2483" t="str">
        <f>"1578726244981620"</f>
        <v>1578726244981620</v>
      </c>
      <c r="C2483" t="s">
        <v>40</v>
      </c>
      <c r="D2483">
        <v>5.2760210000000001</v>
      </c>
      <c r="E2483">
        <v>0.62996770000000002</v>
      </c>
      <c r="F2483" t="s">
        <v>41</v>
      </c>
      <c r="G2483">
        <v>-307.09359999999998</v>
      </c>
      <c r="H2483" s="1">
        <v>-4.9722060000000002E-6</v>
      </c>
      <c r="I2483">
        <v>-22.099679999999999</v>
      </c>
      <c r="J2483">
        <v>-303.75659999999999</v>
      </c>
      <c r="K2483">
        <v>1.0592870000000001</v>
      </c>
      <c r="L2483">
        <v>-2.1984859999999999</v>
      </c>
      <c r="M2483">
        <v>0.27613130000000002</v>
      </c>
      <c r="N2483">
        <v>0</v>
      </c>
      <c r="O2483">
        <v>-0.96111049999999998</v>
      </c>
      <c r="P2483">
        <v>0.15300920000000001</v>
      </c>
      <c r="Q2483">
        <v>0.1608059</v>
      </c>
      <c r="R2483">
        <v>-0.97505430000000004</v>
      </c>
      <c r="S2483">
        <v>-0.51470950000000004</v>
      </c>
      <c r="T2483">
        <v>-0.16710899999999901</v>
      </c>
      <c r="U2483">
        <v>-3.1919249999999999</v>
      </c>
      <c r="V2483">
        <v>0.12580150000000001</v>
      </c>
      <c r="W2483">
        <v>0.16224379999999999</v>
      </c>
      <c r="X2483">
        <v>0.97869859999999997</v>
      </c>
      <c r="Y2483">
        <v>0.42542370000000002</v>
      </c>
      <c r="Z2483">
        <v>4.6427749999999997E-2</v>
      </c>
      <c r="AA2483">
        <v>0.90380260000000001</v>
      </c>
      <c r="AB2483">
        <v>31</v>
      </c>
      <c r="AC2483">
        <v>-3.3369999999999802</v>
      </c>
      <c r="AD2483">
        <v>-1.0592919722059999</v>
      </c>
      <c r="AE2483">
        <v>-19.901194</v>
      </c>
      <c r="AF2483">
        <v>8.6787311947453798</v>
      </c>
      <c r="AG2483">
        <v>-1.0592919722059999</v>
      </c>
      <c r="AH2483">
        <v>18.1559290599746</v>
      </c>
      <c r="AI2483">
        <v>93.0132322093298</v>
      </c>
      <c r="AJ2483">
        <v>64.451694074097503</v>
      </c>
      <c r="AK2483">
        <v>20.151432571007401</v>
      </c>
      <c r="AL2483">
        <v>80.662841622400904</v>
      </c>
      <c r="AM2483">
        <v>82.675388864044393</v>
      </c>
      <c r="AN2483">
        <v>1.0000000088413199</v>
      </c>
    </row>
    <row r="2484" spans="1:40" x14ac:dyDescent="0.3">
      <c r="A2484" t="str">
        <f>"20200111150405014"</f>
        <v>20200111150405014</v>
      </c>
      <c r="B2484" t="str">
        <f>"1578726245010901"</f>
        <v>1578726245010901</v>
      </c>
      <c r="C2484" t="s">
        <v>40</v>
      </c>
      <c r="D2484">
        <v>5.3141819999999997</v>
      </c>
      <c r="E2484">
        <v>0.62878610000000001</v>
      </c>
      <c r="F2484" t="s">
        <v>41</v>
      </c>
      <c r="G2484">
        <v>-307.2577</v>
      </c>
      <c r="H2484" s="1">
        <v>-4.824956E-6</v>
      </c>
      <c r="I2484">
        <v>-22.617940000000001</v>
      </c>
      <c r="J2484">
        <v>-303.67500000000001</v>
      </c>
      <c r="K2484">
        <v>1.0618259999999999</v>
      </c>
      <c r="L2484">
        <v>-2.5110779999999999</v>
      </c>
      <c r="M2484">
        <v>0.26774389999999998</v>
      </c>
      <c r="N2484">
        <v>0</v>
      </c>
      <c r="O2484">
        <v>-0.96348080000000003</v>
      </c>
      <c r="P2484">
        <v>0.14680599999999999</v>
      </c>
      <c r="Q2484">
        <v>0.16019990000000001</v>
      </c>
      <c r="R2484">
        <v>-0.97610649999999999</v>
      </c>
      <c r="S2484">
        <v>-0.54693599999999998</v>
      </c>
      <c r="T2484">
        <v>-0.16548019999999999</v>
      </c>
      <c r="U2484">
        <v>-3.18988</v>
      </c>
      <c r="V2484">
        <v>0.1236361</v>
      </c>
      <c r="W2484">
        <v>0.16154879999999999</v>
      </c>
      <c r="X2484">
        <v>0.9790894</v>
      </c>
      <c r="Y2484">
        <v>0.42651559999999999</v>
      </c>
      <c r="Z2484">
        <v>4.613797E-2</v>
      </c>
      <c r="AA2484">
        <v>0.90330270000000001</v>
      </c>
      <c r="AB2484">
        <v>31</v>
      </c>
      <c r="AC2484">
        <v>-3.58269999999998</v>
      </c>
      <c r="AD2484">
        <v>-1.061830824956</v>
      </c>
      <c r="AE2484">
        <v>-20.106862</v>
      </c>
      <c r="AF2484">
        <v>8.8116137225465092</v>
      </c>
      <c r="AG2484">
        <v>-1.061830824956</v>
      </c>
      <c r="AH2484">
        <v>18.363856973779001</v>
      </c>
      <c r="AI2484">
        <v>92.984186516857505</v>
      </c>
      <c r="AJ2484">
        <v>64.366697435960106</v>
      </c>
      <c r="AK2484">
        <v>20.396158070813499</v>
      </c>
      <c r="AL2484">
        <v>80.703194231903595</v>
      </c>
      <c r="AM2484">
        <v>82.802975378157896</v>
      </c>
      <c r="AN2484">
        <v>0.99999997659850404</v>
      </c>
    </row>
    <row r="2485" spans="1:40" x14ac:dyDescent="0.3">
      <c r="A2485" t="str">
        <f>"20200111150405037"</f>
        <v>20200111150405037</v>
      </c>
      <c r="B2485" t="str">
        <f>"1578726245031400"</f>
        <v>1578726245031400</v>
      </c>
      <c r="C2485" t="s">
        <v>40</v>
      </c>
      <c r="D2485">
        <v>5.3263230000000004</v>
      </c>
      <c r="E2485">
        <v>0.62827900000000003</v>
      </c>
      <c r="F2485" t="s">
        <v>41</v>
      </c>
      <c r="G2485">
        <v>-307.35759999999999</v>
      </c>
      <c r="H2485" s="1">
        <v>-4.5378619999999996E-6</v>
      </c>
      <c r="I2485">
        <v>-23.513649999999998</v>
      </c>
      <c r="J2485">
        <v>-303.59870000000001</v>
      </c>
      <c r="K2485">
        <v>1.064805</v>
      </c>
      <c r="L2485">
        <v>-2.8161619999999998</v>
      </c>
      <c r="M2485">
        <v>0.25935740000000002</v>
      </c>
      <c r="N2485">
        <v>0</v>
      </c>
      <c r="O2485">
        <v>-0.96577279999999999</v>
      </c>
      <c r="P2485">
        <v>0.14111949999999901</v>
      </c>
      <c r="Q2485">
        <v>0.15899739999999901</v>
      </c>
      <c r="R2485">
        <v>-0.9771417</v>
      </c>
      <c r="S2485">
        <v>-0.55825809999999998</v>
      </c>
      <c r="T2485">
        <v>-0.16096429999999901</v>
      </c>
      <c r="U2485">
        <v>-3.1838069999999998</v>
      </c>
      <c r="V2485">
        <v>0.1208113</v>
      </c>
      <c r="W2485">
        <v>0.1603328</v>
      </c>
      <c r="X2485">
        <v>0.97964180000000001</v>
      </c>
      <c r="Y2485">
        <v>0.42206290000000002</v>
      </c>
      <c r="Z2485">
        <v>4.5178700000000002E-2</v>
      </c>
      <c r="AA2485">
        <v>0.90544020000000003</v>
      </c>
      <c r="AB2485">
        <v>31</v>
      </c>
      <c r="AC2485">
        <v>-3.7588999999999801</v>
      </c>
      <c r="AD2485">
        <v>-1.0648095378619999</v>
      </c>
      <c r="AE2485">
        <v>-20.697488</v>
      </c>
      <c r="AF2485">
        <v>8.9753680881566904</v>
      </c>
      <c r="AG2485">
        <v>-1.0648095378619999</v>
      </c>
      <c r="AH2485">
        <v>18.965736296959399</v>
      </c>
      <c r="AI2485">
        <v>92.905155122461693</v>
      </c>
      <c r="AJ2485">
        <v>64.674557974514798</v>
      </c>
      <c r="AK2485">
        <v>21.009288539967901</v>
      </c>
      <c r="AL2485">
        <v>80.773786510577196</v>
      </c>
      <c r="AM2485">
        <v>82.969671282442903</v>
      </c>
      <c r="AN2485">
        <v>1.00000001663538</v>
      </c>
    </row>
    <row r="2486" spans="1:40" x14ac:dyDescent="0.3">
      <c r="A2486" t="str">
        <f>"20200111150405059"</f>
        <v>20200111150405059</v>
      </c>
      <c r="B2486" t="str">
        <f>"1578726245050916"</f>
        <v>1578726245050916</v>
      </c>
      <c r="C2486" t="s">
        <v>40</v>
      </c>
      <c r="D2486">
        <v>5.3028469999999999</v>
      </c>
      <c r="E2486">
        <v>0.62771969999999899</v>
      </c>
      <c r="F2486" t="s">
        <v>41</v>
      </c>
      <c r="G2486">
        <v>-307.38889999999998</v>
      </c>
      <c r="H2486" s="1">
        <v>-4.4379439999999998E-6</v>
      </c>
      <c r="I2486">
        <v>-23.82357</v>
      </c>
      <c r="J2486">
        <v>-303.52429999999998</v>
      </c>
      <c r="K2486">
        <v>1.0681849999999999</v>
      </c>
      <c r="L2486">
        <v>-3.1260680000000001</v>
      </c>
      <c r="M2486">
        <v>0.25059579999999998</v>
      </c>
      <c r="N2486">
        <v>0</v>
      </c>
      <c r="O2486">
        <v>-0.96808300000000003</v>
      </c>
      <c r="P2486">
        <v>0.1366839</v>
      </c>
      <c r="Q2486">
        <v>0.15780179999999999</v>
      </c>
      <c r="R2486">
        <v>-0.97796539999999998</v>
      </c>
      <c r="S2486">
        <v>-0.57360840000000002</v>
      </c>
      <c r="T2486">
        <v>-0.1611467</v>
      </c>
      <c r="U2486">
        <v>-3.17923</v>
      </c>
      <c r="V2486">
        <v>0.11625770000000001</v>
      </c>
      <c r="W2486">
        <v>0.15940260000000001</v>
      </c>
      <c r="X2486">
        <v>0.98034429999999995</v>
      </c>
      <c r="Y2486">
        <v>0.41830339999999999</v>
      </c>
      <c r="Z2486">
        <v>4.5493939999999997E-2</v>
      </c>
      <c r="AA2486">
        <v>0.90716730000000001</v>
      </c>
      <c r="AB2486">
        <v>31</v>
      </c>
      <c r="AC2486">
        <v>-3.86459999999999</v>
      </c>
      <c r="AD2486">
        <v>-1.068189437944</v>
      </c>
      <c r="AE2486">
        <v>-20.697502</v>
      </c>
      <c r="AF2486">
        <v>8.9051166116242992</v>
      </c>
      <c r="AG2486">
        <v>-1.068189437944</v>
      </c>
      <c r="AH2486">
        <v>19.0196567592367</v>
      </c>
      <c r="AI2486">
        <v>92.911747188712596</v>
      </c>
      <c r="AJ2486">
        <v>64.910726444185599</v>
      </c>
      <c r="AK2486">
        <v>21.028301733167599</v>
      </c>
      <c r="AL2486">
        <v>80.827777244825896</v>
      </c>
      <c r="AM2486">
        <v>83.236956736104602</v>
      </c>
      <c r="AN2486">
        <v>0.99999999411926899</v>
      </c>
    </row>
    <row r="2487" spans="1:40" x14ac:dyDescent="0.3">
      <c r="A2487" t="str">
        <f>"20200111150405081"</f>
        <v>20200111150405081</v>
      </c>
      <c r="B2487" t="str">
        <f>"1578726245071412"</f>
        <v>1578726245071412</v>
      </c>
      <c r="C2487" t="s">
        <v>40</v>
      </c>
      <c r="D2487">
        <v>5.3202069999999999</v>
      </c>
      <c r="E2487">
        <v>0.62670499999999996</v>
      </c>
      <c r="F2487" t="s">
        <v>41</v>
      </c>
      <c r="G2487">
        <v>-307.4674</v>
      </c>
      <c r="H2487" s="1">
        <v>-4.2206940000000004E-6</v>
      </c>
      <c r="I2487">
        <v>-24.502859999999998</v>
      </c>
      <c r="J2487">
        <v>-303.45409999999998</v>
      </c>
      <c r="K2487">
        <v>1.071583</v>
      </c>
      <c r="L2487">
        <v>-3.4294129999999998</v>
      </c>
      <c r="M2487">
        <v>0.24200269999999999</v>
      </c>
      <c r="N2487">
        <v>0</v>
      </c>
      <c r="O2487">
        <v>-0.9702655</v>
      </c>
      <c r="P2487">
        <v>0.13271820000000001</v>
      </c>
      <c r="Q2487">
        <v>0.15781289999999901</v>
      </c>
      <c r="R2487">
        <v>-0.97850990000000004</v>
      </c>
      <c r="S2487">
        <v>-0.58566280000000004</v>
      </c>
      <c r="T2487">
        <v>-0.15865580000000001</v>
      </c>
      <c r="U2487">
        <v>-3.175049</v>
      </c>
      <c r="V2487">
        <v>0.1113613</v>
      </c>
      <c r="W2487">
        <v>0.1599119</v>
      </c>
      <c r="X2487">
        <v>0.98082970000000003</v>
      </c>
      <c r="Y2487">
        <v>0.41379320000000003</v>
      </c>
      <c r="Z2487">
        <v>4.5049829999999999E-2</v>
      </c>
      <c r="AA2487">
        <v>0.90925560000000005</v>
      </c>
      <c r="AB2487">
        <v>31</v>
      </c>
      <c r="AC2487">
        <v>-4.0133000000000099</v>
      </c>
      <c r="AD2487">
        <v>-1.071587220694</v>
      </c>
      <c r="AE2487">
        <v>-21.073447000000002</v>
      </c>
      <c r="AF2487">
        <v>8.9714995288040793</v>
      </c>
      <c r="AG2487">
        <v>-1.071587220694</v>
      </c>
      <c r="AH2487">
        <v>19.4273238129723</v>
      </c>
      <c r="AI2487">
        <v>92.866804454064393</v>
      </c>
      <c r="AJ2487">
        <v>65.212600981452994</v>
      </c>
      <c r="AK2487">
        <v>21.425615825477902</v>
      </c>
      <c r="AL2487">
        <v>80.798217635407994</v>
      </c>
      <c r="AM2487">
        <v>83.522498557940906</v>
      </c>
      <c r="AN2487">
        <v>1.00000002765069</v>
      </c>
    </row>
    <row r="2488" spans="1:40" x14ac:dyDescent="0.3">
      <c r="A2488" t="str">
        <f>"20200111150405103"</f>
        <v>20200111150405103</v>
      </c>
      <c r="B2488" t="str">
        <f>"1578726245100693"</f>
        <v>1578726245100693</v>
      </c>
      <c r="C2488" t="s">
        <v>40</v>
      </c>
      <c r="D2488">
        <v>5.2927479999999996</v>
      </c>
      <c r="E2488">
        <v>0.62522670000000002</v>
      </c>
      <c r="F2488" t="s">
        <v>41</v>
      </c>
      <c r="G2488">
        <v>-307.56689999999998</v>
      </c>
      <c r="H2488" s="1">
        <v>-3.9130160000000001E-6</v>
      </c>
      <c r="I2488">
        <v>-25.458839999999999</v>
      </c>
      <c r="J2488">
        <v>-303.3843</v>
      </c>
      <c r="K2488">
        <v>1.0749660000000001</v>
      </c>
      <c r="L2488">
        <v>-3.7431640000000002</v>
      </c>
      <c r="M2488">
        <v>0.2333201</v>
      </c>
      <c r="N2488">
        <v>0</v>
      </c>
      <c r="O2488">
        <v>-0.97238789999999997</v>
      </c>
      <c r="P2488">
        <v>0.1277422</v>
      </c>
      <c r="Q2488">
        <v>0.15902569999999999</v>
      </c>
      <c r="R2488">
        <v>-0.9789757</v>
      </c>
      <c r="S2488">
        <v>-0.5920105</v>
      </c>
      <c r="T2488">
        <v>-0.15425069999999999</v>
      </c>
      <c r="U2488">
        <v>-3.1710509999999998</v>
      </c>
      <c r="V2488">
        <v>0.1073834</v>
      </c>
      <c r="W2488">
        <v>0.1617441</v>
      </c>
      <c r="X2488">
        <v>0.98097279999999998</v>
      </c>
      <c r="Y2488">
        <v>0.40762140000000002</v>
      </c>
      <c r="Z2488">
        <v>4.4070159999999997E-2</v>
      </c>
      <c r="AA2488">
        <v>0.91208699999999998</v>
      </c>
      <c r="AB2488">
        <v>32</v>
      </c>
      <c r="AC2488">
        <v>-4.1825999999999697</v>
      </c>
      <c r="AD2488">
        <v>-1.074969913016</v>
      </c>
      <c r="AE2488">
        <v>-21.715675999999998</v>
      </c>
      <c r="AF2488">
        <v>9.1123899427379609</v>
      </c>
      <c r="AG2488">
        <v>-1.074969913016</v>
      </c>
      <c r="AH2488">
        <v>20.092937095716302</v>
      </c>
      <c r="AI2488">
        <v>92.789442380290296</v>
      </c>
      <c r="AJ2488">
        <v>65.605133376476203</v>
      </c>
      <c r="AK2488">
        <v>22.0888508509342</v>
      </c>
      <c r="AL2488">
        <v>80.6918553829302</v>
      </c>
      <c r="AM2488">
        <v>83.752920063788395</v>
      </c>
      <c r="AN2488">
        <v>0.99999999141010498</v>
      </c>
    </row>
    <row r="2489" spans="1:40" x14ac:dyDescent="0.3">
      <c r="A2489" t="str">
        <f>"20200111150405127"</f>
        <v>20200111150405127</v>
      </c>
      <c r="B2489" t="str">
        <f>"1578726245121188"</f>
        <v>1578726245121188</v>
      </c>
      <c r="C2489" t="s">
        <v>40</v>
      </c>
      <c r="D2489">
        <v>5.2982570000000004</v>
      </c>
      <c r="E2489">
        <v>0.62416609999999995</v>
      </c>
      <c r="F2489" t="s">
        <v>41</v>
      </c>
      <c r="G2489">
        <v>-307.76859999999999</v>
      </c>
      <c r="H2489" s="1">
        <v>-3.4328699999999998E-6</v>
      </c>
      <c r="I2489">
        <v>-26.974959999999999</v>
      </c>
      <c r="J2489">
        <v>-303.31549999999999</v>
      </c>
      <c r="K2489">
        <v>1.0781419999999999</v>
      </c>
      <c r="L2489">
        <v>-4.0641780000000001</v>
      </c>
      <c r="M2489">
        <v>0.2247779</v>
      </c>
      <c r="N2489">
        <v>0</v>
      </c>
      <c r="O2489">
        <v>-0.97439529999999996</v>
      </c>
      <c r="P2489">
        <v>0.1229353</v>
      </c>
      <c r="Q2489">
        <v>0.15986320000000001</v>
      </c>
      <c r="R2489">
        <v>-0.97945450000000001</v>
      </c>
      <c r="S2489">
        <v>-0.59753420000000002</v>
      </c>
      <c r="T2489">
        <v>-0.14650460000000001</v>
      </c>
      <c r="U2489">
        <v>-3.1661990000000002</v>
      </c>
      <c r="V2489">
        <v>0.10342750000000001</v>
      </c>
      <c r="W2489">
        <v>0.16325529999999999</v>
      </c>
      <c r="X2489">
        <v>0.98114749999999995</v>
      </c>
      <c r="Y2489">
        <v>0.40140710000000002</v>
      </c>
      <c r="Z2489">
        <v>4.212051E-2</v>
      </c>
      <c r="AA2489">
        <v>0.91493069999999999</v>
      </c>
      <c r="AB2489">
        <v>32</v>
      </c>
      <c r="AC2489">
        <v>-4.4531000000000001</v>
      </c>
      <c r="AD2489">
        <v>-1.07814543287</v>
      </c>
      <c r="AE2489">
        <v>-22.910782000000001</v>
      </c>
      <c r="AF2489">
        <v>9.4688479267203594</v>
      </c>
      <c r="AG2489">
        <v>-1.07814543287</v>
      </c>
      <c r="AH2489">
        <v>21.2781008408204</v>
      </c>
      <c r="AI2489">
        <v>92.650473877767595</v>
      </c>
      <c r="AJ2489">
        <v>66.010726843521098</v>
      </c>
      <c r="AK2489">
        <v>23.314781878154001</v>
      </c>
      <c r="AL2489">
        <v>80.604103526901994</v>
      </c>
      <c r="AM2489">
        <v>83.982399063507202</v>
      </c>
      <c r="AN2489">
        <v>0.999999978745294</v>
      </c>
    </row>
    <row r="2490" spans="1:40" x14ac:dyDescent="0.3">
      <c r="A2490" t="str">
        <f>"20200111150405149"</f>
        <v>20200111150405149</v>
      </c>
      <c r="B2490" t="str">
        <f>"1578726245140709"</f>
        <v>1578726245140709</v>
      </c>
      <c r="C2490" t="s">
        <v>40</v>
      </c>
      <c r="D2490">
        <v>5.3199430000000003</v>
      </c>
      <c r="E2490">
        <v>0.62304209999999904</v>
      </c>
      <c r="F2490" t="s">
        <v>41</v>
      </c>
      <c r="G2490">
        <v>-307.86680000000001</v>
      </c>
      <c r="H2490" s="1">
        <v>-3.147258E-6</v>
      </c>
      <c r="I2490">
        <v>-27.865379999999998</v>
      </c>
      <c r="J2490">
        <v>-303.25029999999998</v>
      </c>
      <c r="K2490">
        <v>1.080954</v>
      </c>
      <c r="L2490">
        <v>-4.3812870000000004</v>
      </c>
      <c r="M2490">
        <v>0.21670210000000001</v>
      </c>
      <c r="N2490">
        <v>0</v>
      </c>
      <c r="O2490">
        <v>-0.97621990000000003</v>
      </c>
      <c r="P2490">
        <v>0.1192734</v>
      </c>
      <c r="Q2490">
        <v>0.15939510000000001</v>
      </c>
      <c r="R2490">
        <v>-0.9799833</v>
      </c>
      <c r="S2490">
        <v>-0.60467530000000003</v>
      </c>
      <c r="T2490">
        <v>-0.14324110000000001</v>
      </c>
      <c r="U2490">
        <v>-3.162201</v>
      </c>
      <c r="V2490">
        <v>9.8865389999999997E-2</v>
      </c>
      <c r="W2490">
        <v>0.1634642</v>
      </c>
      <c r="X2490">
        <v>0.98158290000000004</v>
      </c>
      <c r="Y2490">
        <v>0.39602959999999998</v>
      </c>
      <c r="Z2490">
        <v>4.1403099999999998E-2</v>
      </c>
      <c r="AA2490">
        <v>0.91730389999999995</v>
      </c>
      <c r="AB2490">
        <v>32</v>
      </c>
      <c r="AC2490">
        <v>-4.6165000000000296</v>
      </c>
      <c r="AD2490">
        <v>-1.080957147258</v>
      </c>
      <c r="AE2490">
        <v>-23.484093000000001</v>
      </c>
      <c r="AF2490">
        <v>9.5764042869343999</v>
      </c>
      <c r="AG2490">
        <v>-1.080957147258</v>
      </c>
      <c r="AH2490">
        <v>21.880981963438199</v>
      </c>
      <c r="AI2490">
        <v>92.591270743529194</v>
      </c>
      <c r="AJ2490">
        <v>66.362985930706003</v>
      </c>
      <c r="AK2490">
        <v>23.909273495975</v>
      </c>
      <c r="AL2490">
        <v>80.591971188193398</v>
      </c>
      <c r="AM2490">
        <v>84.248544444324594</v>
      </c>
      <c r="AN2490">
        <v>0.99999994979694895</v>
      </c>
    </row>
    <row r="2491" spans="1:40" x14ac:dyDescent="0.3">
      <c r="A2491" t="str">
        <f>"20200111150405171"</f>
        <v>20200111150405171</v>
      </c>
      <c r="B2491" t="str">
        <f>"1578726245161205"</f>
        <v>1578726245161205</v>
      </c>
      <c r="C2491" t="s">
        <v>40</v>
      </c>
      <c r="D2491">
        <v>5.3000280000000002</v>
      </c>
      <c r="E2491">
        <v>0.622556</v>
      </c>
      <c r="F2491" t="s">
        <v>41</v>
      </c>
      <c r="G2491">
        <v>-307.87920000000003</v>
      </c>
      <c r="H2491" s="1">
        <v>-2.951116E-6</v>
      </c>
      <c r="I2491">
        <v>-28.41863</v>
      </c>
      <c r="J2491">
        <v>-303.18920000000003</v>
      </c>
      <c r="K2491">
        <v>1.083385</v>
      </c>
      <c r="L2491">
        <v>-4.6915589999999998</v>
      </c>
      <c r="M2491">
        <v>0.2091083</v>
      </c>
      <c r="N2491">
        <v>0</v>
      </c>
      <c r="O2491">
        <v>-0.9778715</v>
      </c>
      <c r="P2491">
        <v>0.116064</v>
      </c>
      <c r="Q2491">
        <v>0.15856149999999999</v>
      </c>
      <c r="R2491">
        <v>-0.98050400000000004</v>
      </c>
      <c r="S2491">
        <v>-0.60821530000000001</v>
      </c>
      <c r="T2491">
        <v>-0.14203370000000001</v>
      </c>
      <c r="U2491">
        <v>-3.158417</v>
      </c>
      <c r="V2491">
        <v>9.4374020000000003E-2</v>
      </c>
      <c r="W2491">
        <v>0.16327230000000001</v>
      </c>
      <c r="X2491">
        <v>0.98205690000000001</v>
      </c>
      <c r="Y2491">
        <v>0.39008219999999999</v>
      </c>
      <c r="Z2491">
        <v>4.1266839999999999E-2</v>
      </c>
      <c r="AA2491">
        <v>0.91985490000000003</v>
      </c>
      <c r="AB2491">
        <v>32</v>
      </c>
      <c r="AC2491">
        <v>-4.6899999999999897</v>
      </c>
      <c r="AD2491">
        <v>-1.0833879511160001</v>
      </c>
      <c r="AE2491">
        <v>-23.727070999999999</v>
      </c>
      <c r="AF2491">
        <v>9.5288214105899591</v>
      </c>
      <c r="AG2491">
        <v>-1.0833879511160001</v>
      </c>
      <c r="AH2491">
        <v>22.177266472488</v>
      </c>
      <c r="AI2491">
        <v>92.569916345501198</v>
      </c>
      <c r="AJ2491">
        <v>66.748438901709093</v>
      </c>
      <c r="AK2491">
        <v>24.1620221653586</v>
      </c>
      <c r="AL2491">
        <v>80.603116711436698</v>
      </c>
      <c r="AM2491">
        <v>84.510827627240701</v>
      </c>
      <c r="AN2491">
        <v>1.0000000272179299</v>
      </c>
    </row>
    <row r="2492" spans="1:40" x14ac:dyDescent="0.3">
      <c r="A2492" t="str">
        <f>"20200111150405193"</f>
        <v>20200111150405193</v>
      </c>
      <c r="B2492" t="str">
        <f>"1578726245180724"</f>
        <v>1578726245180724</v>
      </c>
      <c r="C2492" t="s">
        <v>40</v>
      </c>
      <c r="D2492">
        <v>5.5108160000000002</v>
      </c>
      <c r="E2492">
        <v>0.60853330000000005</v>
      </c>
      <c r="F2492" t="s">
        <v>41</v>
      </c>
      <c r="G2492">
        <v>-307.79379999999998</v>
      </c>
      <c r="H2492" s="1">
        <v>-2.9704980000000001E-6</v>
      </c>
      <c r="I2492">
        <v>-28.320509999999999</v>
      </c>
      <c r="J2492">
        <v>-303.13099999999997</v>
      </c>
      <c r="K2492">
        <v>1.085504</v>
      </c>
      <c r="L2492">
        <v>-4.9989319999999999</v>
      </c>
      <c r="M2492">
        <v>0.20177110000000001</v>
      </c>
      <c r="N2492">
        <v>0</v>
      </c>
      <c r="O2492">
        <v>-0.97940830000000001</v>
      </c>
      <c r="P2492">
        <v>0.1130873</v>
      </c>
      <c r="Q2492">
        <v>0.15869539999999999</v>
      </c>
      <c r="R2492">
        <v>-0.98082999999999998</v>
      </c>
      <c r="S2492">
        <v>-0.61499019999999904</v>
      </c>
      <c r="T2492">
        <v>-0.14469589999999999</v>
      </c>
      <c r="U2492">
        <v>-3.155853</v>
      </c>
      <c r="V2492">
        <v>8.9917120000000003E-2</v>
      </c>
      <c r="W2492">
        <v>0.16400890000000001</v>
      </c>
      <c r="X2492">
        <v>0.98235229999999996</v>
      </c>
      <c r="Y2492">
        <v>0.38520939999999998</v>
      </c>
      <c r="Z2492">
        <v>4.2215969999999998E-2</v>
      </c>
      <c r="AA2492">
        <v>0.92186310000000005</v>
      </c>
      <c r="AB2492">
        <v>32</v>
      </c>
      <c r="AC2492">
        <v>-4.6627999999999998</v>
      </c>
      <c r="AD2492">
        <v>-1.085506970498</v>
      </c>
      <c r="AE2492">
        <v>-23.321577999999999</v>
      </c>
      <c r="AF2492">
        <v>9.2533507111974398</v>
      </c>
      <c r="AG2492">
        <v>-1.085506970498</v>
      </c>
      <c r="AH2492">
        <v>21.8555232765498</v>
      </c>
      <c r="AI2492">
        <v>92.618709305046806</v>
      </c>
      <c r="AJ2492">
        <v>67.052818421594097</v>
      </c>
      <c r="AK2492">
        <v>23.758508422441601</v>
      </c>
      <c r="AL2492">
        <v>80.560335931151002</v>
      </c>
      <c r="AM2492">
        <v>84.770149577916399</v>
      </c>
      <c r="AN2492">
        <v>1.0000000245317899</v>
      </c>
    </row>
    <row r="2493" spans="1:40" x14ac:dyDescent="0.3">
      <c r="A2493" t="str">
        <f>"20200111150405215"</f>
        <v>20200111150405215</v>
      </c>
      <c r="B2493" t="str">
        <f>"1578726245210980"</f>
        <v>1578726245210980</v>
      </c>
      <c r="C2493" t="s">
        <v>40</v>
      </c>
      <c r="D2493">
        <v>5.2521719999999998</v>
      </c>
      <c r="E2493">
        <v>0.52303219999999995</v>
      </c>
      <c r="F2493" t="s">
        <v>41</v>
      </c>
      <c r="G2493">
        <v>-306.63200000000001</v>
      </c>
      <c r="H2493" s="1">
        <v>-3.3911800000000001E-6</v>
      </c>
      <c r="I2493">
        <v>-26.505019999999998</v>
      </c>
      <c r="J2493">
        <v>-303.07389999999998</v>
      </c>
      <c r="K2493">
        <v>1.0874189999999999</v>
      </c>
      <c r="L2493">
        <v>-5.3129879999999998</v>
      </c>
      <c r="M2493">
        <v>0.19443530000000001</v>
      </c>
      <c r="N2493">
        <v>0</v>
      </c>
      <c r="O2493">
        <v>-0.98088750000000002</v>
      </c>
      <c r="P2493">
        <v>0.11027679999999999</v>
      </c>
      <c r="Q2493">
        <v>0.15911169999999999</v>
      </c>
      <c r="R2493">
        <v>-0.98108240000000002</v>
      </c>
      <c r="S2493">
        <v>-0.51171880000000003</v>
      </c>
      <c r="T2493">
        <v>-0.15865679999999999</v>
      </c>
      <c r="U2493">
        <v>-3.1433110000000002</v>
      </c>
      <c r="V2493">
        <v>8.5304679999999994E-2</v>
      </c>
      <c r="W2493">
        <v>0.1650056</v>
      </c>
      <c r="X2493">
        <v>0.98259669999999999</v>
      </c>
      <c r="Y2493">
        <v>0.34933920000000002</v>
      </c>
      <c r="Z2493">
        <v>4.70625E-2</v>
      </c>
      <c r="AA2493">
        <v>0.93581369999999997</v>
      </c>
      <c r="AB2493">
        <v>32</v>
      </c>
      <c r="AC2493">
        <v>-3.55810000000002</v>
      </c>
      <c r="AD2493">
        <v>-1.0874223911799901</v>
      </c>
      <c r="AE2493">
        <v>-21.192032000000001</v>
      </c>
      <c r="AF2493">
        <v>7.5913427725962697</v>
      </c>
      <c r="AG2493">
        <v>-1.0874223911799901</v>
      </c>
      <c r="AH2493">
        <v>20.044397954727</v>
      </c>
      <c r="AI2493">
        <v>92.904358304473902</v>
      </c>
      <c r="AJ2493">
        <v>69.257000035606694</v>
      </c>
      <c r="AK2493">
        <v>21.461334113128999</v>
      </c>
      <c r="AL2493">
        <v>80.5024402702674</v>
      </c>
      <c r="AM2493">
        <v>85.038275430356194</v>
      </c>
      <c r="AN2493">
        <v>1.0000000056560701</v>
      </c>
    </row>
    <row r="2494" spans="1:40" x14ac:dyDescent="0.3">
      <c r="A2494" t="str">
        <f>"20200111150405240"</f>
        <v>20200111150405240</v>
      </c>
      <c r="B2494" t="str">
        <f>"1578726245231476"</f>
        <v>1578726245231476</v>
      </c>
      <c r="C2494" t="s">
        <v>40</v>
      </c>
      <c r="D2494">
        <v>5.4297269999999997</v>
      </c>
      <c r="E2494">
        <v>0.51817849999999999</v>
      </c>
      <c r="F2494" t="s">
        <v>42</v>
      </c>
      <c r="G2494">
        <v>-303.02609999999999</v>
      </c>
      <c r="H2494">
        <v>1.0309269999999999</v>
      </c>
      <c r="I2494">
        <v>-6.2394020000000001</v>
      </c>
      <c r="J2494">
        <v>-303.01510000000002</v>
      </c>
      <c r="K2494">
        <v>1.089229</v>
      </c>
      <c r="L2494">
        <v>-5.6506959999999999</v>
      </c>
      <c r="M2494">
        <v>0.18673419999999999</v>
      </c>
      <c r="N2494">
        <v>0</v>
      </c>
      <c r="O2494">
        <v>-0.98237909999999995</v>
      </c>
      <c r="P2494">
        <v>0.1067081</v>
      </c>
      <c r="Q2494">
        <v>0.15688189999999999</v>
      </c>
      <c r="R2494">
        <v>-0.98183600000000004</v>
      </c>
      <c r="S2494">
        <v>0.1588135</v>
      </c>
      <c r="T2494">
        <v>-0.187025</v>
      </c>
      <c r="U2494">
        <v>-3.0703429999999998</v>
      </c>
      <c r="V2494">
        <v>8.1126480000000001E-2</v>
      </c>
      <c r="W2494">
        <v>0.16334660000000001</v>
      </c>
      <c r="X2494">
        <v>0.98322759999999998</v>
      </c>
      <c r="Y2494">
        <v>0.13583299999999901</v>
      </c>
      <c r="Z2494">
        <v>5.8879290000000001E-2</v>
      </c>
      <c r="AA2494">
        <v>0.98898059999999999</v>
      </c>
      <c r="AB2494">
        <v>32</v>
      </c>
      <c r="AC2494">
        <v>-1.0999999999967199E-2</v>
      </c>
      <c r="AD2494">
        <v>-5.8301999999999798E-2</v>
      </c>
      <c r="AE2494">
        <v>-0.58870599999999995</v>
      </c>
      <c r="AF2494">
        <v>0.119569138956577</v>
      </c>
      <c r="AG2494">
        <v>-5.8301999999999798E-2</v>
      </c>
      <c r="AH2494">
        <v>0.57070081162319497</v>
      </c>
      <c r="AI2494">
        <v>95.709893364883698</v>
      </c>
      <c r="AJ2494">
        <v>78.166957625029497</v>
      </c>
      <c r="AK2494">
        <v>0.58599941858519899</v>
      </c>
      <c r="AL2494">
        <v>80.598802068375306</v>
      </c>
      <c r="AM2494">
        <v>85.283188224483993</v>
      </c>
      <c r="AN2494">
        <v>1.0000000654452501</v>
      </c>
    </row>
    <row r="2495" spans="1:40" x14ac:dyDescent="0.3">
      <c r="A2495" t="str">
        <f>"20200111150405260"</f>
        <v>20200111150405260</v>
      </c>
      <c r="B2495" t="str">
        <f>"1578726245250997"</f>
        <v>1578726245250997</v>
      </c>
      <c r="C2495" t="s">
        <v>40</v>
      </c>
      <c r="D2495">
        <v>5.1808569999999996</v>
      </c>
      <c r="E2495">
        <v>0.51471350000000005</v>
      </c>
      <c r="F2495" t="s">
        <v>42</v>
      </c>
      <c r="G2495">
        <v>-302.96199999999999</v>
      </c>
      <c r="H2495">
        <v>1.0340320000000001</v>
      </c>
      <c r="I2495">
        <v>-6.5169489999999897</v>
      </c>
      <c r="J2495">
        <v>-302.96480000000003</v>
      </c>
      <c r="K2495">
        <v>1.090657</v>
      </c>
      <c r="L2495">
        <v>-5.9511409999999998</v>
      </c>
      <c r="M2495">
        <v>0.18007500000000001</v>
      </c>
      <c r="N2495">
        <v>0</v>
      </c>
      <c r="O2495">
        <v>-0.98361860000000001</v>
      </c>
      <c r="P2495">
        <v>0.102982</v>
      </c>
      <c r="Q2495">
        <v>0.15520149999999999</v>
      </c>
      <c r="R2495">
        <v>-0.98250090000000001</v>
      </c>
      <c r="S2495">
        <v>0.18835450000000001</v>
      </c>
      <c r="T2495">
        <v>-0.19526979999999999</v>
      </c>
      <c r="U2495">
        <v>-3.0662229999999999</v>
      </c>
      <c r="V2495">
        <v>7.8145439999999997E-2</v>
      </c>
      <c r="W2495">
        <v>0.1621252</v>
      </c>
      <c r="X2495">
        <v>0.98367099999999996</v>
      </c>
      <c r="Y2495">
        <v>0.1195489</v>
      </c>
      <c r="Z2495">
        <v>6.1715289999999999E-2</v>
      </c>
      <c r="AA2495">
        <v>0.99090829999999996</v>
      </c>
      <c r="AB2495">
        <v>32</v>
      </c>
      <c r="AC2495">
        <v>2.8000000000361E-3</v>
      </c>
      <c r="AD2495">
        <v>-5.6624999999999898E-2</v>
      </c>
      <c r="AE2495">
        <v>-0.56580799999999798</v>
      </c>
      <c r="AF2495">
        <v>9.81540362684995E-2</v>
      </c>
      <c r="AG2495">
        <v>-5.6624999999999898E-2</v>
      </c>
      <c r="AH2495">
        <v>0.55153839929084103</v>
      </c>
      <c r="AI2495">
        <v>95.771808051551801</v>
      </c>
      <c r="AJ2495">
        <v>79.909053785606801</v>
      </c>
      <c r="AK2495">
        <v>0.56305879919694102</v>
      </c>
      <c r="AL2495">
        <v>80.669727646185393</v>
      </c>
      <c r="AM2495">
        <v>85.457810346016302</v>
      </c>
      <c r="AN2495">
        <v>0.99999996325441598</v>
      </c>
    </row>
    <row r="2496" spans="1:40" x14ac:dyDescent="0.3">
      <c r="A2496" t="str">
        <f>"20200111150405285"</f>
        <v>20200111150405285</v>
      </c>
      <c r="B2496" t="str">
        <f>"1578726245281252"</f>
        <v>1578726245281252</v>
      </c>
      <c r="C2496" t="s">
        <v>40</v>
      </c>
      <c r="D2496">
        <v>5.2392329999999996</v>
      </c>
      <c r="E2496">
        <v>0.51164339999999997</v>
      </c>
      <c r="F2496" t="s">
        <v>42</v>
      </c>
      <c r="G2496">
        <v>-302.90679999999998</v>
      </c>
      <c r="H2496">
        <v>1.028778</v>
      </c>
      <c r="I2496">
        <v>-6.7936629999999996</v>
      </c>
      <c r="J2496">
        <v>-302.91250000000002</v>
      </c>
      <c r="K2496">
        <v>1.0920369999999999</v>
      </c>
      <c r="L2496">
        <v>-6.2764889999999998</v>
      </c>
      <c r="M2496">
        <v>0.17311750000000001</v>
      </c>
      <c r="N2496">
        <v>0</v>
      </c>
      <c r="O2496">
        <v>-0.98486359999999995</v>
      </c>
      <c r="P2496">
        <v>0.1014205</v>
      </c>
      <c r="Q2496">
        <v>0.15065029999999999</v>
      </c>
      <c r="R2496">
        <v>-0.98337110000000005</v>
      </c>
      <c r="S2496">
        <v>0.2119751</v>
      </c>
      <c r="T2496">
        <v>-0.22476360000000001</v>
      </c>
      <c r="U2496">
        <v>-3.0667110000000002</v>
      </c>
      <c r="V2496">
        <v>7.2714269999999998E-2</v>
      </c>
      <c r="W2496">
        <v>0.15807079999999901</v>
      </c>
      <c r="X2496">
        <v>0.98474680000000003</v>
      </c>
      <c r="Y2496">
        <v>0.1049725</v>
      </c>
      <c r="Z2496">
        <v>7.1158719999999995E-2</v>
      </c>
      <c r="AA2496">
        <v>0.99192599999999997</v>
      </c>
      <c r="AB2496">
        <v>32</v>
      </c>
      <c r="AC2496">
        <v>5.7000000000471101E-3</v>
      </c>
      <c r="AD2496">
        <v>-6.3259000000000107E-2</v>
      </c>
      <c r="AE2496">
        <v>-0.51717400000000002</v>
      </c>
      <c r="AF2496">
        <v>8.2684333027866597E-2</v>
      </c>
      <c r="AG2496">
        <v>-6.3259000000000107E-2</v>
      </c>
      <c r="AH2496">
        <v>0.50282940426729195</v>
      </c>
      <c r="AI2496">
        <v>97.076434541307506</v>
      </c>
      <c r="AJ2496">
        <v>80.661956614510601</v>
      </c>
      <c r="AK2496">
        <v>0.51349372908056301</v>
      </c>
      <c r="AL2496">
        <v>80.905063756925998</v>
      </c>
      <c r="AM2496">
        <v>85.776910930775401</v>
      </c>
      <c r="AN2496">
        <v>1.0000000014922501</v>
      </c>
    </row>
    <row r="2497" spans="1:40" x14ac:dyDescent="0.3">
      <c r="A2497" t="str">
        <f>"20200111150405305"</f>
        <v>20200111150405305</v>
      </c>
      <c r="B2497" t="str">
        <f>"1578726245300772"</f>
        <v>1578726245300772</v>
      </c>
      <c r="C2497" t="s">
        <v>40</v>
      </c>
      <c r="D2497">
        <v>5.3077040000000002</v>
      </c>
      <c r="E2497">
        <v>0.50892040000000005</v>
      </c>
      <c r="F2497" t="s">
        <v>42</v>
      </c>
      <c r="G2497">
        <v>-302.85120000000001</v>
      </c>
      <c r="H2497">
        <v>1.020734</v>
      </c>
      <c r="I2497">
        <v>-7.0696380000000003</v>
      </c>
      <c r="J2497">
        <v>-302.86439999999999</v>
      </c>
      <c r="K2497">
        <v>1.0932470000000001</v>
      </c>
      <c r="L2497">
        <v>-6.5870059999999997</v>
      </c>
      <c r="M2497">
        <v>0.16678860000000001</v>
      </c>
      <c r="N2497">
        <v>0</v>
      </c>
      <c r="O2497">
        <v>-0.98595239999999995</v>
      </c>
      <c r="P2497">
        <v>0.10306849999999999</v>
      </c>
      <c r="Q2497">
        <v>0.14646870000000001</v>
      </c>
      <c r="R2497">
        <v>-0.98383149999999997</v>
      </c>
      <c r="S2497">
        <v>0.23767089999999999</v>
      </c>
      <c r="T2497">
        <v>-0.27558510000000003</v>
      </c>
      <c r="U2497">
        <v>-3.0684200000000001</v>
      </c>
      <c r="V2497">
        <v>6.467465E-2</v>
      </c>
      <c r="W2497">
        <v>0.15436839999999999</v>
      </c>
      <c r="X2497">
        <v>0.9858943</v>
      </c>
      <c r="Y2497">
        <v>9.0450589999999997E-2</v>
      </c>
      <c r="Z2497">
        <v>8.7268280000000004E-2</v>
      </c>
      <c r="AA2497">
        <v>0.99207000000000001</v>
      </c>
      <c r="AB2497">
        <v>32</v>
      </c>
      <c r="AC2497">
        <v>1.31999999999834E-2</v>
      </c>
      <c r="AD2497">
        <v>-7.25129999999998E-2</v>
      </c>
      <c r="AE2497">
        <v>-0.48263200000000001</v>
      </c>
      <c r="AF2497">
        <v>6.5996953304589503E-2</v>
      </c>
      <c r="AG2497">
        <v>-7.25129999999998E-2</v>
      </c>
      <c r="AH2497">
        <v>0.46752692915982802</v>
      </c>
      <c r="AI2497">
        <v>98.731068935349597</v>
      </c>
      <c r="AJ2497">
        <v>81.965112174277195</v>
      </c>
      <c r="AK2497">
        <v>0.47769777318311502</v>
      </c>
      <c r="AL2497">
        <v>81.1198325570506</v>
      </c>
      <c r="AM2497">
        <v>86.246775456836204</v>
      </c>
      <c r="AN2497">
        <v>0.99999999202183598</v>
      </c>
    </row>
    <row r="2498" spans="1:40" x14ac:dyDescent="0.3">
      <c r="A2498" t="str">
        <f>"20200111150405328"</f>
        <v>20200111150405328</v>
      </c>
      <c r="B2498" t="str">
        <f>"1578726245321268"</f>
        <v>1578726245321268</v>
      </c>
      <c r="C2498" t="s">
        <v>40</v>
      </c>
      <c r="D2498">
        <v>5.0723849999999997</v>
      </c>
      <c r="E2498">
        <v>0.50640339999999995</v>
      </c>
      <c r="F2498" t="s">
        <v>42</v>
      </c>
      <c r="G2498">
        <v>-302.79939999999999</v>
      </c>
      <c r="H2498">
        <v>1.0238449999999999</v>
      </c>
      <c r="I2498">
        <v>-7.3520830000000004</v>
      </c>
      <c r="J2498">
        <v>-302.8177</v>
      </c>
      <c r="K2498">
        <v>1.094379</v>
      </c>
      <c r="L2498">
        <v>-6.8990169999999997</v>
      </c>
      <c r="M2498">
        <v>0.16079849999999901</v>
      </c>
      <c r="N2498">
        <v>0</v>
      </c>
      <c r="O2498">
        <v>-0.98694440000000005</v>
      </c>
      <c r="P2498">
        <v>0.1055466</v>
      </c>
      <c r="Q2498">
        <v>0.14364150000000001</v>
      </c>
      <c r="R2498">
        <v>-0.98398540000000001</v>
      </c>
      <c r="S2498">
        <v>0.26092530000000003</v>
      </c>
      <c r="T2498">
        <v>-0.27751579999999998</v>
      </c>
      <c r="U2498">
        <v>-3.0632630000000001</v>
      </c>
      <c r="V2498">
        <v>5.6106910000000003E-2</v>
      </c>
      <c r="W2498">
        <v>0.15198689999999901</v>
      </c>
      <c r="X2498">
        <v>0.98678869999999996</v>
      </c>
      <c r="Y2498">
        <v>7.6792070000000004E-2</v>
      </c>
      <c r="Z2498">
        <v>8.8180090000000003E-2</v>
      </c>
      <c r="AA2498">
        <v>0.99314009999999997</v>
      </c>
      <c r="AB2498">
        <v>32</v>
      </c>
      <c r="AC2498">
        <v>1.8300000000010599E-2</v>
      </c>
      <c r="AD2498">
        <v>-7.0533999999999805E-2</v>
      </c>
      <c r="AE2498">
        <v>-0.45306600000000002</v>
      </c>
      <c r="AF2498">
        <v>5.3499038391075698E-2</v>
      </c>
      <c r="AG2498">
        <v>-7.0533999999999805E-2</v>
      </c>
      <c r="AH2498">
        <v>0.43947843068068898</v>
      </c>
      <c r="AI2498">
        <v>99.052209885910599</v>
      </c>
      <c r="AJ2498">
        <v>83.059361329577101</v>
      </c>
      <c r="AK2498">
        <v>0.44830623829959199</v>
      </c>
      <c r="AL2498">
        <v>81.257911826869403</v>
      </c>
      <c r="AM2498">
        <v>86.745775812569605</v>
      </c>
      <c r="AN2498">
        <v>0.99999997078452296</v>
      </c>
    </row>
    <row r="2499" spans="1:40" x14ac:dyDescent="0.3">
      <c r="A2499" t="str">
        <f>"20200111150405351"</f>
        <v>20200111150405351</v>
      </c>
      <c r="B2499" t="str">
        <f>"1578726245340789"</f>
        <v>1578726245340789</v>
      </c>
      <c r="C2499" t="s">
        <v>40</v>
      </c>
      <c r="D2499">
        <v>5.3193270000000004</v>
      </c>
      <c r="E2499">
        <v>0.50446930000000001</v>
      </c>
      <c r="F2499" t="s">
        <v>42</v>
      </c>
      <c r="G2499">
        <v>-302.74979999999999</v>
      </c>
      <c r="H2499">
        <v>1.0251110000000001</v>
      </c>
      <c r="I2499">
        <v>-7.6341669999999997</v>
      </c>
      <c r="J2499">
        <v>-302.77229999999997</v>
      </c>
      <c r="K2499">
        <v>1.0954299999999999</v>
      </c>
      <c r="L2499">
        <v>-7.2124329999999999</v>
      </c>
      <c r="M2499">
        <v>0.15522429999999901</v>
      </c>
      <c r="N2499">
        <v>0</v>
      </c>
      <c r="O2499">
        <v>-0.98783410000000005</v>
      </c>
      <c r="P2499">
        <v>0.1060088</v>
      </c>
      <c r="Q2499">
        <v>0.142314</v>
      </c>
      <c r="R2499">
        <v>-0.98412840000000001</v>
      </c>
      <c r="S2499">
        <v>0.28387449999999997</v>
      </c>
      <c r="T2499">
        <v>-0.28795809999999999</v>
      </c>
      <c r="U2499">
        <v>-3.060425</v>
      </c>
      <c r="V2499">
        <v>4.9949769999999998E-2</v>
      </c>
      <c r="W2499">
        <v>0.15103620000000001</v>
      </c>
      <c r="X2499">
        <v>0.98726550000000002</v>
      </c>
      <c r="Y2499">
        <v>6.3720379999999993E-2</v>
      </c>
      <c r="Z2499">
        <v>9.169157E-2</v>
      </c>
      <c r="AA2499">
        <v>0.99374660000000004</v>
      </c>
      <c r="AB2499">
        <v>32</v>
      </c>
      <c r="AC2499">
        <v>2.2499999999979502E-2</v>
      </c>
      <c r="AD2499">
        <v>-7.0318999999999798E-2</v>
      </c>
      <c r="AE2499">
        <v>-0.421733999999999</v>
      </c>
      <c r="AF2499">
        <v>4.2072663310823398E-2</v>
      </c>
      <c r="AG2499">
        <v>-7.0318999999999798E-2</v>
      </c>
      <c r="AH2499">
        <v>0.40878201740868603</v>
      </c>
      <c r="AI2499">
        <v>99.710227150180501</v>
      </c>
      <c r="AJ2499">
        <v>84.123694533834097</v>
      </c>
      <c r="AK2499">
        <v>0.416914389912103</v>
      </c>
      <c r="AL2499">
        <v>81.313019724213703</v>
      </c>
      <c r="AM2499">
        <v>87.103643530345195</v>
      </c>
      <c r="AN2499">
        <v>1.0000000403618701</v>
      </c>
    </row>
    <row r="2500" spans="1:40" x14ac:dyDescent="0.3">
      <c r="A2500" t="str">
        <f>"20200111150405372"</f>
        <v>20200111150405372</v>
      </c>
      <c r="B2500" t="str">
        <f>"1578726245361284"</f>
        <v>1578726245361284</v>
      </c>
      <c r="C2500" t="s">
        <v>40</v>
      </c>
      <c r="D2500">
        <v>6.0375889999999997</v>
      </c>
      <c r="E2500">
        <v>0.50407270000000004</v>
      </c>
      <c r="F2500" t="s">
        <v>42</v>
      </c>
      <c r="G2500">
        <v>-302.67759999999998</v>
      </c>
      <c r="H2500">
        <v>1.0043230000000001</v>
      </c>
      <c r="I2500">
        <v>-8.1909770000000002</v>
      </c>
      <c r="J2500">
        <v>-302.7285</v>
      </c>
      <c r="K2500">
        <v>1.096392</v>
      </c>
      <c r="L2500">
        <v>-7.5249329999999999</v>
      </c>
      <c r="M2500">
        <v>0.15013370000000001</v>
      </c>
      <c r="N2500">
        <v>0</v>
      </c>
      <c r="O2500">
        <v>-0.98861829999999995</v>
      </c>
      <c r="P2500">
        <v>0.1058258</v>
      </c>
      <c r="Q2500">
        <v>0.14282510000000001</v>
      </c>
      <c r="R2500">
        <v>-0.98407429999999996</v>
      </c>
      <c r="S2500">
        <v>0.29666140000000002</v>
      </c>
      <c r="T2500">
        <v>-0.28454380000000001</v>
      </c>
      <c r="U2500">
        <v>-3.0575869999999998</v>
      </c>
      <c r="V2500">
        <v>4.4902129999999998E-2</v>
      </c>
      <c r="W2500">
        <v>0.15187229999999999</v>
      </c>
      <c r="X2500">
        <v>0.98737969999999997</v>
      </c>
      <c r="Y2500">
        <v>5.4365660000000003E-2</v>
      </c>
      <c r="Z2500">
        <v>9.0813190000000002E-2</v>
      </c>
      <c r="AA2500">
        <v>0.99438289999999996</v>
      </c>
      <c r="AB2500">
        <v>32</v>
      </c>
      <c r="AC2500">
        <v>5.0900000000012803E-2</v>
      </c>
      <c r="AD2500">
        <v>-9.2069000000000095E-2</v>
      </c>
      <c r="AE2500">
        <v>-0.66604399999999997</v>
      </c>
      <c r="AF2500">
        <v>4.8751165967807097E-2</v>
      </c>
      <c r="AG2500">
        <v>-9.2069000000000095E-2</v>
      </c>
      <c r="AH2500">
        <v>0.65371744116011699</v>
      </c>
      <c r="AI2500">
        <v>97.994847192983201</v>
      </c>
      <c r="AJ2500">
        <v>85.735045568698794</v>
      </c>
      <c r="AK2500">
        <v>0.66196666821007799</v>
      </c>
      <c r="AL2500">
        <v>81.264555602251505</v>
      </c>
      <c r="AM2500">
        <v>87.396208138744299</v>
      </c>
      <c r="AN2500">
        <v>1.0000000343789499</v>
      </c>
    </row>
    <row r="2501" spans="1:40" x14ac:dyDescent="0.3">
      <c r="A2501" t="str">
        <f>"20200111150405394"</f>
        <v>20200111150405394</v>
      </c>
      <c r="B2501" t="str">
        <f>"1578726245391540"</f>
        <v>1578726245391540</v>
      </c>
      <c r="C2501" t="s">
        <v>40</v>
      </c>
      <c r="D2501">
        <v>5.0574029999999999</v>
      </c>
      <c r="E2501">
        <v>0.5023782</v>
      </c>
      <c r="F2501" t="s">
        <v>42</v>
      </c>
      <c r="G2501">
        <v>-302.63670000000002</v>
      </c>
      <c r="H2501">
        <v>1.0088999999999999</v>
      </c>
      <c r="I2501">
        <v>-8.4761380000000006</v>
      </c>
      <c r="J2501">
        <v>-302.68540000000002</v>
      </c>
      <c r="K2501">
        <v>1.0972550000000001</v>
      </c>
      <c r="L2501">
        <v>-7.8410950000000001</v>
      </c>
      <c r="M2501">
        <v>0.14536660000000001</v>
      </c>
      <c r="N2501">
        <v>0</v>
      </c>
      <c r="O2501">
        <v>-0.98932869999999995</v>
      </c>
      <c r="P2501">
        <v>0.1062562</v>
      </c>
      <c r="Q2501">
        <v>0.1461027</v>
      </c>
      <c r="R2501">
        <v>-0.98354660000000005</v>
      </c>
      <c r="S2501">
        <v>0.29577639999999999</v>
      </c>
      <c r="T2501">
        <v>-0.28100920000000001</v>
      </c>
      <c r="U2501">
        <v>-3.0575260000000002</v>
      </c>
      <c r="V2501">
        <v>3.9545370000000003E-2</v>
      </c>
      <c r="W2501">
        <v>0.15544240000000001</v>
      </c>
      <c r="X2501">
        <v>0.98705310000000002</v>
      </c>
      <c r="Y2501">
        <v>4.9826309999999999E-2</v>
      </c>
      <c r="Z2501">
        <v>8.9805339999999997E-2</v>
      </c>
      <c r="AA2501">
        <v>0.99471220000000005</v>
      </c>
      <c r="AB2501">
        <v>32</v>
      </c>
      <c r="AC2501">
        <v>4.86999999999966E-2</v>
      </c>
      <c r="AD2501">
        <v>-8.8354999999999906E-2</v>
      </c>
      <c r="AE2501">
        <v>-0.63504300000000002</v>
      </c>
      <c r="AF2501">
        <v>4.3302539768465098E-2</v>
      </c>
      <c r="AG2501">
        <v>-8.8354999999999906E-2</v>
      </c>
      <c r="AH2501">
        <v>0.62337981394918296</v>
      </c>
      <c r="AI2501">
        <v>98.047969481292697</v>
      </c>
      <c r="AJ2501">
        <v>86.0263812698864</v>
      </c>
      <c r="AK2501">
        <v>0.631097542710093</v>
      </c>
      <c r="AL2501">
        <v>81.057545096487203</v>
      </c>
      <c r="AM2501">
        <v>87.705724571067805</v>
      </c>
      <c r="AN2501">
        <v>0.99999999911290305</v>
      </c>
    </row>
    <row r="2502" spans="1:40" x14ac:dyDescent="0.3">
      <c r="A2502" t="str">
        <f>"20200111150405416"</f>
        <v>20200111150405416</v>
      </c>
      <c r="B2502" t="str">
        <f>"1578726245411060"</f>
        <v>1578726245411060</v>
      </c>
      <c r="C2502" t="s">
        <v>40</v>
      </c>
      <c r="D2502">
        <v>5.112946</v>
      </c>
      <c r="E2502">
        <v>0.50149270000000001</v>
      </c>
      <c r="F2502" t="s">
        <v>42</v>
      </c>
      <c r="G2502">
        <v>-302.59230000000002</v>
      </c>
      <c r="H2502">
        <v>1.0184409999999999</v>
      </c>
      <c r="I2502">
        <v>-8.7633270000000003</v>
      </c>
      <c r="J2502">
        <v>-302.64260000000002</v>
      </c>
      <c r="K2502">
        <v>1.098028</v>
      </c>
      <c r="L2502">
        <v>-8.1643980000000003</v>
      </c>
      <c r="M2502">
        <v>0.140906</v>
      </c>
      <c r="N2502">
        <v>0</v>
      </c>
      <c r="O2502">
        <v>-0.98997190000000002</v>
      </c>
      <c r="P2502">
        <v>0.10728550000000001</v>
      </c>
      <c r="Q2502">
        <v>0.14974109999999999</v>
      </c>
      <c r="R2502">
        <v>-0.98288730000000002</v>
      </c>
      <c r="S2502">
        <v>0.30844120000000003</v>
      </c>
      <c r="T2502">
        <v>-0.261106</v>
      </c>
      <c r="U2502">
        <v>-3.055634</v>
      </c>
      <c r="V2502">
        <v>3.3896509999999998E-2</v>
      </c>
      <c r="W2502">
        <v>0.1593466</v>
      </c>
      <c r="X2502">
        <v>0.98664059999999998</v>
      </c>
      <c r="Y2502">
        <v>4.112648E-2</v>
      </c>
      <c r="Z2502">
        <v>8.3624770000000001E-2</v>
      </c>
      <c r="AA2502">
        <v>0.99564830000000004</v>
      </c>
      <c r="AB2502">
        <v>32</v>
      </c>
      <c r="AC2502">
        <v>5.0299999999992899E-2</v>
      </c>
      <c r="AD2502">
        <v>-7.9587000000000005E-2</v>
      </c>
      <c r="AE2502">
        <v>-0.59892900000000004</v>
      </c>
      <c r="AF2502">
        <v>3.4002650043111697E-2</v>
      </c>
      <c r="AG2502">
        <v>-7.9587000000000005E-2</v>
      </c>
      <c r="AH2502">
        <v>0.58970097457770798</v>
      </c>
      <c r="AI2502">
        <v>97.673694410649702</v>
      </c>
      <c r="AJ2502">
        <v>86.699931652609294</v>
      </c>
      <c r="AK2502">
        <v>0.59601804519398005</v>
      </c>
      <c r="AL2502">
        <v>80.831027339905106</v>
      </c>
      <c r="AM2502">
        <v>88.032349969070296</v>
      </c>
      <c r="AN2502">
        <v>0.99999999294504904</v>
      </c>
    </row>
    <row r="2503" spans="1:40" x14ac:dyDescent="0.3">
      <c r="A2503" t="str">
        <f>"20200111150405439"</f>
        <v>20200111150405439</v>
      </c>
      <c r="B2503" t="str">
        <f>"1578726245431558"</f>
        <v>1578726245431558</v>
      </c>
      <c r="C2503" t="s">
        <v>40</v>
      </c>
      <c r="D2503">
        <v>5.0133910000000004</v>
      </c>
      <c r="E2503">
        <v>0.50111110000000003</v>
      </c>
      <c r="F2503" t="s">
        <v>42</v>
      </c>
      <c r="G2503">
        <v>-302.55090000000001</v>
      </c>
      <c r="H2503">
        <v>1.026837</v>
      </c>
      <c r="I2503">
        <v>-9.0504169999999995</v>
      </c>
      <c r="J2503">
        <v>-302.60129999999998</v>
      </c>
      <c r="K2503">
        <v>1.098689</v>
      </c>
      <c r="L2503">
        <v>-8.4834589999999999</v>
      </c>
      <c r="M2503">
        <v>0.1369312</v>
      </c>
      <c r="N2503">
        <v>0</v>
      </c>
      <c r="O2503">
        <v>-0.99052790000000002</v>
      </c>
      <c r="P2503">
        <v>0.1080713</v>
      </c>
      <c r="Q2503">
        <v>0.15071789999999999</v>
      </c>
      <c r="R2503">
        <v>-0.98265199999999997</v>
      </c>
      <c r="S2503">
        <v>0.31701659999999998</v>
      </c>
      <c r="T2503">
        <v>-0.2452358</v>
      </c>
      <c r="U2503">
        <v>-3.0549930000000001</v>
      </c>
      <c r="V2503">
        <v>2.9010919999999999E-2</v>
      </c>
      <c r="W2503">
        <v>0.16055249999999999</v>
      </c>
      <c r="X2503">
        <v>0.9866009</v>
      </c>
      <c r="Y2503">
        <v>3.4286230000000001E-2</v>
      </c>
      <c r="Z2503">
        <v>7.8657099999999994E-2</v>
      </c>
      <c r="AA2503">
        <v>0.99631199999999998</v>
      </c>
      <c r="AB2503">
        <v>32</v>
      </c>
      <c r="AC2503">
        <v>5.0399999999967797E-2</v>
      </c>
      <c r="AD2503">
        <v>-7.1851999999999999E-2</v>
      </c>
      <c r="AE2503">
        <v>-0.56695799999999896</v>
      </c>
      <c r="AF2503">
        <v>2.7278392179946199E-2</v>
      </c>
      <c r="AG2503">
        <v>-7.1851999999999999E-2</v>
      </c>
      <c r="AH2503">
        <v>0.55960134766056802</v>
      </c>
      <c r="AI2503">
        <v>97.308078606625699</v>
      </c>
      <c r="AJ2503">
        <v>87.209262324633798</v>
      </c>
      <c r="AK2503">
        <v>0.56485439618316402</v>
      </c>
      <c r="AL2503">
        <v>80.761033606396495</v>
      </c>
      <c r="AM2503">
        <v>88.315707547110506</v>
      </c>
      <c r="AN2503">
        <v>1.0000000373081499</v>
      </c>
    </row>
    <row r="2504" spans="1:40" x14ac:dyDescent="0.3">
      <c r="A2504" t="str">
        <f>"20200111150405460"</f>
        <v>20200111150405460</v>
      </c>
      <c r="B2504" t="str">
        <f>"1578726245451076"</f>
        <v>1578726245451076</v>
      </c>
      <c r="C2504" t="s">
        <v>40</v>
      </c>
      <c r="D2504">
        <v>5.183935</v>
      </c>
      <c r="E2504">
        <v>0.50077959999999999</v>
      </c>
      <c r="F2504" t="s">
        <v>42</v>
      </c>
      <c r="G2504">
        <v>-302.51170000000002</v>
      </c>
      <c r="H2504">
        <v>1.03159</v>
      </c>
      <c r="I2504">
        <v>-9.3360059999999994</v>
      </c>
      <c r="J2504">
        <v>-302.56259999999997</v>
      </c>
      <c r="K2504">
        <v>1.099275</v>
      </c>
      <c r="L2504">
        <v>-8.7897029999999994</v>
      </c>
      <c r="M2504">
        <v>0.1335171</v>
      </c>
      <c r="N2504">
        <v>0</v>
      </c>
      <c r="O2504">
        <v>-0.99099230000000005</v>
      </c>
      <c r="P2504">
        <v>0.10762910000000001</v>
      </c>
      <c r="Q2504">
        <v>0.15037020000000001</v>
      </c>
      <c r="R2504">
        <v>-0.98275369999999995</v>
      </c>
      <c r="S2504">
        <v>0.32089230000000002</v>
      </c>
      <c r="T2504">
        <v>-0.24040529999999999</v>
      </c>
      <c r="U2504">
        <v>-3.054535</v>
      </c>
      <c r="V2504">
        <v>2.5935039999999999E-2</v>
      </c>
      <c r="W2504">
        <v>0.1603869</v>
      </c>
      <c r="X2504">
        <v>0.98671350000000002</v>
      </c>
      <c r="Y2504">
        <v>2.956404E-2</v>
      </c>
      <c r="Z2504">
        <v>7.7184009999999997E-2</v>
      </c>
      <c r="AA2504">
        <v>0.99657850000000003</v>
      </c>
      <c r="AB2504">
        <v>32</v>
      </c>
      <c r="AC2504">
        <v>5.0899999999955897E-2</v>
      </c>
      <c r="AD2504">
        <v>-6.7684999999999995E-2</v>
      </c>
      <c r="AE2504">
        <v>-0.54630299999999998</v>
      </c>
      <c r="AF2504">
        <v>2.2163208441580502E-2</v>
      </c>
      <c r="AG2504">
        <v>-6.7684999999999995E-2</v>
      </c>
      <c r="AH2504">
        <v>0.539989854254596</v>
      </c>
      <c r="AI2504">
        <v>97.138527371017901</v>
      </c>
      <c r="AJ2504">
        <v>87.649685543607404</v>
      </c>
      <c r="AK2504">
        <v>0.54466642060193604</v>
      </c>
      <c r="AL2504">
        <v>80.770646549391003</v>
      </c>
      <c r="AM2504">
        <v>88.494369160569804</v>
      </c>
      <c r="AN2504">
        <v>1.00000005753682</v>
      </c>
    </row>
    <row r="2505" spans="1:40" x14ac:dyDescent="0.3">
      <c r="A2505" t="str">
        <f>"20200111150405483"</f>
        <v>20200111150405483</v>
      </c>
      <c r="B2505" t="str">
        <f>"1578726245481332"</f>
        <v>1578726245481332</v>
      </c>
      <c r="C2505" t="s">
        <v>40</v>
      </c>
      <c r="D2505">
        <v>4.990094</v>
      </c>
      <c r="E2505">
        <v>0.50044489999999997</v>
      </c>
      <c r="F2505" t="s">
        <v>42</v>
      </c>
      <c r="G2505">
        <v>-302.47519999999997</v>
      </c>
      <c r="H2505">
        <v>1.034335</v>
      </c>
      <c r="I2505">
        <v>-9.6209600000000002</v>
      </c>
      <c r="J2505">
        <v>-302.52319999999997</v>
      </c>
      <c r="K2505">
        <v>1.099855</v>
      </c>
      <c r="L2505">
        <v>-9.1073000000000004</v>
      </c>
      <c r="M2505">
        <v>0.13037789999999999</v>
      </c>
      <c r="N2505">
        <v>0</v>
      </c>
      <c r="O2505">
        <v>-0.99140910000000004</v>
      </c>
      <c r="P2505">
        <v>0.106271699999999</v>
      </c>
      <c r="Q2505">
        <v>0.14920849999999999</v>
      </c>
      <c r="R2505">
        <v>-0.98307869999999997</v>
      </c>
      <c r="S2505">
        <v>0.32211299999999998</v>
      </c>
      <c r="T2505">
        <v>-0.23842250000000001</v>
      </c>
      <c r="U2505">
        <v>-3.0538639999999999</v>
      </c>
      <c r="V2505">
        <v>2.4051530000000002E-2</v>
      </c>
      <c r="W2505">
        <v>0.15938329999999901</v>
      </c>
      <c r="X2505">
        <v>0.98692380000000002</v>
      </c>
      <c r="Y2505">
        <v>2.5976809999999999E-2</v>
      </c>
      <c r="Z2505">
        <v>7.6618560000000002E-2</v>
      </c>
      <c r="AA2505">
        <v>0.996722</v>
      </c>
      <c r="AB2505">
        <v>32</v>
      </c>
      <c r="AC2505">
        <v>4.8000000000001798E-2</v>
      </c>
      <c r="AD2505">
        <v>-6.5519999999999995E-2</v>
      </c>
      <c r="AE2505">
        <v>-0.51365999999999901</v>
      </c>
      <c r="AF2505">
        <v>1.9075657138232401E-2</v>
      </c>
      <c r="AG2505">
        <v>-6.5519999999999995E-2</v>
      </c>
      <c r="AH2505">
        <v>0.50735029360001305</v>
      </c>
      <c r="AI2505">
        <v>97.353399503102807</v>
      </c>
      <c r="AJ2505">
        <v>87.846773569139003</v>
      </c>
      <c r="AK2505">
        <v>0.51191900874188501</v>
      </c>
      <c r="AL2505">
        <v>80.828897888214399</v>
      </c>
      <c r="AM2505">
        <v>88.603966744173903</v>
      </c>
      <c r="AN2505">
        <v>1.0000000497103301</v>
      </c>
    </row>
    <row r="2506" spans="1:40" x14ac:dyDescent="0.3">
      <c r="A2506" t="str">
        <f>"20200111150405529"</f>
        <v>20200111150405529</v>
      </c>
      <c r="B2506" t="str">
        <f>"1578726245521348"</f>
        <v>1578726245521348</v>
      </c>
      <c r="C2506" t="s">
        <v>40</v>
      </c>
      <c r="D2506">
        <v>6.0850080000000002</v>
      </c>
      <c r="E2506">
        <v>0.50028399999999995</v>
      </c>
      <c r="F2506" t="s">
        <v>42</v>
      </c>
      <c r="G2506">
        <v>-302.4391</v>
      </c>
      <c r="H2506">
        <v>1.037199</v>
      </c>
      <c r="I2506">
        <v>-9.9062459999999994</v>
      </c>
      <c r="J2506">
        <v>-302.44479999999999</v>
      </c>
      <c r="K2506">
        <v>1.1009230000000001</v>
      </c>
      <c r="L2506">
        <v>-9.7532960000000006</v>
      </c>
      <c r="M2506">
        <v>0.12519420000000001</v>
      </c>
      <c r="N2506">
        <v>0</v>
      </c>
      <c r="O2506">
        <v>-0.99207480000000003</v>
      </c>
      <c r="P2506">
        <v>0.1039166</v>
      </c>
      <c r="Q2506">
        <v>0.14288609999999999</v>
      </c>
      <c r="R2506">
        <v>-0.98426899999999995</v>
      </c>
      <c r="S2506">
        <v>0.32162479999999999</v>
      </c>
      <c r="T2506">
        <v>-0.23944190000000001</v>
      </c>
      <c r="U2506">
        <v>-3.053223</v>
      </c>
      <c r="V2506">
        <v>2.1054360000000001E-2</v>
      </c>
      <c r="W2506">
        <v>0.1533351</v>
      </c>
      <c r="X2506">
        <v>0.98794990000000005</v>
      </c>
      <c r="Y2506">
        <v>2.0890760000000001E-2</v>
      </c>
      <c r="Z2506">
        <v>7.7043210000000001E-2</v>
      </c>
      <c r="AA2506">
        <v>0.9968089</v>
      </c>
      <c r="AB2506">
        <v>32</v>
      </c>
      <c r="AC2506">
        <v>5.6999999999902597E-3</v>
      </c>
      <c r="AD2506">
        <v>-6.3723999999999795E-2</v>
      </c>
      <c r="AE2506">
        <v>-0.15295</v>
      </c>
      <c r="AF2506">
        <v>1.15008183842154E-2</v>
      </c>
      <c r="AG2506">
        <v>-6.3723999999999795E-2</v>
      </c>
      <c r="AH2506">
        <v>0.129936633962631</v>
      </c>
      <c r="AI2506">
        <v>116.03614933864</v>
      </c>
      <c r="AJ2506">
        <v>84.941875884645796</v>
      </c>
      <c r="AK2506">
        <v>0.14517763548510301</v>
      </c>
      <c r="AL2506">
        <v>81.179749487395895</v>
      </c>
      <c r="AM2506">
        <v>88.779145183197301</v>
      </c>
      <c r="AN2506">
        <v>0.99999997193851398</v>
      </c>
    </row>
    <row r="2507" spans="1:40" x14ac:dyDescent="0.3">
      <c r="A2507" t="str">
        <f>"20200111150405551"</f>
        <v>20200111150405551</v>
      </c>
      <c r="B2507" t="str">
        <f>"1578726245540868"</f>
        <v>1578726245540868</v>
      </c>
      <c r="C2507" t="s">
        <v>40</v>
      </c>
      <c r="D2507">
        <v>4.8427699999999998</v>
      </c>
      <c r="E2507">
        <v>0.49984800000000001</v>
      </c>
      <c r="F2507" t="s">
        <v>42</v>
      </c>
      <c r="G2507">
        <v>-302.36989999999997</v>
      </c>
      <c r="H2507">
        <v>1.039679</v>
      </c>
      <c r="I2507">
        <v>-10.47621</v>
      </c>
      <c r="J2507">
        <v>-302.40699999999998</v>
      </c>
      <c r="K2507">
        <v>1.10138</v>
      </c>
      <c r="L2507">
        <v>-10.070069999999999</v>
      </c>
      <c r="M2507">
        <v>0.1232343</v>
      </c>
      <c r="N2507">
        <v>0</v>
      </c>
      <c r="O2507">
        <v>-0.99231919999999996</v>
      </c>
      <c r="P2507">
        <v>0.1035585</v>
      </c>
      <c r="Q2507">
        <v>0.1383991</v>
      </c>
      <c r="R2507">
        <v>-0.98494760000000003</v>
      </c>
      <c r="S2507">
        <v>0.31671139999999998</v>
      </c>
      <c r="T2507">
        <v>-0.258525</v>
      </c>
      <c r="U2507">
        <v>-3.0520320000000001</v>
      </c>
      <c r="V2507">
        <v>1.939513E-2</v>
      </c>
      <c r="W2507">
        <v>0.14896189999999901</v>
      </c>
      <c r="X2507">
        <v>0.98865270000000005</v>
      </c>
      <c r="Y2507">
        <v>2.0514339999999999E-2</v>
      </c>
      <c r="Z2507">
        <v>8.3211859999999999E-2</v>
      </c>
      <c r="AA2507">
        <v>0.99632069999999995</v>
      </c>
      <c r="AB2507">
        <v>32</v>
      </c>
      <c r="AC2507">
        <v>3.7100000000009403E-2</v>
      </c>
      <c r="AD2507">
        <v>-6.1700999999999999E-2</v>
      </c>
      <c r="AE2507">
        <v>-0.40614</v>
      </c>
      <c r="AF2507">
        <v>1.2939923450898999E-2</v>
      </c>
      <c r="AG2507">
        <v>-6.1700999999999999E-2</v>
      </c>
      <c r="AH2507">
        <v>0.39849504368280803</v>
      </c>
      <c r="AI2507">
        <v>98.796939472707606</v>
      </c>
      <c r="AJ2507">
        <v>88.140146052748506</v>
      </c>
      <c r="AK2507">
        <v>0.403451056337294</v>
      </c>
      <c r="AL2507">
        <v>81.433227967153897</v>
      </c>
      <c r="AM2507">
        <v>88.876130549281299</v>
      </c>
      <c r="AN2507">
        <v>0.99999998996830797</v>
      </c>
    </row>
    <row r="2508" spans="1:40" x14ac:dyDescent="0.3">
      <c r="A2508" t="str">
        <f>"20200111150405573"</f>
        <v>20200111150405573</v>
      </c>
      <c r="B2508" t="str">
        <f>"1578726245561364"</f>
        <v>1578726245561364</v>
      </c>
      <c r="C2508" t="s">
        <v>40</v>
      </c>
      <c r="D2508">
        <v>4.8712179999999998</v>
      </c>
      <c r="E2508">
        <v>0.49948300000000001</v>
      </c>
      <c r="F2508" t="s">
        <v>42</v>
      </c>
      <c r="G2508">
        <v>-302.30669999999998</v>
      </c>
      <c r="H2508">
        <v>1.015749</v>
      </c>
      <c r="I2508">
        <v>-11.031459999999999</v>
      </c>
      <c r="J2508">
        <v>-302.37079999999997</v>
      </c>
      <c r="K2508">
        <v>1.10175</v>
      </c>
      <c r="L2508">
        <v>-10.37604</v>
      </c>
      <c r="M2508">
        <v>0.1216211</v>
      </c>
      <c r="N2508">
        <v>0</v>
      </c>
      <c r="O2508">
        <v>-0.99251739999999999</v>
      </c>
      <c r="P2508">
        <v>0.1034149</v>
      </c>
      <c r="Q2508">
        <v>0.13440079999999999</v>
      </c>
      <c r="R2508">
        <v>-0.98551619999999995</v>
      </c>
      <c r="S2508">
        <v>0.31777949999999999</v>
      </c>
      <c r="T2508">
        <v>-0.27174939999999997</v>
      </c>
      <c r="U2508">
        <v>-3.0506289999999998</v>
      </c>
      <c r="V2508">
        <v>1.788083E-2</v>
      </c>
      <c r="W2508">
        <v>0.14505889999999999</v>
      </c>
      <c r="X2508">
        <v>0.98926139999999996</v>
      </c>
      <c r="Y2508">
        <v>1.8535329999999999E-2</v>
      </c>
      <c r="Z2508">
        <v>8.7502289999999996E-2</v>
      </c>
      <c r="AA2508">
        <v>0.99599190000000004</v>
      </c>
      <c r="AB2508">
        <v>32</v>
      </c>
      <c r="AC2508">
        <v>6.4099999999996202E-2</v>
      </c>
      <c r="AD2508">
        <v>-8.6000999999999994E-2</v>
      </c>
      <c r="AE2508">
        <v>-0.655420000000001</v>
      </c>
      <c r="AF2508">
        <v>1.58236212092672E-2</v>
      </c>
      <c r="AG2508">
        <v>-8.6000999999999994E-2</v>
      </c>
      <c r="AH2508">
        <v>0.64731092968355297</v>
      </c>
      <c r="AI2508">
        <v>97.565697951578699</v>
      </c>
      <c r="AJ2508">
        <v>88.599674213280807</v>
      </c>
      <c r="AK2508">
        <v>0.65319062966102004</v>
      </c>
      <c r="AL2508">
        <v>81.659309718167407</v>
      </c>
      <c r="AM2508">
        <v>88.964495585917604</v>
      </c>
      <c r="AN2508">
        <v>0.99999996304032801</v>
      </c>
    </row>
    <row r="2509" spans="1:40" x14ac:dyDescent="0.3">
      <c r="A2509" t="str">
        <f>"20200111150405595"</f>
        <v>20200111150405595</v>
      </c>
      <c r="B2509" t="str">
        <f>"1578726245591620"</f>
        <v>1578726245591620</v>
      </c>
      <c r="C2509" t="s">
        <v>40</v>
      </c>
      <c r="D2509">
        <v>4.8607490000000002</v>
      </c>
      <c r="E2509">
        <v>0.49916969999999999</v>
      </c>
      <c r="F2509" t="s">
        <v>42</v>
      </c>
      <c r="G2509">
        <v>-302.27300000000002</v>
      </c>
      <c r="H2509">
        <v>1.012343</v>
      </c>
      <c r="I2509">
        <v>-11.31381</v>
      </c>
      <c r="J2509">
        <v>-302.33280000000002</v>
      </c>
      <c r="K2509">
        <v>1.1020490000000001</v>
      </c>
      <c r="L2509">
        <v>-10.69998</v>
      </c>
      <c r="M2509">
        <v>0.120135199999999</v>
      </c>
      <c r="N2509">
        <v>0</v>
      </c>
      <c r="O2509">
        <v>-0.99269759999999996</v>
      </c>
      <c r="P2509">
        <v>0.1037898</v>
      </c>
      <c r="Q2509">
        <v>0.13098180000000001</v>
      </c>
      <c r="R2509">
        <v>-0.98593710000000001</v>
      </c>
      <c r="S2509">
        <v>0.3188782</v>
      </c>
      <c r="T2509">
        <v>-0.29073729999999998</v>
      </c>
      <c r="U2509">
        <v>-3.0502929999999999</v>
      </c>
      <c r="V2509">
        <v>1.598308E-2</v>
      </c>
      <c r="W2509">
        <v>0.14172770000000001</v>
      </c>
      <c r="X2509">
        <v>0.98977669999999995</v>
      </c>
      <c r="Y2509">
        <v>1.6730519999999999E-2</v>
      </c>
      <c r="Z2509">
        <v>9.3599210000000002E-2</v>
      </c>
      <c r="AA2509">
        <v>0.99546939999999995</v>
      </c>
      <c r="AB2509">
        <v>32</v>
      </c>
      <c r="AC2509">
        <v>5.9800000000052402E-2</v>
      </c>
      <c r="AD2509">
        <v>-8.9705999999999994E-2</v>
      </c>
      <c r="AE2509">
        <v>-0.61382999999999999</v>
      </c>
      <c r="AF2509">
        <v>1.4082198632483899E-2</v>
      </c>
      <c r="AG2509">
        <v>-8.9705999999999994E-2</v>
      </c>
      <c r="AH2509">
        <v>0.60379415528513403</v>
      </c>
      <c r="AI2509">
        <v>98.448382592854699</v>
      </c>
      <c r="AJ2509">
        <v>88.663941524231404</v>
      </c>
      <c r="AK2509">
        <v>0.61058402919730304</v>
      </c>
      <c r="AL2509">
        <v>81.852167323787896</v>
      </c>
      <c r="AM2509">
        <v>89.074858560585298</v>
      </c>
      <c r="AN2509">
        <v>1.00000005782823</v>
      </c>
    </row>
    <row r="2510" spans="1:40" x14ac:dyDescent="0.3">
      <c r="A2510" t="str">
        <f>"20200111150405618"</f>
        <v>20200111150405618</v>
      </c>
      <c r="B2510" t="str">
        <f>"1578726245611140"</f>
        <v>1578726245611140</v>
      </c>
      <c r="C2510" t="s">
        <v>40</v>
      </c>
      <c r="D2510">
        <v>5.1553110000000002</v>
      </c>
      <c r="E2510">
        <v>0.49874039999999997</v>
      </c>
      <c r="F2510" t="s">
        <v>42</v>
      </c>
      <c r="G2510">
        <v>-302.23880000000003</v>
      </c>
      <c r="H2510">
        <v>1.011441</v>
      </c>
      <c r="I2510">
        <v>-11.59742</v>
      </c>
      <c r="J2510">
        <v>-302.29489999999998</v>
      </c>
      <c r="K2510">
        <v>1.1022909999999999</v>
      </c>
      <c r="L2510">
        <v>-11.02557</v>
      </c>
      <c r="M2510">
        <v>0.1188027</v>
      </c>
      <c r="N2510">
        <v>0</v>
      </c>
      <c r="O2510">
        <v>-0.9928574</v>
      </c>
      <c r="P2510">
        <v>0.1048033</v>
      </c>
      <c r="Q2510">
        <v>0.1289265</v>
      </c>
      <c r="R2510">
        <v>-0.98610059999999999</v>
      </c>
      <c r="S2510">
        <v>0.3201599</v>
      </c>
      <c r="T2510">
        <v>-0.30787379999999998</v>
      </c>
      <c r="U2510">
        <v>-3.0499879999999999</v>
      </c>
      <c r="V2510">
        <v>1.3600579999999999E-2</v>
      </c>
      <c r="W2510">
        <v>0.13974819999999999</v>
      </c>
      <c r="X2510">
        <v>0.99009360000000002</v>
      </c>
      <c r="Y2510">
        <v>1.5020250000000001E-2</v>
      </c>
      <c r="Z2510">
        <v>9.9095639999999999E-2</v>
      </c>
      <c r="AA2510">
        <v>0.99496450000000003</v>
      </c>
      <c r="AB2510">
        <v>32</v>
      </c>
      <c r="AC2510">
        <v>5.6099999999958003E-2</v>
      </c>
      <c r="AD2510">
        <v>-9.0849999999999806E-2</v>
      </c>
      <c r="AE2510">
        <v>-0.57184999999999897</v>
      </c>
      <c r="AF2510">
        <v>1.19402619792837E-2</v>
      </c>
      <c r="AG2510">
        <v>-9.0849999999999806E-2</v>
      </c>
      <c r="AH2510">
        <v>0.56045394075634503</v>
      </c>
      <c r="AI2510">
        <v>99.205544468763406</v>
      </c>
      <c r="AJ2510">
        <v>88.779519438244094</v>
      </c>
      <c r="AK2510">
        <v>0.56789515939603796</v>
      </c>
      <c r="AL2510">
        <v>81.966723548676597</v>
      </c>
      <c r="AM2510">
        <v>89.212996807206594</v>
      </c>
      <c r="AN2510">
        <v>0.99999993597026604</v>
      </c>
    </row>
    <row r="2511" spans="1:40" x14ac:dyDescent="0.3">
      <c r="A2511" t="str">
        <f>"20200111150405640"</f>
        <v>20200111150405640</v>
      </c>
      <c r="B2511" t="str">
        <f>"1578726245631469"</f>
        <v>1578726245631469</v>
      </c>
      <c r="C2511" t="s">
        <v>40</v>
      </c>
      <c r="D2511">
        <v>4.8981969999999997</v>
      </c>
      <c r="E2511">
        <v>0.49851649999999997</v>
      </c>
      <c r="F2511" t="s">
        <v>42</v>
      </c>
      <c r="G2511">
        <v>-302.20400000000001</v>
      </c>
      <c r="H2511">
        <v>1.014302</v>
      </c>
      <c r="I2511">
        <v>-11.88289</v>
      </c>
      <c r="J2511">
        <v>-302.25909999999999</v>
      </c>
      <c r="K2511">
        <v>1.1024620000000001</v>
      </c>
      <c r="L2511">
        <v>-11.335570000000001</v>
      </c>
      <c r="M2511">
        <v>0.1176268</v>
      </c>
      <c r="N2511">
        <v>0</v>
      </c>
      <c r="O2511">
        <v>-0.99299669999999896</v>
      </c>
      <c r="P2511">
        <v>0.1058453</v>
      </c>
      <c r="Q2511">
        <v>0.12756809999999999</v>
      </c>
      <c r="R2511">
        <v>-0.98616590000000004</v>
      </c>
      <c r="S2511">
        <v>0.32406620000000003</v>
      </c>
      <c r="T2511">
        <v>-0.31281900000000001</v>
      </c>
      <c r="U2511">
        <v>-3.048737</v>
      </c>
      <c r="V2511">
        <v>1.135599E-2</v>
      </c>
      <c r="W2511">
        <v>0.13845150000000001</v>
      </c>
      <c r="X2511">
        <v>0.99030410000000002</v>
      </c>
      <c r="Y2511">
        <v>1.255043E-2</v>
      </c>
      <c r="Z2511">
        <v>0.1007281</v>
      </c>
      <c r="AA2511">
        <v>0.99483480000000002</v>
      </c>
      <c r="AB2511">
        <v>32</v>
      </c>
      <c r="AC2511">
        <v>5.5099999999981698E-2</v>
      </c>
      <c r="AD2511">
        <v>-8.8160000000000002E-2</v>
      </c>
      <c r="AE2511">
        <v>-0.54731999999999903</v>
      </c>
      <c r="AF2511">
        <v>9.4239150491037208E-3</v>
      </c>
      <c r="AG2511">
        <v>-8.8160000000000002E-2</v>
      </c>
      <c r="AH2511">
        <v>0.53622852195395598</v>
      </c>
      <c r="AI2511">
        <v>99.334918798081205</v>
      </c>
      <c r="AJ2511">
        <v>88.993162509768396</v>
      </c>
      <c r="AK2511">
        <v>0.54350899121521201</v>
      </c>
      <c r="AL2511">
        <v>82.041748820756297</v>
      </c>
      <c r="AM2511">
        <v>89.343008090021399</v>
      </c>
      <c r="AN2511">
        <v>0.99999999341896995</v>
      </c>
    </row>
    <row r="2512" spans="1:40" x14ac:dyDescent="0.3">
      <c r="A2512" t="str">
        <f>"20200111150405662"</f>
        <v>20200111150405662</v>
      </c>
      <c r="B2512" t="str">
        <f>"1578726245650989"</f>
        <v>1578726245650989</v>
      </c>
      <c r="C2512" t="s">
        <v>40</v>
      </c>
      <c r="D2512">
        <v>5.0790620000000004</v>
      </c>
      <c r="E2512">
        <v>0.4982412</v>
      </c>
      <c r="F2512" t="s">
        <v>42</v>
      </c>
      <c r="G2512">
        <v>-302.16980000000001</v>
      </c>
      <c r="H2512">
        <v>1.0167660000000001</v>
      </c>
      <c r="I2512">
        <v>-12.16836</v>
      </c>
      <c r="J2512">
        <v>-302.22359999999998</v>
      </c>
      <c r="K2512">
        <v>1.102579</v>
      </c>
      <c r="L2512">
        <v>-11.646699999999999</v>
      </c>
      <c r="M2512">
        <v>0.11649180000000001</v>
      </c>
      <c r="N2512">
        <v>0</v>
      </c>
      <c r="O2512">
        <v>-0.99313030000000002</v>
      </c>
      <c r="P2512">
        <v>0.1075943</v>
      </c>
      <c r="Q2512">
        <v>0.1248784</v>
      </c>
      <c r="R2512">
        <v>-0.98632120000000001</v>
      </c>
      <c r="S2512">
        <v>0.32711790000000002</v>
      </c>
      <c r="T2512">
        <v>-0.31359389999999998</v>
      </c>
      <c r="U2512">
        <v>-3.0475460000000001</v>
      </c>
      <c r="V2512">
        <v>8.4672640000000004E-3</v>
      </c>
      <c r="W2512">
        <v>0.13581969999999999</v>
      </c>
      <c r="X2512">
        <v>0.99069739999999995</v>
      </c>
      <c r="Y2512">
        <v>1.038498E-2</v>
      </c>
      <c r="Z2512">
        <v>0.1010302</v>
      </c>
      <c r="AA2512">
        <v>0.99482919999999997</v>
      </c>
      <c r="AB2512">
        <v>32</v>
      </c>
      <c r="AC2512">
        <v>5.3799999999966902E-2</v>
      </c>
      <c r="AD2512">
        <v>-8.5813000000000098E-2</v>
      </c>
      <c r="AE2512">
        <v>-0.52166000000000001</v>
      </c>
      <c r="AF2512">
        <v>7.1477650863699203E-3</v>
      </c>
      <c r="AG2512">
        <v>-8.5813000000000098E-2</v>
      </c>
      <c r="AH2512">
        <v>0.51070132433263804</v>
      </c>
      <c r="AI2512">
        <v>99.537374863081894</v>
      </c>
      <c r="AJ2512">
        <v>89.198141819894403</v>
      </c>
      <c r="AK2512">
        <v>0.51791003484180598</v>
      </c>
      <c r="AL2512">
        <v>82.193978265690205</v>
      </c>
      <c r="AM2512">
        <v>89.510318005219801</v>
      </c>
      <c r="AN2512">
        <v>1.0000000119172401</v>
      </c>
    </row>
    <row r="2513" spans="1:40" x14ac:dyDescent="0.3">
      <c r="A2513" t="str">
        <f>"20200111150405707"</f>
        <v>20200111150405707</v>
      </c>
      <c r="B2513" t="str">
        <f>"1578726245700765"</f>
        <v>1578726245700765</v>
      </c>
      <c r="C2513" t="s">
        <v>40</v>
      </c>
      <c r="D2513">
        <v>4.8804910000000001</v>
      </c>
      <c r="E2513">
        <v>0.49798379999999998</v>
      </c>
      <c r="F2513" t="s">
        <v>42</v>
      </c>
      <c r="G2513">
        <v>-302.13510000000002</v>
      </c>
      <c r="H2513">
        <v>1.0180940000000001</v>
      </c>
      <c r="I2513">
        <v>-12.45337</v>
      </c>
      <c r="J2513">
        <v>-302.15159999999997</v>
      </c>
      <c r="K2513">
        <v>1.1027559999999901</v>
      </c>
      <c r="L2513">
        <v>-12.286350000000001</v>
      </c>
      <c r="M2513">
        <v>0.1141672</v>
      </c>
      <c r="N2513">
        <v>0</v>
      </c>
      <c r="O2513">
        <v>-0.99339929999999999</v>
      </c>
      <c r="P2513">
        <v>0.1102528</v>
      </c>
      <c r="Q2513">
        <v>0.12422610000000001</v>
      </c>
      <c r="R2513">
        <v>-0.98610989999999998</v>
      </c>
      <c r="S2513">
        <v>0.33462520000000001</v>
      </c>
      <c r="T2513">
        <v>-0.31890570000000001</v>
      </c>
      <c r="U2513">
        <v>-3.045471</v>
      </c>
      <c r="V2513">
        <v>3.4434380000000001E-3</v>
      </c>
      <c r="W2513">
        <v>0.1352585</v>
      </c>
      <c r="X2513">
        <v>0.99080440000000003</v>
      </c>
      <c r="Y2513">
        <v>5.5691269999999897E-3</v>
      </c>
      <c r="Z2513">
        <v>0.1028226</v>
      </c>
      <c r="AA2513">
        <v>0.99468409999999996</v>
      </c>
      <c r="AB2513">
        <v>32</v>
      </c>
      <c r="AC2513">
        <v>1.6499999999950801E-2</v>
      </c>
      <c r="AD2513">
        <v>-8.4661999999999696E-2</v>
      </c>
      <c r="AE2513">
        <v>-0.167019999999999</v>
      </c>
      <c r="AF2513">
        <v>2.1342088473329901E-3</v>
      </c>
      <c r="AG2513">
        <v>-8.4661999999999696E-2</v>
      </c>
      <c r="AH2513">
        <v>0.13377188999110001</v>
      </c>
      <c r="AI2513">
        <v>122.325743409494</v>
      </c>
      <c r="AJ2513">
        <v>89.085975489467401</v>
      </c>
      <c r="AK2513">
        <v>0.15832601694982101</v>
      </c>
      <c r="AL2513">
        <v>82.226432354048399</v>
      </c>
      <c r="AM2513">
        <v>89.800875258438197</v>
      </c>
      <c r="AN2513">
        <v>1.00000003907343</v>
      </c>
    </row>
    <row r="2514" spans="1:40" x14ac:dyDescent="0.3">
      <c r="A2514" t="str">
        <f>"20200111150405730"</f>
        <v>20200111150405730</v>
      </c>
      <c r="B2514" t="str">
        <f>"1578726245721261"</f>
        <v>1578726245721261</v>
      </c>
      <c r="C2514" t="s">
        <v>40</v>
      </c>
      <c r="D2514">
        <v>4.7975379999999896</v>
      </c>
      <c r="E2514">
        <v>0.49840509999999899</v>
      </c>
      <c r="F2514" t="s">
        <v>42</v>
      </c>
      <c r="G2514">
        <v>-302.06760000000003</v>
      </c>
      <c r="H2514">
        <v>1.025992</v>
      </c>
      <c r="I2514">
        <v>-13.026490000000001</v>
      </c>
      <c r="J2514">
        <v>-302.11579999999998</v>
      </c>
      <c r="K2514">
        <v>1.1027990000000001</v>
      </c>
      <c r="L2514">
        <v>-12.60895</v>
      </c>
      <c r="M2514">
        <v>0.1129735</v>
      </c>
      <c r="N2514">
        <v>0</v>
      </c>
      <c r="O2514">
        <v>-0.99353530000000001</v>
      </c>
      <c r="P2514">
        <v>0.1104361</v>
      </c>
      <c r="Q2514">
        <v>0.12290470000000001</v>
      </c>
      <c r="R2514">
        <v>-0.98625499999999999</v>
      </c>
      <c r="S2514">
        <v>0.34616089999999999</v>
      </c>
      <c r="T2514">
        <v>-0.31556600000000001</v>
      </c>
      <c r="U2514">
        <v>-3.043304</v>
      </c>
      <c r="V2514">
        <v>2.0712959999999998E-3</v>
      </c>
      <c r="W2514">
        <v>0.1339737</v>
      </c>
      <c r="X2514">
        <v>0.99098269999999999</v>
      </c>
      <c r="Y2514">
        <v>5.5528550000000004E-4</v>
      </c>
      <c r="Z2514">
        <v>0.10182910000000001</v>
      </c>
      <c r="AA2514">
        <v>0.99480179999999996</v>
      </c>
      <c r="AB2514">
        <v>32</v>
      </c>
      <c r="AC2514">
        <v>4.8199999999951601E-2</v>
      </c>
      <c r="AD2514">
        <v>-7.6807E-2</v>
      </c>
      <c r="AE2514">
        <v>-0.41753999999999802</v>
      </c>
      <c r="AF2514">
        <v>-6.9430596600777896E-4</v>
      </c>
      <c r="AG2514">
        <v>-7.6807E-2</v>
      </c>
      <c r="AH2514">
        <v>0.40673026742077401</v>
      </c>
      <c r="AI2514">
        <v>100.693798519532</v>
      </c>
      <c r="AJ2514">
        <v>90.097806251683593</v>
      </c>
      <c r="AK2514">
        <v>0.41391944596255598</v>
      </c>
      <c r="AL2514">
        <v>82.300721692965595</v>
      </c>
      <c r="AM2514">
        <v>89.880243776100102</v>
      </c>
      <c r="AN2514">
        <v>0.99999997712904898</v>
      </c>
    </row>
    <row r="2515" spans="1:40" x14ac:dyDescent="0.3">
      <c r="A2515" t="str">
        <f>"20200111150405752"</f>
        <v>20200111150405752</v>
      </c>
      <c r="B2515" t="str">
        <f>"1578726245741330"</f>
        <v>1578726245741330</v>
      </c>
      <c r="C2515" t="s">
        <v>40</v>
      </c>
      <c r="D2515">
        <v>4.8525289999999996</v>
      </c>
      <c r="E2515">
        <v>0.499052</v>
      </c>
      <c r="F2515" t="s">
        <v>42</v>
      </c>
      <c r="G2515">
        <v>-302.0059</v>
      </c>
      <c r="H2515">
        <v>1.0010810000000001</v>
      </c>
      <c r="I2515">
        <v>-13.584680000000001</v>
      </c>
      <c r="J2515">
        <v>-302.08100000000002</v>
      </c>
      <c r="K2515">
        <v>1.10283</v>
      </c>
      <c r="L2515">
        <v>-12.92651</v>
      </c>
      <c r="M2515">
        <v>0.1117852</v>
      </c>
      <c r="N2515">
        <v>0</v>
      </c>
      <c r="O2515">
        <v>-0.99366940000000004</v>
      </c>
      <c r="P2515">
        <v>0.10986609999999999</v>
      </c>
      <c r="Q2515">
        <v>0.1193954</v>
      </c>
      <c r="R2515">
        <v>-0.98674919999999999</v>
      </c>
      <c r="S2515">
        <v>0.3435974</v>
      </c>
      <c r="T2515">
        <v>-0.31713530000000001</v>
      </c>
      <c r="U2515">
        <v>-3.0428470000000001</v>
      </c>
      <c r="V2515">
        <v>1.4893669999999999E-3</v>
      </c>
      <c r="W2515">
        <v>0.1304979</v>
      </c>
      <c r="X2515">
        <v>0.99144739999999998</v>
      </c>
      <c r="Y2515">
        <v>1.761841E-4</v>
      </c>
      <c r="Z2515">
        <v>0.1023707</v>
      </c>
      <c r="AA2515">
        <v>0.99474629999999997</v>
      </c>
      <c r="AB2515">
        <v>32</v>
      </c>
      <c r="AC2515">
        <v>7.5099999999963502E-2</v>
      </c>
      <c r="AD2515">
        <v>-0.10174900000000001</v>
      </c>
      <c r="AE2515">
        <v>-0.65816999999999803</v>
      </c>
      <c r="AF2515">
        <v>-1.0267494902767901E-3</v>
      </c>
      <c r="AG2515">
        <v>-0.10174900000000001</v>
      </c>
      <c r="AH2515">
        <v>0.64717179715504503</v>
      </c>
      <c r="AI2515">
        <v>98.934948592938397</v>
      </c>
      <c r="AJ2515">
        <v>90.090900690219996</v>
      </c>
      <c r="AK2515">
        <v>0.65512231548651001</v>
      </c>
      <c r="AL2515">
        <v>82.501634508303695</v>
      </c>
      <c r="AM2515">
        <v>89.913929494336998</v>
      </c>
      <c r="AN2515">
        <v>0.99999993354261296</v>
      </c>
    </row>
    <row r="2516" spans="1:40" x14ac:dyDescent="0.3">
      <c r="A2516" t="str">
        <f>"20200111150405773"</f>
        <v>20200111150405773</v>
      </c>
      <c r="B2516" t="str">
        <f>"1578726245771586"</f>
        <v>1578726245771586</v>
      </c>
      <c r="C2516" t="s">
        <v>40</v>
      </c>
      <c r="D2516">
        <v>4.9038810000000002</v>
      </c>
      <c r="E2516">
        <v>0.50003489999999995</v>
      </c>
      <c r="F2516" t="s">
        <v>42</v>
      </c>
      <c r="G2516">
        <v>-301.97669999999999</v>
      </c>
      <c r="H2516">
        <v>1.001695</v>
      </c>
      <c r="I2516">
        <v>-13.870469999999999</v>
      </c>
      <c r="J2516">
        <v>-302.04730000000001</v>
      </c>
      <c r="K2516">
        <v>1.10286</v>
      </c>
      <c r="L2516">
        <v>-13.23767</v>
      </c>
      <c r="M2516">
        <v>0.1106121</v>
      </c>
      <c r="N2516">
        <v>0</v>
      </c>
      <c r="O2516">
        <v>-0.99380040000000003</v>
      </c>
      <c r="P2516">
        <v>0.1089996</v>
      </c>
      <c r="Q2516">
        <v>0.11691459999999999</v>
      </c>
      <c r="R2516">
        <v>-0.98714239999999998</v>
      </c>
      <c r="S2516">
        <v>0.33663939999999998</v>
      </c>
      <c r="T2516">
        <v>-0.32590400000000003</v>
      </c>
      <c r="U2516">
        <v>-3.0422359999999999</v>
      </c>
      <c r="V2516">
        <v>1.210376E-3</v>
      </c>
      <c r="W2516">
        <v>0.12804389999999999</v>
      </c>
      <c r="X2516">
        <v>0.99176779999999998</v>
      </c>
      <c r="Y2516">
        <v>1.2533760000000001E-3</v>
      </c>
      <c r="Z2516">
        <v>0.1052246</v>
      </c>
      <c r="AA2516">
        <v>0.99444770000000005</v>
      </c>
      <c r="AB2516">
        <v>32</v>
      </c>
      <c r="AC2516">
        <v>7.0600000000013097E-2</v>
      </c>
      <c r="AD2516">
        <v>-0.10116499999999901</v>
      </c>
      <c r="AE2516">
        <v>-0.63279999999999903</v>
      </c>
      <c r="AF2516">
        <v>-1.6287038574068399E-4</v>
      </c>
      <c r="AG2516">
        <v>-0.10116499999999901</v>
      </c>
      <c r="AH2516">
        <v>0.62104849536235596</v>
      </c>
      <c r="AI2516">
        <v>99.251871707564206</v>
      </c>
      <c r="AJ2516">
        <v>90.015025856380504</v>
      </c>
      <c r="AK2516">
        <v>0.62923415144412498</v>
      </c>
      <c r="AL2516">
        <v>82.643428911097203</v>
      </c>
      <c r="AM2516">
        <v>89.930074961101198</v>
      </c>
      <c r="AN2516">
        <v>1.0000000372270501</v>
      </c>
    </row>
    <row r="2517" spans="1:40" x14ac:dyDescent="0.3">
      <c r="A2517" t="str">
        <f>"20200111150405796"</f>
        <v>20200111150405796</v>
      </c>
      <c r="B2517" t="str">
        <f>"1578726245791109"</f>
        <v>1578726245791109</v>
      </c>
      <c r="C2517" t="s">
        <v>40</v>
      </c>
      <c r="D2517">
        <v>4.9267430000000001</v>
      </c>
      <c r="E2517">
        <v>0.50072349999999999</v>
      </c>
      <c r="F2517" t="s">
        <v>42</v>
      </c>
      <c r="G2517">
        <v>-301.94929999999999</v>
      </c>
      <c r="H2517">
        <v>1.00247</v>
      </c>
      <c r="I2517">
        <v>-14.1566299999999</v>
      </c>
      <c r="J2517">
        <v>-302.01240000000001</v>
      </c>
      <c r="K2517">
        <v>1.1028830000000001</v>
      </c>
      <c r="L2517">
        <v>-13.5625</v>
      </c>
      <c r="M2517">
        <v>0.10938290000000001</v>
      </c>
      <c r="N2517">
        <v>0</v>
      </c>
      <c r="O2517">
        <v>-0.99393629999999999</v>
      </c>
      <c r="P2517">
        <v>0.1079615</v>
      </c>
      <c r="Q2517">
        <v>0.1171523</v>
      </c>
      <c r="R2517">
        <v>-0.98722829999999995</v>
      </c>
      <c r="S2517">
        <v>0.32519530000000002</v>
      </c>
      <c r="T2517">
        <v>-0.33229720000000001</v>
      </c>
      <c r="U2517">
        <v>-3.0425420000000001</v>
      </c>
      <c r="V2517">
        <v>1.020476E-3</v>
      </c>
      <c r="W2517">
        <v>0.12830250000000001</v>
      </c>
      <c r="X2517">
        <v>0.99173460000000002</v>
      </c>
      <c r="Y2517">
        <v>3.747837E-3</v>
      </c>
      <c r="Z2517">
        <v>0.1072973</v>
      </c>
      <c r="AA2517">
        <v>0.99421990000000005</v>
      </c>
      <c r="AB2517">
        <v>32</v>
      </c>
      <c r="AC2517">
        <v>6.3100000000019904E-2</v>
      </c>
      <c r="AD2517">
        <v>-0.100413</v>
      </c>
      <c r="AE2517">
        <v>-0.59412999999999705</v>
      </c>
      <c r="AF2517">
        <v>2.20805772742047E-3</v>
      </c>
      <c r="AG2517">
        <v>-0.100413</v>
      </c>
      <c r="AH2517">
        <v>0.58105502719588098</v>
      </c>
      <c r="AI2517">
        <v>99.804466123224501</v>
      </c>
      <c r="AJ2517">
        <v>89.782272291240403</v>
      </c>
      <c r="AK2517">
        <v>0.58967159565094696</v>
      </c>
      <c r="AL2517">
        <v>82.628489052164994</v>
      </c>
      <c r="AM2517">
        <v>89.941043755800393</v>
      </c>
      <c r="AN2517">
        <v>1.0000000448573301</v>
      </c>
    </row>
    <row r="2518" spans="1:40" x14ac:dyDescent="0.3">
      <c r="A2518" t="str">
        <f>"20200111150405819"</f>
        <v>20200111150405819</v>
      </c>
      <c r="B2518" t="str">
        <f>"1578726245811601"</f>
        <v>1578726245811601</v>
      </c>
      <c r="C2518" t="s">
        <v>40</v>
      </c>
      <c r="D2518">
        <v>4.8771380000000004</v>
      </c>
      <c r="E2518">
        <v>0.50139560000000005</v>
      </c>
      <c r="F2518" t="s">
        <v>42</v>
      </c>
      <c r="G2518">
        <v>-301.92090000000002</v>
      </c>
      <c r="H2518">
        <v>1.0071289999999999</v>
      </c>
      <c r="I2518">
        <v>-14.44472</v>
      </c>
      <c r="J2518">
        <v>-301.9778</v>
      </c>
      <c r="K2518">
        <v>1.1029100000000001</v>
      </c>
      <c r="L2518">
        <v>-13.88879</v>
      </c>
      <c r="M2518">
        <v>0.108145699999999</v>
      </c>
      <c r="N2518">
        <v>0</v>
      </c>
      <c r="O2518">
        <v>-0.99407160000000006</v>
      </c>
      <c r="P2518">
        <v>0.1058003</v>
      </c>
      <c r="Q2518">
        <v>0.11855019999999999</v>
      </c>
      <c r="R2518">
        <v>-0.98729599999999995</v>
      </c>
      <c r="S2518">
        <v>0.3160095</v>
      </c>
      <c r="T2518">
        <v>-0.33028439999999998</v>
      </c>
      <c r="U2518">
        <v>-3.0434570000000001</v>
      </c>
      <c r="V2518">
        <v>1.9415840000000001E-3</v>
      </c>
      <c r="W2518">
        <v>0.12971450000000001</v>
      </c>
      <c r="X2518">
        <v>0.99154949999999997</v>
      </c>
      <c r="Y2518">
        <v>5.4954670000000004E-3</v>
      </c>
      <c r="Z2518">
        <v>0.1066612</v>
      </c>
      <c r="AA2518">
        <v>0.99428019999999995</v>
      </c>
      <c r="AB2518">
        <v>32</v>
      </c>
      <c r="AC2518">
        <v>5.6899999999984602E-2</v>
      </c>
      <c r="AD2518">
        <v>-9.5780999999999894E-2</v>
      </c>
      <c r="AE2518">
        <v>-0.55593000000000103</v>
      </c>
      <c r="AF2518">
        <v>3.4574241871563999E-3</v>
      </c>
      <c r="AG2518">
        <v>-9.5780999999999894E-2</v>
      </c>
      <c r="AH2518">
        <v>0.54287545881987098</v>
      </c>
      <c r="AI2518">
        <v>100.005677441933</v>
      </c>
      <c r="AJ2518">
        <v>89.635103903742603</v>
      </c>
      <c r="AK2518">
        <v>0.55127100189643197</v>
      </c>
      <c r="AL2518">
        <v>82.546905439837104</v>
      </c>
      <c r="AM2518">
        <v>89.887807490609802</v>
      </c>
      <c r="AN2518">
        <v>1.00000001610446</v>
      </c>
    </row>
    <row r="2519" spans="1:40" x14ac:dyDescent="0.3">
      <c r="A2519" t="str">
        <f>"20200111150405841"</f>
        <v>20200111150405841</v>
      </c>
      <c r="B2519" t="str">
        <f>"1578726245831516"</f>
        <v>1578726245831516</v>
      </c>
      <c r="C2519" t="s">
        <v>40</v>
      </c>
      <c r="D2519">
        <v>4.9186889999999996</v>
      </c>
      <c r="E2519">
        <v>0.50203370000000003</v>
      </c>
      <c r="F2519" t="s">
        <v>42</v>
      </c>
      <c r="G2519">
        <v>-301.89339999999999</v>
      </c>
      <c r="H2519">
        <v>1.0128600000000001</v>
      </c>
      <c r="I2519">
        <v>-14.733510000000001</v>
      </c>
      <c r="J2519">
        <v>-301.94549999999998</v>
      </c>
      <c r="K2519">
        <v>1.1029249999999999</v>
      </c>
      <c r="L2519">
        <v>-14.1976</v>
      </c>
      <c r="M2519">
        <v>0.1069734</v>
      </c>
      <c r="N2519">
        <v>0</v>
      </c>
      <c r="O2519">
        <v>-0.99419820000000003</v>
      </c>
      <c r="P2519">
        <v>0.1040932</v>
      </c>
      <c r="Q2519">
        <v>0.1192613</v>
      </c>
      <c r="R2519">
        <v>-0.98739169999999998</v>
      </c>
      <c r="S2519">
        <v>0.30511470000000002</v>
      </c>
      <c r="T2519">
        <v>-0.3245055</v>
      </c>
      <c r="U2519">
        <v>-3.0448909999999998</v>
      </c>
      <c r="V2519">
        <v>2.478769E-3</v>
      </c>
      <c r="W2519">
        <v>0.13043879999999999</v>
      </c>
      <c r="X2519">
        <v>0.99145329999999998</v>
      </c>
      <c r="Y2519">
        <v>7.8654580000000005E-3</v>
      </c>
      <c r="Z2519">
        <v>0.1048051</v>
      </c>
      <c r="AA2519">
        <v>0.9944617</v>
      </c>
      <c r="AB2519">
        <v>32</v>
      </c>
      <c r="AC2519">
        <v>5.2099999999995802E-2</v>
      </c>
      <c r="AD2519">
        <v>-9.0064999999999798E-2</v>
      </c>
      <c r="AE2519">
        <v>-0.535910000000001</v>
      </c>
      <c r="AF2519">
        <v>5.3802023334635499E-3</v>
      </c>
      <c r="AG2519">
        <v>-9.0064999999999798E-2</v>
      </c>
      <c r="AH2519">
        <v>0.52375369235114699</v>
      </c>
      <c r="AI2519">
        <v>99.756683886733995</v>
      </c>
      <c r="AJ2519">
        <v>89.411456092848496</v>
      </c>
      <c r="AK2519">
        <v>0.53146832554123902</v>
      </c>
      <c r="AL2519">
        <v>82.505050650356793</v>
      </c>
      <c r="AM2519">
        <v>89.856753004730194</v>
      </c>
      <c r="AN2519">
        <v>1.0000000354610401</v>
      </c>
    </row>
    <row r="2520" spans="1:40" x14ac:dyDescent="0.3">
      <c r="A2520" t="str">
        <f>"20200111150405863"</f>
        <v>20200111150405863</v>
      </c>
      <c r="B2520" t="str">
        <f>"1578726245851036"</f>
        <v>1578726245851036</v>
      </c>
      <c r="C2520" t="s">
        <v>40</v>
      </c>
      <c r="D2520">
        <v>4.8175929999999996</v>
      </c>
      <c r="E2520">
        <v>0.50259620000000005</v>
      </c>
      <c r="F2520" t="s">
        <v>42</v>
      </c>
      <c r="G2520">
        <v>-301.86590000000001</v>
      </c>
      <c r="H2520">
        <v>1.0163199999999999</v>
      </c>
      <c r="I2520">
        <v>-15.021319999999999</v>
      </c>
      <c r="J2520">
        <v>-301.91239999999999</v>
      </c>
      <c r="K2520">
        <v>1.102935</v>
      </c>
      <c r="L2520">
        <v>-14.51764</v>
      </c>
      <c r="M2520">
        <v>0.1057541</v>
      </c>
      <c r="N2520">
        <v>0</v>
      </c>
      <c r="O2520">
        <v>-0.9943284</v>
      </c>
      <c r="P2520">
        <v>0.1026494</v>
      </c>
      <c r="Q2520">
        <v>0.1188512</v>
      </c>
      <c r="R2520">
        <v>-0.98759200000000003</v>
      </c>
      <c r="S2520">
        <v>0.29489140000000003</v>
      </c>
      <c r="T2520">
        <v>-0.32017180000000001</v>
      </c>
      <c r="U2520">
        <v>-3.0458980000000002</v>
      </c>
      <c r="V2520">
        <v>2.716783E-3</v>
      </c>
      <c r="W2520">
        <v>0.13004309999999999</v>
      </c>
      <c r="X2520">
        <v>0.99150459999999996</v>
      </c>
      <c r="Y2520">
        <v>9.9634140000000003E-3</v>
      </c>
      <c r="Z2520">
        <v>0.1034231</v>
      </c>
      <c r="AA2520">
        <v>0.99458749999999996</v>
      </c>
      <c r="AB2520">
        <v>32</v>
      </c>
      <c r="AC2520">
        <v>4.6499999999980397E-2</v>
      </c>
      <c r="AD2520">
        <v>-8.6614999999999803E-2</v>
      </c>
      <c r="AE2520">
        <v>-0.50368000000000102</v>
      </c>
      <c r="AF2520">
        <v>6.8301294498655102E-3</v>
      </c>
      <c r="AG2520">
        <v>-8.6614999999999803E-2</v>
      </c>
      <c r="AH2520">
        <v>0.491365311269647</v>
      </c>
      <c r="AI2520">
        <v>99.996117787273306</v>
      </c>
      <c r="AJ2520">
        <v>89.203622273718395</v>
      </c>
      <c r="AK2520">
        <v>0.498987653166307</v>
      </c>
      <c r="AL2520">
        <v>82.527916945200602</v>
      </c>
      <c r="AM2520">
        <v>89.843006466946804</v>
      </c>
      <c r="AN2520">
        <v>0.99999998029431902</v>
      </c>
    </row>
    <row r="2521" spans="1:40" x14ac:dyDescent="0.3">
      <c r="A2521" t="str">
        <f>"20200111150405886"</f>
        <v>20200111150405886</v>
      </c>
      <c r="B2521" t="str">
        <f>"1578726245881292"</f>
        <v>1578726245881292</v>
      </c>
      <c r="C2521" t="s">
        <v>40</v>
      </c>
      <c r="D2521">
        <v>4.9250660000000002</v>
      </c>
      <c r="E2521">
        <v>0.50359699999999996</v>
      </c>
      <c r="F2521" t="s">
        <v>42</v>
      </c>
      <c r="G2521">
        <v>-301.83839999999998</v>
      </c>
      <c r="H2521">
        <v>1.019828</v>
      </c>
      <c r="I2521">
        <v>-15.309240000000001</v>
      </c>
      <c r="J2521">
        <v>-301.87939999999998</v>
      </c>
      <c r="K2521">
        <v>1.1029230000000001</v>
      </c>
      <c r="L2521">
        <v>-14.840179999999901</v>
      </c>
      <c r="M2521">
        <v>0.1045114</v>
      </c>
      <c r="N2521">
        <v>0</v>
      </c>
      <c r="O2521">
        <v>-0.9944596</v>
      </c>
      <c r="P2521">
        <v>0.10095030000000001</v>
      </c>
      <c r="Q2521">
        <v>0.1179166</v>
      </c>
      <c r="R2521">
        <v>-0.98787910000000001</v>
      </c>
      <c r="S2521">
        <v>0.28512569999999998</v>
      </c>
      <c r="T2521">
        <v>-0.31978040000000002</v>
      </c>
      <c r="U2521">
        <v>-3.0465390000000001</v>
      </c>
      <c r="V2521">
        <v>3.195476E-3</v>
      </c>
      <c r="W2521">
        <v>0.12912109999999999</v>
      </c>
      <c r="X2521">
        <v>0.9916237</v>
      </c>
      <c r="Y2521">
        <v>1.189225E-2</v>
      </c>
      <c r="Z2521">
        <v>0.1033114</v>
      </c>
      <c r="AA2521">
        <v>0.99457790000000001</v>
      </c>
      <c r="AB2521">
        <v>32</v>
      </c>
      <c r="AC2521">
        <v>4.0999999999996803E-2</v>
      </c>
      <c r="AD2521">
        <v>-8.3094999999999905E-2</v>
      </c>
      <c r="AE2521">
        <v>-0.46905999999999998</v>
      </c>
      <c r="AF2521">
        <v>8.0006206815803199E-3</v>
      </c>
      <c r="AG2521">
        <v>-8.3094999999999905E-2</v>
      </c>
      <c r="AH2521">
        <v>0.45655676205760298</v>
      </c>
      <c r="AI2521">
        <v>100.31358351905899</v>
      </c>
      <c r="AJ2521">
        <v>88.996061557752299</v>
      </c>
      <c r="AK2521">
        <v>0.46412591603659997</v>
      </c>
      <c r="AL2521">
        <v>82.581193108378997</v>
      </c>
      <c r="AM2521">
        <v>89.815366802351804</v>
      </c>
      <c r="AN2521">
        <v>1.00000001596688</v>
      </c>
    </row>
    <row r="2522" spans="1:40" x14ac:dyDescent="0.3">
      <c r="A2522" t="str">
        <f>"20200111150405909"</f>
        <v>20200111150405909</v>
      </c>
      <c r="B2522" t="str">
        <f>"1578726245900812"</f>
        <v>1578726245900812</v>
      </c>
      <c r="C2522" t="s">
        <v>40</v>
      </c>
      <c r="D2522">
        <v>4.8920659999999998</v>
      </c>
      <c r="E2522">
        <v>0.50418419999999997</v>
      </c>
      <c r="F2522" t="s">
        <v>42</v>
      </c>
      <c r="G2522">
        <v>-301.81189999999998</v>
      </c>
      <c r="H2522">
        <v>1.0232889999999999</v>
      </c>
      <c r="I2522">
        <v>-15.597379999999999</v>
      </c>
      <c r="J2522">
        <v>-301.84570000000002</v>
      </c>
      <c r="K2522">
        <v>1.1029040000000001</v>
      </c>
      <c r="L2522">
        <v>-15.17285</v>
      </c>
      <c r="M2522">
        <v>0.1031982</v>
      </c>
      <c r="N2522">
        <v>0</v>
      </c>
      <c r="O2522">
        <v>-0.9945967</v>
      </c>
      <c r="P2522">
        <v>9.8647159999999998E-2</v>
      </c>
      <c r="Q2522">
        <v>0.1167122</v>
      </c>
      <c r="R2522">
        <v>-0.98825479999999999</v>
      </c>
      <c r="S2522">
        <v>0.2723083</v>
      </c>
      <c r="T2522">
        <v>-0.32040259999999998</v>
      </c>
      <c r="U2522">
        <v>-3.0472410000000001</v>
      </c>
      <c r="V2522">
        <v>4.2165950000000001E-3</v>
      </c>
      <c r="W2522">
        <v>0.12792700000000001</v>
      </c>
      <c r="X2522">
        <v>0.99177459999999995</v>
      </c>
      <c r="Y2522">
        <v>1.4743650000000001E-2</v>
      </c>
      <c r="Z2522">
        <v>0.10352550000000001</v>
      </c>
      <c r="AA2522">
        <v>0.99451750000000005</v>
      </c>
      <c r="AB2522">
        <v>32</v>
      </c>
      <c r="AC2522">
        <v>3.3800000000041998E-2</v>
      </c>
      <c r="AD2522">
        <v>-7.9615000000000199E-2</v>
      </c>
      <c r="AE2522">
        <v>-0.42452999999999802</v>
      </c>
      <c r="AF2522">
        <v>9.8497783145794302E-3</v>
      </c>
      <c r="AG2522">
        <v>-7.9615000000000199E-2</v>
      </c>
      <c r="AH2522">
        <v>0.41137445915040199</v>
      </c>
      <c r="AI2522">
        <v>100.95021302158401</v>
      </c>
      <c r="AJ2522">
        <v>88.628395845718501</v>
      </c>
      <c r="AK2522">
        <v>0.41912350446990299</v>
      </c>
      <c r="AL2522">
        <v>82.6501818829245</v>
      </c>
      <c r="AM2522">
        <v>89.756404689363904</v>
      </c>
      <c r="AN2522">
        <v>0.99999997710377597</v>
      </c>
    </row>
    <row r="2523" spans="1:40" x14ac:dyDescent="0.3">
      <c r="A2523" t="str">
        <f>"20200111150405929"</f>
        <v>20200111150405929</v>
      </c>
      <c r="B2523" t="str">
        <f>"1578726245921308"</f>
        <v>1578726245921308</v>
      </c>
      <c r="C2523" t="s">
        <v>40</v>
      </c>
      <c r="D2523">
        <v>5.0010009999999996</v>
      </c>
      <c r="E2523">
        <v>0.50462370000000001</v>
      </c>
      <c r="F2523" t="s">
        <v>42</v>
      </c>
      <c r="G2523">
        <v>-301.76139999999998</v>
      </c>
      <c r="H2523">
        <v>0.99836950000000002</v>
      </c>
      <c r="I2523">
        <v>-16.158719999999999</v>
      </c>
      <c r="J2523">
        <v>-301.81560000000002</v>
      </c>
      <c r="K2523">
        <v>1.1028770000000001</v>
      </c>
      <c r="L2523">
        <v>-15.47537</v>
      </c>
      <c r="M2523">
        <v>0.10194839999999999</v>
      </c>
      <c r="N2523">
        <v>0</v>
      </c>
      <c r="O2523">
        <v>-0.99472519999999998</v>
      </c>
      <c r="P2523">
        <v>9.7163449999999998E-2</v>
      </c>
      <c r="Q2523">
        <v>0.1156396</v>
      </c>
      <c r="R2523">
        <v>-0.9885275</v>
      </c>
      <c r="S2523">
        <v>0.26119999999999999</v>
      </c>
      <c r="T2523">
        <v>-0.32309969999999999</v>
      </c>
      <c r="U2523">
        <v>-3.0477289999999999</v>
      </c>
      <c r="V2523">
        <v>4.4804160000000001E-3</v>
      </c>
      <c r="W2523">
        <v>0.12686529999999999</v>
      </c>
      <c r="X2523">
        <v>0.99190990000000001</v>
      </c>
      <c r="Y2523">
        <v>1.710648E-2</v>
      </c>
      <c r="Z2523">
        <v>0.1044055</v>
      </c>
      <c r="AA2523">
        <v>0.99438769999999999</v>
      </c>
      <c r="AB2523">
        <v>32</v>
      </c>
      <c r="AC2523">
        <v>5.42000000000371E-2</v>
      </c>
      <c r="AD2523">
        <v>-0.1045075</v>
      </c>
      <c r="AE2523">
        <v>-0.68335000000000001</v>
      </c>
      <c r="AF2523">
        <v>1.5395511962054499E-2</v>
      </c>
      <c r="AG2523">
        <v>-0.1045075</v>
      </c>
      <c r="AH2523">
        <v>0.66974833089936703</v>
      </c>
      <c r="AI2523">
        <v>98.866605915673503</v>
      </c>
      <c r="AJ2523">
        <v>88.683173216262901</v>
      </c>
      <c r="AK2523">
        <v>0.67802777678153603</v>
      </c>
      <c r="AL2523">
        <v>82.711513181421694</v>
      </c>
      <c r="AM2523">
        <v>89.741199093371193</v>
      </c>
      <c r="AN2523">
        <v>1.0000000640948099</v>
      </c>
    </row>
    <row r="2524" spans="1:40" x14ac:dyDescent="0.3">
      <c r="A2524" t="str">
        <f>"20200111150405953"</f>
        <v>20200111150405953</v>
      </c>
      <c r="B2524" t="str">
        <f>"1578726245941579"</f>
        <v>1578726245941579</v>
      </c>
      <c r="C2524" t="s">
        <v>40</v>
      </c>
      <c r="D2524">
        <v>5.0434130000000001</v>
      </c>
      <c r="E2524">
        <v>0.50496540000000001</v>
      </c>
      <c r="F2524" t="s">
        <v>42</v>
      </c>
      <c r="G2524">
        <v>-301.7355</v>
      </c>
      <c r="H2524">
        <v>1.000486</v>
      </c>
      <c r="I2524">
        <v>-16.446629999999999</v>
      </c>
      <c r="J2524">
        <v>-301.78399999999999</v>
      </c>
      <c r="K2524">
        <v>1.102841</v>
      </c>
      <c r="L2524">
        <v>-15.79846</v>
      </c>
      <c r="M2524">
        <v>0.1005585</v>
      </c>
      <c r="N2524">
        <v>0</v>
      </c>
      <c r="O2524">
        <v>-0.99486660000000005</v>
      </c>
      <c r="P2524">
        <v>9.5744209999999996E-2</v>
      </c>
      <c r="Q2524">
        <v>0.11649139999999999</v>
      </c>
      <c r="R2524">
        <v>-0.9885661</v>
      </c>
      <c r="S2524">
        <v>0.25250240000000002</v>
      </c>
      <c r="T2524">
        <v>-0.32116699999999998</v>
      </c>
      <c r="U2524">
        <v>-3.047577</v>
      </c>
      <c r="V2524">
        <v>4.525711E-3</v>
      </c>
      <c r="W2524">
        <v>0.12772459999999999</v>
      </c>
      <c r="X2524">
        <v>0.9917994</v>
      </c>
      <c r="Y2524">
        <v>1.8518079999999999E-2</v>
      </c>
      <c r="Z2524">
        <v>0.1038259</v>
      </c>
      <c r="AA2524">
        <v>0.9944231</v>
      </c>
      <c r="AB2524">
        <v>32</v>
      </c>
      <c r="AC2524">
        <v>4.8499999999990002E-2</v>
      </c>
      <c r="AD2524">
        <v>-0.102354999999999</v>
      </c>
      <c r="AE2524">
        <v>-0.64816999999999803</v>
      </c>
      <c r="AF2524">
        <v>1.6519412756365901E-2</v>
      </c>
      <c r="AG2524">
        <v>-0.102354999999999</v>
      </c>
      <c r="AH2524">
        <v>0.63403865173553398</v>
      </c>
      <c r="AI2524">
        <v>99.167277287480999</v>
      </c>
      <c r="AJ2524">
        <v>88.507538068863994</v>
      </c>
      <c r="AK2524">
        <v>0.64245968660876196</v>
      </c>
      <c r="AL2524">
        <v>82.661875025117297</v>
      </c>
      <c r="AM2524">
        <v>89.738553643145707</v>
      </c>
      <c r="AN2524">
        <v>1.0000000526727799</v>
      </c>
    </row>
    <row r="2525" spans="1:40" x14ac:dyDescent="0.3">
      <c r="A2525" t="str">
        <f>"20200111150405974"</f>
        <v>20200111150405974</v>
      </c>
      <c r="B2525" t="str">
        <f>"1578726245970859"</f>
        <v>1578726245970859</v>
      </c>
      <c r="C2525" t="s">
        <v>40</v>
      </c>
      <c r="D2525">
        <v>4.9623559999999998</v>
      </c>
      <c r="E2525">
        <v>0.5054071</v>
      </c>
      <c r="F2525" t="s">
        <v>42</v>
      </c>
      <c r="G2525">
        <v>-301.70859999999999</v>
      </c>
      <c r="H2525">
        <v>1.006281</v>
      </c>
      <c r="I2525">
        <v>-16.7364</v>
      </c>
      <c r="J2525">
        <v>-301.75330000000002</v>
      </c>
      <c r="K2525">
        <v>1.1027990000000001</v>
      </c>
      <c r="L2525">
        <v>-16.116610000000001</v>
      </c>
      <c r="M2525">
        <v>9.9108509999999997E-2</v>
      </c>
      <c r="N2525">
        <v>0</v>
      </c>
      <c r="O2525">
        <v>-0.99501229999999996</v>
      </c>
      <c r="P2525">
        <v>9.509186E-2</v>
      </c>
      <c r="Q2525">
        <v>0.1187455</v>
      </c>
      <c r="R2525">
        <v>-0.98836109999999999</v>
      </c>
      <c r="S2525">
        <v>0.24508669999999999</v>
      </c>
      <c r="T2525">
        <v>-0.313770099999999</v>
      </c>
      <c r="U2525">
        <v>-3.0479430000000001</v>
      </c>
      <c r="V2525">
        <v>3.732651E-3</v>
      </c>
      <c r="W2525">
        <v>0.1299863</v>
      </c>
      <c r="X2525">
        <v>0.99150879999999997</v>
      </c>
      <c r="Y2525">
        <v>1.9454610000000001E-2</v>
      </c>
      <c r="Z2525">
        <v>0.1014789</v>
      </c>
      <c r="AA2525">
        <v>0.99464739999999996</v>
      </c>
      <c r="AB2525">
        <v>32</v>
      </c>
      <c r="AC2525">
        <v>4.4700000000034303E-2</v>
      </c>
      <c r="AD2525">
        <v>-9.6518000000000104E-2</v>
      </c>
      <c r="AE2525">
        <v>-0.61978999999999795</v>
      </c>
      <c r="AF2525">
        <v>1.6551194626959101E-2</v>
      </c>
      <c r="AG2525">
        <v>-9.6518000000000104E-2</v>
      </c>
      <c r="AH2525">
        <v>0.60653567682256904</v>
      </c>
      <c r="AI2525">
        <v>99.038356234298405</v>
      </c>
      <c r="AJ2525">
        <v>88.436896038459096</v>
      </c>
      <c r="AK2525">
        <v>0.61439009889986995</v>
      </c>
      <c r="AL2525">
        <v>82.531199621128096</v>
      </c>
      <c r="AM2525">
        <v>89.784304346688003</v>
      </c>
      <c r="AN2525">
        <v>1.0000000356743</v>
      </c>
    </row>
    <row r="2526" spans="1:40" x14ac:dyDescent="0.3">
      <c r="A2526" t="str">
        <f>"20200111150405998"</f>
        <v>20200111150405998</v>
      </c>
      <c r="B2526" t="str">
        <f>"1578726245991354"</f>
        <v>1578726245991354</v>
      </c>
      <c r="C2526" t="s">
        <v>40</v>
      </c>
      <c r="D2526">
        <v>5.033061</v>
      </c>
      <c r="E2526">
        <v>0.50585440000000004</v>
      </c>
      <c r="F2526" t="s">
        <v>42</v>
      </c>
      <c r="G2526">
        <v>-301.68220000000002</v>
      </c>
      <c r="H2526">
        <v>1.011406</v>
      </c>
      <c r="I2526">
        <v>-17.026019999999999</v>
      </c>
      <c r="J2526">
        <v>-301.72199999999998</v>
      </c>
      <c r="K2526">
        <v>1.102727</v>
      </c>
      <c r="L2526">
        <v>-16.44791</v>
      </c>
      <c r="M2526">
        <v>9.7471160000000001E-2</v>
      </c>
      <c r="N2526">
        <v>0</v>
      </c>
      <c r="O2526">
        <v>-0.99517389999999994</v>
      </c>
      <c r="P2526">
        <v>9.4710290000000003E-2</v>
      </c>
      <c r="Q2526">
        <v>0.1212319</v>
      </c>
      <c r="R2526">
        <v>-0.98809559999999996</v>
      </c>
      <c r="S2526">
        <v>0.2393188</v>
      </c>
      <c r="T2526">
        <v>-0.30631150000000001</v>
      </c>
      <c r="U2526">
        <v>-3.0491030000000001</v>
      </c>
      <c r="V2526">
        <v>2.4879199999999998E-3</v>
      </c>
      <c r="W2526">
        <v>0.13247990000000001</v>
      </c>
      <c r="X2526">
        <v>0.99118260000000002</v>
      </c>
      <c r="Y2526">
        <v>1.969042E-2</v>
      </c>
      <c r="Z2526">
        <v>9.9084920000000007E-2</v>
      </c>
      <c r="AA2526">
        <v>0.99488410000000005</v>
      </c>
      <c r="AB2526">
        <v>32</v>
      </c>
      <c r="AC2526">
        <v>3.9799999999956898E-2</v>
      </c>
      <c r="AD2526">
        <v>-9.1320999999999999E-2</v>
      </c>
      <c r="AE2526">
        <v>-0.57811000000000201</v>
      </c>
      <c r="AF2526">
        <v>1.6336485876182399E-2</v>
      </c>
      <c r="AG2526">
        <v>-9.1320999999999999E-2</v>
      </c>
      <c r="AH2526">
        <v>0.56519966986132097</v>
      </c>
      <c r="AI2526">
        <v>99.174364990370705</v>
      </c>
      <c r="AJ2526">
        <v>88.344388339569804</v>
      </c>
      <c r="AK2526">
        <v>0.57276266692507904</v>
      </c>
      <c r="AL2526">
        <v>82.387080378852502</v>
      </c>
      <c r="AM2526">
        <v>89.856184908410597</v>
      </c>
      <c r="AN2526">
        <v>1.0000000300963401</v>
      </c>
    </row>
    <row r="2527" spans="1:40" x14ac:dyDescent="0.3">
      <c r="A2527" t="str">
        <f>"20200111150406020"</f>
        <v>20200111150406020</v>
      </c>
      <c r="B2527" t="str">
        <f>"1578726246010875"</f>
        <v>1578726246010875</v>
      </c>
      <c r="C2527" t="s">
        <v>40</v>
      </c>
      <c r="D2527">
        <v>5.0044490000000001</v>
      </c>
      <c r="E2527">
        <v>0.50626499999999997</v>
      </c>
      <c r="F2527" t="s">
        <v>42</v>
      </c>
      <c r="G2527">
        <v>-301.6551</v>
      </c>
      <c r="H2527">
        <v>1.0178149999999999</v>
      </c>
      <c r="I2527">
        <v>-17.31644</v>
      </c>
      <c r="J2527">
        <v>-301.6927</v>
      </c>
      <c r="K2527">
        <v>1.1026229999999999</v>
      </c>
      <c r="L2527">
        <v>-16.765049999999999</v>
      </c>
      <c r="M2527">
        <v>9.5747280000000004E-2</v>
      </c>
      <c r="N2527">
        <v>0</v>
      </c>
      <c r="O2527">
        <v>-0.99534129999999998</v>
      </c>
      <c r="P2527">
        <v>9.4380690000000003E-2</v>
      </c>
      <c r="Q2527">
        <v>0.12207999999999999</v>
      </c>
      <c r="R2527">
        <v>-0.98802299999999998</v>
      </c>
      <c r="S2527">
        <v>0.23504639999999999</v>
      </c>
      <c r="T2527">
        <v>-0.2981704</v>
      </c>
      <c r="U2527">
        <v>-3.0502009999999999</v>
      </c>
      <c r="V2527">
        <v>1.1282620000000001E-3</v>
      </c>
      <c r="W2527">
        <v>0.13333339999999999</v>
      </c>
      <c r="X2527">
        <v>0.99107060000000002</v>
      </c>
      <c r="Y2527">
        <v>1.935187E-2</v>
      </c>
      <c r="Z2527">
        <v>9.6472000000000002E-2</v>
      </c>
      <c r="AA2527">
        <v>0.99514760000000002</v>
      </c>
      <c r="AB2527">
        <v>32</v>
      </c>
      <c r="AC2527">
        <v>3.7599999999997601E-2</v>
      </c>
      <c r="AD2527">
        <v>-8.4807999999999995E-2</v>
      </c>
      <c r="AE2527">
        <v>-0.55139000000000105</v>
      </c>
      <c r="AF2527">
        <v>1.5016643395650399E-2</v>
      </c>
      <c r="AG2527">
        <v>-8.4807999999999995E-2</v>
      </c>
      <c r="AH2527">
        <v>0.53974715182739297</v>
      </c>
      <c r="AI2527">
        <v>98.926216994293</v>
      </c>
      <c r="AJ2527">
        <v>88.406349350499994</v>
      </c>
      <c r="AK2527">
        <v>0.54657559801792799</v>
      </c>
      <c r="AL2527">
        <v>82.337740495566905</v>
      </c>
      <c r="AM2527">
        <v>89.934772938619901</v>
      </c>
      <c r="AN2527">
        <v>1.0000000013575301</v>
      </c>
    </row>
    <row r="2528" spans="1:40" x14ac:dyDescent="0.3">
      <c r="A2528" t="str">
        <f>"20200111150406042"</f>
        <v>20200111150406042</v>
      </c>
      <c r="B2528" t="str">
        <f>"1578726246031371"</f>
        <v>1578726246031371</v>
      </c>
      <c r="C2528" t="s">
        <v>40</v>
      </c>
      <c r="D2528">
        <v>4.8288739999999999</v>
      </c>
      <c r="E2528">
        <v>0.50619380000000003</v>
      </c>
      <c r="F2528" t="s">
        <v>42</v>
      </c>
      <c r="G2528">
        <v>-301.62939999999998</v>
      </c>
      <c r="H2528">
        <v>1.0211410000000001</v>
      </c>
      <c r="I2528">
        <v>-17.605650000000001</v>
      </c>
      <c r="J2528">
        <v>-301.66419999999999</v>
      </c>
      <c r="K2528">
        <v>1.1024969999999901</v>
      </c>
      <c r="L2528">
        <v>-17.080929999999999</v>
      </c>
      <c r="M2528">
        <v>9.384555E-2</v>
      </c>
      <c r="N2528">
        <v>0</v>
      </c>
      <c r="O2528">
        <v>-0.99552220000000002</v>
      </c>
      <c r="P2528">
        <v>9.4970449999999998E-2</v>
      </c>
      <c r="Q2528">
        <v>0.12370109999999999</v>
      </c>
      <c r="R2528">
        <v>-0.98776470000000005</v>
      </c>
      <c r="S2528">
        <v>0.2303772</v>
      </c>
      <c r="T2528">
        <v>-0.2956085</v>
      </c>
      <c r="U2528">
        <v>-3.0508730000000002</v>
      </c>
      <c r="V2528">
        <v>-1.3279520000000001E-3</v>
      </c>
      <c r="W2528">
        <v>0.13496169999999999</v>
      </c>
      <c r="X2528">
        <v>0.99084989999999995</v>
      </c>
      <c r="Y2528">
        <v>1.8966799999999999E-2</v>
      </c>
      <c r="Z2528">
        <v>9.5661860000000001E-2</v>
      </c>
      <c r="AA2528">
        <v>0.99523320000000004</v>
      </c>
      <c r="AB2528">
        <v>32</v>
      </c>
      <c r="AC2528">
        <v>3.4800000000018302E-2</v>
      </c>
      <c r="AD2528">
        <v>-8.1355999999999706E-2</v>
      </c>
      <c r="AE2528">
        <v>-0.52472000000000196</v>
      </c>
      <c r="AF2528">
        <v>1.4258146409044299E-2</v>
      </c>
      <c r="AG2528">
        <v>-8.1355999999999706E-2</v>
      </c>
      <c r="AH2528">
        <v>0.51338265158318097</v>
      </c>
      <c r="AI2528">
        <v>99.001395508217499</v>
      </c>
      <c r="AJ2528">
        <v>88.409136606865701</v>
      </c>
      <c r="AK2528">
        <v>0.51998446171169299</v>
      </c>
      <c r="AL2528">
        <v>82.243594606295702</v>
      </c>
      <c r="AM2528">
        <v>90.076788623020803</v>
      </c>
      <c r="AN2528">
        <v>0.99999997412670605</v>
      </c>
    </row>
    <row r="2529" spans="1:40" x14ac:dyDescent="0.3">
      <c r="A2529" t="str">
        <f>"20200111150406065"</f>
        <v>20200111150406065</v>
      </c>
      <c r="B2529" t="str">
        <f>"1578726246060651"</f>
        <v>1578726246060651</v>
      </c>
      <c r="C2529" t="s">
        <v>40</v>
      </c>
      <c r="D2529">
        <v>5.179278</v>
      </c>
      <c r="E2529">
        <v>0.43111539999999998</v>
      </c>
      <c r="F2529" t="s">
        <v>42</v>
      </c>
      <c r="G2529">
        <v>-301.60219999999998</v>
      </c>
      <c r="H2529">
        <v>1.024959</v>
      </c>
      <c r="I2529">
        <v>-17.895189999999999</v>
      </c>
      <c r="J2529">
        <v>-301.6354</v>
      </c>
      <c r="K2529">
        <v>1.10233799999999</v>
      </c>
      <c r="L2529">
        <v>-17.410609999999998</v>
      </c>
      <c r="M2529">
        <v>9.163963E-2</v>
      </c>
      <c r="N2529">
        <v>0</v>
      </c>
      <c r="O2529">
        <v>-0.99572769999999999</v>
      </c>
      <c r="P2529">
        <v>9.4239100000000006E-2</v>
      </c>
      <c r="Q2529">
        <v>0.12760579999999999</v>
      </c>
      <c r="R2529">
        <v>-0.98733789999999999</v>
      </c>
      <c r="S2529">
        <v>0.23220830000000001</v>
      </c>
      <c r="T2529">
        <v>-0.29058579999999901</v>
      </c>
      <c r="U2529">
        <v>-3.0512389999999998</v>
      </c>
      <c r="V2529">
        <v>-2.763237E-3</v>
      </c>
      <c r="W2529">
        <v>0.13886899999999999</v>
      </c>
      <c r="X2529">
        <v>0.99030689999999999</v>
      </c>
      <c r="Y2529">
        <v>1.6154999999999999E-2</v>
      </c>
      <c r="Z2529">
        <v>9.4069260000000002E-2</v>
      </c>
      <c r="AA2529">
        <v>0.99543459999999995</v>
      </c>
      <c r="AB2529">
        <v>32</v>
      </c>
      <c r="AC2529">
        <v>3.3200000000022101E-2</v>
      </c>
      <c r="AD2529">
        <v>-7.7378999999999795E-2</v>
      </c>
      <c r="AE2529">
        <v>-0.48457999999999701</v>
      </c>
      <c r="AF2529">
        <v>1.10683924134622E-2</v>
      </c>
      <c r="AG2529">
        <v>-7.7378999999999795E-2</v>
      </c>
      <c r="AH2529">
        <v>0.47356458320272099</v>
      </c>
      <c r="AI2529">
        <v>99.277457825075501</v>
      </c>
      <c r="AJ2529">
        <v>88.661097653164205</v>
      </c>
      <c r="AK2529">
        <v>0.47997232567678899</v>
      </c>
      <c r="AL2529">
        <v>82.017594518005893</v>
      </c>
      <c r="AM2529">
        <v>90.159871053120199</v>
      </c>
      <c r="AN2529">
        <v>0.99999999541366402</v>
      </c>
    </row>
    <row r="2530" spans="1:40" x14ac:dyDescent="0.3">
      <c r="A2530" t="str">
        <f>"20200111150406087"</f>
        <v>20200111150406087</v>
      </c>
      <c r="B2530" t="str">
        <f>"1578726246081146"</f>
        <v>1578726246081146</v>
      </c>
      <c r="C2530" t="s">
        <v>40</v>
      </c>
      <c r="D2530">
        <v>5.2447499999999998</v>
      </c>
      <c r="E2530">
        <v>0.41971219999999998</v>
      </c>
      <c r="F2530" t="s">
        <v>41</v>
      </c>
      <c r="G2530">
        <v>-295.57839999999999</v>
      </c>
      <c r="H2530" s="1">
        <v>-1.565036E-6</v>
      </c>
      <c r="I2530">
        <v>-39.210129999999999</v>
      </c>
      <c r="J2530">
        <v>-301.60829999999999</v>
      </c>
      <c r="K2530">
        <v>1.1021639999999999</v>
      </c>
      <c r="L2530">
        <v>-17.730439999999899</v>
      </c>
      <c r="M2530">
        <v>8.9268899999999998E-2</v>
      </c>
      <c r="N2530">
        <v>0</v>
      </c>
      <c r="O2530">
        <v>-0.99594300000000002</v>
      </c>
      <c r="P2530">
        <v>9.4456200000000004E-2</v>
      </c>
      <c r="Q2530">
        <v>0.12958069999999999</v>
      </c>
      <c r="R2530">
        <v>-0.98705989999999999</v>
      </c>
      <c r="S2530">
        <v>0.82769780000000004</v>
      </c>
      <c r="T2530">
        <v>-0.15063670000000001</v>
      </c>
      <c r="U2530">
        <v>-2.9789430000000001</v>
      </c>
      <c r="V2530">
        <v>-5.2942140000000002E-3</v>
      </c>
      <c r="W2530">
        <v>0.14085629999999999</v>
      </c>
      <c r="X2530">
        <v>0.99001589999999995</v>
      </c>
      <c r="Y2530">
        <v>-0.18030270000000001</v>
      </c>
      <c r="Z2530">
        <v>4.88648E-2</v>
      </c>
      <c r="AA2530">
        <v>0.98239670000000001</v>
      </c>
      <c r="AB2530">
        <v>32</v>
      </c>
      <c r="AC2530">
        <v>6.0298999999999898</v>
      </c>
      <c r="AD2530">
        <v>-1.1021655650359901</v>
      </c>
      <c r="AE2530">
        <v>-21.479689999999898</v>
      </c>
      <c r="AF2530">
        <v>-4.0782779034004104</v>
      </c>
      <c r="AG2530">
        <v>-1.1021655650359901</v>
      </c>
      <c r="AH2530">
        <v>21.8788425966519</v>
      </c>
      <c r="AI2530">
        <v>92.835133970457903</v>
      </c>
      <c r="AJ2530">
        <v>100.55891430158201</v>
      </c>
      <c r="AK2530">
        <v>22.282972713692999</v>
      </c>
      <c r="AL2530">
        <v>81.902600377437196</v>
      </c>
      <c r="AM2530">
        <v>90.306392277740002</v>
      </c>
      <c r="AN2530">
        <v>1.0000000041021799</v>
      </c>
    </row>
    <row r="2531" spans="1:40" x14ac:dyDescent="0.3">
      <c r="A2531" t="str">
        <f>"20200111150406109"</f>
        <v>20200111150406109</v>
      </c>
      <c r="B2531" t="str">
        <f>"1578726246100666"</f>
        <v>1578726246100666</v>
      </c>
      <c r="C2531" t="s">
        <v>40</v>
      </c>
      <c r="D2531">
        <v>5.2004130000000002</v>
      </c>
      <c r="E2531">
        <v>0.41607460000000002</v>
      </c>
      <c r="F2531" t="s">
        <v>41</v>
      </c>
      <c r="G2531">
        <v>-294.6515</v>
      </c>
      <c r="H2531" s="1">
        <v>-1.474545E-6</v>
      </c>
      <c r="I2531">
        <v>-40.200740000000003</v>
      </c>
      <c r="J2531">
        <v>-301.58210000000003</v>
      </c>
      <c r="K2531">
        <v>1.101972</v>
      </c>
      <c r="L2531">
        <v>-18.051639999999999</v>
      </c>
      <c r="M2531">
        <v>8.6660119999999993E-2</v>
      </c>
      <c r="N2531">
        <v>0</v>
      </c>
      <c r="O2531">
        <v>-0.99617319999999998</v>
      </c>
      <c r="P2531">
        <v>9.4280879999999997E-2</v>
      </c>
      <c r="Q2531">
        <v>0.12847329999999901</v>
      </c>
      <c r="R2531">
        <v>-0.98722129999999997</v>
      </c>
      <c r="S2531">
        <v>0.9196472</v>
      </c>
      <c r="T2531">
        <v>-0.14570069999999999</v>
      </c>
      <c r="U2531">
        <v>-2.970459</v>
      </c>
      <c r="V2531">
        <v>-7.6449119999999898E-3</v>
      </c>
      <c r="W2531">
        <v>0.139768</v>
      </c>
      <c r="X2531">
        <v>0.99015469999999906</v>
      </c>
      <c r="Y2531">
        <v>-0.2115187</v>
      </c>
      <c r="Z2531">
        <v>4.7062600000000003E-2</v>
      </c>
      <c r="AA2531">
        <v>0.9762402</v>
      </c>
      <c r="AB2531">
        <v>32</v>
      </c>
      <c r="AC2531">
        <v>6.9306000000000196</v>
      </c>
      <c r="AD2531">
        <v>-1.1019734745450001</v>
      </c>
      <c r="AE2531">
        <v>-22.149100000000001</v>
      </c>
      <c r="AF2531">
        <v>-4.9737421690274104</v>
      </c>
      <c r="AG2531">
        <v>-1.1019734745450001</v>
      </c>
      <c r="AH2531">
        <v>22.6154202653433</v>
      </c>
      <c r="AI2531">
        <v>92.7246123416611</v>
      </c>
      <c r="AJ2531">
        <v>102.403430503949</v>
      </c>
      <c r="AK2531">
        <v>23.1820984917385</v>
      </c>
      <c r="AL2531">
        <v>81.965577833716594</v>
      </c>
      <c r="AM2531">
        <v>90.442367731813206</v>
      </c>
      <c r="AN2531">
        <v>0.99999993421778599</v>
      </c>
    </row>
    <row r="2532" spans="1:40" x14ac:dyDescent="0.3">
      <c r="A2532" t="str">
        <f>"20200111150406131"</f>
        <v>20200111150406131</v>
      </c>
      <c r="B2532" t="str">
        <f>"1578726246121164"</f>
        <v>1578726246121164</v>
      </c>
      <c r="C2532" t="s">
        <v>40</v>
      </c>
      <c r="D2532">
        <v>5.2095099999999999</v>
      </c>
      <c r="E2532">
        <v>0.41430640000000002</v>
      </c>
      <c r="F2532" t="s">
        <v>41</v>
      </c>
      <c r="G2532">
        <v>-294.9597</v>
      </c>
      <c r="H2532" s="1">
        <v>-1.8788469999999999E-6</v>
      </c>
      <c r="I2532">
        <v>-38.771740000000001</v>
      </c>
      <c r="J2532">
        <v>-301.55689999999998</v>
      </c>
      <c r="K2532">
        <v>1.1017950000000001</v>
      </c>
      <c r="L2532">
        <v>-18.374880000000001</v>
      </c>
      <c r="M2532">
        <v>8.3818870000000004E-2</v>
      </c>
      <c r="N2532">
        <v>0</v>
      </c>
      <c r="O2532">
        <v>-0.99641630000000003</v>
      </c>
      <c r="P2532">
        <v>9.2251109999999997E-2</v>
      </c>
      <c r="Q2532">
        <v>0.12576129999999999</v>
      </c>
      <c r="R2532">
        <v>-0.98776229999999998</v>
      </c>
      <c r="S2532">
        <v>0.94885249999999999</v>
      </c>
      <c r="T2532">
        <v>-0.15788940000000001</v>
      </c>
      <c r="U2532">
        <v>-2.96875</v>
      </c>
      <c r="V2532">
        <v>-8.3614999999999991E-3</v>
      </c>
      <c r="W2532">
        <v>0.13707059999999999</v>
      </c>
      <c r="X2532">
        <v>0.99052600000000002</v>
      </c>
      <c r="Y2532">
        <v>-0.22313040000000001</v>
      </c>
      <c r="Z2532">
        <v>5.089602E-2</v>
      </c>
      <c r="AA2532">
        <v>0.97345899999999996</v>
      </c>
      <c r="AB2532">
        <v>32</v>
      </c>
      <c r="AC2532">
        <v>6.5971999999999804</v>
      </c>
      <c r="AD2532">
        <v>-1.1017968788470001</v>
      </c>
      <c r="AE2532">
        <v>-20.39686</v>
      </c>
      <c r="AF2532">
        <v>-4.8514140456533204</v>
      </c>
      <c r="AG2532">
        <v>-1.1017968788470001</v>
      </c>
      <c r="AH2532">
        <v>20.823073771423399</v>
      </c>
      <c r="AI2532">
        <v>92.949967104471</v>
      </c>
      <c r="AJ2532">
        <v>103.11496335270699</v>
      </c>
      <c r="AK2532">
        <v>21.40912366013</v>
      </c>
      <c r="AL2532">
        <v>82.121630333955494</v>
      </c>
      <c r="AM2532">
        <v>90.483649375595206</v>
      </c>
      <c r="AN2532">
        <v>1.0000000103713</v>
      </c>
    </row>
    <row r="2533" spans="1:40" x14ac:dyDescent="0.3">
      <c r="A2533" t="str">
        <f>"20200111150406153"</f>
        <v>20200111150406153</v>
      </c>
      <c r="B2533" t="str">
        <f>"1578726246151418"</f>
        <v>1578726246151418</v>
      </c>
      <c r="C2533" t="s">
        <v>40</v>
      </c>
      <c r="D2533">
        <v>5.2722009999999999</v>
      </c>
      <c r="E2533">
        <v>0.4112073</v>
      </c>
      <c r="F2533" t="s">
        <v>41</v>
      </c>
      <c r="G2533">
        <v>-295.46039999999999</v>
      </c>
      <c r="H2533" s="1">
        <v>-2.2590170000000001E-6</v>
      </c>
      <c r="I2533">
        <v>-37.263100000000001</v>
      </c>
      <c r="J2533">
        <v>-301.53339999999997</v>
      </c>
      <c r="K2533">
        <v>1.10164</v>
      </c>
      <c r="L2533">
        <v>-18.688420000000001</v>
      </c>
      <c r="M2533">
        <v>8.0917000000000003E-2</v>
      </c>
      <c r="N2533">
        <v>0</v>
      </c>
      <c r="O2533">
        <v>-0.99665599999999999</v>
      </c>
      <c r="P2533">
        <v>9.001257E-2</v>
      </c>
      <c r="Q2533">
        <v>0.12403119999999999</v>
      </c>
      <c r="R2533">
        <v>-0.98818720000000004</v>
      </c>
      <c r="S2533">
        <v>0.95852660000000001</v>
      </c>
      <c r="T2533">
        <v>-0.17322979999999999</v>
      </c>
      <c r="U2533">
        <v>-2.9696959999999999</v>
      </c>
      <c r="V2533">
        <v>-8.9493079999999996E-3</v>
      </c>
      <c r="W2533">
        <v>0.135352</v>
      </c>
      <c r="X2533">
        <v>0.9907572</v>
      </c>
      <c r="Y2533">
        <v>-0.22866990000000001</v>
      </c>
      <c r="Z2533">
        <v>5.5765790000000003E-2</v>
      </c>
      <c r="AA2533">
        <v>0.97190549999999998</v>
      </c>
      <c r="AB2533">
        <v>32</v>
      </c>
      <c r="AC2533">
        <v>6.0729999999999702</v>
      </c>
      <c r="AD2533">
        <v>-1.1016422590170001</v>
      </c>
      <c r="AE2533">
        <v>-18.574679999999901</v>
      </c>
      <c r="AF2533">
        <v>-4.5355652923802499</v>
      </c>
      <c r="AG2533">
        <v>-1.1016422590170001</v>
      </c>
      <c r="AH2533">
        <v>18.944999430756901</v>
      </c>
      <c r="AI2533">
        <v>93.236711225296702</v>
      </c>
      <c r="AJ2533">
        <v>103.46360248449299</v>
      </c>
      <c r="AK2533">
        <v>19.511483070737501</v>
      </c>
      <c r="AL2533">
        <v>82.221025497462705</v>
      </c>
      <c r="AM2533">
        <v>90.517527031958394</v>
      </c>
      <c r="AN2533">
        <v>1.0000000416847501</v>
      </c>
    </row>
    <row r="2534" spans="1:40" x14ac:dyDescent="0.3">
      <c r="A2534" t="str">
        <f>"20200111150406176"</f>
        <v>20200111150406176</v>
      </c>
      <c r="B2534" t="str">
        <f>"1578726246170938"</f>
        <v>1578726246170938</v>
      </c>
      <c r="C2534" t="s">
        <v>40</v>
      </c>
      <c r="D2534">
        <v>5.2606950000000001</v>
      </c>
      <c r="E2534">
        <v>0.4099122</v>
      </c>
      <c r="F2534" t="s">
        <v>41</v>
      </c>
      <c r="G2534">
        <v>-295.50290000000001</v>
      </c>
      <c r="H2534" s="1">
        <v>-2.3351709999999999E-6</v>
      </c>
      <c r="I2534">
        <v>-37.00611</v>
      </c>
      <c r="J2534">
        <v>-301.51010000000002</v>
      </c>
      <c r="K2534">
        <v>1.101504</v>
      </c>
      <c r="L2534">
        <v>-19.015319999999999</v>
      </c>
      <c r="M2534">
        <v>7.7773200000000001E-2</v>
      </c>
      <c r="N2534">
        <v>0</v>
      </c>
      <c r="O2534">
        <v>-0.99690630000000002</v>
      </c>
      <c r="P2534">
        <v>8.8200349999999997E-2</v>
      </c>
      <c r="Q2534">
        <v>0.1182484</v>
      </c>
      <c r="R2534">
        <v>-0.98905929999999997</v>
      </c>
      <c r="S2534">
        <v>0.97753909999999999</v>
      </c>
      <c r="T2534">
        <v>-0.1785727</v>
      </c>
      <c r="U2534">
        <v>-2.9692379999999998</v>
      </c>
      <c r="V2534">
        <v>-1.0203500000000001E-2</v>
      </c>
      <c r="W2534">
        <v>0.1295887</v>
      </c>
      <c r="X2534">
        <v>0.99151529999999999</v>
      </c>
      <c r="Y2534">
        <v>-0.2373711</v>
      </c>
      <c r="Z2534">
        <v>5.7393840000000002E-2</v>
      </c>
      <c r="AA2534">
        <v>0.96972210000000003</v>
      </c>
      <c r="AB2534">
        <v>32</v>
      </c>
      <c r="AC2534">
        <v>6.0072000000000099</v>
      </c>
      <c r="AD2534">
        <v>-1.1015063351709999</v>
      </c>
      <c r="AE2534">
        <v>-17.990789999999901</v>
      </c>
      <c r="AF2534">
        <v>-4.5742833144317698</v>
      </c>
      <c r="AG2534">
        <v>-1.1015063351709999</v>
      </c>
      <c r="AH2534">
        <v>18.341660164659</v>
      </c>
      <c r="AI2534">
        <v>93.334860394126594</v>
      </c>
      <c r="AJ2534">
        <v>104.003510938795</v>
      </c>
      <c r="AK2534">
        <v>18.9355190486807</v>
      </c>
      <c r="AL2534">
        <v>82.554174230842804</v>
      </c>
      <c r="AM2534">
        <v>90.589599424645897</v>
      </c>
      <c r="AN2534">
        <v>0.99999996635701405</v>
      </c>
    </row>
    <row r="2535" spans="1:40" x14ac:dyDescent="0.3">
      <c r="A2535" t="str">
        <f>"20200111150406199"</f>
        <v>20200111150406199</v>
      </c>
      <c r="B2535" t="str">
        <f>"1578726246191434"</f>
        <v>1578726246191434</v>
      </c>
      <c r="C2535" t="s">
        <v>40</v>
      </c>
      <c r="D2535">
        <v>5.2658050000000003</v>
      </c>
      <c r="E2535">
        <v>0.40884199999999998</v>
      </c>
      <c r="F2535" t="s">
        <v>41</v>
      </c>
      <c r="G2535">
        <v>-296.03480000000002</v>
      </c>
      <c r="H2535" s="1">
        <v>-2.7630059999999998E-6</v>
      </c>
      <c r="I2535">
        <v>-35.56615</v>
      </c>
      <c r="J2535">
        <v>-301.48759999999999</v>
      </c>
      <c r="K2535">
        <v>1.101397</v>
      </c>
      <c r="L2535">
        <v>-19.346309999999999</v>
      </c>
      <c r="M2535">
        <v>7.4506359999999994E-2</v>
      </c>
      <c r="N2535">
        <v>0</v>
      </c>
      <c r="O2535">
        <v>-0.99715589999999998</v>
      </c>
      <c r="P2535">
        <v>8.659261E-2</v>
      </c>
      <c r="Q2535">
        <v>0.1109134</v>
      </c>
      <c r="R2535">
        <v>-0.99005069999999995</v>
      </c>
      <c r="S2535">
        <v>0.98226930000000001</v>
      </c>
      <c r="T2535">
        <v>-0.19760949999999999</v>
      </c>
      <c r="U2535">
        <v>-2.9692080000000001</v>
      </c>
      <c r="V2535">
        <v>-1.180026E-2</v>
      </c>
      <c r="W2535">
        <v>0.12227639999999999</v>
      </c>
      <c r="X2535">
        <v>0.99242589999999997</v>
      </c>
      <c r="Y2535">
        <v>-0.24183180000000001</v>
      </c>
      <c r="Z2535">
        <v>6.3461790000000004E-2</v>
      </c>
      <c r="AA2535">
        <v>0.96824069999999995</v>
      </c>
      <c r="AB2535">
        <v>32</v>
      </c>
      <c r="AC2535">
        <v>5.4527999999999599</v>
      </c>
      <c r="AD2535">
        <v>-1.101399763006</v>
      </c>
      <c r="AE2535">
        <v>-16.219839999999898</v>
      </c>
      <c r="AF2535">
        <v>-4.2116350596631804</v>
      </c>
      <c r="AG2535">
        <v>-1.101399763006</v>
      </c>
      <c r="AH2535">
        <v>16.512637540791701</v>
      </c>
      <c r="AI2535">
        <v>93.697957322015597</v>
      </c>
      <c r="AJ2535">
        <v>104.308524656995</v>
      </c>
      <c r="AK2535">
        <v>17.076830791083498</v>
      </c>
      <c r="AL2535">
        <v>82.976501390844106</v>
      </c>
      <c r="AM2535">
        <v>90.681232961930704</v>
      </c>
      <c r="AN2535">
        <v>0.99999996556191795</v>
      </c>
    </row>
    <row r="2536" spans="1:40" x14ac:dyDescent="0.3">
      <c r="A2536" t="str">
        <f>"20200111150406220"</f>
        <v>20200111150406220</v>
      </c>
      <c r="B2536" t="str">
        <f>"1578726246210955"</f>
        <v>1578726246210955</v>
      </c>
      <c r="C2536" t="s">
        <v>40</v>
      </c>
      <c r="D2536">
        <v>5.3025500000000001</v>
      </c>
      <c r="E2536">
        <v>0.40809709999999899</v>
      </c>
      <c r="F2536" t="s">
        <v>41</v>
      </c>
      <c r="G2536">
        <v>-296.55509999999998</v>
      </c>
      <c r="H2536" s="1">
        <v>-3.2556159999999998E-6</v>
      </c>
      <c r="I2536">
        <v>-34.202680000000001</v>
      </c>
      <c r="J2536">
        <v>-301.46710000000002</v>
      </c>
      <c r="K2536">
        <v>1.1013230000000001</v>
      </c>
      <c r="L2536">
        <v>-19.661439999999999</v>
      </c>
      <c r="M2536">
        <v>7.1351659999999997E-2</v>
      </c>
      <c r="N2536">
        <v>0</v>
      </c>
      <c r="O2536">
        <v>-0.99738660000000001</v>
      </c>
      <c r="P2536">
        <v>8.5138740000000004E-2</v>
      </c>
      <c r="Q2536">
        <v>0.10942010000000001</v>
      </c>
      <c r="R2536">
        <v>-0.99034299999999997</v>
      </c>
      <c r="S2536">
        <v>0.98559569999999996</v>
      </c>
      <c r="T2536">
        <v>-0.22008159999999999</v>
      </c>
      <c r="U2536">
        <v>-2.9685969999999999</v>
      </c>
      <c r="V2536">
        <v>-1.346514E-2</v>
      </c>
      <c r="W2536">
        <v>0.1207983</v>
      </c>
      <c r="X2536">
        <v>0.99258570000000002</v>
      </c>
      <c r="Y2536">
        <v>-0.2457839</v>
      </c>
      <c r="Z2536">
        <v>7.0633970000000004E-2</v>
      </c>
      <c r="AA2536">
        <v>0.96674769999999999</v>
      </c>
      <c r="AB2536">
        <v>32</v>
      </c>
      <c r="AC2536">
        <v>4.9120000000000301</v>
      </c>
      <c r="AD2536">
        <v>-1.1013262556159999</v>
      </c>
      <c r="AE2536">
        <v>-14.54124</v>
      </c>
      <c r="AF2536">
        <v>-3.8420883300819502</v>
      </c>
      <c r="AG2536">
        <v>-1.1013262556159999</v>
      </c>
      <c r="AH2536">
        <v>14.7785834988841</v>
      </c>
      <c r="AI2536">
        <v>94.125272381163001</v>
      </c>
      <c r="AJ2536">
        <v>104.572969221619</v>
      </c>
      <c r="AK2536">
        <v>15.309509871023</v>
      </c>
      <c r="AL2536">
        <v>83.061822723543301</v>
      </c>
      <c r="AM2536">
        <v>90.777210846355203</v>
      </c>
      <c r="AN2536">
        <v>0.99999995556129795</v>
      </c>
    </row>
    <row r="2537" spans="1:40" x14ac:dyDescent="0.3">
      <c r="A2537" t="str">
        <f>"20200111150406243"</f>
        <v>20200111150406243</v>
      </c>
      <c r="B2537" t="str">
        <f>"1578726246240975"</f>
        <v>1578726246240975</v>
      </c>
      <c r="C2537" t="s">
        <v>40</v>
      </c>
      <c r="D2537">
        <v>5.3839189999999997</v>
      </c>
      <c r="E2537">
        <v>0.40661389999999997</v>
      </c>
      <c r="F2537" t="s">
        <v>41</v>
      </c>
      <c r="G2537">
        <v>-296.59989999999999</v>
      </c>
      <c r="H2537" s="1">
        <v>-3.21024E-6</v>
      </c>
      <c r="I2537">
        <v>-34.289960000000001</v>
      </c>
      <c r="J2537">
        <v>-301.4468</v>
      </c>
      <c r="K2537">
        <v>1.101278</v>
      </c>
      <c r="L2537">
        <v>-19.991150000000001</v>
      </c>
      <c r="M2537">
        <v>6.8030839999999995E-2</v>
      </c>
      <c r="N2537">
        <v>0</v>
      </c>
      <c r="O2537">
        <v>-0.99761860000000002</v>
      </c>
      <c r="P2537">
        <v>8.4451520000000002E-2</v>
      </c>
      <c r="Q2537">
        <v>0.1088731</v>
      </c>
      <c r="R2537">
        <v>-0.99046219999999996</v>
      </c>
      <c r="S2537">
        <v>0.98785400000000001</v>
      </c>
      <c r="T2537">
        <v>-0.22352669999999999</v>
      </c>
      <c r="U2537">
        <v>-2.9690249999999998</v>
      </c>
      <c r="V2537">
        <v>-1.6070709999999998E-2</v>
      </c>
      <c r="W2537">
        <v>0.120271</v>
      </c>
      <c r="X2537">
        <v>0.99261100000000002</v>
      </c>
      <c r="Y2537">
        <v>-0.24960489999999999</v>
      </c>
      <c r="Z2537">
        <v>7.1705260000000007E-2</v>
      </c>
      <c r="AA2537">
        <v>0.96568920000000003</v>
      </c>
      <c r="AB2537">
        <v>32</v>
      </c>
      <c r="AC2537">
        <v>4.8468999999999998</v>
      </c>
      <c r="AD2537">
        <v>-1.10128121023999</v>
      </c>
      <c r="AE2537">
        <v>-14.29881</v>
      </c>
      <c r="AF2537">
        <v>-3.8424027163588002</v>
      </c>
      <c r="AG2537">
        <v>-1.10128121023999</v>
      </c>
      <c r="AH2537">
        <v>14.518193073549799</v>
      </c>
      <c r="AI2537">
        <v>94.194020168405899</v>
      </c>
      <c r="AJ2537">
        <v>104.82408863653301</v>
      </c>
      <c r="AK2537">
        <v>15.058380027731401</v>
      </c>
      <c r="AL2537">
        <v>83.092256913904706</v>
      </c>
      <c r="AM2537">
        <v>90.927557134958903</v>
      </c>
      <c r="AN2537">
        <v>0.99999998924095201</v>
      </c>
    </row>
    <row r="2538" spans="1:40" x14ac:dyDescent="0.3">
      <c r="A2538" t="str">
        <f>"20200111150406265"</f>
        <v>20200111150406265</v>
      </c>
      <c r="B2538" t="str">
        <f>"1578726246261473"</f>
        <v>1578726246261473</v>
      </c>
      <c r="C2538" t="s">
        <v>40</v>
      </c>
      <c r="D2538">
        <v>5.3166260000000003</v>
      </c>
      <c r="E2538">
        <v>0.40603590000000001</v>
      </c>
      <c r="F2538" t="s">
        <v>41</v>
      </c>
      <c r="G2538">
        <v>-296.4907</v>
      </c>
      <c r="H2538" s="1">
        <v>-3.0348710000000002E-6</v>
      </c>
      <c r="I2538">
        <v>-34.74389</v>
      </c>
      <c r="J2538">
        <v>-301.42809999999997</v>
      </c>
      <c r="K2538">
        <v>1.101245</v>
      </c>
      <c r="L2538">
        <v>-20.313140000000001</v>
      </c>
      <c r="M2538">
        <v>6.4779149999999994E-2</v>
      </c>
      <c r="N2538">
        <v>0</v>
      </c>
      <c r="O2538">
        <v>-0.99783489999999997</v>
      </c>
      <c r="P2538">
        <v>8.4248859999999995E-2</v>
      </c>
      <c r="Q2538">
        <v>0.1100821</v>
      </c>
      <c r="R2538">
        <v>-0.99034520000000004</v>
      </c>
      <c r="S2538">
        <v>0.99716190000000005</v>
      </c>
      <c r="T2538">
        <v>-0.2215762</v>
      </c>
      <c r="U2538">
        <v>-2.9682309999999998</v>
      </c>
      <c r="V2538">
        <v>-1.909696E-2</v>
      </c>
      <c r="W2538">
        <v>0.12150030000000001</v>
      </c>
      <c r="X2538">
        <v>0.9924077</v>
      </c>
      <c r="Y2538">
        <v>-0.25557180000000002</v>
      </c>
      <c r="Z2538">
        <v>7.1033460000000007E-2</v>
      </c>
      <c r="AA2538">
        <v>0.96417699999999995</v>
      </c>
      <c r="AB2538">
        <v>32</v>
      </c>
      <c r="AC2538">
        <v>4.9373999999999603</v>
      </c>
      <c r="AD2538">
        <v>-1.1012480348710001</v>
      </c>
      <c r="AE2538">
        <v>-14.43075</v>
      </c>
      <c r="AF2538">
        <v>-3.9714516927511201</v>
      </c>
      <c r="AG2538">
        <v>-1.1012480348710001</v>
      </c>
      <c r="AH2538">
        <v>14.643953621104201</v>
      </c>
      <c r="AI2538">
        <v>94.151236369744097</v>
      </c>
      <c r="AJ2538">
        <v>105.173680820051</v>
      </c>
      <c r="AK2538">
        <v>15.2128417279354</v>
      </c>
      <c r="AL2538">
        <v>83.021303145981904</v>
      </c>
      <c r="AM2538">
        <v>91.102410011068201</v>
      </c>
      <c r="AN2538">
        <v>1.00000002990031</v>
      </c>
    </row>
    <row r="2539" spans="1:40" x14ac:dyDescent="0.3">
      <c r="A2539" t="str">
        <f>"20200111150406288"</f>
        <v>20200111150406288</v>
      </c>
      <c r="B2539" t="str">
        <f>"1578726246280992"</f>
        <v>1578726246280992</v>
      </c>
      <c r="C2539" t="s">
        <v>40</v>
      </c>
      <c r="D2539">
        <v>5.331099</v>
      </c>
      <c r="E2539">
        <v>0.40554109999999999</v>
      </c>
      <c r="F2539" t="s">
        <v>41</v>
      </c>
      <c r="G2539">
        <v>-296.37920000000003</v>
      </c>
      <c r="H2539" s="1">
        <v>-2.8158280000000001E-6</v>
      </c>
      <c r="I2539">
        <v>-35.300579999999997</v>
      </c>
      <c r="J2539">
        <v>-301.40980000000002</v>
      </c>
      <c r="K2539">
        <v>1.1012189999999999</v>
      </c>
      <c r="L2539">
        <v>-20.644780000000001</v>
      </c>
      <c r="M2539">
        <v>6.1421169999999997E-2</v>
      </c>
      <c r="N2539">
        <v>0</v>
      </c>
      <c r="O2539">
        <v>-0.99804720000000002</v>
      </c>
      <c r="P2539">
        <v>8.3257079999999997E-2</v>
      </c>
      <c r="Q2539">
        <v>0.1130227</v>
      </c>
      <c r="R2539">
        <v>-0.99009820000000004</v>
      </c>
      <c r="S2539">
        <v>0.99996949999999996</v>
      </c>
      <c r="T2539">
        <v>-0.21811340000000001</v>
      </c>
      <c r="U2539">
        <v>-2.9684140000000001</v>
      </c>
      <c r="V2539">
        <v>-2.1436150000000001E-2</v>
      </c>
      <c r="W2539">
        <v>0.124455</v>
      </c>
      <c r="X2539">
        <v>0.99199369999999998</v>
      </c>
      <c r="Y2539">
        <v>-0.25964900000000002</v>
      </c>
      <c r="Z2539">
        <v>6.9898489999999994E-2</v>
      </c>
      <c r="AA2539">
        <v>0.96317010000000003</v>
      </c>
      <c r="AB2539">
        <v>32</v>
      </c>
      <c r="AC2539">
        <v>5.03059999999999</v>
      </c>
      <c r="AD2539">
        <v>-1.1012218158280001</v>
      </c>
      <c r="AE2539">
        <v>-14.655799999999999</v>
      </c>
      <c r="AF2539">
        <v>-4.1001571371796501</v>
      </c>
      <c r="AG2539">
        <v>-1.1012218158280001</v>
      </c>
      <c r="AH2539">
        <v>14.862065623367</v>
      </c>
      <c r="AI2539">
        <v>94.085572723905599</v>
      </c>
      <c r="AJ2539">
        <v>105.423153552567</v>
      </c>
      <c r="AK2539">
        <v>15.4565511234068</v>
      </c>
      <c r="AL2539">
        <v>82.850716384869799</v>
      </c>
      <c r="AM2539">
        <v>91.237920972397802</v>
      </c>
      <c r="AN2539">
        <v>1.00000002819575</v>
      </c>
    </row>
    <row r="2540" spans="1:40" x14ac:dyDescent="0.3">
      <c r="A2540" t="str">
        <f>"20200111150406310"</f>
        <v>20200111150406310</v>
      </c>
      <c r="B2540" t="str">
        <f>"1578726246301488"</f>
        <v>1578726246301488</v>
      </c>
      <c r="C2540" t="s">
        <v>40</v>
      </c>
      <c r="D2540">
        <v>5.3473649999999999</v>
      </c>
      <c r="E2540">
        <v>0.4050589</v>
      </c>
      <c r="F2540" t="s">
        <v>41</v>
      </c>
      <c r="G2540">
        <v>-296.14109999999999</v>
      </c>
      <c r="H2540" s="1">
        <v>-2.4349889999999999E-6</v>
      </c>
      <c r="I2540">
        <v>-36.286799999999999</v>
      </c>
      <c r="J2540">
        <v>-301.39350000000002</v>
      </c>
      <c r="K2540">
        <v>1.1011869999999999</v>
      </c>
      <c r="L2540">
        <v>-20.96228</v>
      </c>
      <c r="M2540">
        <v>5.818305E-2</v>
      </c>
      <c r="N2540">
        <v>0</v>
      </c>
      <c r="O2540">
        <v>-0.99824120000000005</v>
      </c>
      <c r="P2540">
        <v>8.3604100000000001E-2</v>
      </c>
      <c r="Q2540">
        <v>0.115952399999999</v>
      </c>
      <c r="R2540">
        <v>-0.98973029999999995</v>
      </c>
      <c r="S2540">
        <v>1.000305</v>
      </c>
      <c r="T2540">
        <v>-0.20907519999999999</v>
      </c>
      <c r="U2540">
        <v>-2.969757</v>
      </c>
      <c r="V2540">
        <v>-2.4994539999999999E-2</v>
      </c>
      <c r="W2540">
        <v>0.1274083</v>
      </c>
      <c r="X2540">
        <v>0.99153539999999996</v>
      </c>
      <c r="Y2540">
        <v>-0.26280979999999998</v>
      </c>
      <c r="Z2540">
        <v>6.6976540000000001E-2</v>
      </c>
      <c r="AA2540">
        <v>0.96252020000000005</v>
      </c>
      <c r="AB2540">
        <v>32</v>
      </c>
      <c r="AC2540">
        <v>5.2524000000000202</v>
      </c>
      <c r="AD2540">
        <v>-1.1011894349889999</v>
      </c>
      <c r="AE2540">
        <v>-15.32452</v>
      </c>
      <c r="AF2540">
        <v>-4.3317998048303297</v>
      </c>
      <c r="AG2540">
        <v>-1.1011894349889999</v>
      </c>
      <c r="AH2540">
        <v>15.5324048286276</v>
      </c>
      <c r="AI2540">
        <v>93.906676575450703</v>
      </c>
      <c r="AJ2540">
        <v>105.583143277132</v>
      </c>
      <c r="AK2540">
        <v>16.1626949325053</v>
      </c>
      <c r="AL2540">
        <v>82.680146761973404</v>
      </c>
      <c r="AM2540">
        <v>91.444001328615599</v>
      </c>
      <c r="AN2540">
        <v>1.0000000256959301</v>
      </c>
    </row>
    <row r="2541" spans="1:40" x14ac:dyDescent="0.3">
      <c r="A2541" t="str">
        <f>"20200111150406332"</f>
        <v>20200111150406332</v>
      </c>
      <c r="B2541" t="str">
        <f>"1578726246321008"</f>
        <v>1578726246321008</v>
      </c>
      <c r="C2541" t="s">
        <v>40</v>
      </c>
      <c r="D2541">
        <v>5.324973</v>
      </c>
      <c r="E2541">
        <v>0.4046516</v>
      </c>
      <c r="F2541" t="s">
        <v>41</v>
      </c>
      <c r="G2541">
        <v>-295.85719999999998</v>
      </c>
      <c r="H2541" s="1">
        <v>-2.1333130000000001E-6</v>
      </c>
      <c r="I2541">
        <v>-37.322220000000002</v>
      </c>
      <c r="J2541">
        <v>-301.37810000000002</v>
      </c>
      <c r="K2541">
        <v>1.101153</v>
      </c>
      <c r="L2541">
        <v>-21.283999999999999</v>
      </c>
      <c r="M2541">
        <v>5.4861E-2</v>
      </c>
      <c r="N2541">
        <v>0</v>
      </c>
      <c r="O2541">
        <v>-0.99842929999999996</v>
      </c>
      <c r="P2541">
        <v>8.3670140000000004E-2</v>
      </c>
      <c r="Q2541">
        <v>0.1168294</v>
      </c>
      <c r="R2541">
        <v>-0.98962150000000004</v>
      </c>
      <c r="S2541">
        <v>1.0049440000000001</v>
      </c>
      <c r="T2541">
        <v>-0.1998886</v>
      </c>
      <c r="U2541">
        <v>-2.9696660000000001</v>
      </c>
      <c r="V2541">
        <v>-2.8349360000000001E-2</v>
      </c>
      <c r="W2541">
        <v>0.1283125</v>
      </c>
      <c r="X2541">
        <v>0.99132849999999995</v>
      </c>
      <c r="Y2541">
        <v>-0.267437799999999</v>
      </c>
      <c r="Z2541">
        <v>6.400952E-2</v>
      </c>
      <c r="AA2541">
        <v>0.96144669999999999</v>
      </c>
      <c r="AB2541">
        <v>32</v>
      </c>
      <c r="AC2541">
        <v>5.5209000000000401</v>
      </c>
      <c r="AD2541">
        <v>-1.1011551333130001</v>
      </c>
      <c r="AE2541">
        <v>-16.038219999999999</v>
      </c>
      <c r="AF2541">
        <v>-4.6132122695029096</v>
      </c>
      <c r="AG2541">
        <v>-1.1011551333130001</v>
      </c>
      <c r="AH2541">
        <v>16.248485163163799</v>
      </c>
      <c r="AI2541">
        <v>93.730009361153606</v>
      </c>
      <c r="AJ2541">
        <v>105.850116704537</v>
      </c>
      <c r="AK2541">
        <v>16.926533613491799</v>
      </c>
      <c r="AL2541">
        <v>82.627910907926207</v>
      </c>
      <c r="AM2541">
        <v>91.638060550976903</v>
      </c>
      <c r="AN2541">
        <v>0.99999998939045398</v>
      </c>
    </row>
    <row r="2542" spans="1:40" x14ac:dyDescent="0.3">
      <c r="A2542" t="str">
        <f>"20200111150406355"</f>
        <v>20200111150406355</v>
      </c>
      <c r="B2542" t="str">
        <f>"1578726246351264"</f>
        <v>1578726246351264</v>
      </c>
      <c r="C2542" t="s">
        <v>40</v>
      </c>
      <c r="D2542">
        <v>5.3679180000000004</v>
      </c>
      <c r="E2542">
        <v>0.40394400000000003</v>
      </c>
      <c r="F2542" t="s">
        <v>41</v>
      </c>
      <c r="G2542">
        <v>-295.77069999999998</v>
      </c>
      <c r="H2542" s="1">
        <v>-1.9883059999999998E-6</v>
      </c>
      <c r="I2542">
        <v>-37.816000000000003</v>
      </c>
      <c r="J2542">
        <v>-301.36380000000003</v>
      </c>
      <c r="K2542">
        <v>1.101119</v>
      </c>
      <c r="L2542">
        <v>-21.60464</v>
      </c>
      <c r="M2542">
        <v>5.1510010000000002E-2</v>
      </c>
      <c r="N2542">
        <v>0</v>
      </c>
      <c r="O2542">
        <v>-0.99860780000000005</v>
      </c>
      <c r="P2542">
        <v>8.3451079999999997E-2</v>
      </c>
      <c r="Q2542">
        <v>0.1179369</v>
      </c>
      <c r="R2542">
        <v>-0.98950830000000001</v>
      </c>
      <c r="S2542">
        <v>1.007263</v>
      </c>
      <c r="T2542">
        <v>-0.1978019</v>
      </c>
      <c r="U2542">
        <v>-2.9696660000000001</v>
      </c>
      <c r="V2542">
        <v>-3.1444050000000001E-2</v>
      </c>
      <c r="W2542">
        <v>0.12944639999999999</v>
      </c>
      <c r="X2542">
        <v>0.99108770000000002</v>
      </c>
      <c r="Y2542">
        <v>-0.2713565</v>
      </c>
      <c r="Z2542">
        <v>6.3318180000000002E-2</v>
      </c>
      <c r="AA2542">
        <v>0.96039390000000002</v>
      </c>
      <c r="AB2542">
        <v>32</v>
      </c>
      <c r="AC2542">
        <v>5.5931000000000397</v>
      </c>
      <c r="AD2542">
        <v>-1.101120988306</v>
      </c>
      <c r="AE2542">
        <v>-16.211359999999999</v>
      </c>
      <c r="AF2542">
        <v>-4.7310677487485204</v>
      </c>
      <c r="AG2542">
        <v>-1.101120988306</v>
      </c>
      <c r="AH2542">
        <v>16.410299750218702</v>
      </c>
      <c r="AI2542">
        <v>93.688951678777997</v>
      </c>
      <c r="AJ2542">
        <v>106.082201645038</v>
      </c>
      <c r="AK2542">
        <v>17.114128881312201</v>
      </c>
      <c r="AL2542">
        <v>82.562396658941594</v>
      </c>
      <c r="AM2542">
        <v>91.817202681180902</v>
      </c>
      <c r="AN2542">
        <v>0.99999996392232504</v>
      </c>
    </row>
    <row r="2543" spans="1:40" x14ac:dyDescent="0.3">
      <c r="A2543" t="str">
        <f>"20200111150406377"</f>
        <v>20200111150406377</v>
      </c>
      <c r="B2543" t="str">
        <f>"1578726246370783"</f>
        <v>1578726246370783</v>
      </c>
      <c r="C2543" t="s">
        <v>40</v>
      </c>
      <c r="D2543">
        <v>5.3750349999999996</v>
      </c>
      <c r="E2543">
        <v>0.40350530000000001</v>
      </c>
      <c r="F2543" t="s">
        <v>41</v>
      </c>
      <c r="G2543">
        <v>-295.59179999999998</v>
      </c>
      <c r="H2543" s="1">
        <v>-1.792409E-6</v>
      </c>
      <c r="I2543">
        <v>-38.531529999999997</v>
      </c>
      <c r="J2543">
        <v>-301.34989999999999</v>
      </c>
      <c r="K2543">
        <v>1.1010759999999999</v>
      </c>
      <c r="L2543">
        <v>-21.945309999999999</v>
      </c>
      <c r="M2543">
        <v>4.7887600000000002E-2</v>
      </c>
      <c r="N2543">
        <v>0</v>
      </c>
      <c r="O2543">
        <v>-0.99878800000000001</v>
      </c>
      <c r="P2543">
        <v>8.173946E-2</v>
      </c>
      <c r="Q2543">
        <v>0.11962879999999999</v>
      </c>
      <c r="R2543">
        <v>-0.9894482</v>
      </c>
      <c r="S2543">
        <v>1.0125729999999999</v>
      </c>
      <c r="T2543">
        <v>-0.19316549999999999</v>
      </c>
      <c r="U2543">
        <v>-2.9694210000000001</v>
      </c>
      <c r="V2543">
        <v>-3.3306000000000002E-2</v>
      </c>
      <c r="W2543">
        <v>0.13115679999999999</v>
      </c>
      <c r="X2543">
        <v>0.99080199999999996</v>
      </c>
      <c r="Y2543">
        <v>-0.27643719999999999</v>
      </c>
      <c r="Z2543">
        <v>6.1798810000000003E-2</v>
      </c>
      <c r="AA2543">
        <v>0.95904299999999998</v>
      </c>
      <c r="AB2543">
        <v>32</v>
      </c>
      <c r="AC2543">
        <v>5.7581000000000104</v>
      </c>
      <c r="AD2543">
        <v>-1.1010777924089901</v>
      </c>
      <c r="AE2543">
        <v>-16.586219999999901</v>
      </c>
      <c r="AF2543">
        <v>-4.9377473949859301</v>
      </c>
      <c r="AG2543">
        <v>-1.1010777924089901</v>
      </c>
      <c r="AH2543">
        <v>16.776964731196401</v>
      </c>
      <c r="AI2543">
        <v>93.602591563804197</v>
      </c>
      <c r="AJ2543">
        <v>106.400057055449</v>
      </c>
      <c r="AK2543">
        <v>17.523135199884599</v>
      </c>
      <c r="AL2543">
        <v>82.463555529192206</v>
      </c>
      <c r="AM2543">
        <v>91.925283700396704</v>
      </c>
      <c r="AN2543">
        <v>0.99999999951311902</v>
      </c>
    </row>
    <row r="2544" spans="1:40" x14ac:dyDescent="0.3">
      <c r="A2544" t="str">
        <f>"20200111150406400"</f>
        <v>20200111150406400</v>
      </c>
      <c r="B2544" t="str">
        <f>"1578726246391280"</f>
        <v>1578726246391280</v>
      </c>
      <c r="C2544" t="s">
        <v>40</v>
      </c>
      <c r="D2544">
        <v>5.310505</v>
      </c>
      <c r="E2544">
        <v>0.4032539</v>
      </c>
      <c r="F2544" t="s">
        <v>41</v>
      </c>
      <c r="G2544">
        <v>-295.3877</v>
      </c>
      <c r="H2544" s="1">
        <v>-1.5324119999999901E-6</v>
      </c>
      <c r="I2544">
        <v>-39.455129999999997</v>
      </c>
      <c r="J2544">
        <v>-301.3381</v>
      </c>
      <c r="K2544">
        <v>1.1010249999999999</v>
      </c>
      <c r="L2544">
        <v>-22.264250000000001</v>
      </c>
      <c r="M2544">
        <v>4.442405E-2</v>
      </c>
      <c r="N2544">
        <v>0</v>
      </c>
      <c r="O2544">
        <v>-0.99894810000000001</v>
      </c>
      <c r="P2544">
        <v>7.9895910000000001E-2</v>
      </c>
      <c r="Q2544">
        <v>0.12173050000000001</v>
      </c>
      <c r="R2544">
        <v>-0.98934250000000001</v>
      </c>
      <c r="S2544">
        <v>1.0116579999999999</v>
      </c>
      <c r="T2544">
        <v>-0.1868272</v>
      </c>
      <c r="U2544">
        <v>-2.9710079999999999</v>
      </c>
      <c r="V2544">
        <v>-3.4874469999999998E-2</v>
      </c>
      <c r="W2544">
        <v>0.13327530000000001</v>
      </c>
      <c r="X2544">
        <v>0.99046529999999999</v>
      </c>
      <c r="Y2544">
        <v>-0.27938679999999999</v>
      </c>
      <c r="Z2544">
        <v>5.973995E-2</v>
      </c>
      <c r="AA2544">
        <v>0.95831840000000001</v>
      </c>
      <c r="AB2544">
        <v>32</v>
      </c>
      <c r="AC2544">
        <v>5.9504000000000001</v>
      </c>
      <c r="AD2544">
        <v>-1.1010265324120001</v>
      </c>
      <c r="AE2544">
        <v>-17.1908799999999</v>
      </c>
      <c r="AF2544">
        <v>-5.1618782107776902</v>
      </c>
      <c r="AG2544">
        <v>-1.1010265324120001</v>
      </c>
      <c r="AH2544">
        <v>17.3746184739169</v>
      </c>
      <c r="AI2544">
        <v>93.476198909340198</v>
      </c>
      <c r="AJ2544">
        <v>106.54631804741</v>
      </c>
      <c r="AK2544">
        <v>18.1585961242093</v>
      </c>
      <c r="AL2544">
        <v>82.341099519641602</v>
      </c>
      <c r="AM2544">
        <v>92.016562127854002</v>
      </c>
      <c r="AN2544">
        <v>1.00000002237598</v>
      </c>
    </row>
    <row r="2545" spans="1:40" x14ac:dyDescent="0.3">
      <c r="A2545" t="str">
        <f>"20200111150406421"</f>
        <v>20200111150406421</v>
      </c>
      <c r="B2545" t="str">
        <f>"1578726246410800"</f>
        <v>1578726246410800</v>
      </c>
      <c r="C2545" t="s">
        <v>40</v>
      </c>
      <c r="D2545">
        <v>5.3514339999999896</v>
      </c>
      <c r="E2545">
        <v>0.40293509999999999</v>
      </c>
      <c r="F2545" t="s">
        <v>72</v>
      </c>
      <c r="G2545">
        <v>-295.16210000000001</v>
      </c>
      <c r="H2545" s="1">
        <v>-1.319914E-6</v>
      </c>
      <c r="I2545">
        <v>-40.455240000000003</v>
      </c>
      <c r="J2545">
        <v>-301.32749999999999</v>
      </c>
      <c r="K2545">
        <v>1.100957</v>
      </c>
      <c r="L2545">
        <v>-22.582609999999999</v>
      </c>
      <c r="M2545">
        <v>4.0891280000000002E-2</v>
      </c>
      <c r="N2545">
        <v>0</v>
      </c>
      <c r="O2545">
        <v>-0.99909870000000001</v>
      </c>
      <c r="P2545">
        <v>7.8023579999999995E-2</v>
      </c>
      <c r="Q2545">
        <v>0.12167</v>
      </c>
      <c r="R2545">
        <v>-0.98949920000000002</v>
      </c>
      <c r="S2545">
        <v>1.0093379999999901</v>
      </c>
      <c r="T2545">
        <v>-0.179941299999999</v>
      </c>
      <c r="U2545">
        <v>-2.9729610000000002</v>
      </c>
      <c r="V2545">
        <v>-3.6485129999999998E-2</v>
      </c>
      <c r="W2545">
        <v>0.13323699999999999</v>
      </c>
      <c r="X2545">
        <v>0.99041239999999997</v>
      </c>
      <c r="Y2545">
        <v>-0.2819603</v>
      </c>
      <c r="Z2545">
        <v>5.750827E-2</v>
      </c>
      <c r="AA2545">
        <v>0.95770100000000002</v>
      </c>
      <c r="AB2545">
        <v>32</v>
      </c>
      <c r="AC2545">
        <v>6.1653999999999698</v>
      </c>
      <c r="AD2545">
        <v>-1.1009583199140001</v>
      </c>
      <c r="AE2545">
        <v>-17.872630000000001</v>
      </c>
      <c r="AF2545">
        <v>-5.4110114483659997</v>
      </c>
      <c r="AG2545">
        <v>-1.1009583199140001</v>
      </c>
      <c r="AH2545">
        <v>18.048603059758399</v>
      </c>
      <c r="AI2545">
        <v>93.344004010889904</v>
      </c>
      <c r="AJ2545">
        <v>106.688847908716</v>
      </c>
      <c r="AK2545">
        <v>18.874406653594601</v>
      </c>
      <c r="AL2545">
        <v>82.343313464478896</v>
      </c>
      <c r="AM2545">
        <v>92.109726324690996</v>
      </c>
      <c r="AN2545">
        <v>0.99999999247693805</v>
      </c>
    </row>
    <row r="2546" spans="1:40" x14ac:dyDescent="0.3">
      <c r="A2546" t="str">
        <f>"20200111150406444"</f>
        <v>20200111150406444</v>
      </c>
      <c r="B2546" t="str">
        <f>"1578726246441374"</f>
        <v>1578726246441374</v>
      </c>
      <c r="C2546" t="s">
        <v>40</v>
      </c>
      <c r="D2546">
        <v>5.3573219999999999</v>
      </c>
      <c r="E2546">
        <v>0.40244469999999999</v>
      </c>
      <c r="F2546" t="s">
        <v>72</v>
      </c>
      <c r="G2546">
        <v>-295.1986</v>
      </c>
      <c r="H2546" s="1">
        <v>-1.4728699999999999E-6</v>
      </c>
      <c r="I2546">
        <v>-40.711129999999997</v>
      </c>
      <c r="J2546">
        <v>-301.31790000000001</v>
      </c>
      <c r="K2546">
        <v>1.1008869999999999</v>
      </c>
      <c r="L2546">
        <v>-22.9057</v>
      </c>
      <c r="M2546">
        <v>3.7232750000000002E-2</v>
      </c>
      <c r="N2546">
        <v>0</v>
      </c>
      <c r="O2546">
        <v>-0.99924179999999996</v>
      </c>
      <c r="P2546">
        <v>7.5353690000000001E-2</v>
      </c>
      <c r="Q2546">
        <v>0.1208185</v>
      </c>
      <c r="R2546">
        <v>-0.98981070000000004</v>
      </c>
      <c r="S2546">
        <v>1.0057069999999999</v>
      </c>
      <c r="T2546">
        <v>-0.1806595</v>
      </c>
      <c r="U2546">
        <v>-2.9747620000000001</v>
      </c>
      <c r="V2546">
        <v>-3.7422530000000002E-2</v>
      </c>
      <c r="W2546">
        <v>0.1324043</v>
      </c>
      <c r="X2546">
        <v>0.99048910000000001</v>
      </c>
      <c r="Y2546">
        <v>-0.28424290000000002</v>
      </c>
      <c r="Z2546">
        <v>5.7707679999999997E-2</v>
      </c>
      <c r="AA2546">
        <v>0.95701400000000003</v>
      </c>
      <c r="AB2546">
        <v>32</v>
      </c>
      <c r="AC2546">
        <v>6.1193000000000097</v>
      </c>
      <c r="AD2546">
        <v>-1.1008884728699999</v>
      </c>
      <c r="AE2546">
        <v>-17.805429999999902</v>
      </c>
      <c r="AF2546">
        <v>-5.4334914136994801</v>
      </c>
      <c r="AG2546">
        <v>-1.1008884728699999</v>
      </c>
      <c r="AH2546">
        <v>17.959532418242802</v>
      </c>
      <c r="AI2546">
        <v>93.357803754832304</v>
      </c>
      <c r="AJ2546">
        <v>106.832707965206</v>
      </c>
      <c r="AK2546">
        <v>18.795733267269899</v>
      </c>
      <c r="AL2546">
        <v>82.391450212499805</v>
      </c>
      <c r="AM2546">
        <v>92.163712516192703</v>
      </c>
      <c r="AN2546">
        <v>1.0000000008144501</v>
      </c>
    </row>
    <row r="2547" spans="1:40" x14ac:dyDescent="0.3">
      <c r="A2547" t="str">
        <f>"20200111150406467"</f>
        <v>20200111150406467</v>
      </c>
      <c r="B2547" t="str">
        <f>"1578726246460893"</f>
        <v>1578726246460893</v>
      </c>
      <c r="C2547" t="s">
        <v>40</v>
      </c>
      <c r="D2547">
        <v>5.3517260000000002</v>
      </c>
      <c r="E2547">
        <v>0.40210099999999999</v>
      </c>
      <c r="F2547" t="s">
        <v>72</v>
      </c>
      <c r="G2547">
        <v>-295.34500000000003</v>
      </c>
      <c r="H2547" s="1">
        <v>-1.4065950000000001E-6</v>
      </c>
      <c r="I2547">
        <v>-40.66816</v>
      </c>
      <c r="J2547">
        <v>-301.3091</v>
      </c>
      <c r="K2547">
        <v>1.100819</v>
      </c>
      <c r="L2547">
        <v>-23.2439</v>
      </c>
      <c r="M2547">
        <v>3.3337279999999997E-2</v>
      </c>
      <c r="N2547">
        <v>0</v>
      </c>
      <c r="O2547">
        <v>-0.99937929999999997</v>
      </c>
      <c r="P2547">
        <v>7.1751060000000005E-2</v>
      </c>
      <c r="Q2547">
        <v>0.11993860000000001</v>
      </c>
      <c r="R2547">
        <v>-0.99018539999999999</v>
      </c>
      <c r="S2547">
        <v>1.0011289999999999</v>
      </c>
      <c r="T2547">
        <v>-0.1845222</v>
      </c>
      <c r="U2547">
        <v>-2.9772029999999998</v>
      </c>
      <c r="V2547">
        <v>-3.7662590000000003E-2</v>
      </c>
      <c r="W2547">
        <v>0.13153790000000001</v>
      </c>
      <c r="X2547">
        <v>0.99059549999999996</v>
      </c>
      <c r="Y2547">
        <v>-0.28639720000000002</v>
      </c>
      <c r="Z2547">
        <v>5.8898550000000001E-2</v>
      </c>
      <c r="AA2547">
        <v>0.95629889999999995</v>
      </c>
      <c r="AB2547">
        <v>32</v>
      </c>
      <c r="AC2547">
        <v>5.96409999999997</v>
      </c>
      <c r="AD2547">
        <v>-1.100820406595</v>
      </c>
      <c r="AE2547">
        <v>-17.42426</v>
      </c>
      <c r="AF2547">
        <v>-5.3607166167044902</v>
      </c>
      <c r="AG2547">
        <v>-1.100820406595</v>
      </c>
      <c r="AH2547">
        <v>17.550708207793299</v>
      </c>
      <c r="AI2547">
        <v>93.432857321007404</v>
      </c>
      <c r="AJ2547">
        <v>106.984852125053</v>
      </c>
      <c r="AK2547">
        <v>18.3841357372951</v>
      </c>
      <c r="AL2547">
        <v>82.441529795796299</v>
      </c>
      <c r="AM2547">
        <v>92.177345423809399</v>
      </c>
      <c r="AN2547">
        <v>1.00000006722108</v>
      </c>
    </row>
    <row r="2548" spans="1:40" x14ac:dyDescent="0.3">
      <c r="A2548" t="str">
        <f>"20200111150406490"</f>
        <v>20200111150406490</v>
      </c>
      <c r="B2548" t="str">
        <f>"1578726246481389"</f>
        <v>1578726246481389</v>
      </c>
      <c r="C2548" t="s">
        <v>40</v>
      </c>
      <c r="D2548">
        <v>5.3799619999999999</v>
      </c>
      <c r="E2548">
        <v>0.40179989999999999</v>
      </c>
      <c r="F2548" t="s">
        <v>72</v>
      </c>
      <c r="G2548">
        <v>-295.49220000000003</v>
      </c>
      <c r="H2548" s="1">
        <v>-1.392584E-6</v>
      </c>
      <c r="I2548">
        <v>-40.70776</v>
      </c>
      <c r="J2548">
        <v>-301.3021</v>
      </c>
      <c r="K2548">
        <v>1.1007579999999999</v>
      </c>
      <c r="L2548">
        <v>-23.566099999999999</v>
      </c>
      <c r="M2548">
        <v>2.9576140000000001E-2</v>
      </c>
      <c r="N2548">
        <v>0</v>
      </c>
      <c r="O2548">
        <v>-0.99949770000000004</v>
      </c>
      <c r="P2548">
        <v>6.8450140000000007E-2</v>
      </c>
      <c r="Q2548">
        <v>0.1187312</v>
      </c>
      <c r="R2548">
        <v>-0.99056429999999995</v>
      </c>
      <c r="S2548">
        <v>0.99276730000000002</v>
      </c>
      <c r="T2548">
        <v>-0.18787719999999999</v>
      </c>
      <c r="U2548">
        <v>-2.9805600000000001</v>
      </c>
      <c r="V2548">
        <v>-3.8079109999999999E-2</v>
      </c>
      <c r="W2548">
        <v>0.13034419999999999</v>
      </c>
      <c r="X2548">
        <v>0.99073730000000004</v>
      </c>
      <c r="Y2548">
        <v>-0.28724440000000001</v>
      </c>
      <c r="Z2548">
        <v>5.9930589999999999E-2</v>
      </c>
      <c r="AA2548">
        <v>0.95598070000000002</v>
      </c>
      <c r="AB2548">
        <v>32</v>
      </c>
      <c r="AC2548">
        <v>5.8098999999999696</v>
      </c>
      <c r="AD2548">
        <v>-1.10075939258399</v>
      </c>
      <c r="AE2548">
        <v>-17.141660000000002</v>
      </c>
      <c r="AF2548">
        <v>-5.2808087549393203</v>
      </c>
      <c r="AG2548">
        <v>-1.10075939258399</v>
      </c>
      <c r="AH2548">
        <v>17.242231320244901</v>
      </c>
      <c r="AI2548">
        <v>93.493120636846299</v>
      </c>
      <c r="AJ2548">
        <v>107.02834785367</v>
      </c>
      <c r="AK2548">
        <v>18.0663541769622</v>
      </c>
      <c r="AL2548">
        <v>82.510517337165695</v>
      </c>
      <c r="AM2548">
        <v>92.201086902160597</v>
      </c>
      <c r="AN2548">
        <v>1.00000001335166</v>
      </c>
    </row>
    <row r="2549" spans="1:40" x14ac:dyDescent="0.3">
      <c r="A2549" t="str">
        <f>"20200111150406511"</f>
        <v>20200111150406511</v>
      </c>
      <c r="B2549" t="str">
        <f>"1578726246501417"</f>
        <v>1578726246501417</v>
      </c>
      <c r="C2549" t="s">
        <v>40</v>
      </c>
      <c r="D2549">
        <v>5.355124</v>
      </c>
      <c r="E2549">
        <v>0.4015185</v>
      </c>
      <c r="F2549" t="s">
        <v>72</v>
      </c>
      <c r="G2549">
        <v>-295.66989999999998</v>
      </c>
      <c r="H2549" s="1">
        <v>-1.302122E-6</v>
      </c>
      <c r="I2549">
        <v>-40.639809999999997</v>
      </c>
      <c r="J2549">
        <v>-301.29640000000001</v>
      </c>
      <c r="K2549">
        <v>1.1007209999999901</v>
      </c>
      <c r="L2549">
        <v>-23.888120000000001</v>
      </c>
      <c r="M2549">
        <v>2.5781180000000001E-2</v>
      </c>
      <c r="N2549">
        <v>0</v>
      </c>
      <c r="O2549">
        <v>-0.99960260000000001</v>
      </c>
      <c r="P2549">
        <v>6.5713090000000002E-2</v>
      </c>
      <c r="Q2549">
        <v>0.1186627</v>
      </c>
      <c r="R2549">
        <v>-0.99075789999999997</v>
      </c>
      <c r="S2549">
        <v>0.98422240000000005</v>
      </c>
      <c r="T2549">
        <v>-0.19235650000000001</v>
      </c>
      <c r="U2549">
        <v>-2.9836119999999999</v>
      </c>
      <c r="V2549">
        <v>-3.9094129999999998E-2</v>
      </c>
      <c r="W2549">
        <v>0.1302903</v>
      </c>
      <c r="X2549">
        <v>0.99070480000000005</v>
      </c>
      <c r="Y2549">
        <v>-0.2880934</v>
      </c>
      <c r="Z2549">
        <v>6.1323200000000001E-2</v>
      </c>
      <c r="AA2549">
        <v>0.95563679999999995</v>
      </c>
      <c r="AB2549">
        <v>33</v>
      </c>
      <c r="AC2549">
        <v>5.6265000000000196</v>
      </c>
      <c r="AD2549">
        <v>-1.1007223021219901</v>
      </c>
      <c r="AE2549">
        <v>-16.7516899999999</v>
      </c>
      <c r="AF2549">
        <v>-5.1726539875201603</v>
      </c>
      <c r="AG2549">
        <v>-1.1007223021219901</v>
      </c>
      <c r="AH2549">
        <v>16.825906259434301</v>
      </c>
      <c r="AI2549">
        <v>93.578057598218294</v>
      </c>
      <c r="AJ2549">
        <v>107.088580589213</v>
      </c>
      <c r="AK2549">
        <v>17.637433495615799</v>
      </c>
      <c r="AL2549">
        <v>82.513631717391803</v>
      </c>
      <c r="AM2549">
        <v>92.259772125650301</v>
      </c>
      <c r="AN2549">
        <v>0.99999995700879196</v>
      </c>
    </row>
    <row r="2550" spans="1:40" x14ac:dyDescent="0.3">
      <c r="A2550" t="str">
        <f>"20200111150406533"</f>
        <v>20200111150406533</v>
      </c>
      <c r="B2550" t="str">
        <f>"1578726246530696"</f>
        <v>1578726246530696</v>
      </c>
      <c r="C2550" t="s">
        <v>40</v>
      </c>
      <c r="D2550">
        <v>5.2049120000000002</v>
      </c>
      <c r="E2550">
        <v>0.40123150000000002</v>
      </c>
      <c r="F2550" t="s">
        <v>72</v>
      </c>
      <c r="G2550">
        <v>-295.75729999999999</v>
      </c>
      <c r="H2550" s="1">
        <v>-1.390644E-6</v>
      </c>
      <c r="I2550">
        <v>-40.815649999999998</v>
      </c>
      <c r="J2550">
        <v>-301.2919</v>
      </c>
      <c r="K2550">
        <v>1.1006990000000001</v>
      </c>
      <c r="L2550">
        <v>-24.216740000000001</v>
      </c>
      <c r="M2550">
        <v>2.1889019999999999E-2</v>
      </c>
      <c r="N2550">
        <v>0</v>
      </c>
      <c r="O2550">
        <v>-0.99969540000000001</v>
      </c>
      <c r="P2550">
        <v>6.2905630000000004E-2</v>
      </c>
      <c r="Q2550">
        <v>0.1191914</v>
      </c>
      <c r="R2550">
        <v>-0.9908766</v>
      </c>
      <c r="S2550">
        <v>0.97723389999999999</v>
      </c>
      <c r="T2550">
        <v>-0.19419359999999999</v>
      </c>
      <c r="U2550">
        <v>-2.9864199999999999</v>
      </c>
      <c r="V2550">
        <v>-4.0135230000000001E-2</v>
      </c>
      <c r="W2550">
        <v>0.13083210000000001</v>
      </c>
      <c r="X2550">
        <v>0.99059180000000002</v>
      </c>
      <c r="Y2550">
        <v>-0.28952440000000002</v>
      </c>
      <c r="Z2550">
        <v>6.1868479999999997E-2</v>
      </c>
      <c r="AA2550">
        <v>0.95516900000000005</v>
      </c>
      <c r="AB2550">
        <v>33</v>
      </c>
      <c r="AC2550">
        <v>5.53460000000001</v>
      </c>
      <c r="AD2550">
        <v>-1.1007003906439901</v>
      </c>
      <c r="AE2550">
        <v>-16.59891</v>
      </c>
      <c r="AF2550">
        <v>-5.1495381578974797</v>
      </c>
      <c r="AG2550">
        <v>-1.1007003906439901</v>
      </c>
      <c r="AH2550">
        <v>16.650197959513999</v>
      </c>
      <c r="AI2550">
        <v>93.613761200508094</v>
      </c>
      <c r="AJ2550">
        <v>107.185682265976</v>
      </c>
      <c r="AK2550">
        <v>17.4630574837458</v>
      </c>
      <c r="AL2550">
        <v>82.482321133769801</v>
      </c>
      <c r="AM2550">
        <v>92.320150653625205</v>
      </c>
      <c r="AN2550">
        <v>0.99999999465240097</v>
      </c>
    </row>
    <row r="2551" spans="1:40" x14ac:dyDescent="0.3">
      <c r="A2551" t="str">
        <f>"20200111150406556"</f>
        <v>20200111150406556</v>
      </c>
      <c r="B2551" t="str">
        <f>"1578726246551192"</f>
        <v>1578726246551192</v>
      </c>
      <c r="C2551" t="s">
        <v>40</v>
      </c>
      <c r="D2551">
        <v>4.851667</v>
      </c>
      <c r="E2551">
        <v>0.40215679999999998</v>
      </c>
      <c r="F2551" t="s">
        <v>72</v>
      </c>
      <c r="G2551">
        <v>-295.74290000000002</v>
      </c>
      <c r="H2551" s="1">
        <v>-1.6995089999999901E-6</v>
      </c>
      <c r="I2551">
        <v>-41.295529999999999</v>
      </c>
      <c r="J2551">
        <v>-301.28859999999997</v>
      </c>
      <c r="K2551">
        <v>1.1006800000000001</v>
      </c>
      <c r="L2551">
        <v>-24.539580000000001</v>
      </c>
      <c r="M2551">
        <v>1.8055760000000001E-2</v>
      </c>
      <c r="N2551">
        <v>0</v>
      </c>
      <c r="O2551">
        <v>-0.99977190000000005</v>
      </c>
      <c r="P2551">
        <v>6.0221150000000001E-2</v>
      </c>
      <c r="Q2551">
        <v>0.1201392</v>
      </c>
      <c r="R2551">
        <v>-0.9909289</v>
      </c>
      <c r="S2551">
        <v>0.97119140000000004</v>
      </c>
      <c r="T2551">
        <v>-0.19264500000000001</v>
      </c>
      <c r="U2551">
        <v>-2.9891359999999998</v>
      </c>
      <c r="V2551">
        <v>-4.1240890000000002E-2</v>
      </c>
      <c r="W2551">
        <v>0.1317912</v>
      </c>
      <c r="X2551">
        <v>0.99041920000000006</v>
      </c>
      <c r="Y2551">
        <v>-0.2912014</v>
      </c>
      <c r="Z2551">
        <v>6.1334100000000003E-2</v>
      </c>
      <c r="AA2551">
        <v>0.95469360000000003</v>
      </c>
      <c r="AB2551">
        <v>33</v>
      </c>
      <c r="AC2551">
        <v>5.5456999999999503</v>
      </c>
      <c r="AD2551">
        <v>-1.1006816995090001</v>
      </c>
      <c r="AE2551">
        <v>-16.755949999999999</v>
      </c>
      <c r="AF2551">
        <v>-5.221926458405</v>
      </c>
      <c r="AG2551">
        <v>-1.1006816995090001</v>
      </c>
      <c r="AH2551">
        <v>16.788067021588201</v>
      </c>
      <c r="AI2551">
        <v>93.5823089403344</v>
      </c>
      <c r="AJ2551">
        <v>107.278300335955</v>
      </c>
      <c r="AK2551">
        <v>17.6158794972593</v>
      </c>
      <c r="AL2551">
        <v>82.426888515811498</v>
      </c>
      <c r="AM2551">
        <v>92.3844092323138</v>
      </c>
      <c r="AN2551">
        <v>0.99999996156703497</v>
      </c>
    </row>
    <row r="2552" spans="1:40" x14ac:dyDescent="0.3">
      <c r="A2552" t="str">
        <f>"20200111150406578"</f>
        <v>20200111150406578</v>
      </c>
      <c r="B2552" t="str">
        <f>"1578726246570712"</f>
        <v>1578726246570712</v>
      </c>
      <c r="C2552" t="s">
        <v>40</v>
      </c>
      <c r="D2552">
        <v>5.3277580000000002</v>
      </c>
      <c r="E2552">
        <v>0.49408980000000002</v>
      </c>
      <c r="F2552" t="s">
        <v>72</v>
      </c>
      <c r="G2552">
        <v>-295.59910000000002</v>
      </c>
      <c r="H2552" s="1">
        <v>-2.4096280000000001E-6</v>
      </c>
      <c r="I2552">
        <v>-42.352539999999998</v>
      </c>
      <c r="J2552">
        <v>-301.28660000000002</v>
      </c>
      <c r="K2552">
        <v>1.1006689999999999</v>
      </c>
      <c r="L2552">
        <v>-24.87567</v>
      </c>
      <c r="M2552">
        <v>1.406987E-2</v>
      </c>
      <c r="N2552">
        <v>0</v>
      </c>
      <c r="O2552">
        <v>-0.99983599999999995</v>
      </c>
      <c r="P2552">
        <v>5.7044490000000003E-2</v>
      </c>
      <c r="Q2552">
        <v>0.12095930000000001</v>
      </c>
      <c r="R2552">
        <v>-0.99101729999999999</v>
      </c>
      <c r="S2552">
        <v>0.95559689999999997</v>
      </c>
      <c r="T2552">
        <v>-0.18486610000000001</v>
      </c>
      <c r="U2552">
        <v>-2.9917910000000001</v>
      </c>
      <c r="V2552">
        <v>-4.200694E-2</v>
      </c>
      <c r="W2552">
        <v>0.13261979999999901</v>
      </c>
      <c r="X2552">
        <v>0.9902765</v>
      </c>
      <c r="Y2552">
        <v>-0.29030159999999899</v>
      </c>
      <c r="Z2552">
        <v>5.8876730000000002E-2</v>
      </c>
      <c r="AA2552">
        <v>0.95512220000000003</v>
      </c>
      <c r="AB2552">
        <v>33</v>
      </c>
      <c r="AC2552">
        <v>5.6875</v>
      </c>
      <c r="AD2552">
        <v>-1.1006714096279999</v>
      </c>
      <c r="AE2552">
        <v>-17.476870000000002</v>
      </c>
      <c r="AF2552">
        <v>-5.4215792002268799</v>
      </c>
      <c r="AG2552">
        <v>-1.1006714096279999</v>
      </c>
      <c r="AH2552">
        <v>17.492430875716099</v>
      </c>
      <c r="AI2552">
        <v>93.439461825196702</v>
      </c>
      <c r="AJ2552">
        <v>107.220225605867</v>
      </c>
      <c r="AK2552">
        <v>18.346393011107502</v>
      </c>
      <c r="AL2552">
        <v>82.378993651303603</v>
      </c>
      <c r="AM2552">
        <v>92.4289966622798</v>
      </c>
      <c r="AN2552">
        <v>1.00000007040622</v>
      </c>
    </row>
    <row r="2553" spans="1:40" x14ac:dyDescent="0.3">
      <c r="A2553" t="str">
        <f>"20200111150406599"</f>
        <v>20200111150406599</v>
      </c>
      <c r="B2553" t="str">
        <f>"1578726246591209"</f>
        <v>1578726246591209</v>
      </c>
      <c r="C2553" t="s">
        <v>40</v>
      </c>
      <c r="D2553">
        <v>5.3719979999999996</v>
      </c>
      <c r="E2553">
        <v>0.50014789999999998</v>
      </c>
      <c r="F2553" t="s">
        <v>72</v>
      </c>
      <c r="G2553">
        <v>-300.04719999999998</v>
      </c>
      <c r="H2553" s="1">
        <v>-1.310991E-6</v>
      </c>
      <c r="I2553">
        <v>-42.42906</v>
      </c>
      <c r="J2553">
        <v>-301.28590000000003</v>
      </c>
      <c r="K2553">
        <v>1.100662</v>
      </c>
      <c r="L2553">
        <v>-25.193359999999998</v>
      </c>
      <c r="M2553">
        <v>1.032342E-2</v>
      </c>
      <c r="N2553">
        <v>0</v>
      </c>
      <c r="O2553">
        <v>-0.99988160000000004</v>
      </c>
      <c r="P2553">
        <v>5.3445670000000001E-2</v>
      </c>
      <c r="Q2553">
        <v>0.120758199999999</v>
      </c>
      <c r="R2553">
        <v>-0.99124230000000002</v>
      </c>
      <c r="S2553">
        <v>0.21450810000000001</v>
      </c>
      <c r="T2553">
        <v>-0.19050049999999999</v>
      </c>
      <c r="U2553">
        <v>-3.0380859999999998</v>
      </c>
      <c r="V2553">
        <v>-4.2122809999999997E-2</v>
      </c>
      <c r="W2553">
        <v>0.13242219999999999</v>
      </c>
      <c r="X2553">
        <v>0.99029800000000001</v>
      </c>
      <c r="Y2553">
        <v>-5.9991330000000002E-2</v>
      </c>
      <c r="Z2553">
        <v>6.2442459999999998E-2</v>
      </c>
      <c r="AA2553">
        <v>0.99624400000000002</v>
      </c>
      <c r="AB2553">
        <v>33</v>
      </c>
      <c r="AC2553">
        <v>1.2387000000000501</v>
      </c>
      <c r="AD2553">
        <v>-1.100663310991</v>
      </c>
      <c r="AE2553">
        <v>-17.235699999999898</v>
      </c>
      <c r="AF2553">
        <v>-1.0564051061673001</v>
      </c>
      <c r="AG2553">
        <v>-1.100663310991</v>
      </c>
      <c r="AH2553">
        <v>17.1778778257639</v>
      </c>
      <c r="AI2553">
        <v>93.659290255145905</v>
      </c>
      <c r="AJ2553">
        <v>93.519143761004003</v>
      </c>
      <c r="AK2553">
        <v>17.2454903690608</v>
      </c>
      <c r="AL2553">
        <v>82.390415879640699</v>
      </c>
      <c r="AM2553">
        <v>92.435635819580497</v>
      </c>
      <c r="AN2553">
        <v>1.00000004948956</v>
      </c>
    </row>
    <row r="2554" spans="1:40" x14ac:dyDescent="0.3">
      <c r="A2554" t="str">
        <f>"20200111150406622"</f>
        <v>20200111150406622</v>
      </c>
      <c r="B2554" t="str">
        <f>"1578726246610729"</f>
        <v>1578726246610729</v>
      </c>
      <c r="C2554" t="s">
        <v>40</v>
      </c>
      <c r="D2554">
        <v>5.2227129999999997</v>
      </c>
      <c r="E2554">
        <v>0.501417</v>
      </c>
      <c r="F2554" t="s">
        <v>72</v>
      </c>
      <c r="G2554">
        <v>-300.48750000000001</v>
      </c>
      <c r="H2554" s="1">
        <v>-2.9699249999999998E-7</v>
      </c>
      <c r="I2554">
        <v>-40.737349999999999</v>
      </c>
      <c r="J2554">
        <v>-301.28629999999998</v>
      </c>
      <c r="K2554">
        <v>1.100665</v>
      </c>
      <c r="L2554">
        <v>-25.516970000000001</v>
      </c>
      <c r="M2554">
        <v>6.5475859999999898E-3</v>
      </c>
      <c r="N2554">
        <v>0</v>
      </c>
      <c r="O2554">
        <v>-0.99991359999999996</v>
      </c>
      <c r="P2554">
        <v>4.895414E-2</v>
      </c>
      <c r="Q2554">
        <v>0.1188927</v>
      </c>
      <c r="R2554">
        <v>-0.99169969999999996</v>
      </c>
      <c r="S2554">
        <v>0.15637210000000001</v>
      </c>
      <c r="T2554">
        <v>-0.21556819999999999</v>
      </c>
      <c r="U2554">
        <v>-3.0443419999999999</v>
      </c>
      <c r="V2554">
        <v>-4.1392709999999999E-2</v>
      </c>
      <c r="W2554">
        <v>0.13055359999999999</v>
      </c>
      <c r="X2554">
        <v>0.99057680000000004</v>
      </c>
      <c r="Y2554">
        <v>-4.4628889999999997E-2</v>
      </c>
      <c r="Z2554">
        <v>7.0548879999999994E-2</v>
      </c>
      <c r="AA2554">
        <v>0.99650950000000005</v>
      </c>
      <c r="AB2554">
        <v>33</v>
      </c>
      <c r="AC2554">
        <v>0.79879999999997098</v>
      </c>
      <c r="AD2554">
        <v>-1.1006652969924999</v>
      </c>
      <c r="AE2554">
        <v>-15.22038</v>
      </c>
      <c r="AF2554">
        <v>-0.69549257065177805</v>
      </c>
      <c r="AG2554">
        <v>-1.1006652969924999</v>
      </c>
      <c r="AH2554">
        <v>15.146294383659299</v>
      </c>
      <c r="AI2554">
        <v>94.151958609603</v>
      </c>
      <c r="AJ2554">
        <v>92.629079851733593</v>
      </c>
      <c r="AK2554">
        <v>15.2021514124911</v>
      </c>
      <c r="AL2554">
        <v>82.498416079959497</v>
      </c>
      <c r="AM2554">
        <v>92.392796455906606</v>
      </c>
      <c r="AN2554">
        <v>0.99999999780617199</v>
      </c>
    </row>
    <row r="2555" spans="1:40" x14ac:dyDescent="0.3">
      <c r="A2555" t="str">
        <f>"20200111150406644"</f>
        <v>20200111150406644</v>
      </c>
      <c r="B2555" t="str">
        <f>"1578726246640986"</f>
        <v>1578726246640986</v>
      </c>
      <c r="C2555" t="s">
        <v>40</v>
      </c>
      <c r="D2555">
        <v>5.219112</v>
      </c>
      <c r="E2555">
        <v>0.50342109999999995</v>
      </c>
      <c r="F2555" t="s">
        <v>41</v>
      </c>
      <c r="G2555">
        <v>-300.73250000000002</v>
      </c>
      <c r="H2555" s="1">
        <v>-1.134405E-6</v>
      </c>
      <c r="I2555">
        <v>-38.220889999999997</v>
      </c>
      <c r="J2555">
        <v>-301.28789999999998</v>
      </c>
      <c r="K2555">
        <v>1.100697</v>
      </c>
      <c r="L2555">
        <v>-25.848569999999999</v>
      </c>
      <c r="M2555">
        <v>2.7469220000000002E-3</v>
      </c>
      <c r="N2555">
        <v>0</v>
      </c>
      <c r="O2555">
        <v>-0.99993109999999996</v>
      </c>
      <c r="P2555">
        <v>4.496986E-2</v>
      </c>
      <c r="Q2555">
        <v>0.1167869</v>
      </c>
      <c r="R2555">
        <v>-0.99213839999999998</v>
      </c>
      <c r="S2555">
        <v>0.1329651</v>
      </c>
      <c r="T2555">
        <v>-0.2642718</v>
      </c>
      <c r="U2555">
        <v>-3.0502319999999998</v>
      </c>
      <c r="V2555">
        <v>-4.1205770000000003E-2</v>
      </c>
      <c r="W2555">
        <v>0.1284458</v>
      </c>
      <c r="X2555">
        <v>0.99086010000000002</v>
      </c>
      <c r="Y2555">
        <v>-4.0643539999999999E-2</v>
      </c>
      <c r="Z2555">
        <v>8.6239759999999999E-2</v>
      </c>
      <c r="AA2555">
        <v>0.99544500000000002</v>
      </c>
      <c r="AB2555">
        <v>33</v>
      </c>
      <c r="AC2555">
        <v>0.55539999999996303</v>
      </c>
      <c r="AD2555">
        <v>-1.100698134405</v>
      </c>
      <c r="AE2555">
        <v>-12.37232</v>
      </c>
      <c r="AF2555">
        <v>-0.51732366822999798</v>
      </c>
      <c r="AG2555">
        <v>-1.100698134405</v>
      </c>
      <c r="AH2555">
        <v>12.2768271296127</v>
      </c>
      <c r="AI2555">
        <v>95.118726317770694</v>
      </c>
      <c r="AJ2555">
        <v>92.412914810142496</v>
      </c>
      <c r="AK2555">
        <v>12.3369220039355</v>
      </c>
      <c r="AL2555">
        <v>82.6202096464026</v>
      </c>
      <c r="AM2555">
        <v>92.381322192704204</v>
      </c>
      <c r="AN2555">
        <v>0.999999988395471</v>
      </c>
    </row>
    <row r="2556" spans="1:40" x14ac:dyDescent="0.3">
      <c r="A2556" t="str">
        <f>"20200111150406667"</f>
        <v>20200111150406667</v>
      </c>
      <c r="B2556" t="str">
        <f>"1578726246661484"</f>
        <v>1578726246661484</v>
      </c>
      <c r="C2556" t="s">
        <v>40</v>
      </c>
      <c r="D2556">
        <v>5.2431089999999996</v>
      </c>
      <c r="E2556">
        <v>0.50376080000000001</v>
      </c>
      <c r="F2556" t="s">
        <v>42</v>
      </c>
      <c r="G2556">
        <v>-301.26130000000001</v>
      </c>
      <c r="H2556">
        <v>1.0257350000000001</v>
      </c>
      <c r="I2556">
        <v>-26.62923</v>
      </c>
      <c r="J2556">
        <v>-301.29079999999999</v>
      </c>
      <c r="K2556">
        <v>1.1007559999999901</v>
      </c>
      <c r="L2556">
        <v>-26.181059999999999</v>
      </c>
      <c r="M2556">
        <v>-9.555764E-4</v>
      </c>
      <c r="N2556">
        <v>0</v>
      </c>
      <c r="O2556">
        <v>-0.9999344</v>
      </c>
      <c r="P2556">
        <v>4.2424789999999997E-2</v>
      </c>
      <c r="Q2556">
        <v>0.1148995</v>
      </c>
      <c r="R2556">
        <v>-0.99247099999999999</v>
      </c>
      <c r="S2556">
        <v>0.10528559999999999</v>
      </c>
      <c r="T2556">
        <v>-0.29286279999999998</v>
      </c>
      <c r="U2556">
        <v>-3.0534669999999999</v>
      </c>
      <c r="V2556">
        <v>-4.2370350000000001E-2</v>
      </c>
      <c r="W2556">
        <v>0.12656210000000001</v>
      </c>
      <c r="X2556">
        <v>0.99105339999999997</v>
      </c>
      <c r="Y2556">
        <v>-3.5258039999999997E-2</v>
      </c>
      <c r="Z2556">
        <v>9.5415609999999998E-2</v>
      </c>
      <c r="AA2556">
        <v>0.9948129</v>
      </c>
      <c r="AB2556">
        <v>33</v>
      </c>
      <c r="AC2556">
        <v>2.94999999999845E-2</v>
      </c>
      <c r="AD2556">
        <v>-7.5020999999999699E-2</v>
      </c>
      <c r="AE2556">
        <v>-0.44816999999999702</v>
      </c>
      <c r="AF2556">
        <v>-2.9115943411271699E-2</v>
      </c>
      <c r="AG2556">
        <v>-7.5020999999999699E-2</v>
      </c>
      <c r="AH2556">
        <v>0.43597786831923802</v>
      </c>
      <c r="AI2556">
        <v>99.742284948096099</v>
      </c>
      <c r="AJ2556">
        <v>93.820715073081402</v>
      </c>
      <c r="AK2556">
        <v>0.443342520254842</v>
      </c>
      <c r="AL2556">
        <v>82.729026155700396</v>
      </c>
      <c r="AM2556">
        <v>92.448066638473605</v>
      </c>
      <c r="AN2556">
        <v>1.00000002668354</v>
      </c>
    </row>
    <row r="2557" spans="1:40" x14ac:dyDescent="0.3">
      <c r="A2557" t="str">
        <f>"20200111150406690"</f>
        <v>20200111150406690</v>
      </c>
      <c r="B2557" t="str">
        <f>"1578726246681001"</f>
        <v>1578726246681001</v>
      </c>
      <c r="C2557" t="s">
        <v>40</v>
      </c>
      <c r="D2557">
        <v>5.5448370000000002</v>
      </c>
      <c r="E2557">
        <v>0.50421079999999996</v>
      </c>
      <c r="F2557" t="s">
        <v>42</v>
      </c>
      <c r="G2557">
        <v>-301.2679</v>
      </c>
      <c r="H2557">
        <v>1.0280860000000001</v>
      </c>
      <c r="I2557">
        <v>-26.92427</v>
      </c>
      <c r="J2557">
        <v>-301.2946</v>
      </c>
      <c r="K2557">
        <v>1.1008450000000001</v>
      </c>
      <c r="L2557">
        <v>-26.509799999999998</v>
      </c>
      <c r="M2557">
        <v>-4.4580080000000003E-3</v>
      </c>
      <c r="N2557">
        <v>0</v>
      </c>
      <c r="O2557">
        <v>-0.99992490000000001</v>
      </c>
      <c r="P2557">
        <v>4.0506849999999997E-2</v>
      </c>
      <c r="Q2557">
        <v>0.113737</v>
      </c>
      <c r="R2557">
        <v>-0.99268489999999998</v>
      </c>
      <c r="S2557">
        <v>9.5458979999999999E-2</v>
      </c>
      <c r="T2557">
        <v>-0.29824450000000002</v>
      </c>
      <c r="U2557">
        <v>-3.0531920000000001</v>
      </c>
      <c r="V2557">
        <v>-4.3969870000000001E-2</v>
      </c>
      <c r="W2557">
        <v>0.12539939999999999</v>
      </c>
      <c r="X2557">
        <v>0.99113150000000005</v>
      </c>
      <c r="Y2557">
        <v>-3.5557980000000003E-2</v>
      </c>
      <c r="Z2557">
        <v>9.7164410000000007E-2</v>
      </c>
      <c r="AA2557">
        <v>0.99463299999999999</v>
      </c>
      <c r="AB2557">
        <v>33</v>
      </c>
      <c r="AC2557">
        <v>2.6700000000005199E-2</v>
      </c>
      <c r="AD2557">
        <v>-7.2759000000000004E-2</v>
      </c>
      <c r="AE2557">
        <v>-0.414470000000001</v>
      </c>
      <c r="AF2557">
        <v>-2.7697544039751401E-2</v>
      </c>
      <c r="AG2557">
        <v>-7.2759000000000004E-2</v>
      </c>
      <c r="AH2557">
        <v>0.40200940828635001</v>
      </c>
      <c r="AI2557">
        <v>100.235063694747</v>
      </c>
      <c r="AJ2557">
        <v>93.941321860966198</v>
      </c>
      <c r="AK2557">
        <v>0.40947843701173697</v>
      </c>
      <c r="AL2557">
        <v>82.796178828779205</v>
      </c>
      <c r="AM2557">
        <v>92.540164636395104</v>
      </c>
      <c r="AN2557">
        <v>1.00000000464021</v>
      </c>
    </row>
    <row r="2558" spans="1:40" x14ac:dyDescent="0.3">
      <c r="A2558" t="str">
        <f>"20200111150406712"</f>
        <v>20200111150406712</v>
      </c>
      <c r="B2558" t="str">
        <f>"1578726246701497"</f>
        <v>1578726246701497</v>
      </c>
      <c r="C2558" t="s">
        <v>40</v>
      </c>
      <c r="D2558">
        <v>4.7197979999999999</v>
      </c>
      <c r="E2558">
        <v>0.50468040000000003</v>
      </c>
      <c r="F2558" t="s">
        <v>42</v>
      </c>
      <c r="G2558">
        <v>-301.26639999999998</v>
      </c>
      <c r="H2558">
        <v>1.006543</v>
      </c>
      <c r="I2558">
        <v>-27.49746</v>
      </c>
      <c r="J2558">
        <v>-301.29939999999999</v>
      </c>
      <c r="K2558">
        <v>1.100976</v>
      </c>
      <c r="L2558">
        <v>-26.8306</v>
      </c>
      <c r="M2558">
        <v>-7.6711000000000001E-3</v>
      </c>
      <c r="N2558">
        <v>0</v>
      </c>
      <c r="O2558">
        <v>-0.9999055</v>
      </c>
      <c r="P2558">
        <v>3.777026E-2</v>
      </c>
      <c r="Q2558">
        <v>0.1125795</v>
      </c>
      <c r="R2558">
        <v>-0.99292469999999999</v>
      </c>
      <c r="S2558">
        <v>8.7768550000000001E-2</v>
      </c>
      <c r="T2558">
        <v>-0.29126669999999999</v>
      </c>
      <c r="U2558">
        <v>-3.0519099999999999</v>
      </c>
      <c r="V2558">
        <v>-4.4475550000000003E-2</v>
      </c>
      <c r="W2558">
        <v>0.1242279</v>
      </c>
      <c r="X2558">
        <v>0.99125649999999998</v>
      </c>
      <c r="Y2558">
        <v>-3.6284370000000003E-2</v>
      </c>
      <c r="Z2558">
        <v>9.4950880000000001E-2</v>
      </c>
      <c r="AA2558">
        <v>0.9948205</v>
      </c>
      <c r="AB2558">
        <v>33</v>
      </c>
      <c r="AC2558">
        <v>3.3000000000015399E-2</v>
      </c>
      <c r="AD2558">
        <v>-9.4433000000000003E-2</v>
      </c>
      <c r="AE2558">
        <v>-0.66685999999999601</v>
      </c>
      <c r="AF2558">
        <v>-3.73674152050762E-2</v>
      </c>
      <c r="AG2558">
        <v>-9.4433000000000003E-2</v>
      </c>
      <c r="AH2558">
        <v>0.65351433735943099</v>
      </c>
      <c r="AI2558">
        <v>98.209117033922297</v>
      </c>
      <c r="AJ2558">
        <v>93.272562403403398</v>
      </c>
      <c r="AK2558">
        <v>0.66135837814489395</v>
      </c>
      <c r="AL2558">
        <v>82.863830161202401</v>
      </c>
      <c r="AM2558">
        <v>92.569015567835606</v>
      </c>
      <c r="AN2558">
        <v>1.0000000472392301</v>
      </c>
    </row>
    <row r="2559" spans="1:40" x14ac:dyDescent="0.3">
      <c r="A2559" t="str">
        <f>"20200111150406734"</f>
        <v>20200111150406734</v>
      </c>
      <c r="B2559" t="str">
        <f>"1578726246730777"</f>
        <v>1578726246730777</v>
      </c>
      <c r="C2559" t="s">
        <v>40</v>
      </c>
      <c r="D2559">
        <v>11.193949999999999</v>
      </c>
      <c r="E2559">
        <v>0.50468489999999999</v>
      </c>
      <c r="F2559" t="s">
        <v>42</v>
      </c>
      <c r="G2559">
        <v>-301.27530000000002</v>
      </c>
      <c r="H2559">
        <v>1.015514</v>
      </c>
      <c r="I2559">
        <v>-27.796679999999999</v>
      </c>
      <c r="J2559">
        <v>-301.30509999999998</v>
      </c>
      <c r="K2559">
        <v>1.101129</v>
      </c>
      <c r="L2559">
        <v>-27.162199999999999</v>
      </c>
      <c r="M2559">
        <v>-1.079783E-2</v>
      </c>
      <c r="N2559">
        <v>0</v>
      </c>
      <c r="O2559">
        <v>-0.99987669999999995</v>
      </c>
      <c r="P2559">
        <v>3.53283E-2</v>
      </c>
      <c r="Q2559">
        <v>0.1119545</v>
      </c>
      <c r="R2559">
        <v>-0.993085</v>
      </c>
      <c r="S2559">
        <v>7.6599120000000007E-2</v>
      </c>
      <c r="T2559">
        <v>-0.2696037</v>
      </c>
      <c r="U2559">
        <v>-3.049042</v>
      </c>
      <c r="V2559">
        <v>-4.5190550000000003E-2</v>
      </c>
      <c r="W2559">
        <v>0.1235863</v>
      </c>
      <c r="X2559">
        <v>0.99130430000000003</v>
      </c>
      <c r="Y2559">
        <v>-3.5810580000000002E-2</v>
      </c>
      <c r="Z2559">
        <v>8.8029060000000006E-2</v>
      </c>
      <c r="AA2559">
        <v>0.99547399999999997</v>
      </c>
      <c r="AB2559">
        <v>33</v>
      </c>
      <c r="AC2559">
        <v>2.9799999999966E-2</v>
      </c>
      <c r="AD2559">
        <v>-8.5614999999999997E-2</v>
      </c>
      <c r="AE2559">
        <v>-0.63447999999999904</v>
      </c>
      <c r="AF2559">
        <v>-3.5995744684368003E-2</v>
      </c>
      <c r="AG2559">
        <v>-8.5614999999999997E-2</v>
      </c>
      <c r="AH2559">
        <v>0.622806075637516</v>
      </c>
      <c r="AI2559">
        <v>97.814316264482002</v>
      </c>
      <c r="AJ2559">
        <v>93.307791163744298</v>
      </c>
      <c r="AK2559">
        <v>0.62969280582787801</v>
      </c>
      <c r="AL2559">
        <v>82.900876190949603</v>
      </c>
      <c r="AM2559">
        <v>92.610133339163994</v>
      </c>
      <c r="AN2559">
        <v>0.99999998727774098</v>
      </c>
    </row>
    <row r="2560" spans="1:40" x14ac:dyDescent="0.3">
      <c r="A2560" t="str">
        <f>"20200111150406762"</f>
        <v>20200111150406762</v>
      </c>
      <c r="B2560" t="str">
        <f>"1578726246751273"</f>
        <v>1578726246751273</v>
      </c>
      <c r="C2560" t="s">
        <v>40</v>
      </c>
      <c r="D2560">
        <v>5.6282240000000003</v>
      </c>
      <c r="E2560">
        <v>0.49857220000000002</v>
      </c>
      <c r="F2560" t="s">
        <v>42</v>
      </c>
      <c r="G2560">
        <v>-301.28440000000001</v>
      </c>
      <c r="H2560">
        <v>1.0199309999999999</v>
      </c>
      <c r="I2560">
        <v>-28.093540000000001</v>
      </c>
      <c r="J2560">
        <v>-301.31310000000002</v>
      </c>
      <c r="K2560">
        <v>1.101353</v>
      </c>
      <c r="L2560">
        <v>-27.56137</v>
      </c>
      <c r="M2560">
        <v>-1.422913E-2</v>
      </c>
      <c r="N2560">
        <v>0</v>
      </c>
      <c r="O2560">
        <v>-0.99983390000000005</v>
      </c>
      <c r="P2560">
        <v>3.2529959999999997E-2</v>
      </c>
      <c r="Q2560">
        <v>0.1114903</v>
      </c>
      <c r="R2560">
        <v>-0.99323329999999999</v>
      </c>
      <c r="S2560">
        <v>6.9152829999999998E-2</v>
      </c>
      <c r="T2560">
        <v>-0.2656017</v>
      </c>
      <c r="U2560">
        <v>-3.0483699999999998</v>
      </c>
      <c r="V2560">
        <v>-4.5869760000000002E-2</v>
      </c>
      <c r="W2560">
        <v>0.123097</v>
      </c>
      <c r="X2560">
        <v>0.99133400000000005</v>
      </c>
      <c r="Y2560">
        <v>-3.6817919999999997E-2</v>
      </c>
      <c r="Z2560">
        <v>8.6746539999999997E-2</v>
      </c>
      <c r="AA2560">
        <v>0.99554989999999999</v>
      </c>
      <c r="AB2560">
        <v>33</v>
      </c>
      <c r="AC2560">
        <v>2.87000000000148E-2</v>
      </c>
      <c r="AD2560">
        <v>-8.1422000000000105E-2</v>
      </c>
      <c r="AE2560">
        <v>-0.53217000000000003</v>
      </c>
      <c r="AF2560">
        <v>-3.5442631034868798E-2</v>
      </c>
      <c r="AG2560">
        <v>-8.1422000000000105E-2</v>
      </c>
      <c r="AH2560">
        <v>0.51958013812790005</v>
      </c>
      <c r="AI2560">
        <v>98.885915138503407</v>
      </c>
      <c r="AJ2560">
        <v>93.902328154836098</v>
      </c>
      <c r="AK2560">
        <v>0.52711406935850402</v>
      </c>
      <c r="AL2560">
        <v>82.929126841309497</v>
      </c>
      <c r="AM2560">
        <v>92.649228674276202</v>
      </c>
      <c r="AN2560">
        <v>1.0000000029237199</v>
      </c>
    </row>
    <row r="2561" spans="1:40" x14ac:dyDescent="0.3">
      <c r="A2561" t="str">
        <f>"20200111150406779"</f>
        <v>20200111150406779</v>
      </c>
      <c r="B2561" t="str">
        <f>"1578726246770794"</f>
        <v>1578726246770794</v>
      </c>
      <c r="C2561" t="s">
        <v>40</v>
      </c>
      <c r="D2561">
        <v>7.0235369999999904</v>
      </c>
      <c r="E2561">
        <v>0.50613779999999997</v>
      </c>
      <c r="F2561" t="s">
        <v>80</v>
      </c>
      <c r="G2561">
        <v>-298.923</v>
      </c>
      <c r="H2561">
        <v>22.51885</v>
      </c>
      <c r="I2561">
        <v>-91.564989999999995</v>
      </c>
      <c r="J2561">
        <v>-301.31869999999998</v>
      </c>
      <c r="K2561">
        <v>1.101523</v>
      </c>
      <c r="L2561">
        <v>-27.817599999999999</v>
      </c>
      <c r="M2561">
        <v>-1.6189950000000002E-2</v>
      </c>
      <c r="N2561">
        <v>0</v>
      </c>
      <c r="O2561">
        <v>-0.99980420000000003</v>
      </c>
      <c r="P2561">
        <v>3.0236699999999998E-2</v>
      </c>
      <c r="Q2561">
        <v>0.1119397</v>
      </c>
      <c r="R2561">
        <v>-0.99325509999999995</v>
      </c>
      <c r="S2561">
        <v>0.1085815</v>
      </c>
      <c r="T2561">
        <v>0.97298739999999995</v>
      </c>
      <c r="U2561">
        <v>-2.907654</v>
      </c>
      <c r="V2561">
        <v>-4.5571439999999998E-2</v>
      </c>
      <c r="W2561">
        <v>0.12352150000000001</v>
      </c>
      <c r="X2561">
        <v>0.99129500000000004</v>
      </c>
      <c r="Y2561">
        <v>-5.1567170000000002E-2</v>
      </c>
      <c r="Z2561">
        <v>-0.31695990000000002</v>
      </c>
      <c r="AA2561">
        <v>0.94703599999999999</v>
      </c>
      <c r="AB2561">
        <v>33</v>
      </c>
      <c r="AC2561">
        <v>2.39569999999997</v>
      </c>
      <c r="AD2561">
        <v>21.417327</v>
      </c>
      <c r="AE2561">
        <v>-63.747390000000003</v>
      </c>
      <c r="AF2561">
        <v>-3.0803134517291602</v>
      </c>
      <c r="AG2561">
        <v>21.417327</v>
      </c>
      <c r="AH2561">
        <v>57.247435920056098</v>
      </c>
      <c r="AI2561">
        <v>69.515411017616799</v>
      </c>
      <c r="AJ2561">
        <v>93.0799446210887</v>
      </c>
      <c r="AK2561">
        <v>61.200156423057997</v>
      </c>
      <c r="AL2561">
        <v>82.904618051289802</v>
      </c>
      <c r="AM2561">
        <v>92.632126780935195</v>
      </c>
      <c r="AN2561">
        <v>1.00000004706546</v>
      </c>
    </row>
    <row r="2562" spans="1:40" x14ac:dyDescent="0.3">
      <c r="A2562" t="str">
        <f>"20200111150406803"</f>
        <v>20200111150406803</v>
      </c>
      <c r="B2562" t="str">
        <f>"1578726246791289"</f>
        <v>1578726246791289</v>
      </c>
      <c r="C2562" t="s">
        <v>40</v>
      </c>
      <c r="D2562">
        <v>6.0247909999999996</v>
      </c>
      <c r="E2562">
        <v>0.50005469999999996</v>
      </c>
      <c r="F2562" t="s">
        <v>80</v>
      </c>
      <c r="G2562">
        <v>-300.4289</v>
      </c>
      <c r="H2562">
        <v>20.167059999999999</v>
      </c>
      <c r="I2562">
        <v>-90.976830000000007</v>
      </c>
      <c r="J2562">
        <v>-301.32670000000002</v>
      </c>
      <c r="K2562">
        <v>1.1017980000000001</v>
      </c>
      <c r="L2562">
        <v>-28.158329999999999</v>
      </c>
      <c r="M2562">
        <v>-1.846329E-2</v>
      </c>
      <c r="N2562">
        <v>0</v>
      </c>
      <c r="O2562">
        <v>-0.99976469999999995</v>
      </c>
      <c r="P2562">
        <v>2.7756429999999999E-2</v>
      </c>
      <c r="Q2562">
        <v>0.1134362</v>
      </c>
      <c r="R2562">
        <v>-0.99315759999999997</v>
      </c>
      <c r="S2562">
        <v>4.1137699999999902E-2</v>
      </c>
      <c r="T2562">
        <v>0.88138470000000002</v>
      </c>
      <c r="U2562">
        <v>-2.9198</v>
      </c>
      <c r="V2562">
        <v>-4.541891E-2</v>
      </c>
      <c r="W2562">
        <v>0.1249788</v>
      </c>
      <c r="X2562">
        <v>0.99111930000000004</v>
      </c>
      <c r="Y2562">
        <v>-3.1947360000000001E-2</v>
      </c>
      <c r="Z2562">
        <v>-0.28882479999999999</v>
      </c>
      <c r="AA2562">
        <v>0.95684880000000005</v>
      </c>
      <c r="AB2562">
        <v>33</v>
      </c>
      <c r="AC2562">
        <v>0.89780000000001703</v>
      </c>
      <c r="AD2562">
        <v>19.065262000000001</v>
      </c>
      <c r="AE2562">
        <v>-62.8185</v>
      </c>
      <c r="AF2562">
        <v>-1.88405224728788</v>
      </c>
      <c r="AG2562">
        <v>19.065262000000001</v>
      </c>
      <c r="AH2562">
        <v>57.496268810223697</v>
      </c>
      <c r="AI2562">
        <v>71.664111302081693</v>
      </c>
      <c r="AJ2562">
        <v>91.876811008463903</v>
      </c>
      <c r="AK2562">
        <v>60.604082330290701</v>
      </c>
      <c r="AL2562">
        <v>82.820468650897993</v>
      </c>
      <c r="AM2562">
        <v>92.623793641350403</v>
      </c>
      <c r="AN2562">
        <v>1.00000002233375</v>
      </c>
    </row>
    <row r="2563" spans="1:40" x14ac:dyDescent="0.3">
      <c r="A2563" t="str">
        <f>"20200111150406823"</f>
        <v>20200111150406823</v>
      </c>
      <c r="B2563" t="str">
        <f>"1578726246810809"</f>
        <v>1578726246810809</v>
      </c>
      <c r="C2563" t="s">
        <v>40</v>
      </c>
      <c r="D2563">
        <v>6.036778</v>
      </c>
      <c r="E2563">
        <v>0.49620249999999999</v>
      </c>
      <c r="F2563" t="s">
        <v>80</v>
      </c>
      <c r="G2563">
        <v>-299.54219999999998</v>
      </c>
      <c r="H2563">
        <v>19.423359999999999</v>
      </c>
      <c r="I2563">
        <v>-90.976820000000004</v>
      </c>
      <c r="J2563">
        <v>-301.33420000000001</v>
      </c>
      <c r="K2563">
        <v>1.102088</v>
      </c>
      <c r="L2563">
        <v>-28.466159999999999</v>
      </c>
      <c r="M2563">
        <v>-2.0164370000000001E-2</v>
      </c>
      <c r="N2563">
        <v>0</v>
      </c>
      <c r="O2563">
        <v>-0.99973199999999995</v>
      </c>
      <c r="P2563">
        <v>2.6431070000000001E-2</v>
      </c>
      <c r="Q2563">
        <v>0.11548559999999999</v>
      </c>
      <c r="R2563">
        <v>-0.99295789999999995</v>
      </c>
      <c r="S2563">
        <v>8.2977289999999995E-2</v>
      </c>
      <c r="T2563">
        <v>0.851950599999999</v>
      </c>
      <c r="U2563">
        <v>-2.9210509999999998</v>
      </c>
      <c r="V2563">
        <v>-4.5852759999999999E-2</v>
      </c>
      <c r="W2563">
        <v>0.12699059999999901</v>
      </c>
      <c r="X2563">
        <v>0.99084349999999999</v>
      </c>
      <c r="Y2563">
        <v>-4.7412940000000001E-2</v>
      </c>
      <c r="Z2563">
        <v>-0.279698</v>
      </c>
      <c r="AA2563">
        <v>0.95891660000000001</v>
      </c>
      <c r="AB2563">
        <v>33</v>
      </c>
      <c r="AC2563">
        <v>1.79200000000003</v>
      </c>
      <c r="AD2563">
        <v>18.321272</v>
      </c>
      <c r="AE2563">
        <v>-62.510659999999902</v>
      </c>
      <c r="AF2563">
        <v>-2.81093835124291</v>
      </c>
      <c r="AG2563">
        <v>18.321272</v>
      </c>
      <c r="AH2563">
        <v>57.524409699632997</v>
      </c>
      <c r="AI2563">
        <v>72.353298277436394</v>
      </c>
      <c r="AJ2563">
        <v>92.797541063155194</v>
      </c>
      <c r="AK2563">
        <v>60.436976209963603</v>
      </c>
      <c r="AL2563">
        <v>82.704274753316795</v>
      </c>
      <c r="AM2563">
        <v>92.649557331581804</v>
      </c>
      <c r="AN2563">
        <v>0.99999996479011299</v>
      </c>
    </row>
    <row r="2564" spans="1:40" x14ac:dyDescent="0.3">
      <c r="A2564" t="str">
        <f>"20200111150406846"</f>
        <v>20200111150406846</v>
      </c>
      <c r="B2564" t="str">
        <f>"1578726246841067"</f>
        <v>1578726246841067</v>
      </c>
      <c r="C2564" t="s">
        <v>40</v>
      </c>
      <c r="D2564">
        <v>5.3544689999999999</v>
      </c>
      <c r="E2564">
        <v>0.49511880000000003</v>
      </c>
      <c r="F2564" t="s">
        <v>80</v>
      </c>
      <c r="G2564">
        <v>-298.93</v>
      </c>
      <c r="H2564">
        <v>19.312460000000002</v>
      </c>
      <c r="I2564">
        <v>-91.564989999999995</v>
      </c>
      <c r="J2564">
        <v>-301.34280000000001</v>
      </c>
      <c r="K2564">
        <v>1.1024339999999999</v>
      </c>
      <c r="L2564">
        <v>-28.808409999999999</v>
      </c>
      <c r="M2564">
        <v>-2.1668130000000001E-2</v>
      </c>
      <c r="N2564">
        <v>0</v>
      </c>
      <c r="O2564">
        <v>-0.99970049999999999</v>
      </c>
      <c r="P2564">
        <v>2.5614319999999999E-2</v>
      </c>
      <c r="Q2564">
        <v>0.1175746</v>
      </c>
      <c r="R2564">
        <v>-0.99273389999999995</v>
      </c>
      <c r="S2564">
        <v>0.11126709999999999</v>
      </c>
      <c r="T2564">
        <v>0.84279789999999999</v>
      </c>
      <c r="U2564">
        <v>-2.9202880000000002</v>
      </c>
      <c r="V2564">
        <v>-4.6618020000000003E-2</v>
      </c>
      <c r="W2564">
        <v>0.1290364</v>
      </c>
      <c r="X2564">
        <v>0.99054350000000002</v>
      </c>
      <c r="Y2564">
        <v>-5.8229250000000003E-2</v>
      </c>
      <c r="Z2564">
        <v>-0.27685769999999998</v>
      </c>
      <c r="AA2564">
        <v>0.95914500000000003</v>
      </c>
      <c r="AB2564">
        <v>33</v>
      </c>
      <c r="AC2564">
        <v>2.4127999999999998</v>
      </c>
      <c r="AD2564">
        <v>18.210025999999999</v>
      </c>
      <c r="AE2564">
        <v>-62.75658</v>
      </c>
      <c r="AF2564">
        <v>-3.4795960195778699</v>
      </c>
      <c r="AG2564">
        <v>18.210025999999999</v>
      </c>
      <c r="AH2564">
        <v>57.827755759301198</v>
      </c>
      <c r="AI2564">
        <v>72.550366312913894</v>
      </c>
      <c r="AJ2564">
        <v>93.443434285748395</v>
      </c>
      <c r="AK2564">
        <v>60.726946008650302</v>
      </c>
      <c r="AL2564">
        <v>82.586087097515303</v>
      </c>
      <c r="AM2564">
        <v>92.694527167930801</v>
      </c>
      <c r="AN2564">
        <v>1.00000002885296</v>
      </c>
    </row>
    <row r="2565" spans="1:40" x14ac:dyDescent="0.3">
      <c r="A2565" t="str">
        <f>"20200111150406869"</f>
        <v>20200111150406869</v>
      </c>
      <c r="B2565" t="str">
        <f>"1578726246861561"</f>
        <v>1578726246861561</v>
      </c>
      <c r="C2565" t="s">
        <v>40</v>
      </c>
      <c r="D2565">
        <v>5.5292000000000003</v>
      </c>
      <c r="E2565">
        <v>0.50234469999999998</v>
      </c>
      <c r="F2565" t="s">
        <v>80</v>
      </c>
      <c r="G2565">
        <v>-298.83300000000003</v>
      </c>
      <c r="H2565">
        <v>19.136500000000002</v>
      </c>
      <c r="I2565">
        <v>-91.564989999999995</v>
      </c>
      <c r="J2565">
        <v>-301.35090000000002</v>
      </c>
      <c r="K2565">
        <v>1.1027739999999999</v>
      </c>
      <c r="L2565">
        <v>-29.131440000000001</v>
      </c>
      <c r="M2565">
        <v>-2.2685250000000001E-2</v>
      </c>
      <c r="N2565">
        <v>0</v>
      </c>
      <c r="O2565">
        <v>-0.99967830000000002</v>
      </c>
      <c r="P2565">
        <v>2.5149370000000001E-2</v>
      </c>
      <c r="Q2565">
        <v>0.11850719999999999</v>
      </c>
      <c r="R2565">
        <v>-0.99263500000000005</v>
      </c>
      <c r="S2565">
        <v>0.1167603</v>
      </c>
      <c r="T2565">
        <v>0.83898869999999903</v>
      </c>
      <c r="U2565">
        <v>-2.9195859999999998</v>
      </c>
      <c r="V2565">
        <v>-4.7258599999999998E-2</v>
      </c>
      <c r="W2565">
        <v>0.12992909999999999</v>
      </c>
      <c r="X2565">
        <v>0.99039639999999995</v>
      </c>
      <c r="Y2565">
        <v>-6.1068169999999998E-2</v>
      </c>
      <c r="Z2565">
        <v>-0.27572099999999999</v>
      </c>
      <c r="AA2565">
        <v>0.95929589999999998</v>
      </c>
      <c r="AB2565">
        <v>33</v>
      </c>
      <c r="AC2565">
        <v>2.5179000000000502</v>
      </c>
      <c r="AD2565">
        <v>18.033726000000001</v>
      </c>
      <c r="AE2565">
        <v>-62.433549999999997</v>
      </c>
      <c r="AF2565">
        <v>-3.6311962116835299</v>
      </c>
      <c r="AG2565">
        <v>18.033726000000001</v>
      </c>
      <c r="AH2565">
        <v>57.565340987709597</v>
      </c>
      <c r="AI2565">
        <v>72.638009512430997</v>
      </c>
      <c r="AJ2565">
        <v>93.609410144697407</v>
      </c>
      <c r="AK2565">
        <v>60.433180806590798</v>
      </c>
      <c r="AL2565">
        <v>82.534504610418097</v>
      </c>
      <c r="AM2565">
        <v>92.731902157958402</v>
      </c>
      <c r="AN2565">
        <v>0.99999998771686405</v>
      </c>
    </row>
    <row r="2566" spans="1:40" x14ac:dyDescent="0.3">
      <c r="A2566" t="str">
        <f>"20200111150406890"</f>
        <v>20200111150406890</v>
      </c>
      <c r="B2566" t="str">
        <f>"1578726246881081"</f>
        <v>1578726246881081</v>
      </c>
      <c r="C2566" t="s">
        <v>40</v>
      </c>
      <c r="D2566">
        <v>6.022767</v>
      </c>
      <c r="E2566">
        <v>0.50234469999999998</v>
      </c>
      <c r="F2566" t="s">
        <v>72</v>
      </c>
      <c r="G2566">
        <v>-301.03359999999998</v>
      </c>
      <c r="H2566" s="1">
        <v>-3.6333119999999999E-6</v>
      </c>
      <c r="I2566">
        <v>-46.157519999999998</v>
      </c>
      <c r="J2566">
        <v>-301.35890000000001</v>
      </c>
      <c r="K2566">
        <v>1.1030979999999999</v>
      </c>
      <c r="L2566">
        <v>-29.451779999999999</v>
      </c>
      <c r="M2566">
        <v>-2.3280140000000001E-2</v>
      </c>
      <c r="N2566">
        <v>0</v>
      </c>
      <c r="O2566">
        <v>-0.99966460000000001</v>
      </c>
      <c r="P2566">
        <v>2.596509E-2</v>
      </c>
      <c r="Q2566">
        <v>0.11839479999999999</v>
      </c>
      <c r="R2566">
        <v>-0.99262729999999999</v>
      </c>
      <c r="S2566">
        <v>5.673218E-2</v>
      </c>
      <c r="T2566">
        <v>-0.19718359999999999</v>
      </c>
      <c r="U2566">
        <v>-3.0443730000000002</v>
      </c>
      <c r="V2566">
        <v>-4.8765070000000001E-2</v>
      </c>
      <c r="W2566">
        <v>0.1297788</v>
      </c>
      <c r="X2566">
        <v>0.99034310000000003</v>
      </c>
      <c r="Y2566">
        <v>-4.1865489999999998E-2</v>
      </c>
      <c r="Z2566">
        <v>6.4574259999999994E-2</v>
      </c>
      <c r="AA2566">
        <v>0.99703430000000004</v>
      </c>
      <c r="AB2566">
        <v>33</v>
      </c>
      <c r="AC2566">
        <v>0.32530000000002601</v>
      </c>
      <c r="AD2566">
        <v>-1.1031016333119901</v>
      </c>
      <c r="AE2566">
        <v>-16.705739999999999</v>
      </c>
      <c r="AF2566">
        <v>-0.71104972994518101</v>
      </c>
      <c r="AG2566">
        <v>-1.1031016333119901</v>
      </c>
      <c r="AH2566">
        <v>16.621195190439199</v>
      </c>
      <c r="AI2566">
        <v>93.793530801741099</v>
      </c>
      <c r="AJ2566">
        <v>92.449602597942103</v>
      </c>
      <c r="AK2566">
        <v>16.672928791623502</v>
      </c>
      <c r="AL2566">
        <v>82.543189886443201</v>
      </c>
      <c r="AM2566">
        <v>92.819000615479197</v>
      </c>
      <c r="AN2566">
        <v>1.00000001234957</v>
      </c>
    </row>
    <row r="2567" spans="1:40" x14ac:dyDescent="0.3">
      <c r="A2567" t="str">
        <f>"20200111150406913"</f>
        <v>20200111150406913</v>
      </c>
      <c r="B2567" t="str">
        <f>"1578726246901577"</f>
        <v>1578726246901577</v>
      </c>
      <c r="C2567" t="s">
        <v>40</v>
      </c>
      <c r="D2567">
        <v>6.1403879999999997</v>
      </c>
      <c r="E2567">
        <v>0.50069399999999997</v>
      </c>
      <c r="F2567" t="s">
        <v>72</v>
      </c>
      <c r="G2567">
        <v>-301.03190000000001</v>
      </c>
      <c r="H2567" s="1">
        <v>-3.784412E-6</v>
      </c>
      <c r="I2567">
        <v>-46.454270000000001</v>
      </c>
      <c r="J2567">
        <v>-301.36689999999999</v>
      </c>
      <c r="K2567">
        <v>1.1034389999999901</v>
      </c>
      <c r="L2567">
        <v>-29.77805</v>
      </c>
      <c r="M2567">
        <v>-2.3468449999999998E-2</v>
      </c>
      <c r="N2567">
        <v>0</v>
      </c>
      <c r="O2567">
        <v>-0.99965999999999999</v>
      </c>
      <c r="P2567">
        <v>2.8184319999999999E-2</v>
      </c>
      <c r="Q2567">
        <v>0.1184041</v>
      </c>
      <c r="R2567">
        <v>-0.99256560000000005</v>
      </c>
      <c r="S2567">
        <v>5.8563230000000001E-2</v>
      </c>
      <c r="T2567">
        <v>-0.1975114</v>
      </c>
      <c r="U2567">
        <v>-3.0443120000000001</v>
      </c>
      <c r="V2567">
        <v>-5.127313E-2</v>
      </c>
      <c r="W2567">
        <v>0.129749</v>
      </c>
      <c r="X2567">
        <v>0.99022030000000005</v>
      </c>
      <c r="Y2567">
        <v>-4.2653400000000001E-2</v>
      </c>
      <c r="Z2567">
        <v>6.4680550000000003E-2</v>
      </c>
      <c r="AA2567">
        <v>0.99699400000000005</v>
      </c>
      <c r="AB2567">
        <v>33</v>
      </c>
      <c r="AC2567">
        <v>0.33499999999997898</v>
      </c>
      <c r="AD2567">
        <v>-1.1034427844119901</v>
      </c>
      <c r="AE2567">
        <v>-16.676220000000001</v>
      </c>
      <c r="AF2567">
        <v>-0.72313321629118299</v>
      </c>
      <c r="AG2567">
        <v>-1.1034427844119901</v>
      </c>
      <c r="AH2567">
        <v>16.591152415737898</v>
      </c>
      <c r="AI2567">
        <v>93.801420143963597</v>
      </c>
      <c r="AJ2567">
        <v>92.495684073567006</v>
      </c>
      <c r="AK2567">
        <v>16.6435226472409</v>
      </c>
      <c r="AL2567">
        <v>82.5449116902345</v>
      </c>
      <c r="AM2567">
        <v>92.964100711654396</v>
      </c>
      <c r="AN2567">
        <v>0.99999998969654302</v>
      </c>
    </row>
    <row r="2568" spans="1:40" x14ac:dyDescent="0.3">
      <c r="A2568" t="str">
        <f>"20200111150406935"</f>
        <v>20200111150406935</v>
      </c>
      <c r="B2568" t="str">
        <f>"1578726246930856"</f>
        <v>1578726246930856</v>
      </c>
      <c r="C2568" t="s">
        <v>40</v>
      </c>
      <c r="D2568">
        <v>6.9425369999999997</v>
      </c>
      <c r="E2568">
        <v>0.46728500000000001</v>
      </c>
      <c r="F2568" t="s">
        <v>72</v>
      </c>
      <c r="G2568">
        <v>-300.97359999999998</v>
      </c>
      <c r="H2568" s="1">
        <v>-3.0877219999999999E-6</v>
      </c>
      <c r="I2568">
        <v>-45.021389999999997</v>
      </c>
      <c r="J2568">
        <v>-301.37470000000002</v>
      </c>
      <c r="K2568">
        <v>1.1037570000000001</v>
      </c>
      <c r="L2568">
        <v>-30.107939999999999</v>
      </c>
      <c r="M2568">
        <v>-2.3300169999999999E-2</v>
      </c>
      <c r="N2568">
        <v>0</v>
      </c>
      <c r="O2568">
        <v>-0.999664</v>
      </c>
      <c r="P2568">
        <v>3.0126150000000001E-2</v>
      </c>
      <c r="Q2568">
        <v>0.11907760000000001</v>
      </c>
      <c r="R2568">
        <v>-0.99242810000000004</v>
      </c>
      <c r="S2568">
        <v>7.8613279999999994E-2</v>
      </c>
      <c r="T2568">
        <v>-0.22053429999999999</v>
      </c>
      <c r="U2568">
        <v>-3.0465390000000001</v>
      </c>
      <c r="V2568">
        <v>-5.3145020000000001E-2</v>
      </c>
      <c r="W2568">
        <v>0.13038060000000001</v>
      </c>
      <c r="X2568">
        <v>0.99003859999999999</v>
      </c>
      <c r="Y2568">
        <v>-4.9015240000000002E-2</v>
      </c>
      <c r="Z2568">
        <v>7.2114819999999996E-2</v>
      </c>
      <c r="AA2568">
        <v>0.99619120000000005</v>
      </c>
      <c r="AB2568">
        <v>33</v>
      </c>
      <c r="AC2568">
        <v>0.40110000000004198</v>
      </c>
      <c r="AD2568">
        <v>-1.103760087722</v>
      </c>
      <c r="AE2568">
        <v>-14.913449999999999</v>
      </c>
      <c r="AF2568">
        <v>-0.744424686810221</v>
      </c>
      <c r="AG2568">
        <v>-1.103760087722</v>
      </c>
      <c r="AH2568">
        <v>14.8189403075058</v>
      </c>
      <c r="AI2568">
        <v>94.254354783014904</v>
      </c>
      <c r="AJ2568">
        <v>92.875817566274705</v>
      </c>
      <c r="AK2568">
        <v>14.8786238033966</v>
      </c>
      <c r="AL2568">
        <v>82.508413431464206</v>
      </c>
      <c r="AM2568">
        <v>93.072673803440097</v>
      </c>
      <c r="AN2568">
        <v>0.99999996174855899</v>
      </c>
    </row>
    <row r="2569" spans="1:40" x14ac:dyDescent="0.3">
      <c r="A2569" t="str">
        <f>"20200111150406958"</f>
        <v>20200111150406958</v>
      </c>
      <c r="B2569" t="str">
        <f>"1578726246951352"</f>
        <v>1578726246951352</v>
      </c>
      <c r="C2569" t="s">
        <v>40</v>
      </c>
      <c r="D2569">
        <v>5.1864990000000004</v>
      </c>
      <c r="E2569">
        <v>0.48071920000000001</v>
      </c>
      <c r="F2569" t="s">
        <v>80</v>
      </c>
      <c r="G2569">
        <v>-293.91759999999999</v>
      </c>
      <c r="H2569">
        <v>23.503039999999999</v>
      </c>
      <c r="I2569">
        <v>-91.564989999999995</v>
      </c>
      <c r="J2569">
        <v>-301.38209999999998</v>
      </c>
      <c r="K2569">
        <v>1.104088</v>
      </c>
      <c r="L2569">
        <v>-30.440249999999999</v>
      </c>
      <c r="M2569">
        <v>-2.2717279999999999E-2</v>
      </c>
      <c r="N2569">
        <v>0</v>
      </c>
      <c r="O2569">
        <v>-0.99967740000000005</v>
      </c>
      <c r="P2569">
        <v>3.1468450000000002E-2</v>
      </c>
      <c r="Q2569">
        <v>0.1189938</v>
      </c>
      <c r="R2569">
        <v>-0.99239639999999996</v>
      </c>
      <c r="S2569">
        <v>0.35018919999999998</v>
      </c>
      <c r="T2569">
        <v>1.0518799999999999</v>
      </c>
      <c r="U2569">
        <v>-2.886047</v>
      </c>
      <c r="V2569">
        <v>-5.4015029999999999E-2</v>
      </c>
      <c r="W2569">
        <v>0.13025200000000001</v>
      </c>
      <c r="X2569">
        <v>0.99000849999999996</v>
      </c>
      <c r="Y2569">
        <v>-0.1358095</v>
      </c>
      <c r="Z2569">
        <v>-0.3396055</v>
      </c>
      <c r="AA2569">
        <v>0.93071150000000002</v>
      </c>
      <c r="AB2569">
        <v>33</v>
      </c>
      <c r="AC2569">
        <v>7.4644999999999797</v>
      </c>
      <c r="AD2569">
        <v>22.398952000000001</v>
      </c>
      <c r="AE2569">
        <v>-61.124740000000003</v>
      </c>
      <c r="AF2569">
        <v>-7.8169858176884599</v>
      </c>
      <c r="AG2569">
        <v>22.398952000000001</v>
      </c>
      <c r="AH2569">
        <v>53.818638173846701</v>
      </c>
      <c r="AI2569">
        <v>67.614641220773706</v>
      </c>
      <c r="AJ2569">
        <v>98.264237036172602</v>
      </c>
      <c r="AK2569">
        <v>58.815509288449398</v>
      </c>
      <c r="AL2569">
        <v>82.515845469601402</v>
      </c>
      <c r="AM2569">
        <v>93.122970974876907</v>
      </c>
      <c r="AN2569">
        <v>1.00000001852107</v>
      </c>
    </row>
    <row r="2570" spans="1:40" x14ac:dyDescent="0.3">
      <c r="A2570" t="str">
        <f>"20200111150406980"</f>
        <v>20200111150406980</v>
      </c>
      <c r="B2570" t="str">
        <f>"1578726246970873"</f>
        <v>1578726246970873</v>
      </c>
      <c r="C2570" t="s">
        <v>40</v>
      </c>
      <c r="D2570">
        <v>5.3562260000000004</v>
      </c>
      <c r="E2570">
        <v>0.49904320000000002</v>
      </c>
      <c r="F2570" t="s">
        <v>80</v>
      </c>
      <c r="G2570">
        <v>-296.20409999999998</v>
      </c>
      <c r="H2570">
        <v>22.93946</v>
      </c>
      <c r="I2570">
        <v>-91.564989999999995</v>
      </c>
      <c r="J2570">
        <v>-301.38889999999998</v>
      </c>
      <c r="K2570">
        <v>1.1044689999999999</v>
      </c>
      <c r="L2570">
        <v>-30.767209999999999</v>
      </c>
      <c r="M2570">
        <v>-2.1661199999999999E-2</v>
      </c>
      <c r="N2570">
        <v>0</v>
      </c>
      <c r="O2570">
        <v>-0.9997009</v>
      </c>
      <c r="P2570">
        <v>3.1835950000000002E-2</v>
      </c>
      <c r="Q2570">
        <v>0.11984350000000001</v>
      </c>
      <c r="R2570">
        <v>-0.99228249999999996</v>
      </c>
      <c r="S2570">
        <v>0.24493409999999999</v>
      </c>
      <c r="T2570">
        <v>1.03287</v>
      </c>
      <c r="U2570">
        <v>-2.8913570000000002</v>
      </c>
      <c r="V2570">
        <v>-5.3454170000000002E-2</v>
      </c>
      <c r="W2570">
        <v>0.1310538</v>
      </c>
      <c r="X2570">
        <v>0.98993310000000001</v>
      </c>
      <c r="Y2570">
        <v>-0.1010968</v>
      </c>
      <c r="Z2570">
        <v>-0.33488790000000002</v>
      </c>
      <c r="AA2570">
        <v>0.93681879999999995</v>
      </c>
      <c r="AB2570">
        <v>33</v>
      </c>
      <c r="AC2570">
        <v>5.1847999999999903</v>
      </c>
      <c r="AD2570">
        <v>21.834990999999999</v>
      </c>
      <c r="AE2570">
        <v>-60.797780000000003</v>
      </c>
      <c r="AF2570">
        <v>-5.7627004974740599</v>
      </c>
      <c r="AG2570">
        <v>21.834990999999999</v>
      </c>
      <c r="AH2570">
        <v>53.784081816093497</v>
      </c>
      <c r="AI2570">
        <v>68.017817571003206</v>
      </c>
      <c r="AJ2570">
        <v>96.115630269524004</v>
      </c>
      <c r="AK2570">
        <v>58.332692427093598</v>
      </c>
      <c r="AL2570">
        <v>82.469508339815803</v>
      </c>
      <c r="AM2570">
        <v>93.090842037031507</v>
      </c>
      <c r="AN2570">
        <v>0.99999999463021905</v>
      </c>
    </row>
    <row r="2571" spans="1:40" x14ac:dyDescent="0.3">
      <c r="A2571" t="str">
        <f>"20200111150407026"</f>
        <v>20200111150407026</v>
      </c>
      <c r="B2571" t="str">
        <f>"1578726247020649"</f>
        <v>1578726247020649</v>
      </c>
      <c r="C2571" t="s">
        <v>40</v>
      </c>
      <c r="D2571">
        <v>5.3953709999999999</v>
      </c>
      <c r="E2571">
        <v>0.48447269999999998</v>
      </c>
      <c r="F2571" t="s">
        <v>72</v>
      </c>
      <c r="G2571">
        <v>-300.9307</v>
      </c>
      <c r="H2571" s="1">
        <v>-2.3139340000000001E-6</v>
      </c>
      <c r="I2571">
        <v>-43.813420000000001</v>
      </c>
      <c r="J2571">
        <v>-301.39949999999999</v>
      </c>
      <c r="K2571">
        <v>1.1055010000000001</v>
      </c>
      <c r="L2571">
        <v>-31.434539999999998</v>
      </c>
      <c r="M2571">
        <v>-1.7757269999999999E-2</v>
      </c>
      <c r="N2571">
        <v>0</v>
      </c>
      <c r="O2571">
        <v>-0.99977769999999999</v>
      </c>
      <c r="P2571">
        <v>2.930083E-2</v>
      </c>
      <c r="Q2571">
        <v>0.1238838</v>
      </c>
      <c r="R2571">
        <v>-0.99186430000000003</v>
      </c>
      <c r="S2571">
        <v>0.1071472</v>
      </c>
      <c r="T2571">
        <v>-0.25830029999999998</v>
      </c>
      <c r="U2571">
        <v>-3.0510860000000002</v>
      </c>
      <c r="V2571">
        <v>-4.7370200000000001E-2</v>
      </c>
      <c r="W2571">
        <v>0.13500619999999999</v>
      </c>
      <c r="X2571">
        <v>0.98971180000000003</v>
      </c>
      <c r="Y2571">
        <v>-5.271319E-2</v>
      </c>
      <c r="Z2571">
        <v>8.4252309999999997E-2</v>
      </c>
      <c r="AA2571">
        <v>0.99504919999999997</v>
      </c>
      <c r="AB2571">
        <v>33</v>
      </c>
      <c r="AC2571">
        <v>0.468799999999987</v>
      </c>
      <c r="AD2571">
        <v>-1.105503313934</v>
      </c>
      <c r="AE2571">
        <v>-12.378880000000001</v>
      </c>
      <c r="AF2571">
        <v>-0.68311501807089803</v>
      </c>
      <c r="AG2571">
        <v>-1.105503313934</v>
      </c>
      <c r="AH2571">
        <v>12.2708766910762</v>
      </c>
      <c r="AI2571">
        <v>95.140056590161905</v>
      </c>
      <c r="AJ2571">
        <v>93.186345267455295</v>
      </c>
      <c r="AK2571">
        <v>12.3394974967634</v>
      </c>
      <c r="AL2571">
        <v>82.241021817710205</v>
      </c>
      <c r="AM2571">
        <v>92.740234939980894</v>
      </c>
      <c r="AN2571">
        <v>1.0000000284728501</v>
      </c>
    </row>
    <row r="2572" spans="1:40" x14ac:dyDescent="0.3">
      <c r="A2572" t="str">
        <f>"20200111150407049"</f>
        <v>20200111150407049</v>
      </c>
      <c r="B2572" t="str">
        <f>"1578726247041145"</f>
        <v>1578726247041145</v>
      </c>
      <c r="C2572" t="s">
        <v>40</v>
      </c>
      <c r="D2572">
        <v>6.9672190000000001</v>
      </c>
      <c r="E2572">
        <v>0.49050070000000001</v>
      </c>
      <c r="F2572" t="s">
        <v>80</v>
      </c>
      <c r="G2572">
        <v>-297.13499999999999</v>
      </c>
      <c r="H2572">
        <v>18.362300000000001</v>
      </c>
      <c r="I2572">
        <v>-91.564989999999995</v>
      </c>
      <c r="J2572">
        <v>-301.40300000000002</v>
      </c>
      <c r="K2572">
        <v>1.1060989999999999</v>
      </c>
      <c r="L2572">
        <v>-31.775089999999999</v>
      </c>
      <c r="M2572">
        <v>-1.479074E-2</v>
      </c>
      <c r="N2572">
        <v>0</v>
      </c>
      <c r="O2572">
        <v>-0.99982570000000004</v>
      </c>
      <c r="P2572">
        <v>2.814034E-2</v>
      </c>
      <c r="Q2572">
        <v>0.12558130000000001</v>
      </c>
      <c r="R2572">
        <v>-0.99168440000000002</v>
      </c>
      <c r="S2572">
        <v>0.20666499999999999</v>
      </c>
      <c r="T2572">
        <v>0.83629699999999996</v>
      </c>
      <c r="U2572">
        <v>-2.9140320000000002</v>
      </c>
      <c r="V2572">
        <v>-4.3462099999999997E-2</v>
      </c>
      <c r="W2572">
        <v>0.13667760000000001</v>
      </c>
      <c r="X2572">
        <v>0.98966169999999998</v>
      </c>
      <c r="Y2572">
        <v>-8.2760650000000005E-2</v>
      </c>
      <c r="Z2572">
        <v>-0.2750146</v>
      </c>
      <c r="AA2572">
        <v>0.95787140000000004</v>
      </c>
      <c r="AB2572">
        <v>33</v>
      </c>
      <c r="AC2572">
        <v>4.2680000000000202</v>
      </c>
      <c r="AD2572">
        <v>17.256201000000001</v>
      </c>
      <c r="AE2572">
        <v>-59.789900000000003</v>
      </c>
      <c r="AF2572">
        <v>-4.7576348706398202</v>
      </c>
      <c r="AG2572">
        <v>17.256201000000001</v>
      </c>
      <c r="AH2572">
        <v>55.149659528759202</v>
      </c>
      <c r="AI2572">
        <v>72.685663174648496</v>
      </c>
      <c r="AJ2572">
        <v>94.930568617095801</v>
      </c>
      <c r="AK2572">
        <v>57.9818636183142</v>
      </c>
      <c r="AL2572">
        <v>82.144361432458496</v>
      </c>
      <c r="AM2572">
        <v>92.514592475728406</v>
      </c>
      <c r="AN2572">
        <v>1.00000000046253</v>
      </c>
    </row>
    <row r="2573" spans="1:40" x14ac:dyDescent="0.3">
      <c r="A2573" t="str">
        <f>"20200111150407071"</f>
        <v>20200111150407071</v>
      </c>
      <c r="B2573" t="str">
        <f>"1578726247060665"</f>
        <v>1578726247060665</v>
      </c>
      <c r="C2573" t="s">
        <v>40</v>
      </c>
      <c r="D2573">
        <v>5.6236790000000001</v>
      </c>
      <c r="E2573">
        <v>0.4955273</v>
      </c>
      <c r="F2573" t="s">
        <v>80</v>
      </c>
      <c r="G2573">
        <v>-298.21010000000001</v>
      </c>
      <c r="H2573">
        <v>17.934760000000001</v>
      </c>
      <c r="I2573">
        <v>-91.564989999999995</v>
      </c>
      <c r="J2573">
        <v>-301.40449999999998</v>
      </c>
      <c r="K2573">
        <v>1.1066480000000001</v>
      </c>
      <c r="L2573">
        <v>-32.100009999999997</v>
      </c>
      <c r="M2573">
        <v>-1.127684E-2</v>
      </c>
      <c r="N2573">
        <v>0</v>
      </c>
      <c r="O2573">
        <v>-0.99987110000000001</v>
      </c>
      <c r="P2573">
        <v>2.9773029999999999E-2</v>
      </c>
      <c r="Q2573">
        <v>0.1275241</v>
      </c>
      <c r="R2573">
        <v>-0.99138870000000001</v>
      </c>
      <c r="S2573">
        <v>0.1557617</v>
      </c>
      <c r="T2573">
        <v>0.82096669999999905</v>
      </c>
      <c r="U2573">
        <v>-2.916779</v>
      </c>
      <c r="V2573">
        <v>-4.1796760000000002E-2</v>
      </c>
      <c r="W2573">
        <v>0.13859649999999901</v>
      </c>
      <c r="X2573">
        <v>0.98946650000000003</v>
      </c>
      <c r="Y2573">
        <v>-6.2596079999999998E-2</v>
      </c>
      <c r="Z2573">
        <v>-0.27046479999999901</v>
      </c>
      <c r="AA2573">
        <v>0.96069280000000001</v>
      </c>
      <c r="AB2573">
        <v>33</v>
      </c>
      <c r="AC2573">
        <v>3.1943999999999702</v>
      </c>
      <c r="AD2573">
        <v>16.828112000000001</v>
      </c>
      <c r="AE2573">
        <v>-59.464979999999997</v>
      </c>
      <c r="AF2573">
        <v>-3.5790186914366702</v>
      </c>
      <c r="AG2573">
        <v>16.828112000000001</v>
      </c>
      <c r="AH2573">
        <v>55.030746968528398</v>
      </c>
      <c r="AI2573">
        <v>73.0304291269902</v>
      </c>
      <c r="AJ2573">
        <v>93.721088405354294</v>
      </c>
      <c r="AK2573">
        <v>57.6574179112488</v>
      </c>
      <c r="AL2573">
        <v>82.033359763539195</v>
      </c>
      <c r="AM2573">
        <v>92.418833871084502</v>
      </c>
      <c r="AN2573">
        <v>0.99999995679049702</v>
      </c>
    </row>
    <row r="2574" spans="1:40" x14ac:dyDescent="0.3">
      <c r="A2574" t="str">
        <f>"20200111150407092"</f>
        <v>20200111150407092</v>
      </c>
      <c r="B2574" t="str">
        <f>"1578726247081161"</f>
        <v>1578726247081161</v>
      </c>
      <c r="C2574" t="s">
        <v>40</v>
      </c>
      <c r="D2574">
        <v>5.4681769999999998</v>
      </c>
      <c r="E2574">
        <v>0.47723939999999998</v>
      </c>
      <c r="F2574" t="s">
        <v>72</v>
      </c>
      <c r="G2574">
        <v>-300.66379999999998</v>
      </c>
      <c r="H2574" s="1">
        <v>-5.2314560000000003E-6</v>
      </c>
      <c r="I2574">
        <v>-49.336129999999997</v>
      </c>
      <c r="J2574">
        <v>-301.40429999999998</v>
      </c>
      <c r="K2574">
        <v>1.107121</v>
      </c>
      <c r="L2574">
        <v>-32.417819999999999</v>
      </c>
      <c r="M2574">
        <v>-7.3496709999999899E-3</v>
      </c>
      <c r="N2574">
        <v>0</v>
      </c>
      <c r="O2574">
        <v>-0.9999074</v>
      </c>
      <c r="P2574">
        <v>3.3565390000000001E-2</v>
      </c>
      <c r="Q2574">
        <v>0.12972439999999999</v>
      </c>
      <c r="R2574">
        <v>-0.99098189999999997</v>
      </c>
      <c r="S2574">
        <v>0.13095090000000001</v>
      </c>
      <c r="T2574">
        <v>-0.19565340000000001</v>
      </c>
      <c r="U2574">
        <v>-3.0473020000000002</v>
      </c>
      <c r="V2574">
        <v>-4.1865409999999999E-2</v>
      </c>
      <c r="W2574">
        <v>0.14076939999999999</v>
      </c>
      <c r="X2574">
        <v>0.98915679999999995</v>
      </c>
      <c r="Y2574">
        <v>-5.0187299999999997E-2</v>
      </c>
      <c r="Z2574">
        <v>6.4001130000000003E-2</v>
      </c>
      <c r="AA2574">
        <v>0.99668710000000005</v>
      </c>
      <c r="AB2574">
        <v>33</v>
      </c>
      <c r="AC2574">
        <v>0.74049999999999705</v>
      </c>
      <c r="AD2574">
        <v>-1.107126231456</v>
      </c>
      <c r="AE2574">
        <v>-16.918309999999899</v>
      </c>
      <c r="AF2574">
        <v>-0.86115148034949995</v>
      </c>
      <c r="AG2574">
        <v>-1.107126231456</v>
      </c>
      <c r="AH2574">
        <v>16.8404317752479</v>
      </c>
      <c r="AI2574">
        <v>93.756441183625299</v>
      </c>
      <c r="AJ2574">
        <v>92.927324364493899</v>
      </c>
      <c r="AK2574">
        <v>16.898741158478799</v>
      </c>
      <c r="AL2574">
        <v>81.907629095725596</v>
      </c>
      <c r="AM2574">
        <v>92.423559669902602</v>
      </c>
      <c r="AN2574">
        <v>0.99999995575853295</v>
      </c>
    </row>
    <row r="2575" spans="1:40" x14ac:dyDescent="0.3">
      <c r="A2575" t="str">
        <f>"20200111150407117"</f>
        <v>20200111150407117</v>
      </c>
      <c r="B2575" t="str">
        <f>"1578726247111417"</f>
        <v>1578726247111417</v>
      </c>
      <c r="C2575" t="s">
        <v>40</v>
      </c>
      <c r="D2575">
        <v>6.0070889999999997</v>
      </c>
      <c r="E2575">
        <v>0.47711609999999999</v>
      </c>
      <c r="F2575" t="s">
        <v>80</v>
      </c>
      <c r="G2575">
        <v>-295.79579999999999</v>
      </c>
      <c r="H2575">
        <v>18.22194</v>
      </c>
      <c r="I2575">
        <v>-91.564989999999995</v>
      </c>
      <c r="J2575">
        <v>-301.40210000000002</v>
      </c>
      <c r="K2575">
        <v>1.1075710000000001</v>
      </c>
      <c r="L2575">
        <v>-32.773499999999999</v>
      </c>
      <c r="M2575">
        <v>-2.407663E-3</v>
      </c>
      <c r="N2575">
        <v>0</v>
      </c>
      <c r="O2575">
        <v>-0.99993120000000002</v>
      </c>
      <c r="P2575">
        <v>3.9480059999999997E-2</v>
      </c>
      <c r="Q2575">
        <v>0.1309109</v>
      </c>
      <c r="R2575">
        <v>-0.99060760000000003</v>
      </c>
      <c r="S2575">
        <v>0.27572629999999998</v>
      </c>
      <c r="T2575">
        <v>0.84140349999999997</v>
      </c>
      <c r="U2575">
        <v>-2.9078059999999999</v>
      </c>
      <c r="V2575">
        <v>-4.3046830000000001E-2</v>
      </c>
      <c r="W2575">
        <v>0.14191979999999901</v>
      </c>
      <c r="X2575">
        <v>0.98894170000000003</v>
      </c>
      <c r="Y2575">
        <v>-9.3108070000000001E-2</v>
      </c>
      <c r="Z2575">
        <v>-0.276779099999999</v>
      </c>
      <c r="AA2575">
        <v>0.95641209999999999</v>
      </c>
      <c r="AB2575">
        <v>33</v>
      </c>
      <c r="AC2575">
        <v>5.6063000000000303</v>
      </c>
      <c r="AD2575">
        <v>17.114369</v>
      </c>
      <c r="AE2575">
        <v>-58.791490000000003</v>
      </c>
      <c r="AF2575">
        <v>-5.3025497707291596</v>
      </c>
      <c r="AG2575">
        <v>17.114369</v>
      </c>
      <c r="AH2575">
        <v>54.224221122787</v>
      </c>
      <c r="AI2575">
        <v>72.561252473197101</v>
      </c>
      <c r="AJ2575">
        <v>95.585157396578495</v>
      </c>
      <c r="AK2575">
        <v>57.107659877744297</v>
      </c>
      <c r="AL2575">
        <v>81.841047714313603</v>
      </c>
      <c r="AM2575">
        <v>92.492407540214302</v>
      </c>
      <c r="AN2575">
        <v>0.99999997260198903</v>
      </c>
    </row>
    <row r="2576" spans="1:40" x14ac:dyDescent="0.3">
      <c r="A2576" t="str">
        <f>"20200111150407141"</f>
        <v>20200111150407141</v>
      </c>
      <c r="B2576" t="str">
        <f>"1578726247130937"</f>
        <v>1578726247130937</v>
      </c>
      <c r="C2576" t="s">
        <v>40</v>
      </c>
      <c r="D2576">
        <v>6.024724</v>
      </c>
      <c r="E2576">
        <v>0.49130869999999999</v>
      </c>
      <c r="F2576" t="s">
        <v>80</v>
      </c>
      <c r="G2576">
        <v>-295.48989999999998</v>
      </c>
      <c r="H2576">
        <v>19.086390000000002</v>
      </c>
      <c r="I2576">
        <v>-91.564989999999995</v>
      </c>
      <c r="J2576">
        <v>-301.39769999999999</v>
      </c>
      <c r="K2576">
        <v>1.107982</v>
      </c>
      <c r="L2576">
        <v>-33.132510000000003</v>
      </c>
      <c r="M2576">
        <v>3.1178270000000001E-3</v>
      </c>
      <c r="N2576">
        <v>0</v>
      </c>
      <c r="O2576">
        <v>-0.99992899999999996</v>
      </c>
      <c r="P2576">
        <v>4.6705690000000001E-2</v>
      </c>
      <c r="Q2576">
        <v>0.12897239999999999</v>
      </c>
      <c r="R2576">
        <v>-0.99054770000000003</v>
      </c>
      <c r="S2576">
        <v>0.29159550000000001</v>
      </c>
      <c r="T2576">
        <v>0.88673459999999904</v>
      </c>
      <c r="U2576">
        <v>-2.8996580000000001</v>
      </c>
      <c r="V2576">
        <v>-4.492645E-2</v>
      </c>
      <c r="W2576">
        <v>0.1399437</v>
      </c>
      <c r="X2576">
        <v>0.98913969999999996</v>
      </c>
      <c r="Y2576">
        <v>-9.2620449999999993E-2</v>
      </c>
      <c r="Z2576">
        <v>-0.29113699999999998</v>
      </c>
      <c r="AA2576">
        <v>0.95218740000000002</v>
      </c>
      <c r="AB2576">
        <v>33</v>
      </c>
      <c r="AC2576">
        <v>5.9077999999999999</v>
      </c>
      <c r="AD2576">
        <v>17.978407999999899</v>
      </c>
      <c r="AE2576">
        <v>-58.432479999999998</v>
      </c>
      <c r="AF2576">
        <v>-5.2350138885430502</v>
      </c>
      <c r="AG2576">
        <v>17.978407999999899</v>
      </c>
      <c r="AH2576">
        <v>53.442613232055599</v>
      </c>
      <c r="AI2576">
        <v>71.489278173438805</v>
      </c>
      <c r="AJ2576">
        <v>95.594605384402001</v>
      </c>
      <c r="AK2576">
        <v>56.628097563831197</v>
      </c>
      <c r="AL2576">
        <v>81.955411460150998</v>
      </c>
      <c r="AM2576">
        <v>92.600571065106493</v>
      </c>
      <c r="AN2576">
        <v>0.99999998559769099</v>
      </c>
    </row>
    <row r="2577" spans="1:40" x14ac:dyDescent="0.3">
      <c r="A2577" t="str">
        <f>"20200111150407162"</f>
        <v>20200111150407162</v>
      </c>
      <c r="B2577" t="str">
        <f>"1578726247151433"</f>
        <v>1578726247151433</v>
      </c>
      <c r="C2577" t="s">
        <v>40</v>
      </c>
      <c r="D2577">
        <v>5.5461450000000001</v>
      </c>
      <c r="E2577">
        <v>0.47140769999999999</v>
      </c>
      <c r="F2577" t="s">
        <v>80</v>
      </c>
      <c r="G2577">
        <v>-298.11439999999999</v>
      </c>
      <c r="H2577">
        <v>7.1883029999999897</v>
      </c>
      <c r="I2577">
        <v>-79.671169999999904</v>
      </c>
      <c r="J2577">
        <v>-301.39210000000003</v>
      </c>
      <c r="K2577">
        <v>1.1083080000000001</v>
      </c>
      <c r="L2577">
        <v>-33.430999999999997</v>
      </c>
      <c r="M2577">
        <v>8.1193910000000001E-3</v>
      </c>
      <c r="N2577">
        <v>0</v>
      </c>
      <c r="O2577">
        <v>-0.99990080000000003</v>
      </c>
      <c r="P2577">
        <v>5.4540760000000001E-2</v>
      </c>
      <c r="Q2577">
        <v>0.126405399999999</v>
      </c>
      <c r="R2577">
        <v>-0.99047819999999998</v>
      </c>
      <c r="S2577">
        <v>0.2094116</v>
      </c>
      <c r="T2577">
        <v>0.38780710000000002</v>
      </c>
      <c r="U2577">
        <v>-2.9682620000000002</v>
      </c>
      <c r="V2577">
        <v>-4.7897919999999997E-2</v>
      </c>
      <c r="W2577">
        <v>0.13733219999999999</v>
      </c>
      <c r="X2577">
        <v>0.98936630000000003</v>
      </c>
      <c r="Y2577">
        <v>-6.1682840000000003E-2</v>
      </c>
      <c r="Z2577">
        <v>-0.12926270000000001</v>
      </c>
      <c r="AA2577">
        <v>0.98969010000000002</v>
      </c>
      <c r="AB2577">
        <v>33</v>
      </c>
      <c r="AC2577">
        <v>3.27770000000003</v>
      </c>
      <c r="AD2577">
        <v>6.0799949999999896</v>
      </c>
      <c r="AE2577">
        <v>-46.2401699999999</v>
      </c>
      <c r="AF2577">
        <v>-2.8530456105427699</v>
      </c>
      <c r="AG2577">
        <v>6.0799949999999896</v>
      </c>
      <c r="AH2577">
        <v>45.482842848272902</v>
      </c>
      <c r="AI2577">
        <v>82.400790278441093</v>
      </c>
      <c r="AJ2577">
        <v>93.5893440924294</v>
      </c>
      <c r="AK2577">
        <v>45.976028558549402</v>
      </c>
      <c r="AL2577">
        <v>82.106498655472606</v>
      </c>
      <c r="AM2577">
        <v>92.771680835167501</v>
      </c>
      <c r="AN2577">
        <v>1.0000000097364199</v>
      </c>
    </row>
    <row r="2578" spans="1:40" x14ac:dyDescent="0.3">
      <c r="A2578" t="str">
        <f>"20200111150407185"</f>
        <v>20200111150407185</v>
      </c>
      <c r="B2578" t="str">
        <f>"1578726247181688"</f>
        <v>1578726247181688</v>
      </c>
      <c r="C2578" t="s">
        <v>40</v>
      </c>
      <c r="D2578">
        <v>5.348382</v>
      </c>
      <c r="E2578">
        <v>0.3947811</v>
      </c>
      <c r="F2578" t="s">
        <v>72</v>
      </c>
      <c r="G2578">
        <v>-299.81169999999997</v>
      </c>
      <c r="H2578" s="1">
        <v>-3.180359E-6</v>
      </c>
      <c r="I2578">
        <v>-45.331400000000002</v>
      </c>
      <c r="J2578">
        <v>-301.38369999999998</v>
      </c>
      <c r="K2578">
        <v>1.1087</v>
      </c>
      <c r="L2578">
        <v>-33.768549999999998</v>
      </c>
      <c r="M2578">
        <v>1.420712E-2</v>
      </c>
      <c r="N2578">
        <v>0</v>
      </c>
      <c r="O2578">
        <v>-0.99983239999999995</v>
      </c>
      <c r="P2578">
        <v>6.2478100000000002E-2</v>
      </c>
      <c r="Q2578">
        <v>0.12483900000000001</v>
      </c>
      <c r="R2578">
        <v>-0.99020799999999998</v>
      </c>
      <c r="S2578">
        <v>0.40408329999999998</v>
      </c>
      <c r="T2578">
        <v>-0.28337879999999999</v>
      </c>
      <c r="U2578">
        <v>-3.0427550000000001</v>
      </c>
      <c r="V2578">
        <v>-4.9922939999999999E-2</v>
      </c>
      <c r="W2578">
        <v>0.1357266</v>
      </c>
      <c r="X2578">
        <v>0.98948769999999997</v>
      </c>
      <c r="Y2578">
        <v>-0.1169901</v>
      </c>
      <c r="Z2578">
        <v>9.1998399999999994E-2</v>
      </c>
      <c r="AA2578">
        <v>0.98886280000000004</v>
      </c>
      <c r="AB2578">
        <v>33</v>
      </c>
      <c r="AC2578">
        <v>1.5720000000000001</v>
      </c>
      <c r="AD2578">
        <v>-1.108703180359</v>
      </c>
      <c r="AE2578">
        <v>-11.562849999999999</v>
      </c>
      <c r="AF2578">
        <v>-1.3949631384301899</v>
      </c>
      <c r="AG2578">
        <v>-1.108703180359</v>
      </c>
      <c r="AH2578">
        <v>11.480383666787599</v>
      </c>
      <c r="AI2578">
        <v>95.476129400422494</v>
      </c>
      <c r="AJ2578">
        <v>96.927956682407796</v>
      </c>
      <c r="AK2578">
        <v>11.617846359646901</v>
      </c>
      <c r="AL2578">
        <v>82.199361945635999</v>
      </c>
      <c r="AM2578">
        <v>92.888313215143597</v>
      </c>
      <c r="AN2578">
        <v>0.99999995916854501</v>
      </c>
    </row>
    <row r="2579" spans="1:40" x14ac:dyDescent="0.3">
      <c r="A2579" t="str">
        <f>"20200111150407207"</f>
        <v>20200111150407207</v>
      </c>
      <c r="B2579" t="str">
        <f>"1578726247201211"</f>
        <v>1578726247201211</v>
      </c>
      <c r="C2579" t="s">
        <v>40</v>
      </c>
      <c r="D2579">
        <v>5.3444770000000004</v>
      </c>
      <c r="E2579">
        <v>0.3933508</v>
      </c>
      <c r="F2579" t="s">
        <v>72</v>
      </c>
      <c r="G2579">
        <v>-293.78210000000001</v>
      </c>
      <c r="H2579" s="1">
        <v>-8.8806949999999992E-6</v>
      </c>
      <c r="I2579">
        <v>-55.64725</v>
      </c>
      <c r="J2579">
        <v>-301.37389999999999</v>
      </c>
      <c r="K2579">
        <v>1.1090770000000001</v>
      </c>
      <c r="L2579">
        <v>-34.073609999999903</v>
      </c>
      <c r="M2579">
        <v>2.0113590000000001E-2</v>
      </c>
      <c r="N2579">
        <v>0</v>
      </c>
      <c r="O2579">
        <v>-0.99973080000000003</v>
      </c>
      <c r="P2579">
        <v>6.8741640000000007E-2</v>
      </c>
      <c r="Q2579">
        <v>0.12471</v>
      </c>
      <c r="R2579">
        <v>-0.98980950000000001</v>
      </c>
      <c r="S2579">
        <v>1.03653</v>
      </c>
      <c r="T2579">
        <v>-0.1511815</v>
      </c>
      <c r="U2579">
        <v>-2.9833370000000001</v>
      </c>
      <c r="V2579">
        <v>-5.0460919999999999E-2</v>
      </c>
      <c r="W2579">
        <v>0.13557549999999999</v>
      </c>
      <c r="X2579">
        <v>0.98948119999999995</v>
      </c>
      <c r="Y2579">
        <v>-0.30875059999999999</v>
      </c>
      <c r="Z2579">
        <v>4.7956249999999999E-2</v>
      </c>
      <c r="AA2579">
        <v>0.94993329999999998</v>
      </c>
      <c r="AB2579">
        <v>33</v>
      </c>
      <c r="AC2579">
        <v>7.5917999999999699</v>
      </c>
      <c r="AD2579">
        <v>-1.1090858806949999</v>
      </c>
      <c r="AE2579">
        <v>-21.573640000000001</v>
      </c>
      <c r="AF2579">
        <v>-7.1395216287347099</v>
      </c>
      <c r="AG2579">
        <v>-1.1090858806949999</v>
      </c>
      <c r="AH2579">
        <v>21.671020030186298</v>
      </c>
      <c r="AI2579">
        <v>92.782861413555906</v>
      </c>
      <c r="AJ2579">
        <v>108.23447706023001</v>
      </c>
      <c r="AK2579">
        <v>22.843728892776301</v>
      </c>
      <c r="AL2579">
        <v>82.208100686027706</v>
      </c>
      <c r="AM2579">
        <v>92.919403867544602</v>
      </c>
      <c r="AN2579">
        <v>1.0000000329004599</v>
      </c>
    </row>
    <row r="2580" spans="1:40" x14ac:dyDescent="0.3">
      <c r="A2580" t="str">
        <f>"20200111150407227"</f>
        <v>20200111150407227</v>
      </c>
      <c r="B2580" t="str">
        <f>"1578726247221705"</f>
        <v>1578726247221705</v>
      </c>
      <c r="C2580" t="s">
        <v>40</v>
      </c>
      <c r="D2580">
        <v>4.9117569999999997</v>
      </c>
      <c r="E2580">
        <v>0.39034459999999999</v>
      </c>
      <c r="F2580" t="s">
        <v>72</v>
      </c>
      <c r="G2580">
        <v>-294.57850000000002</v>
      </c>
      <c r="H2580" s="1">
        <v>-8.8794800000000006E-6</v>
      </c>
      <c r="I2580">
        <v>-53.011830000000003</v>
      </c>
      <c r="J2580">
        <v>-301.36200000000002</v>
      </c>
      <c r="K2580">
        <v>1.1094619999999999</v>
      </c>
      <c r="L2580">
        <v>-34.376280000000001</v>
      </c>
      <c r="M2580">
        <v>2.6346049999999999E-2</v>
      </c>
      <c r="N2580">
        <v>0</v>
      </c>
      <c r="O2580">
        <v>-0.99958559999999996</v>
      </c>
      <c r="P2580">
        <v>7.5376410000000005E-2</v>
      </c>
      <c r="Q2580">
        <v>0.12596459999999901</v>
      </c>
      <c r="R2580">
        <v>-0.98916729999999997</v>
      </c>
      <c r="S2580">
        <v>1.0687869999999999</v>
      </c>
      <c r="T2580">
        <v>-0.17443900000000001</v>
      </c>
      <c r="U2580">
        <v>-2.9786380000000001</v>
      </c>
      <c r="V2580">
        <v>-5.1072619999999999E-2</v>
      </c>
      <c r="W2580">
        <v>0.1368084</v>
      </c>
      <c r="X2580">
        <v>0.98928000000000005</v>
      </c>
      <c r="Y2580">
        <v>-0.31230170000000002</v>
      </c>
      <c r="Z2580">
        <v>5.5252080000000002E-2</v>
      </c>
      <c r="AA2580">
        <v>0.94837490000000002</v>
      </c>
      <c r="AB2580">
        <v>33</v>
      </c>
      <c r="AC2580">
        <v>6.7835000000000001</v>
      </c>
      <c r="AD2580">
        <v>-1.1094708794799999</v>
      </c>
      <c r="AE2580">
        <v>-18.635549999999999</v>
      </c>
      <c r="AF2580">
        <v>-6.27051377512554</v>
      </c>
      <c r="AG2580">
        <v>-1.1094708794799999</v>
      </c>
      <c r="AH2580">
        <v>18.7491309445426</v>
      </c>
      <c r="AI2580">
        <v>93.212022660594897</v>
      </c>
      <c r="AJ2580">
        <v>108.492146039299</v>
      </c>
      <c r="AK2580">
        <v>19.801014615722501</v>
      </c>
      <c r="AL2580">
        <v>82.136795558720607</v>
      </c>
      <c r="AM2580">
        <v>92.955331149518798</v>
      </c>
      <c r="AN2580">
        <v>0.99999993461211001</v>
      </c>
    </row>
    <row r="2581" spans="1:40" x14ac:dyDescent="0.3">
      <c r="A2581" t="str">
        <f>"20200111150407251"</f>
        <v>20200111150407251</v>
      </c>
      <c r="B2581" t="str">
        <f>"1578726247241224"</f>
        <v>1578726247241224</v>
      </c>
      <c r="C2581" t="s">
        <v>40</v>
      </c>
      <c r="D2581">
        <v>4.8087049999999998</v>
      </c>
      <c r="E2581">
        <v>0.3847834</v>
      </c>
      <c r="F2581" t="s">
        <v>72</v>
      </c>
      <c r="G2581">
        <v>-293.94839999999999</v>
      </c>
      <c r="H2581" s="1">
        <v>-8.9723129999999994E-6</v>
      </c>
      <c r="I2581">
        <v>-54.152839999999998</v>
      </c>
      <c r="J2581">
        <v>-301.346</v>
      </c>
      <c r="K2581">
        <v>1.1098840000000001</v>
      </c>
      <c r="L2581">
        <v>-34.715179999999997</v>
      </c>
      <c r="M2581">
        <v>3.3762750000000001E-2</v>
      </c>
      <c r="N2581">
        <v>0</v>
      </c>
      <c r="O2581">
        <v>-0.99936199999999997</v>
      </c>
      <c r="P2581">
        <v>8.4033960000000005E-2</v>
      </c>
      <c r="Q2581">
        <v>0.12879269999999901</v>
      </c>
      <c r="R2581">
        <v>-0.98810480000000001</v>
      </c>
      <c r="S2581">
        <v>1.1130679999999999</v>
      </c>
      <c r="T2581">
        <v>-0.16657520000000001</v>
      </c>
      <c r="U2581">
        <v>-2.9692379999999998</v>
      </c>
      <c r="V2581">
        <v>-5.2584989999999998E-2</v>
      </c>
      <c r="W2581">
        <v>0.139599</v>
      </c>
      <c r="X2581">
        <v>0.98881090000000005</v>
      </c>
      <c r="Y2581">
        <v>-0.31870989999999999</v>
      </c>
      <c r="Z2581">
        <v>5.2718510000000003E-2</v>
      </c>
      <c r="AA2581">
        <v>0.94638509999999998</v>
      </c>
      <c r="AB2581">
        <v>33</v>
      </c>
      <c r="AC2581">
        <v>7.3976000000000104</v>
      </c>
      <c r="AD2581">
        <v>-1.109892972313</v>
      </c>
      <c r="AE2581">
        <v>-19.437660000000001</v>
      </c>
      <c r="AF2581">
        <v>-6.7179363101969596</v>
      </c>
      <c r="AG2581">
        <v>-1.109892972313</v>
      </c>
      <c r="AH2581">
        <v>19.620479196125299</v>
      </c>
      <c r="AI2581">
        <v>93.063430196766603</v>
      </c>
      <c r="AJ2581">
        <v>108.900901261973</v>
      </c>
      <c r="AK2581">
        <v>20.7683830512497</v>
      </c>
      <c r="AL2581">
        <v>81.9753574563874</v>
      </c>
      <c r="AM2581">
        <v>93.044123530960704</v>
      </c>
      <c r="AN2581">
        <v>1.00000002896655</v>
      </c>
    </row>
    <row r="2582" spans="1:40" x14ac:dyDescent="0.3">
      <c r="A2582" t="str">
        <f>"20200111150407275"</f>
        <v>20200111150407275</v>
      </c>
      <c r="B2582" t="str">
        <f>"1578726247271482"</f>
        <v>1578726247271482</v>
      </c>
      <c r="C2582" t="s">
        <v>40</v>
      </c>
      <c r="D2582">
        <v>5.6156490000000003</v>
      </c>
      <c r="E2582">
        <v>0.38605929999999999</v>
      </c>
      <c r="F2582" t="s">
        <v>72</v>
      </c>
      <c r="G2582">
        <v>-291.30040000000002</v>
      </c>
      <c r="H2582" s="1">
        <v>-9.3692009999999994E-6</v>
      </c>
      <c r="I2582">
        <v>-59.790089999999999</v>
      </c>
      <c r="J2582">
        <v>-301.32530000000003</v>
      </c>
      <c r="K2582">
        <v>1.110312</v>
      </c>
      <c r="L2582">
        <v>-35.078890000000001</v>
      </c>
      <c r="M2582">
        <v>4.2252850000000002E-2</v>
      </c>
      <c r="N2582">
        <v>0</v>
      </c>
      <c r="O2582">
        <v>-0.9990386</v>
      </c>
      <c r="P2582">
        <v>9.4184560000000001E-2</v>
      </c>
      <c r="Q2582">
        <v>0.1318365</v>
      </c>
      <c r="R2582">
        <v>-0.98678699999999997</v>
      </c>
      <c r="S2582">
        <v>1.1828609999999999</v>
      </c>
      <c r="T2582">
        <v>-0.13068879999999999</v>
      </c>
      <c r="U2582">
        <v>-2.9525450000000002</v>
      </c>
      <c r="V2582">
        <v>-5.4554350000000001E-2</v>
      </c>
      <c r="W2582">
        <v>0.142599</v>
      </c>
      <c r="X2582">
        <v>0.98827589999999998</v>
      </c>
      <c r="Y2582">
        <v>-0.33201629999999999</v>
      </c>
      <c r="Z2582">
        <v>4.1313660000000002E-2</v>
      </c>
      <c r="AA2582">
        <v>0.94236850000000005</v>
      </c>
      <c r="AB2582">
        <v>33</v>
      </c>
      <c r="AC2582">
        <v>10.024900000000001</v>
      </c>
      <c r="AD2582">
        <v>-1.1103213692010001</v>
      </c>
      <c r="AE2582">
        <v>-24.711200000000002</v>
      </c>
      <c r="AF2582">
        <v>-8.9562298625794892</v>
      </c>
      <c r="AG2582">
        <v>-1.1103213692010001</v>
      </c>
      <c r="AH2582">
        <v>25.069278843357601</v>
      </c>
      <c r="AI2582">
        <v>92.388326761687097</v>
      </c>
      <c r="AJ2582">
        <v>109.659734427251</v>
      </c>
      <c r="AK2582">
        <v>26.644241565867102</v>
      </c>
      <c r="AL2582">
        <v>81.801732400654004</v>
      </c>
      <c r="AM2582">
        <v>93.1596084441546</v>
      </c>
      <c r="AN2582">
        <v>0.99999995321286494</v>
      </c>
    </row>
    <row r="2583" spans="1:40" x14ac:dyDescent="0.3">
      <c r="A2583" t="str">
        <f>"20200111150407297"</f>
        <v>20200111150407297</v>
      </c>
      <c r="B2583" t="str">
        <f>"1578726247291001"</f>
        <v>1578726247291001</v>
      </c>
      <c r="C2583" t="s">
        <v>40</v>
      </c>
      <c r="D2583">
        <v>5.5834769999999896</v>
      </c>
      <c r="E2583">
        <v>0.38846219999999998</v>
      </c>
      <c r="F2583" t="s">
        <v>72</v>
      </c>
      <c r="G2583">
        <v>-291.23320000000001</v>
      </c>
      <c r="H2583" s="1">
        <v>-9.3969520000000004E-6</v>
      </c>
      <c r="I2583">
        <v>-59.756630000000001</v>
      </c>
      <c r="J2583">
        <v>-301.30349999999999</v>
      </c>
      <c r="K2583">
        <v>1.1106590000000001</v>
      </c>
      <c r="L2583">
        <v>-35.41028</v>
      </c>
      <c r="M2583">
        <v>5.0358609999999998E-2</v>
      </c>
      <c r="N2583">
        <v>0</v>
      </c>
      <c r="O2583">
        <v>-0.9986623</v>
      </c>
      <c r="P2583">
        <v>0.1029813</v>
      </c>
      <c r="Q2583">
        <v>0.13328770000000001</v>
      </c>
      <c r="R2583">
        <v>-0.98571229999999999</v>
      </c>
      <c r="S2583">
        <v>1.203552</v>
      </c>
      <c r="T2583">
        <v>-0.13241349999999999</v>
      </c>
      <c r="U2583">
        <v>-2.942993</v>
      </c>
      <c r="V2583">
        <v>-5.5502650000000001E-2</v>
      </c>
      <c r="W2583">
        <v>0.1440275</v>
      </c>
      <c r="X2583">
        <v>0.98801589999999995</v>
      </c>
      <c r="Y2583">
        <v>-0.33109830000000001</v>
      </c>
      <c r="Z2583">
        <v>4.1913260000000001E-2</v>
      </c>
      <c r="AA2583">
        <v>0.94266490000000003</v>
      </c>
      <c r="AB2583">
        <v>33</v>
      </c>
      <c r="AC2583">
        <v>10.0702999999999</v>
      </c>
      <c r="AD2583">
        <v>-1.1106683969519999</v>
      </c>
      <c r="AE2583">
        <v>-24.346350000000001</v>
      </c>
      <c r="AF2583">
        <v>-8.815721906237</v>
      </c>
      <c r="AG2583">
        <v>-1.1106683969519999</v>
      </c>
      <c r="AH2583">
        <v>24.7785822873069</v>
      </c>
      <c r="AI2583">
        <v>92.418197245761505</v>
      </c>
      <c r="AJ2583">
        <v>109.58453716545699</v>
      </c>
      <c r="AK2583">
        <v>26.3235384624662</v>
      </c>
      <c r="AL2583">
        <v>81.7190315845573</v>
      </c>
      <c r="AM2583">
        <v>93.215260780236903</v>
      </c>
      <c r="AN2583">
        <v>0.99999994178303897</v>
      </c>
    </row>
    <row r="2584" spans="1:40" x14ac:dyDescent="0.3">
      <c r="A2584" t="str">
        <f>"20200111150407319"</f>
        <v>20200111150407319</v>
      </c>
      <c r="B2584" t="str">
        <f>"1578726247311497"</f>
        <v>1578726247311497</v>
      </c>
      <c r="C2584" t="s">
        <v>40</v>
      </c>
      <c r="D2584">
        <v>5.5735530000000004</v>
      </c>
      <c r="E2584">
        <v>0.389372</v>
      </c>
      <c r="F2584" t="s">
        <v>72</v>
      </c>
      <c r="G2584">
        <v>-292.2054</v>
      </c>
      <c r="H2584" s="1">
        <v>-9.2728640000000005E-6</v>
      </c>
      <c r="I2584">
        <v>-57.460340000000002</v>
      </c>
      <c r="J2584">
        <v>-301.28030000000001</v>
      </c>
      <c r="K2584">
        <v>1.110959</v>
      </c>
      <c r="L2584">
        <v>-35.721220000000002</v>
      </c>
      <c r="M2584">
        <v>5.8300129999999999E-2</v>
      </c>
      <c r="N2584">
        <v>0</v>
      </c>
      <c r="O2584">
        <v>-0.99822979999999994</v>
      </c>
      <c r="P2584">
        <v>0.1118601</v>
      </c>
      <c r="Q2584">
        <v>0.13328019999999999</v>
      </c>
      <c r="R2584">
        <v>-0.9847456</v>
      </c>
      <c r="S2584">
        <v>1.211792</v>
      </c>
      <c r="T2584">
        <v>-0.14793210000000001</v>
      </c>
      <c r="U2584">
        <v>-2.93689</v>
      </c>
      <c r="V2584">
        <v>-5.6656659999999998E-2</v>
      </c>
      <c r="W2584">
        <v>0.14399589999999901</v>
      </c>
      <c r="X2584">
        <v>0.98795509999999997</v>
      </c>
      <c r="Y2584">
        <v>-0.32645449999999998</v>
      </c>
      <c r="Z2584">
        <v>4.6888399999999997E-2</v>
      </c>
      <c r="AA2584">
        <v>0.94404920000000003</v>
      </c>
      <c r="AB2584">
        <v>33</v>
      </c>
      <c r="AC2584">
        <v>9.0749000000000102</v>
      </c>
      <c r="AD2584">
        <v>-1.110968272864</v>
      </c>
      <c r="AE2584">
        <v>-21.73912</v>
      </c>
      <c r="AF2584">
        <v>-7.7746894555557597</v>
      </c>
      <c r="AG2584">
        <v>-1.110968272864</v>
      </c>
      <c r="AH2584">
        <v>22.181908443434601</v>
      </c>
      <c r="AI2584">
        <v>92.706087230901502</v>
      </c>
      <c r="AJ2584">
        <v>109.31540397332699</v>
      </c>
      <c r="AK2584">
        <v>23.531194377391</v>
      </c>
      <c r="AL2584">
        <v>81.720862005267904</v>
      </c>
      <c r="AM2584">
        <v>93.282169300134996</v>
      </c>
      <c r="AN2584">
        <v>1.00000003797758</v>
      </c>
    </row>
    <row r="2585" spans="1:40" x14ac:dyDescent="0.3">
      <c r="A2585" t="str">
        <f>"20200111150407340"</f>
        <v>20200111150407340</v>
      </c>
      <c r="B2585" t="str">
        <f>"1578726247331017"</f>
        <v>1578726247331017</v>
      </c>
      <c r="C2585" t="s">
        <v>40</v>
      </c>
      <c r="D2585">
        <v>5.3926449999999999</v>
      </c>
      <c r="E2585">
        <v>0.39164959999999999</v>
      </c>
      <c r="F2585" t="s">
        <v>72</v>
      </c>
      <c r="G2585">
        <v>-292.49880000000002</v>
      </c>
      <c r="H2585" s="1">
        <v>-9.2521620000000003E-6</v>
      </c>
      <c r="I2585">
        <v>-56.599760000000003</v>
      </c>
      <c r="J2585">
        <v>-301.25450000000001</v>
      </c>
      <c r="K2585">
        <v>1.111248</v>
      </c>
      <c r="L2585">
        <v>-36.030700000000003</v>
      </c>
      <c r="M2585">
        <v>6.6539589999999996E-2</v>
      </c>
      <c r="N2585">
        <v>0</v>
      </c>
      <c r="O2585">
        <v>-0.99771399999999999</v>
      </c>
      <c r="P2585">
        <v>0.1221984</v>
      </c>
      <c r="Q2585">
        <v>0.13318669999999999</v>
      </c>
      <c r="R2585">
        <v>-0.98352890000000004</v>
      </c>
      <c r="S2585">
        <v>1.231384</v>
      </c>
      <c r="T2585">
        <v>-0.15578439999999999</v>
      </c>
      <c r="U2585">
        <v>-2.927673</v>
      </c>
      <c r="V2585">
        <v>-5.8984420000000003E-2</v>
      </c>
      <c r="W2585">
        <v>0.14385809999999999</v>
      </c>
      <c r="X2585">
        <v>0.98783889999999996</v>
      </c>
      <c r="Y2585">
        <v>-0.3250324</v>
      </c>
      <c r="Z2585">
        <v>4.9426659999999997E-2</v>
      </c>
      <c r="AA2585">
        <v>0.94441039999999998</v>
      </c>
      <c r="AB2585">
        <v>33</v>
      </c>
      <c r="AC2585">
        <v>8.7556999999999903</v>
      </c>
      <c r="AD2585">
        <v>-1.1112572521619899</v>
      </c>
      <c r="AE2585">
        <v>-20.56906</v>
      </c>
      <c r="AF2585">
        <v>-7.3493801342094596</v>
      </c>
      <c r="AG2585">
        <v>-1.1112572521619899</v>
      </c>
      <c r="AH2585">
        <v>21.0540842202055</v>
      </c>
      <c r="AI2585">
        <v>92.852818974101993</v>
      </c>
      <c r="AJ2585">
        <v>109.24263755200001</v>
      </c>
      <c r="AK2585">
        <v>22.327622878154799</v>
      </c>
      <c r="AL2585">
        <v>81.728840145527201</v>
      </c>
      <c r="AM2585">
        <v>93.417106225718996</v>
      </c>
      <c r="AN2585">
        <v>1.0000000035457699</v>
      </c>
    </row>
    <row r="2586" spans="1:40" x14ac:dyDescent="0.3">
      <c r="A2586" t="str">
        <f>"20200111150407361"</f>
        <v>20200111150407361</v>
      </c>
      <c r="B2586" t="str">
        <f>"1578726247351513"</f>
        <v>1578726247351513</v>
      </c>
      <c r="C2586" t="s">
        <v>40</v>
      </c>
      <c r="D2586">
        <v>5.2764620000000004</v>
      </c>
      <c r="E2586">
        <v>0.39318340000000002</v>
      </c>
      <c r="F2586" t="s">
        <v>72</v>
      </c>
      <c r="G2586">
        <v>-293.43920000000003</v>
      </c>
      <c r="H2586" s="1">
        <v>-9.1319639999999998E-6</v>
      </c>
      <c r="I2586">
        <v>-54.380029999999998</v>
      </c>
      <c r="J2586">
        <v>-301.22660000000002</v>
      </c>
      <c r="K2586">
        <v>1.1115389999999901</v>
      </c>
      <c r="L2586">
        <v>-36.331150000000001</v>
      </c>
      <c r="M2586">
        <v>7.4858649999999999E-2</v>
      </c>
      <c r="N2586">
        <v>0</v>
      </c>
      <c r="O2586">
        <v>-0.99712400000000001</v>
      </c>
      <c r="P2586">
        <v>0.13266439999999999</v>
      </c>
      <c r="Q2586">
        <v>0.1330664</v>
      </c>
      <c r="R2586">
        <v>-0.98218839999999996</v>
      </c>
      <c r="S2586">
        <v>1.24353</v>
      </c>
      <c r="T2586">
        <v>-0.17681920000000001</v>
      </c>
      <c r="U2586">
        <v>-2.9196780000000002</v>
      </c>
      <c r="V2586">
        <v>-6.1369199999999999E-2</v>
      </c>
      <c r="W2586">
        <v>0.1436924</v>
      </c>
      <c r="X2586">
        <v>0.98771770000000003</v>
      </c>
      <c r="Y2586">
        <v>-0.32125870000000001</v>
      </c>
      <c r="Z2586">
        <v>5.6163659999999997E-2</v>
      </c>
      <c r="AA2586">
        <v>0.94532450000000001</v>
      </c>
      <c r="AB2586">
        <v>33</v>
      </c>
      <c r="AC2586">
        <v>7.7873999999999901</v>
      </c>
      <c r="AD2586">
        <v>-1.1115481319639999</v>
      </c>
      <c r="AE2586">
        <v>-18.04888</v>
      </c>
      <c r="AF2586">
        <v>-6.3938927910082102</v>
      </c>
      <c r="AG2586">
        <v>-1.1115481319639999</v>
      </c>
      <c r="AH2586">
        <v>18.522001137639499</v>
      </c>
      <c r="AI2586">
        <v>93.246761637250401</v>
      </c>
      <c r="AJ2586">
        <v>109.044944896009</v>
      </c>
      <c r="AK2586">
        <v>19.626052339054301</v>
      </c>
      <c r="AL2586">
        <v>81.738433448505106</v>
      </c>
      <c r="AM2586">
        <v>93.555349804603495</v>
      </c>
      <c r="AN2586">
        <v>0.99999996970984395</v>
      </c>
    </row>
    <row r="2587" spans="1:40" x14ac:dyDescent="0.3">
      <c r="A2587" t="str">
        <f>"20200111150407383"</f>
        <v>20200111150407383</v>
      </c>
      <c r="B2587" t="str">
        <f>"1578726247380793"</f>
        <v>1578726247380793</v>
      </c>
      <c r="C2587" t="s">
        <v>40</v>
      </c>
      <c r="D2587">
        <v>5.2530570000000001</v>
      </c>
      <c r="E2587">
        <v>0.39442569999999999</v>
      </c>
      <c r="F2587" t="s">
        <v>72</v>
      </c>
      <c r="G2587">
        <v>-293.8852</v>
      </c>
      <c r="H2587" s="1">
        <v>-9.0947969999999999E-6</v>
      </c>
      <c r="I2587">
        <v>-53.261200000000002</v>
      </c>
      <c r="J2587">
        <v>-301.19260000000003</v>
      </c>
      <c r="K2587">
        <v>1.1118619999999999</v>
      </c>
      <c r="L2587">
        <v>-36.663849999999996</v>
      </c>
      <c r="M2587">
        <v>8.4430839999999993E-2</v>
      </c>
      <c r="N2587">
        <v>0</v>
      </c>
      <c r="O2587">
        <v>-0.99635830000000003</v>
      </c>
      <c r="P2587">
        <v>0.14371419999999999</v>
      </c>
      <c r="Q2587">
        <v>0.13372220000000001</v>
      </c>
      <c r="R2587">
        <v>-0.9805431</v>
      </c>
      <c r="S2587">
        <v>1.2618100000000001</v>
      </c>
      <c r="T2587">
        <v>-0.1910472</v>
      </c>
      <c r="U2587">
        <v>-2.9098510000000002</v>
      </c>
      <c r="V2587">
        <v>-6.3145049999999994E-2</v>
      </c>
      <c r="W2587">
        <v>0.144313</v>
      </c>
      <c r="X2587">
        <v>0.98751529999999998</v>
      </c>
      <c r="Y2587">
        <v>-0.31821850000000002</v>
      </c>
      <c r="Z2587">
        <v>6.074268E-2</v>
      </c>
      <c r="AA2587">
        <v>0.94606939999999995</v>
      </c>
      <c r="AB2587">
        <v>33</v>
      </c>
      <c r="AC2587">
        <v>7.3074000000000296</v>
      </c>
      <c r="AD2587">
        <v>-1.1118710947970001</v>
      </c>
      <c r="AE2587">
        <v>-16.597349999999999</v>
      </c>
      <c r="AF2587">
        <v>-5.8578563673260904</v>
      </c>
      <c r="AG2587">
        <v>-1.1118710947970001</v>
      </c>
      <c r="AH2587">
        <v>17.0908454446284</v>
      </c>
      <c r="AI2587">
        <v>93.521656340642096</v>
      </c>
      <c r="AJ2587">
        <v>108.919058396661</v>
      </c>
      <c r="AK2587">
        <v>18.101042416497499</v>
      </c>
      <c r="AL2587">
        <v>81.702501457049394</v>
      </c>
      <c r="AM2587">
        <v>93.658703781023704</v>
      </c>
      <c r="AN2587">
        <v>1.0000000035212899</v>
      </c>
    </row>
    <row r="2588" spans="1:40" x14ac:dyDescent="0.3">
      <c r="A2588" t="str">
        <f>"20200111150407407"</f>
        <v>20200111150407407</v>
      </c>
      <c r="B2588" t="str">
        <f>"1578726247401289"</f>
        <v>1578726247401289</v>
      </c>
      <c r="C2588" t="s">
        <v>40</v>
      </c>
      <c r="D2588">
        <v>5.3085849999999999</v>
      </c>
      <c r="E2588">
        <v>0.3943777</v>
      </c>
      <c r="F2588" t="s">
        <v>72</v>
      </c>
      <c r="G2588">
        <v>-294.05369999999999</v>
      </c>
      <c r="H2588" s="1">
        <v>-9.0911839999999999E-6</v>
      </c>
      <c r="I2588">
        <v>-52.767389999999999</v>
      </c>
      <c r="J2588">
        <v>-301.1549</v>
      </c>
      <c r="K2588">
        <v>1.112201</v>
      </c>
      <c r="L2588">
        <v>-36.997920000000001</v>
      </c>
      <c r="M2588">
        <v>9.4420500000000004E-2</v>
      </c>
      <c r="N2588">
        <v>0</v>
      </c>
      <c r="O2588">
        <v>-0.99546089999999998</v>
      </c>
      <c r="P2588">
        <v>0.15526870000000001</v>
      </c>
      <c r="Q2588">
        <v>0.13498650000000001</v>
      </c>
      <c r="R2588">
        <v>-0.97860639999999999</v>
      </c>
      <c r="S2588">
        <v>1.2849429999999999</v>
      </c>
      <c r="T2588">
        <v>-0.20012730000000001</v>
      </c>
      <c r="U2588">
        <v>-2.8984990000000002</v>
      </c>
      <c r="V2588">
        <v>-6.5051049999999999E-2</v>
      </c>
      <c r="W2588">
        <v>0.14553769999999999</v>
      </c>
      <c r="X2588">
        <v>0.98721179999999997</v>
      </c>
      <c r="Y2588">
        <v>-0.31631740000000003</v>
      </c>
      <c r="Z2588">
        <v>6.3681160000000001E-2</v>
      </c>
      <c r="AA2588">
        <v>0.94651359999999995</v>
      </c>
      <c r="AB2588">
        <v>33</v>
      </c>
      <c r="AC2588">
        <v>7.1012000000000004</v>
      </c>
      <c r="AD2588">
        <v>-1.1122100911839901</v>
      </c>
      <c r="AE2588">
        <v>-15.769469999999901</v>
      </c>
      <c r="AF2588">
        <v>-5.5574189394677802</v>
      </c>
      <c r="AG2588">
        <v>-1.1122100911839901</v>
      </c>
      <c r="AH2588">
        <v>16.302133643440499</v>
      </c>
      <c r="AI2588">
        <v>93.694781450053696</v>
      </c>
      <c r="AJ2588">
        <v>108.824311328702</v>
      </c>
      <c r="AK2588">
        <v>17.259243259317099</v>
      </c>
      <c r="AL2588">
        <v>81.631582559287807</v>
      </c>
      <c r="AM2588">
        <v>93.769981499243997</v>
      </c>
      <c r="AN2588">
        <v>0.99999999964331598</v>
      </c>
    </row>
    <row r="2589" spans="1:40" x14ac:dyDescent="0.3">
      <c r="A2589" t="str">
        <f>"20200111150407430"</f>
        <v>20200111150407430</v>
      </c>
      <c r="B2589" t="str">
        <f>"1578726247420808"</f>
        <v>1578726247420808</v>
      </c>
      <c r="C2589" t="s">
        <v>40</v>
      </c>
      <c r="D2589">
        <v>5.357246</v>
      </c>
      <c r="E2589">
        <v>0.39487729999999999</v>
      </c>
      <c r="F2589" t="s">
        <v>72</v>
      </c>
      <c r="G2589">
        <v>-293.72570000000002</v>
      </c>
      <c r="H2589" s="1">
        <v>-9.1522410000000007E-6</v>
      </c>
      <c r="I2589">
        <v>-53.248069999999998</v>
      </c>
      <c r="J2589">
        <v>-301.11579999999998</v>
      </c>
      <c r="K2589">
        <v>1.1125229999999999</v>
      </c>
      <c r="L2589">
        <v>-37.313960000000002</v>
      </c>
      <c r="M2589">
        <v>0.1042382</v>
      </c>
      <c r="N2589">
        <v>0</v>
      </c>
      <c r="O2589">
        <v>-0.99447989999999997</v>
      </c>
      <c r="P2589">
        <v>0.16693479999999999</v>
      </c>
      <c r="Q2589">
        <v>0.1366569</v>
      </c>
      <c r="R2589">
        <v>-0.97645150000000003</v>
      </c>
      <c r="S2589">
        <v>1.3183290000000001</v>
      </c>
      <c r="T2589">
        <v>-0.19736500000000001</v>
      </c>
      <c r="U2589">
        <v>-2.8836360000000001</v>
      </c>
      <c r="V2589">
        <v>-6.7267279999999999E-2</v>
      </c>
      <c r="W2589">
        <v>0.14715989999999901</v>
      </c>
      <c r="X2589">
        <v>0.98682270000000005</v>
      </c>
      <c r="Y2589">
        <v>-0.31789030000000001</v>
      </c>
      <c r="Z2589">
        <v>6.2846369999999999E-2</v>
      </c>
      <c r="AA2589">
        <v>0.94604239999999995</v>
      </c>
      <c r="AB2589">
        <v>33</v>
      </c>
      <c r="AC2589">
        <v>7.3900999999999497</v>
      </c>
      <c r="AD2589">
        <v>-1.1125321522410001</v>
      </c>
      <c r="AE2589">
        <v>-15.93411</v>
      </c>
      <c r="AF2589">
        <v>-5.6660409946663801</v>
      </c>
      <c r="AG2589">
        <v>-1.1125321522410001</v>
      </c>
      <c r="AH2589">
        <v>16.551277329085</v>
      </c>
      <c r="AI2589">
        <v>93.638776863901896</v>
      </c>
      <c r="AJ2589">
        <v>108.89774477573501</v>
      </c>
      <c r="AK2589">
        <v>17.529590114069801</v>
      </c>
      <c r="AL2589">
        <v>81.537625557103297</v>
      </c>
      <c r="AM2589">
        <v>93.899564101232301</v>
      </c>
      <c r="AN2589">
        <v>0.99999998218094899</v>
      </c>
    </row>
    <row r="2590" spans="1:40" x14ac:dyDescent="0.3">
      <c r="A2590" t="str">
        <f>"20200111150407452"</f>
        <v>20200111150407452</v>
      </c>
      <c r="B2590" t="str">
        <f>"1578726247441305"</f>
        <v>1578726247441305</v>
      </c>
      <c r="C2590" t="s">
        <v>40</v>
      </c>
      <c r="D2590">
        <v>5.3666830000000001</v>
      </c>
      <c r="E2590">
        <v>0.39517449999999998</v>
      </c>
      <c r="F2590" t="s">
        <v>72</v>
      </c>
      <c r="G2590">
        <v>-293.49799999999999</v>
      </c>
      <c r="H2590" s="1">
        <v>-9.1999509999999993E-6</v>
      </c>
      <c r="I2590">
        <v>-53.534709999999997</v>
      </c>
      <c r="J2590">
        <v>-301.07240000000002</v>
      </c>
      <c r="K2590">
        <v>1.112849</v>
      </c>
      <c r="L2590">
        <v>-37.634120000000003</v>
      </c>
      <c r="M2590">
        <v>0.11457440000000001</v>
      </c>
      <c r="N2590">
        <v>0</v>
      </c>
      <c r="O2590">
        <v>-0.99334160000000005</v>
      </c>
      <c r="P2590">
        <v>0.17834449999999999</v>
      </c>
      <c r="Q2590">
        <v>0.13838139999999999</v>
      </c>
      <c r="R2590">
        <v>-0.97418890000000002</v>
      </c>
      <c r="S2590">
        <v>1.347626</v>
      </c>
      <c r="T2590">
        <v>-0.19681100000000001</v>
      </c>
      <c r="U2590">
        <v>-2.869507</v>
      </c>
      <c r="V2590">
        <v>-6.8732310000000005E-2</v>
      </c>
      <c r="W2590">
        <v>0.14885290000000001</v>
      </c>
      <c r="X2590">
        <v>0.98646780000000001</v>
      </c>
      <c r="Y2590">
        <v>-0.31774059999999998</v>
      </c>
      <c r="Z2590">
        <v>6.2714199999999998E-2</v>
      </c>
      <c r="AA2590">
        <v>0.94610139999999998</v>
      </c>
      <c r="AB2590">
        <v>33</v>
      </c>
      <c r="AC2590">
        <v>7.5744000000000202</v>
      </c>
      <c r="AD2590">
        <v>-1.1128581999510001</v>
      </c>
      <c r="AE2590">
        <v>-15.9005899999999</v>
      </c>
      <c r="AF2590">
        <v>-5.6799033763409703</v>
      </c>
      <c r="AG2590">
        <v>-1.1128581999510001</v>
      </c>
      <c r="AH2590">
        <v>16.597495092571702</v>
      </c>
      <c r="AI2590">
        <v>93.629862899508794</v>
      </c>
      <c r="AJ2590">
        <v>108.89168989971</v>
      </c>
      <c r="AK2590">
        <v>17.577730202893399</v>
      </c>
      <c r="AL2590">
        <v>81.439543864323895</v>
      </c>
      <c r="AM2590">
        <v>93.985651789124603</v>
      </c>
      <c r="AN2590">
        <v>1.00000001835659</v>
      </c>
    </row>
    <row r="2591" spans="1:40" x14ac:dyDescent="0.3">
      <c r="A2591" t="str">
        <f>"20200111150407473"</f>
        <v>20200111150407473</v>
      </c>
      <c r="B2591" t="str">
        <f>"1578726247460824"</f>
        <v>1578726247460824</v>
      </c>
      <c r="C2591" t="s">
        <v>40</v>
      </c>
      <c r="D2591">
        <v>5.3578449999999904</v>
      </c>
      <c r="E2591">
        <v>0.39550059999999998</v>
      </c>
      <c r="F2591" t="s">
        <v>72</v>
      </c>
      <c r="G2591">
        <v>-293.20819999999998</v>
      </c>
      <c r="H2591" s="1">
        <v>-9.2615150000000004E-6</v>
      </c>
      <c r="I2591">
        <v>-53.92409</v>
      </c>
      <c r="J2591">
        <v>-301.02550000000002</v>
      </c>
      <c r="K2591">
        <v>1.113164</v>
      </c>
      <c r="L2591">
        <v>-37.953130000000002</v>
      </c>
      <c r="M2591">
        <v>0.12523049999999999</v>
      </c>
      <c r="N2591">
        <v>0</v>
      </c>
      <c r="O2591">
        <v>-0.99205399999999999</v>
      </c>
      <c r="P2591">
        <v>0.19013150000000001</v>
      </c>
      <c r="Q2591">
        <v>0.13895179999999999</v>
      </c>
      <c r="R2591">
        <v>-0.97187579999999996</v>
      </c>
      <c r="S2591">
        <v>1.3782350000000001</v>
      </c>
      <c r="T2591">
        <v>-0.19503319999999999</v>
      </c>
      <c r="U2591">
        <v>-2.854889</v>
      </c>
      <c r="V2591">
        <v>-7.0234019999999994E-2</v>
      </c>
      <c r="W2591">
        <v>0.14939330000000001</v>
      </c>
      <c r="X2591">
        <v>0.9862803</v>
      </c>
      <c r="Y2591">
        <v>-0.31770290000000001</v>
      </c>
      <c r="Z2591">
        <v>6.2178369999999997E-2</v>
      </c>
      <c r="AA2591">
        <v>0.94614940000000003</v>
      </c>
      <c r="AB2591">
        <v>33</v>
      </c>
      <c r="AC2591">
        <v>7.8173000000000403</v>
      </c>
      <c r="AD2591">
        <v>-1.1131732615150001</v>
      </c>
      <c r="AE2591">
        <v>-15.9709599999999</v>
      </c>
      <c r="AF2591">
        <v>-5.7330844697548402</v>
      </c>
      <c r="AG2591">
        <v>-1.1131732615150001</v>
      </c>
      <c r="AH2591">
        <v>16.758570019188099</v>
      </c>
      <c r="AI2591">
        <v>93.596208804883304</v>
      </c>
      <c r="AJ2591">
        <v>108.885749050776</v>
      </c>
      <c r="AK2591">
        <v>17.747030211715099</v>
      </c>
      <c r="AL2591">
        <v>81.408230972268797</v>
      </c>
      <c r="AM2591">
        <v>94.073214726175195</v>
      </c>
      <c r="AN2591">
        <v>1.00000000290917</v>
      </c>
    </row>
    <row r="2592" spans="1:40" x14ac:dyDescent="0.3">
      <c r="A2592" t="str">
        <f>"20200111150407495"</f>
        <v>20200111150407495</v>
      </c>
      <c r="B2592" t="str">
        <f>"1578726247491081"</f>
        <v>1578726247491081</v>
      </c>
      <c r="C2592" t="s">
        <v>40</v>
      </c>
      <c r="D2592">
        <v>5.3381589999999903</v>
      </c>
      <c r="E2592">
        <v>0.3961266</v>
      </c>
      <c r="F2592" t="s">
        <v>72</v>
      </c>
      <c r="G2592">
        <v>-293.10059999999999</v>
      </c>
      <c r="H2592" s="1">
        <v>-9.3008689999999995E-6</v>
      </c>
      <c r="I2592">
        <v>-53.921810000000001</v>
      </c>
      <c r="J2592">
        <v>-300.97500000000002</v>
      </c>
      <c r="K2592">
        <v>1.113461</v>
      </c>
      <c r="L2592">
        <v>-38.270110000000003</v>
      </c>
      <c r="M2592">
        <v>0.1361262</v>
      </c>
      <c r="N2592">
        <v>0</v>
      </c>
      <c r="O2592">
        <v>-0.99061690000000002</v>
      </c>
      <c r="P2592">
        <v>0.20295340000000001</v>
      </c>
      <c r="Q2592">
        <v>0.1395573</v>
      </c>
      <c r="R2592">
        <v>-0.96919230000000001</v>
      </c>
      <c r="S2592">
        <v>1.409149</v>
      </c>
      <c r="T2592">
        <v>-0.19793730000000001</v>
      </c>
      <c r="U2592">
        <v>-2.8394469999999998</v>
      </c>
      <c r="V2592">
        <v>-7.256029E-2</v>
      </c>
      <c r="W2592">
        <v>0.149951</v>
      </c>
      <c r="X2592">
        <v>0.98602719999999999</v>
      </c>
      <c r="Y2592">
        <v>-0.31757099999999999</v>
      </c>
      <c r="Z2592">
        <v>6.3127150000000007E-2</v>
      </c>
      <c r="AA2592">
        <v>0.9461309</v>
      </c>
      <c r="AB2592">
        <v>33</v>
      </c>
      <c r="AC2592">
        <v>7.8744000000000298</v>
      </c>
      <c r="AD2592">
        <v>-1.1134703008689999</v>
      </c>
      <c r="AE2592">
        <v>-15.6517</v>
      </c>
      <c r="AF2592">
        <v>-5.6475175852116397</v>
      </c>
      <c r="AG2592">
        <v>-1.1134703008689999</v>
      </c>
      <c r="AH2592">
        <v>16.511291363924801</v>
      </c>
      <c r="AI2592">
        <v>93.650959350690897</v>
      </c>
      <c r="AJ2592">
        <v>108.882725760011</v>
      </c>
      <c r="AK2592">
        <v>17.485908998122198</v>
      </c>
      <c r="AL2592">
        <v>81.3759127785723</v>
      </c>
      <c r="AM2592">
        <v>94.208725871251204</v>
      </c>
      <c r="AN2592">
        <v>0.999999968612861</v>
      </c>
    </row>
    <row r="2593" spans="1:40" x14ac:dyDescent="0.3">
      <c r="A2593" t="str">
        <f>"20200111150407518"</f>
        <v>20200111150407518</v>
      </c>
      <c r="B2593" t="str">
        <f>"1578726247511576"</f>
        <v>1578726247511576</v>
      </c>
      <c r="C2593" t="s">
        <v>40</v>
      </c>
      <c r="D2593">
        <v>5.1684000000000001</v>
      </c>
      <c r="E2593">
        <v>0.39604060000000002</v>
      </c>
      <c r="F2593" t="s">
        <v>72</v>
      </c>
      <c r="G2593">
        <v>-293.06659999999999</v>
      </c>
      <c r="H2593" s="1">
        <v>-9.3287930000000004E-6</v>
      </c>
      <c r="I2593">
        <v>-53.765819999999998</v>
      </c>
      <c r="J2593">
        <v>-300.9187</v>
      </c>
      <c r="K2593">
        <v>1.113729</v>
      </c>
      <c r="L2593">
        <v>-38.599060000000001</v>
      </c>
      <c r="M2593">
        <v>0.14774870000000001</v>
      </c>
      <c r="N2593">
        <v>0</v>
      </c>
      <c r="O2593">
        <v>-0.98894939999999998</v>
      </c>
      <c r="P2593">
        <v>0.21839819999999999</v>
      </c>
      <c r="Q2593">
        <v>0.13928090000000001</v>
      </c>
      <c r="R2593">
        <v>-0.96586899999999998</v>
      </c>
      <c r="S2593">
        <v>1.440674</v>
      </c>
      <c r="T2593">
        <v>-0.20284250000000001</v>
      </c>
      <c r="U2593">
        <v>-2.8228759999999999</v>
      </c>
      <c r="V2593">
        <v>-7.6820470000000002E-2</v>
      </c>
      <c r="W2593">
        <v>0.1495776</v>
      </c>
      <c r="X2593">
        <v>0.9857612</v>
      </c>
      <c r="Y2593">
        <v>-0.31702229999999998</v>
      </c>
      <c r="Z2593">
        <v>6.4710299999999998E-2</v>
      </c>
      <c r="AA2593">
        <v>0.94620789999999999</v>
      </c>
      <c r="AB2593">
        <v>33</v>
      </c>
      <c r="AC2593">
        <v>7.8521000000000001</v>
      </c>
      <c r="AD2593">
        <v>-1.1137383287930001</v>
      </c>
      <c r="AE2593">
        <v>-15.16676</v>
      </c>
      <c r="AF2593">
        <v>-5.5014778761563896</v>
      </c>
      <c r="AG2593">
        <v>-1.1137383287930001</v>
      </c>
      <c r="AH2593">
        <v>16.0920705287296</v>
      </c>
      <c r="AI2593">
        <v>93.746891994362997</v>
      </c>
      <c r="AJ2593">
        <v>108.87427975058699</v>
      </c>
      <c r="AK2593">
        <v>17.0429283219894</v>
      </c>
      <c r="AL2593">
        <v>81.397551279332504</v>
      </c>
      <c r="AM2593">
        <v>94.456059754286599</v>
      </c>
      <c r="AN2593">
        <v>0.99999999322911004</v>
      </c>
    </row>
    <row r="2594" spans="1:40" x14ac:dyDescent="0.3">
      <c r="A2594" t="str">
        <f>"20200111150407538"</f>
        <v>20200111150407538</v>
      </c>
      <c r="B2594" t="str">
        <f>"1578726247531097"</f>
        <v>1578726247531097</v>
      </c>
      <c r="C2594" t="s">
        <v>40</v>
      </c>
      <c r="D2594">
        <v>5.2565369999999998</v>
      </c>
      <c r="E2594">
        <v>0.39605469999999998</v>
      </c>
      <c r="F2594" t="s">
        <v>72</v>
      </c>
      <c r="G2594">
        <v>-292.90069999999997</v>
      </c>
      <c r="H2594" s="1">
        <v>-9.3933129999999992E-6</v>
      </c>
      <c r="I2594">
        <v>-53.723750000000003</v>
      </c>
      <c r="J2594">
        <v>-300.863</v>
      </c>
      <c r="K2594">
        <v>1.1139600000000001</v>
      </c>
      <c r="L2594">
        <v>-38.902250000000002</v>
      </c>
      <c r="M2594">
        <v>0.1587414</v>
      </c>
      <c r="N2594">
        <v>0</v>
      </c>
      <c r="O2594">
        <v>-0.98724389999999995</v>
      </c>
      <c r="P2594">
        <v>0.23318910000000001</v>
      </c>
      <c r="Q2594">
        <v>0.13789360000000001</v>
      </c>
      <c r="R2594">
        <v>-0.96260469999999998</v>
      </c>
      <c r="S2594">
        <v>1.4844059999999999</v>
      </c>
      <c r="T2594">
        <v>-0.20619209999999999</v>
      </c>
      <c r="U2594">
        <v>-2.8001100000000001</v>
      </c>
      <c r="V2594">
        <v>-8.1008830000000004E-2</v>
      </c>
      <c r="W2594">
        <v>0.1480918</v>
      </c>
      <c r="X2594">
        <v>0.98565020000000003</v>
      </c>
      <c r="Y2594">
        <v>-0.32115690000000002</v>
      </c>
      <c r="Z2594">
        <v>6.5803769999999998E-2</v>
      </c>
      <c r="AA2594">
        <v>0.9447371</v>
      </c>
      <c r="AB2594">
        <v>33</v>
      </c>
      <c r="AC2594">
        <v>7.9623000000000204</v>
      </c>
      <c r="AD2594">
        <v>-1.1139693933129999</v>
      </c>
      <c r="AE2594">
        <v>-14.8215</v>
      </c>
      <c r="AF2594">
        <v>-5.4843195417283797</v>
      </c>
      <c r="AG2594">
        <v>-1.1139693933129999</v>
      </c>
      <c r="AH2594">
        <v>15.828192945973401</v>
      </c>
      <c r="AI2594">
        <v>93.804571746825403</v>
      </c>
      <c r="AJ2594">
        <v>109.11071852601</v>
      </c>
      <c r="AK2594">
        <v>16.788400179290001</v>
      </c>
      <c r="AL2594">
        <v>81.483639959939296</v>
      </c>
      <c r="AM2594">
        <v>94.698477549728096</v>
      </c>
      <c r="AN2594">
        <v>0.99999996426262305</v>
      </c>
    </row>
    <row r="2595" spans="1:40" x14ac:dyDescent="0.3">
      <c r="A2595" t="str">
        <f>"20200111150407561"</f>
        <v>20200111150407561</v>
      </c>
      <c r="B2595" t="str">
        <f>"1578726247551593"</f>
        <v>1578726247551593</v>
      </c>
      <c r="C2595" t="s">
        <v>40</v>
      </c>
      <c r="D2595">
        <v>5.2413869999999996</v>
      </c>
      <c r="E2595">
        <v>0.39621469999999998</v>
      </c>
      <c r="F2595" t="s">
        <v>72</v>
      </c>
      <c r="G2595">
        <v>-292.89089999999999</v>
      </c>
      <c r="H2595" s="1">
        <v>-9.4269210000000003E-6</v>
      </c>
      <c r="I2595">
        <v>-53.423119999999997</v>
      </c>
      <c r="J2595">
        <v>-300.7996</v>
      </c>
      <c r="K2595">
        <v>1.114201</v>
      </c>
      <c r="L2595">
        <v>-39.2258</v>
      </c>
      <c r="M2595">
        <v>0.17076569999999999</v>
      </c>
      <c r="N2595">
        <v>0</v>
      </c>
      <c r="O2595">
        <v>-0.98523459999999996</v>
      </c>
      <c r="P2595">
        <v>0.24914819999999999</v>
      </c>
      <c r="Q2595">
        <v>0.1366347</v>
      </c>
      <c r="R2595">
        <v>-0.95877860000000004</v>
      </c>
      <c r="S2595">
        <v>1.5249629999999901</v>
      </c>
      <c r="T2595">
        <v>-0.21308759999999999</v>
      </c>
      <c r="U2595">
        <v>-2.7776489999999998</v>
      </c>
      <c r="V2595">
        <v>-8.5406880000000004E-2</v>
      </c>
      <c r="W2595">
        <v>0.14672650000000001</v>
      </c>
      <c r="X2595">
        <v>0.98548309999999995</v>
      </c>
      <c r="Y2595">
        <v>-0.32336179999999998</v>
      </c>
      <c r="Z2595">
        <v>6.8018319999999993E-2</v>
      </c>
      <c r="AA2595">
        <v>0.94382770000000005</v>
      </c>
      <c r="AB2595">
        <v>33</v>
      </c>
      <c r="AC2595">
        <v>7.9086999999999996</v>
      </c>
      <c r="AD2595">
        <v>-1.114210426921</v>
      </c>
      <c r="AE2595">
        <v>-14.1973199999999</v>
      </c>
      <c r="AF2595">
        <v>-5.3428031607080904</v>
      </c>
      <c r="AG2595">
        <v>-1.114210426921</v>
      </c>
      <c r="AH2595">
        <v>15.267624342800699</v>
      </c>
      <c r="AI2595">
        <v>93.940464406098698</v>
      </c>
      <c r="AJ2595">
        <v>109.287153082562</v>
      </c>
      <c r="AK2595">
        <v>16.213801638185</v>
      </c>
      <c r="AL2595">
        <v>81.562729961865202</v>
      </c>
      <c r="AM2595">
        <v>94.953161954583194</v>
      </c>
      <c r="AN2595">
        <v>0.99999997066959601</v>
      </c>
    </row>
    <row r="2596" spans="1:40" x14ac:dyDescent="0.3">
      <c r="A2596" t="str">
        <f>"20200111150407583"</f>
        <v>20200111150407583</v>
      </c>
      <c r="B2596" t="str">
        <f>"1578726247571113"</f>
        <v>1578726247571113</v>
      </c>
      <c r="C2596" t="s">
        <v>40</v>
      </c>
      <c r="D2596">
        <v>5.2719959999999997</v>
      </c>
      <c r="E2596">
        <v>0.39578010000000002</v>
      </c>
      <c r="F2596" t="s">
        <v>72</v>
      </c>
      <c r="G2596">
        <v>-292.84390000000002</v>
      </c>
      <c r="H2596" s="1">
        <v>-9.4683440000000008E-6</v>
      </c>
      <c r="I2596">
        <v>-53.189570000000003</v>
      </c>
      <c r="J2596">
        <v>-300.73500000000001</v>
      </c>
      <c r="K2596">
        <v>1.1144179999999999</v>
      </c>
      <c r="L2596">
        <v>-39.534939999999999</v>
      </c>
      <c r="M2596">
        <v>0.18252779999999999</v>
      </c>
      <c r="N2596">
        <v>0</v>
      </c>
      <c r="O2596">
        <v>-0.98312259999999996</v>
      </c>
      <c r="P2596">
        <v>0.2652986</v>
      </c>
      <c r="Q2596">
        <v>0.1349341</v>
      </c>
      <c r="R2596">
        <v>-0.95467769999999996</v>
      </c>
      <c r="S2596">
        <v>1.5683290000000001</v>
      </c>
      <c r="T2596">
        <v>-0.21964729999999999</v>
      </c>
      <c r="U2596">
        <v>-2.7527159999999999</v>
      </c>
      <c r="V2596">
        <v>-9.0275629999999996E-2</v>
      </c>
      <c r="W2596">
        <v>0.14490320000000001</v>
      </c>
      <c r="X2596">
        <v>0.9853189</v>
      </c>
      <c r="Y2596">
        <v>-0.32688050000000002</v>
      </c>
      <c r="Z2596">
        <v>7.0129549999999999E-2</v>
      </c>
      <c r="AA2596">
        <v>0.94246010000000002</v>
      </c>
      <c r="AB2596">
        <v>33</v>
      </c>
      <c r="AC2596">
        <v>7.89109999999999</v>
      </c>
      <c r="AD2596">
        <v>-1.1144274683440001</v>
      </c>
      <c r="AE2596">
        <v>-13.6546299999999</v>
      </c>
      <c r="AF2596">
        <v>-5.2398090752711202</v>
      </c>
      <c r="AG2596">
        <v>-1.1144274683440001</v>
      </c>
      <c r="AH2596">
        <v>14.7918005952779</v>
      </c>
      <c r="AI2596">
        <v>94.062142861639202</v>
      </c>
      <c r="AJ2596">
        <v>109.506049769768</v>
      </c>
      <c r="AK2596">
        <v>15.731971032834901</v>
      </c>
      <c r="AL2596">
        <v>81.668326081159194</v>
      </c>
      <c r="AM2596">
        <v>95.234865612485294</v>
      </c>
      <c r="AN2596">
        <v>0.999999980719673</v>
      </c>
    </row>
    <row r="2597" spans="1:40" x14ac:dyDescent="0.3">
      <c r="A2597" t="str">
        <f>"20200111150407608"</f>
        <v>20200111150407608</v>
      </c>
      <c r="B2597" t="str">
        <f>"1578726247601369"</f>
        <v>1578726247601369</v>
      </c>
      <c r="C2597" t="s">
        <v>40</v>
      </c>
      <c r="D2597">
        <v>5.2149260000000002</v>
      </c>
      <c r="E2597">
        <v>0.39520949999999999</v>
      </c>
      <c r="F2597" t="s">
        <v>72</v>
      </c>
      <c r="G2597">
        <v>-292.678</v>
      </c>
      <c r="H2597" s="1">
        <v>-9.5347879999999994E-6</v>
      </c>
      <c r="I2597">
        <v>-53.118209999999998</v>
      </c>
      <c r="J2597">
        <v>-300.66359999999997</v>
      </c>
      <c r="K2597">
        <v>1.1146450000000001</v>
      </c>
      <c r="L2597">
        <v>-39.856659999999998</v>
      </c>
      <c r="M2597">
        <v>0.19504079999999999</v>
      </c>
      <c r="N2597">
        <v>0</v>
      </c>
      <c r="O2597">
        <v>-0.98071629999999999</v>
      </c>
      <c r="P2597">
        <v>0.282557</v>
      </c>
      <c r="Q2597">
        <v>0.13254099999999999</v>
      </c>
      <c r="R2597">
        <v>-0.9500499</v>
      </c>
      <c r="S2597">
        <v>1.6162719999999999</v>
      </c>
      <c r="T2597">
        <v>-0.22355829999999999</v>
      </c>
      <c r="U2597">
        <v>-2.7248540000000001</v>
      </c>
      <c r="V2597">
        <v>-9.554704E-2</v>
      </c>
      <c r="W2597">
        <v>0.14237339999999901</v>
      </c>
      <c r="X2597">
        <v>0.98519060000000003</v>
      </c>
      <c r="Y2597">
        <v>-0.33128730000000001</v>
      </c>
      <c r="Z2597">
        <v>7.138448E-2</v>
      </c>
      <c r="AA2597">
        <v>0.94082569999999999</v>
      </c>
      <c r="AB2597">
        <v>33</v>
      </c>
      <c r="AC2597">
        <v>7.9855999999999696</v>
      </c>
      <c r="AD2597">
        <v>-1.1146545347879999</v>
      </c>
      <c r="AE2597">
        <v>-13.26155</v>
      </c>
      <c r="AF2597">
        <v>-5.2184143877032199</v>
      </c>
      <c r="AG2597">
        <v>-1.1146545347879999</v>
      </c>
      <c r="AH2597">
        <v>14.4893391885998</v>
      </c>
      <c r="AI2597">
        <v>94.139747289893705</v>
      </c>
      <c r="AJ2597">
        <v>109.806760419518</v>
      </c>
      <c r="AK2597">
        <v>15.4407012009172</v>
      </c>
      <c r="AL2597">
        <v>81.814791713880396</v>
      </c>
      <c r="AM2597">
        <v>95.539409925809494</v>
      </c>
      <c r="AN2597">
        <v>0.99999997010434005</v>
      </c>
    </row>
    <row r="2598" spans="1:40" x14ac:dyDescent="0.3">
      <c r="A2598" t="str">
        <f>"20200111150407630"</f>
        <v>20200111150407630</v>
      </c>
      <c r="B2598" t="str">
        <f>"1578726247620889"</f>
        <v>1578726247620889</v>
      </c>
      <c r="C2598" t="s">
        <v>40</v>
      </c>
      <c r="D2598">
        <v>5.2251370000000001</v>
      </c>
      <c r="E2598">
        <v>0.39509450000000002</v>
      </c>
      <c r="F2598" t="s">
        <v>72</v>
      </c>
      <c r="G2598">
        <v>-292.50819999999999</v>
      </c>
      <c r="H2598" s="1">
        <v>-9.6060760000000004E-6</v>
      </c>
      <c r="I2598">
        <v>-53.022559999999999</v>
      </c>
      <c r="J2598">
        <v>-300.58199999999999</v>
      </c>
      <c r="K2598">
        <v>1.114892</v>
      </c>
      <c r="L2598">
        <v>-40.201079999999997</v>
      </c>
      <c r="M2598">
        <v>0.20874110000000001</v>
      </c>
      <c r="N2598">
        <v>0</v>
      </c>
      <c r="O2598">
        <v>-0.97789110000000001</v>
      </c>
      <c r="P2598">
        <v>0.30069390000000001</v>
      </c>
      <c r="Q2598">
        <v>0.13011039999999999</v>
      </c>
      <c r="R2598">
        <v>-0.94480399999999998</v>
      </c>
      <c r="S2598">
        <v>1.6683349999999999</v>
      </c>
      <c r="T2598">
        <v>-0.22802330000000001</v>
      </c>
      <c r="U2598">
        <v>-2.6933289999999999</v>
      </c>
      <c r="V2598">
        <v>-0.10059170000000001</v>
      </c>
      <c r="W2598">
        <v>0.13980680000000001</v>
      </c>
      <c r="X2598">
        <v>0.98505600000000004</v>
      </c>
      <c r="Y2598">
        <v>-0.33610689999999999</v>
      </c>
      <c r="Z2598">
        <v>7.2807659999999996E-2</v>
      </c>
      <c r="AA2598">
        <v>0.93900539999999999</v>
      </c>
      <c r="AB2598">
        <v>33</v>
      </c>
      <c r="AC2598">
        <v>8.0738000000000003</v>
      </c>
      <c r="AD2598">
        <v>-1.114901606076</v>
      </c>
      <c r="AE2598">
        <v>-12.821479999999999</v>
      </c>
      <c r="AF2598">
        <v>-5.1912277704061003</v>
      </c>
      <c r="AG2598">
        <v>-1.114901606076</v>
      </c>
      <c r="AH2598">
        <v>14.147854405201301</v>
      </c>
      <c r="AI2598">
        <v>94.231067938167001</v>
      </c>
      <c r="AJ2598">
        <v>110.14944345994201</v>
      </c>
      <c r="AK2598">
        <v>15.1113743791304</v>
      </c>
      <c r="AL2598">
        <v>81.963333062111204</v>
      </c>
      <c r="AM2598">
        <v>95.830704411206</v>
      </c>
      <c r="AN2598">
        <v>0.999999977285564</v>
      </c>
    </row>
    <row r="2599" spans="1:40" x14ac:dyDescent="0.3">
      <c r="A2599" t="str">
        <f>"20200111150407650"</f>
        <v>20200111150407650</v>
      </c>
      <c r="B2599" t="str">
        <f>"1578726247641385"</f>
        <v>1578726247641385</v>
      </c>
      <c r="C2599" t="s">
        <v>40</v>
      </c>
      <c r="D2599">
        <v>5.1653209999999996</v>
      </c>
      <c r="E2599">
        <v>0.39489469999999999</v>
      </c>
      <c r="F2599" t="s">
        <v>72</v>
      </c>
      <c r="G2599">
        <v>-292.41250000000002</v>
      </c>
      <c r="H2599" s="1">
        <v>-9.6592849999999998E-6</v>
      </c>
      <c r="I2599">
        <v>-52.8382199999999</v>
      </c>
      <c r="J2599">
        <v>-300.51049999999998</v>
      </c>
      <c r="K2599">
        <v>1.1150869999999999</v>
      </c>
      <c r="L2599">
        <v>-40.485500000000002</v>
      </c>
      <c r="M2599">
        <v>0.22029000000000001</v>
      </c>
      <c r="N2599">
        <v>0</v>
      </c>
      <c r="O2599">
        <v>-0.97535380000000005</v>
      </c>
      <c r="P2599">
        <v>0.31630730000000001</v>
      </c>
      <c r="Q2599">
        <v>0.12832539999999901</v>
      </c>
      <c r="R2599">
        <v>-0.93993760000000004</v>
      </c>
      <c r="S2599">
        <v>1.719757</v>
      </c>
      <c r="T2599">
        <v>-0.2346982</v>
      </c>
      <c r="U2599">
        <v>-2.6602480000000002</v>
      </c>
      <c r="V2599">
        <v>-0.105242</v>
      </c>
      <c r="W2599">
        <v>0.13789189999999901</v>
      </c>
      <c r="X2599">
        <v>0.98484000000000005</v>
      </c>
      <c r="Y2599">
        <v>-0.34299970000000002</v>
      </c>
      <c r="Z2599">
        <v>7.4961330000000007E-2</v>
      </c>
      <c r="AA2599">
        <v>0.9363397</v>
      </c>
      <c r="AB2599">
        <v>33</v>
      </c>
      <c r="AC2599">
        <v>8.0979999999999492</v>
      </c>
      <c r="AD2599">
        <v>-1.115096659285</v>
      </c>
      <c r="AE2599">
        <v>-12.3527199999999</v>
      </c>
      <c r="AF2599">
        <v>-5.1482989344354104</v>
      </c>
      <c r="AG2599">
        <v>-1.115096659285</v>
      </c>
      <c r="AH2599">
        <v>13.754873057833301</v>
      </c>
      <c r="AI2599">
        <v>94.341862946046604</v>
      </c>
      <c r="AJ2599">
        <v>110.520326557461</v>
      </c>
      <c r="AK2599">
        <v>14.729051405809001</v>
      </c>
      <c r="AL2599">
        <v>82.074121629181207</v>
      </c>
      <c r="AM2599">
        <v>96.099595402657698</v>
      </c>
      <c r="AN2599">
        <v>0.99999994012480298</v>
      </c>
    </row>
    <row r="2600" spans="1:40" x14ac:dyDescent="0.3">
      <c r="A2600" t="str">
        <f>"20200111150407673"</f>
        <v>20200111150407673</v>
      </c>
      <c r="B2600" t="str">
        <f>"1578726247660904"</f>
        <v>1578726247660904</v>
      </c>
      <c r="C2600" t="s">
        <v>40</v>
      </c>
      <c r="D2600">
        <v>5.1870269999999996</v>
      </c>
      <c r="E2600">
        <v>0.39472629999999997</v>
      </c>
      <c r="F2600" t="s">
        <v>72</v>
      </c>
      <c r="G2600">
        <v>-292.29989999999998</v>
      </c>
      <c r="H2600" s="1">
        <v>-9.7106940000000003E-6</v>
      </c>
      <c r="I2600">
        <v>-52.733609999999999</v>
      </c>
      <c r="J2600">
        <v>-300.42770000000002</v>
      </c>
      <c r="K2600">
        <v>1.115278</v>
      </c>
      <c r="L2600">
        <v>-40.797420000000002</v>
      </c>
      <c r="M2600">
        <v>0.23316890000000001</v>
      </c>
      <c r="N2600">
        <v>0</v>
      </c>
      <c r="O2600">
        <v>-0.97235479999999996</v>
      </c>
      <c r="P2600">
        <v>0.33236270000000001</v>
      </c>
      <c r="Q2600">
        <v>0.12824379999999999</v>
      </c>
      <c r="R2600">
        <v>-0.93439240000000001</v>
      </c>
      <c r="S2600">
        <v>1.763641</v>
      </c>
      <c r="T2600">
        <v>-0.2395224</v>
      </c>
      <c r="U2600">
        <v>-2.63089</v>
      </c>
      <c r="V2600">
        <v>-0.1091625</v>
      </c>
      <c r="W2600">
        <v>0.13769679999999901</v>
      </c>
      <c r="X2600">
        <v>0.98444050000000005</v>
      </c>
      <c r="Y2600">
        <v>-0.34612179999999998</v>
      </c>
      <c r="Z2600">
        <v>7.6480080000000006E-2</v>
      </c>
      <c r="AA2600">
        <v>0.93506710000000004</v>
      </c>
      <c r="AB2600">
        <v>33</v>
      </c>
      <c r="AC2600">
        <v>8.1278000000000308</v>
      </c>
      <c r="AD2600">
        <v>-1.115287710694</v>
      </c>
      <c r="AE2600">
        <v>-11.9361899999999</v>
      </c>
      <c r="AF2600">
        <v>-5.0900016663647101</v>
      </c>
      <c r="AG2600">
        <v>-1.115287710694</v>
      </c>
      <c r="AH2600">
        <v>13.422369271226801</v>
      </c>
      <c r="AI2600">
        <v>94.442552820838401</v>
      </c>
      <c r="AJ2600">
        <v>110.767620245438</v>
      </c>
      <c r="AK2600">
        <v>14.3983325595152</v>
      </c>
      <c r="AL2600">
        <v>82.085408006181694</v>
      </c>
      <c r="AM2600">
        <v>96.327556062410295</v>
      </c>
      <c r="AN2600">
        <v>0.99999997908836902</v>
      </c>
    </row>
    <row r="2601" spans="1:40" x14ac:dyDescent="0.3">
      <c r="A2601" t="str">
        <f>"20200111150407696"</f>
        <v>20200111150407696</v>
      </c>
      <c r="B2601" t="str">
        <f>"1578726247691161"</f>
        <v>1578726247691161</v>
      </c>
      <c r="C2601" t="s">
        <v>40</v>
      </c>
      <c r="D2601">
        <v>5.2221390000000003</v>
      </c>
      <c r="E2601">
        <v>0.39465359999999999</v>
      </c>
      <c r="F2601" t="s">
        <v>72</v>
      </c>
      <c r="G2601">
        <v>-291.97269999999997</v>
      </c>
      <c r="H2601" s="1">
        <v>-9.8081039999999994E-6</v>
      </c>
      <c r="I2601">
        <v>-52.9495</v>
      </c>
      <c r="J2601">
        <v>-300.33640000000003</v>
      </c>
      <c r="K2601">
        <v>1.11547</v>
      </c>
      <c r="L2601">
        <v>-41.122860000000003</v>
      </c>
      <c r="M2601">
        <v>0.2468322</v>
      </c>
      <c r="N2601">
        <v>0</v>
      </c>
      <c r="O2601">
        <v>-0.9689757</v>
      </c>
      <c r="P2601">
        <v>0.34957339999999998</v>
      </c>
      <c r="Q2601">
        <v>0.12712760000000001</v>
      </c>
      <c r="R2601">
        <v>-0.92824419999999996</v>
      </c>
      <c r="S2601">
        <v>1.8089599999999999</v>
      </c>
      <c r="T2601">
        <v>-0.23861660000000001</v>
      </c>
      <c r="U2601">
        <v>-2.599945</v>
      </c>
      <c r="V2601">
        <v>-0.113506</v>
      </c>
      <c r="W2601">
        <v>0.1364523</v>
      </c>
      <c r="X2601">
        <v>0.98412250000000001</v>
      </c>
      <c r="Y2601">
        <v>-0.34913379999999999</v>
      </c>
      <c r="Z2601">
        <v>7.6153609999999997E-2</v>
      </c>
      <c r="AA2601">
        <v>0.93397339999999995</v>
      </c>
      <c r="AB2601">
        <v>33</v>
      </c>
      <c r="AC2601">
        <v>8.3637000000000494</v>
      </c>
      <c r="AD2601">
        <v>-1.115479808104</v>
      </c>
      <c r="AE2601">
        <v>-11.826639999999999</v>
      </c>
      <c r="AF2601">
        <v>-5.1548714391094297</v>
      </c>
      <c r="AG2601">
        <v>-1.115479808104</v>
      </c>
      <c r="AH2601">
        <v>13.4455035124313</v>
      </c>
      <c r="AI2601">
        <v>94.429568309613799</v>
      </c>
      <c r="AJ2601">
        <v>110.97632359277399</v>
      </c>
      <c r="AK2601">
        <v>14.4429415099153</v>
      </c>
      <c r="AL2601">
        <v>82.1573920044478</v>
      </c>
      <c r="AM2601">
        <v>96.579267447836102</v>
      </c>
      <c r="AN2601">
        <v>0.99999996860876905</v>
      </c>
    </row>
    <row r="2602" spans="1:40" x14ac:dyDescent="0.3">
      <c r="A2602" t="str">
        <f>"20200111150407717"</f>
        <v>20200111150407717</v>
      </c>
      <c r="B2602" t="str">
        <f>"1578726247711656"</f>
        <v>1578726247711656</v>
      </c>
      <c r="C2602" t="s">
        <v>40</v>
      </c>
      <c r="D2602">
        <v>5.2354640000000003</v>
      </c>
      <c r="E2602">
        <v>0.3946404</v>
      </c>
      <c r="F2602" t="s">
        <v>72</v>
      </c>
      <c r="G2602">
        <v>-291.7149</v>
      </c>
      <c r="H2602" s="1">
        <v>-9.8932179999999996E-6</v>
      </c>
      <c r="I2602">
        <v>-53.035699999999999</v>
      </c>
      <c r="J2602">
        <v>-300.24669999999998</v>
      </c>
      <c r="K2602">
        <v>1.115648</v>
      </c>
      <c r="L2602">
        <v>-41.426389999999998</v>
      </c>
      <c r="M2602">
        <v>0.25977329999999998</v>
      </c>
      <c r="N2602">
        <v>0</v>
      </c>
      <c r="O2602">
        <v>-0.96558619999999995</v>
      </c>
      <c r="P2602">
        <v>0.3662919</v>
      </c>
      <c r="Q2602">
        <v>0.126419899999999</v>
      </c>
      <c r="R2602">
        <v>-0.92187209999999997</v>
      </c>
      <c r="S2602">
        <v>1.8567499999999999</v>
      </c>
      <c r="T2602">
        <v>-0.2402329</v>
      </c>
      <c r="U2602">
        <v>-2.565582</v>
      </c>
      <c r="V2602">
        <v>-0.1181484</v>
      </c>
      <c r="W2602">
        <v>0.1356029</v>
      </c>
      <c r="X2602">
        <v>0.9836935</v>
      </c>
      <c r="Y2602">
        <v>-0.35393200000000002</v>
      </c>
      <c r="Z2602">
        <v>7.6648740000000007E-2</v>
      </c>
      <c r="AA2602">
        <v>0.93212499999999998</v>
      </c>
      <c r="AB2602">
        <v>33</v>
      </c>
      <c r="AC2602">
        <v>8.5317999999999703</v>
      </c>
      <c r="AD2602">
        <v>-1.1156578932179999</v>
      </c>
      <c r="AE2602">
        <v>-11.609309999999899</v>
      </c>
      <c r="AF2602">
        <v>-5.1916880671646499</v>
      </c>
      <c r="AG2602">
        <v>-1.1156578932179999</v>
      </c>
      <c r="AH2602">
        <v>13.347168006361599</v>
      </c>
      <c r="AI2602">
        <v>94.454449744386395</v>
      </c>
      <c r="AJ2602">
        <v>111.25469183457901</v>
      </c>
      <c r="AK2602">
        <v>14.364721066261</v>
      </c>
      <c r="AL2602">
        <v>82.206516254817402</v>
      </c>
      <c r="AM2602">
        <v>96.848812638349202</v>
      </c>
      <c r="AN2602">
        <v>1.0000000464265999</v>
      </c>
    </row>
    <row r="2603" spans="1:40" x14ac:dyDescent="0.3">
      <c r="A2603" t="str">
        <f>"20200111150407739"</f>
        <v>20200111150407739</v>
      </c>
      <c r="B2603" t="str">
        <f>"1578726247731177"</f>
        <v>1578726247731177</v>
      </c>
      <c r="C2603" t="s">
        <v>40</v>
      </c>
      <c r="D2603">
        <v>5.2221529999999996</v>
      </c>
      <c r="E2603">
        <v>0.39468189999999997</v>
      </c>
      <c r="F2603" t="s">
        <v>72</v>
      </c>
      <c r="G2603">
        <v>-291.48840000000001</v>
      </c>
      <c r="H2603" s="1">
        <v>-9.9703000000000001E-6</v>
      </c>
      <c r="I2603">
        <v>-53.088200000000001</v>
      </c>
      <c r="J2603">
        <v>-300.149</v>
      </c>
      <c r="K2603">
        <v>1.1158239999999999</v>
      </c>
      <c r="L2603">
        <v>-41.740600000000001</v>
      </c>
      <c r="M2603">
        <v>0.27337909999999999</v>
      </c>
      <c r="N2603">
        <v>0</v>
      </c>
      <c r="O2603">
        <v>-0.9618217</v>
      </c>
      <c r="P2603">
        <v>0.38330310000000001</v>
      </c>
      <c r="Q2603">
        <v>0.12616830000000001</v>
      </c>
      <c r="R2603">
        <v>-0.91496469999999996</v>
      </c>
      <c r="S2603">
        <v>1.9015200000000001</v>
      </c>
      <c r="T2603">
        <v>-0.2422231</v>
      </c>
      <c r="U2603">
        <v>-2.5319210000000001</v>
      </c>
      <c r="V2603">
        <v>-0.122532</v>
      </c>
      <c r="W2603">
        <v>0.13521449999999999</v>
      </c>
      <c r="X2603">
        <v>0.98321049999999999</v>
      </c>
      <c r="Y2603">
        <v>-0.35718889999999998</v>
      </c>
      <c r="Z2603">
        <v>7.72346E-2</v>
      </c>
      <c r="AA2603">
        <v>0.93083349999999998</v>
      </c>
      <c r="AB2603">
        <v>33</v>
      </c>
      <c r="AC2603">
        <v>8.6605999999999792</v>
      </c>
      <c r="AD2603">
        <v>-1.1158339703</v>
      </c>
      <c r="AE2603">
        <v>-11.3476</v>
      </c>
      <c r="AF2603">
        <v>-5.1964312903941297</v>
      </c>
      <c r="AG2603">
        <v>-1.1158339703</v>
      </c>
      <c r="AH2603">
        <v>13.202408395345801</v>
      </c>
      <c r="AI2603">
        <v>94.496766579365797</v>
      </c>
      <c r="AJ2603">
        <v>111.484461160843</v>
      </c>
      <c r="AK2603">
        <v>14.2320613771358</v>
      </c>
      <c r="AL2603">
        <v>82.228976200011701</v>
      </c>
      <c r="AM2603">
        <v>97.103825087567202</v>
      </c>
      <c r="AN2603">
        <v>0.99999996967224902</v>
      </c>
    </row>
    <row r="2604" spans="1:40" x14ac:dyDescent="0.3">
      <c r="A2604" t="str">
        <f>"20200111150407762"</f>
        <v>20200111150407762</v>
      </c>
      <c r="B2604" t="str">
        <f>"1578726247751672"</f>
        <v>1578726247751672</v>
      </c>
      <c r="C2604" t="s">
        <v>40</v>
      </c>
      <c r="D2604">
        <v>5.2906789999999999</v>
      </c>
      <c r="E2604">
        <v>0.39477899999999999</v>
      </c>
      <c r="F2604" t="s">
        <v>72</v>
      </c>
      <c r="G2604">
        <v>-291.15800000000002</v>
      </c>
      <c r="H2604" s="1">
        <v>-1.007247E-5</v>
      </c>
      <c r="I2604">
        <v>-53.268230000000003</v>
      </c>
      <c r="J2604">
        <v>-300.05220000000003</v>
      </c>
      <c r="K2604">
        <v>1.1159939999999999</v>
      </c>
      <c r="L2604">
        <v>-42.03745</v>
      </c>
      <c r="M2604">
        <v>0.28642529999999999</v>
      </c>
      <c r="N2604">
        <v>0</v>
      </c>
      <c r="O2604">
        <v>-0.95801700000000001</v>
      </c>
      <c r="P2604">
        <v>0.39815210000000001</v>
      </c>
      <c r="Q2604">
        <v>0.12658440000000001</v>
      </c>
      <c r="R2604">
        <v>-0.90854380000000001</v>
      </c>
      <c r="S2604">
        <v>1.9471130000000001</v>
      </c>
      <c r="T2604">
        <v>-0.24164550000000001</v>
      </c>
      <c r="U2604">
        <v>-2.496429</v>
      </c>
      <c r="V2604">
        <v>-0.12527369999999999</v>
      </c>
      <c r="W2604">
        <v>0.13554140000000001</v>
      </c>
      <c r="X2604">
        <v>0.98281989999999997</v>
      </c>
      <c r="Y2604">
        <v>-0.36149219999999999</v>
      </c>
      <c r="Z2604">
        <v>7.7009980000000006E-2</v>
      </c>
      <c r="AA2604">
        <v>0.92918940000000005</v>
      </c>
      <c r="AB2604">
        <v>33</v>
      </c>
      <c r="AC2604">
        <v>8.8942000000000103</v>
      </c>
      <c r="AD2604">
        <v>-1.11600407247</v>
      </c>
      <c r="AE2604">
        <v>-11.230779999999999</v>
      </c>
      <c r="AF2604">
        <v>-5.27245473130088</v>
      </c>
      <c r="AG2604">
        <v>-1.11600407247</v>
      </c>
      <c r="AH2604">
        <v>13.227622458428201</v>
      </c>
      <c r="AI2604">
        <v>94.481269298273801</v>
      </c>
      <c r="AJ2604">
        <v>111.731943545883</v>
      </c>
      <c r="AK2604">
        <v>14.283355344109401</v>
      </c>
      <c r="AL2604">
        <v>82.210072130257203</v>
      </c>
      <c r="AM2604">
        <v>97.263952641018903</v>
      </c>
      <c r="AN2604">
        <v>0.99999996343082898</v>
      </c>
    </row>
    <row r="2605" spans="1:40" x14ac:dyDescent="0.3">
      <c r="A2605" t="str">
        <f>"20200111150407784"</f>
        <v>20200111150407784</v>
      </c>
      <c r="B2605" t="str">
        <f>"1578726247780954"</f>
        <v>1578726247780954</v>
      </c>
      <c r="C2605" t="s">
        <v>40</v>
      </c>
      <c r="D2605">
        <v>5.274883</v>
      </c>
      <c r="E2605">
        <v>0.3949299</v>
      </c>
      <c r="F2605" t="s">
        <v>72</v>
      </c>
      <c r="G2605">
        <v>-290.702</v>
      </c>
      <c r="H2605" s="1">
        <v>-1.020231E-5</v>
      </c>
      <c r="I2605">
        <v>-53.627940000000002</v>
      </c>
      <c r="J2605">
        <v>-299.94529999999997</v>
      </c>
      <c r="K2605">
        <v>1.1161730000000001</v>
      </c>
      <c r="L2605">
        <v>-42.350340000000003</v>
      </c>
      <c r="M2605">
        <v>0.30037970000000003</v>
      </c>
      <c r="N2605">
        <v>0</v>
      </c>
      <c r="O2605">
        <v>-0.9537331</v>
      </c>
      <c r="P2605">
        <v>0.41377190000000003</v>
      </c>
      <c r="Q2605">
        <v>0.1257125</v>
      </c>
      <c r="R2605">
        <v>-0.9016594</v>
      </c>
      <c r="S2605">
        <v>1.9877009999999999</v>
      </c>
      <c r="T2605">
        <v>-0.23724500000000001</v>
      </c>
      <c r="U2605">
        <v>-2.463959</v>
      </c>
      <c r="V2605">
        <v>-0.12789159999999999</v>
      </c>
      <c r="W2605">
        <v>0.13458329999999999</v>
      </c>
      <c r="X2605">
        <v>0.9826144</v>
      </c>
      <c r="Y2605">
        <v>-0.36321439999999999</v>
      </c>
      <c r="Z2605">
        <v>7.5517719999999997E-2</v>
      </c>
      <c r="AA2605">
        <v>0.92864009999999997</v>
      </c>
      <c r="AB2605">
        <v>33</v>
      </c>
      <c r="AC2605">
        <v>9.2432999999999694</v>
      </c>
      <c r="AD2605">
        <v>-1.11618320230999</v>
      </c>
      <c r="AE2605">
        <v>-11.2776</v>
      </c>
      <c r="AF2605">
        <v>-5.39690430588597</v>
      </c>
      <c r="AG2605">
        <v>-1.11618320230999</v>
      </c>
      <c r="AH2605">
        <v>13.454600747851799</v>
      </c>
      <c r="AI2605">
        <v>94.402855595725498</v>
      </c>
      <c r="AJ2605">
        <v>111.8566892983</v>
      </c>
      <c r="AK2605">
        <v>14.539557156671099</v>
      </c>
      <c r="AL2605">
        <v>82.265475097111306</v>
      </c>
      <c r="AM2605">
        <v>97.415612111770002</v>
      </c>
      <c r="AN2605">
        <v>0.99999999253840499</v>
      </c>
    </row>
    <row r="2606" spans="1:40" x14ac:dyDescent="0.3">
      <c r="A2606" t="str">
        <f>"20200111150407807"</f>
        <v>20200111150407807</v>
      </c>
      <c r="B2606" t="str">
        <f>"1578726247801451"</f>
        <v>1578726247801451</v>
      </c>
      <c r="C2606" t="s">
        <v>40</v>
      </c>
      <c r="D2606">
        <v>5.5523199999999999</v>
      </c>
      <c r="E2606">
        <v>0.39523209999999998</v>
      </c>
      <c r="F2606" t="s">
        <v>72</v>
      </c>
      <c r="G2606">
        <v>-290.39429999999999</v>
      </c>
      <c r="H2606" s="1">
        <v>-1.029811E-5</v>
      </c>
      <c r="I2606">
        <v>-53.788930000000001</v>
      </c>
      <c r="J2606">
        <v>-299.83620000000002</v>
      </c>
      <c r="K2606">
        <v>1.1163449999999999</v>
      </c>
      <c r="L2606">
        <v>-42.65466</v>
      </c>
      <c r="M2606">
        <v>0.31414920000000002</v>
      </c>
      <c r="N2606">
        <v>0</v>
      </c>
      <c r="O2606">
        <v>-0.94928599999999996</v>
      </c>
      <c r="P2606">
        <v>0.42813699999999999</v>
      </c>
      <c r="Q2606">
        <v>0.1244773</v>
      </c>
      <c r="R2606">
        <v>-0.89510020000000001</v>
      </c>
      <c r="S2606">
        <v>2.028473</v>
      </c>
      <c r="T2606">
        <v>-0.2370603</v>
      </c>
      <c r="U2606">
        <v>-2.4293819999999999</v>
      </c>
      <c r="V2606">
        <v>-0.12935679999999999</v>
      </c>
      <c r="W2606">
        <v>0.133298</v>
      </c>
      <c r="X2606">
        <v>0.98259779999999997</v>
      </c>
      <c r="Y2606">
        <v>-0.36542350000000001</v>
      </c>
      <c r="Z2606">
        <v>7.5371030000000006E-2</v>
      </c>
      <c r="AA2606">
        <v>0.92778490000000002</v>
      </c>
      <c r="AB2606">
        <v>33</v>
      </c>
      <c r="AC2606">
        <v>9.4419000000000306</v>
      </c>
      <c r="AD2606">
        <v>-1.11635529811</v>
      </c>
      <c r="AE2606">
        <v>-11.134270000000001</v>
      </c>
      <c r="AF2606">
        <v>-5.43392075411652</v>
      </c>
      <c r="AG2606">
        <v>-1.11635529811</v>
      </c>
      <c r="AH2606">
        <v>13.458199896673699</v>
      </c>
      <c r="AI2606">
        <v>94.398346208576399</v>
      </c>
      <c r="AJ2606">
        <v>111.987024681195</v>
      </c>
      <c r="AK2606">
        <v>14.5566784800814</v>
      </c>
      <c r="AL2606">
        <v>82.339786927838304</v>
      </c>
      <c r="AM2606">
        <v>97.499733217887396</v>
      </c>
      <c r="AN2606">
        <v>0.99999998753753905</v>
      </c>
    </row>
    <row r="2607" spans="1:40" x14ac:dyDescent="0.3">
      <c r="A2607" t="str">
        <f>"20200111150407829"</f>
        <v>20200111150407829</v>
      </c>
      <c r="B2607" t="str">
        <f>"1578726247820968"</f>
        <v>1578726247820968</v>
      </c>
      <c r="C2607" t="s">
        <v>40</v>
      </c>
      <c r="D2607">
        <v>5.2498870000000002</v>
      </c>
      <c r="E2607">
        <v>0.39557399999999998</v>
      </c>
      <c r="F2607" t="s">
        <v>72</v>
      </c>
      <c r="G2607">
        <v>-290.3109</v>
      </c>
      <c r="H2607" s="1">
        <v>-1.03356E-5</v>
      </c>
      <c r="I2607">
        <v>-53.717149999999997</v>
      </c>
      <c r="J2607">
        <v>-299.72120000000001</v>
      </c>
      <c r="K2607">
        <v>1.11652</v>
      </c>
      <c r="L2607">
        <v>-42.960999999999999</v>
      </c>
      <c r="M2607">
        <v>0.32820779999999999</v>
      </c>
      <c r="N2607">
        <v>0</v>
      </c>
      <c r="O2607">
        <v>-0.94451680000000005</v>
      </c>
      <c r="P2607">
        <v>0.44066559999999999</v>
      </c>
      <c r="Q2607">
        <v>0.1239894</v>
      </c>
      <c r="R2607">
        <v>-0.88906719999999895</v>
      </c>
      <c r="S2607">
        <v>2.0645449999999999</v>
      </c>
      <c r="T2607">
        <v>-0.24196419999999999</v>
      </c>
      <c r="U2607">
        <v>-2.3977360000000001</v>
      </c>
      <c r="V2607">
        <v>-0.12859080000000001</v>
      </c>
      <c r="W2607">
        <v>0.13283110000000001</v>
      </c>
      <c r="X2607">
        <v>0.98276160000000001</v>
      </c>
      <c r="Y2607">
        <v>-0.36560039999999999</v>
      </c>
      <c r="Z2607">
        <v>7.6784630000000006E-2</v>
      </c>
      <c r="AA2607">
        <v>0.92759930000000002</v>
      </c>
      <c r="AB2607">
        <v>33</v>
      </c>
      <c r="AC2607">
        <v>9.4102999999999994</v>
      </c>
      <c r="AD2607">
        <v>-1.1165303356</v>
      </c>
      <c r="AE2607">
        <v>-10.7561499999999</v>
      </c>
      <c r="AF2607">
        <v>-5.3258765844853997</v>
      </c>
      <c r="AG2607">
        <v>-1.1165303356</v>
      </c>
      <c r="AH2607">
        <v>13.1686335642824</v>
      </c>
      <c r="AI2607">
        <v>94.494324016417195</v>
      </c>
      <c r="AJ2607">
        <v>112.02020729074501</v>
      </c>
      <c r="AK2607">
        <v>14.248667001998101</v>
      </c>
      <c r="AL2607">
        <v>82.366778668654504</v>
      </c>
      <c r="AM2607">
        <v>97.454595159803603</v>
      </c>
      <c r="AN2607">
        <v>1.0000000287032</v>
      </c>
    </row>
    <row r="2608" spans="1:40" x14ac:dyDescent="0.3">
      <c r="A2608" t="str">
        <f>"20200111150407851"</f>
        <v>20200111150407851</v>
      </c>
      <c r="B2608" t="str">
        <f>"1578726247841465"</f>
        <v>1578726247841465</v>
      </c>
      <c r="C2608" t="s">
        <v>40</v>
      </c>
      <c r="D2608">
        <v>5.2961960000000001</v>
      </c>
      <c r="E2608">
        <v>0.39603969999999999</v>
      </c>
      <c r="F2608" t="s">
        <v>72</v>
      </c>
      <c r="G2608">
        <v>-290.05849999999998</v>
      </c>
      <c r="H2608" s="1">
        <v>-1.0410610000000001E-5</v>
      </c>
      <c r="I2608">
        <v>-53.885129999999997</v>
      </c>
      <c r="J2608">
        <v>-299.60430000000002</v>
      </c>
      <c r="K2608">
        <v>1.1166830000000001</v>
      </c>
      <c r="L2608">
        <v>-43.257840000000002</v>
      </c>
      <c r="M2608">
        <v>0.342032</v>
      </c>
      <c r="N2608">
        <v>0</v>
      </c>
      <c r="O2608">
        <v>-0.9395983</v>
      </c>
      <c r="P2608">
        <v>0.45151540000000001</v>
      </c>
      <c r="Q2608">
        <v>0.12574949999999999</v>
      </c>
      <c r="R2608">
        <v>-0.88335789999999903</v>
      </c>
      <c r="S2608">
        <v>2.095764</v>
      </c>
      <c r="T2608">
        <v>-0.24216599999999999</v>
      </c>
      <c r="U2608">
        <v>-2.369354</v>
      </c>
      <c r="V2608">
        <v>-0.12639400000000001</v>
      </c>
      <c r="W2608">
        <v>0.13465929999999901</v>
      </c>
      <c r="X2608">
        <v>0.9827977</v>
      </c>
      <c r="Y2608">
        <v>-0.36431839999999999</v>
      </c>
      <c r="Z2608">
        <v>7.6676149999999998E-2</v>
      </c>
      <c r="AA2608">
        <v>0.92811259999999995</v>
      </c>
      <c r="AB2608">
        <v>33</v>
      </c>
      <c r="AC2608">
        <v>9.5458000000000407</v>
      </c>
      <c r="AD2608">
        <v>-1.1166934106099999</v>
      </c>
      <c r="AE2608">
        <v>-10.62729</v>
      </c>
      <c r="AF2608">
        <v>-5.3023928946692997</v>
      </c>
      <c r="AG2608">
        <v>-1.1166934106099999</v>
      </c>
      <c r="AH2608">
        <v>13.1709865918126</v>
      </c>
      <c r="AI2608">
        <v>94.497060344197905</v>
      </c>
      <c r="AJ2608">
        <v>111.928793781856</v>
      </c>
      <c r="AK2608">
        <v>14.242094733024601</v>
      </c>
      <c r="AL2608">
        <v>82.261080243062906</v>
      </c>
      <c r="AM2608">
        <v>97.328373531611902</v>
      </c>
      <c r="AN2608">
        <v>0.99999994471888798</v>
      </c>
    </row>
    <row r="2609" spans="1:40" x14ac:dyDescent="0.3">
      <c r="A2609" t="str">
        <f>"20200111150407873"</f>
        <v>20200111150407873</v>
      </c>
      <c r="B2609" t="str">
        <f>"1578726247870745"</f>
        <v>1578726247870745</v>
      </c>
      <c r="C2609" t="s">
        <v>40</v>
      </c>
      <c r="D2609">
        <v>5.3302569999999996</v>
      </c>
      <c r="E2609">
        <v>0.41747489999999998</v>
      </c>
      <c r="F2609" t="s">
        <v>72</v>
      </c>
      <c r="G2609">
        <v>-289.53050000000002</v>
      </c>
      <c r="H2609" s="1">
        <v>-2.4596850000000002E-6</v>
      </c>
      <c r="I2609">
        <v>-54.386220000000002</v>
      </c>
      <c r="J2609">
        <v>-299.48020000000002</v>
      </c>
      <c r="K2609">
        <v>1.116838</v>
      </c>
      <c r="L2609">
        <v>-43.559600000000003</v>
      </c>
      <c r="M2609">
        <v>0.35624709999999898</v>
      </c>
      <c r="N2609">
        <v>0</v>
      </c>
      <c r="O2609">
        <v>-0.93430069999999998</v>
      </c>
      <c r="P2609">
        <v>0.46331749999999999</v>
      </c>
      <c r="Q2609">
        <v>0.12777669999999999</v>
      </c>
      <c r="R2609">
        <v>-0.87693239999999995</v>
      </c>
      <c r="S2609">
        <v>2.122528</v>
      </c>
      <c r="T2609">
        <v>-0.23528350000000001</v>
      </c>
      <c r="U2609">
        <v>-2.3447269999999998</v>
      </c>
      <c r="V2609">
        <v>-0.1248804</v>
      </c>
      <c r="W2609">
        <v>0.13673469999999999</v>
      </c>
      <c r="X2609">
        <v>0.98270469999999999</v>
      </c>
      <c r="Y2609">
        <v>-0.36098809999999998</v>
      </c>
      <c r="Z2609">
        <v>7.427802E-2</v>
      </c>
      <c r="AA2609">
        <v>0.92960759999999998</v>
      </c>
      <c r="AB2609">
        <v>33</v>
      </c>
      <c r="AC2609">
        <v>9.9497</v>
      </c>
      <c r="AD2609">
        <v>-1.1168404596849999</v>
      </c>
      <c r="AE2609">
        <v>-10.826619999999901</v>
      </c>
      <c r="AF2609">
        <v>-5.4083219200726802</v>
      </c>
      <c r="AG2609">
        <v>-1.1168404596849999</v>
      </c>
      <c r="AH2609">
        <v>13.5826743424848</v>
      </c>
      <c r="AI2609">
        <v>94.368468518371401</v>
      </c>
      <c r="AJ2609">
        <v>111.711358424868</v>
      </c>
      <c r="AK2609">
        <v>14.6624118376727</v>
      </c>
      <c r="AL2609">
        <v>82.1410589125055</v>
      </c>
      <c r="AM2609">
        <v>97.242229605998105</v>
      </c>
      <c r="AN2609">
        <v>1.00000000994517</v>
      </c>
    </row>
    <row r="2610" spans="1:40" x14ac:dyDescent="0.3">
      <c r="A2610" t="str">
        <f>"20200111150407896"</f>
        <v>20200111150407896</v>
      </c>
      <c r="B2610" t="str">
        <f>"1578726247891242"</f>
        <v>1578726247891242</v>
      </c>
      <c r="C2610" t="s">
        <v>40</v>
      </c>
      <c r="D2610">
        <v>5.4116920000000004</v>
      </c>
      <c r="E2610">
        <v>0.41564519999999999</v>
      </c>
      <c r="F2610" t="s">
        <v>72</v>
      </c>
      <c r="G2610">
        <v>-291.68020000000001</v>
      </c>
      <c r="H2610" s="1">
        <v>-9.9193589999999998E-6</v>
      </c>
      <c r="I2610">
        <v>-52.900300000000001</v>
      </c>
      <c r="J2610">
        <v>-299.35480000000001</v>
      </c>
      <c r="K2610">
        <v>1.11697</v>
      </c>
      <c r="L2610">
        <v>-43.851779999999998</v>
      </c>
      <c r="M2610">
        <v>0.37015330000000002</v>
      </c>
      <c r="N2610">
        <v>0</v>
      </c>
      <c r="O2610">
        <v>-0.92887830000000005</v>
      </c>
      <c r="P2610">
        <v>0.4762517</v>
      </c>
      <c r="Q2610">
        <v>0.12755759999999999</v>
      </c>
      <c r="R2610">
        <v>-0.87000789999999995</v>
      </c>
      <c r="S2610">
        <v>2.0064700000000002</v>
      </c>
      <c r="T2610">
        <v>-0.28729769999999999</v>
      </c>
      <c r="U2610">
        <v>-2.4028019999999999</v>
      </c>
      <c r="V2610">
        <v>-0.12479320000000001</v>
      </c>
      <c r="W2610">
        <v>0.13652069999999999</v>
      </c>
      <c r="X2610">
        <v>0.98274550000000005</v>
      </c>
      <c r="Y2610">
        <v>-0.30850640000000001</v>
      </c>
      <c r="Z2610">
        <v>9.0288270000000004E-2</v>
      </c>
      <c r="AA2610">
        <v>0.94692750000000003</v>
      </c>
      <c r="AB2610">
        <v>33</v>
      </c>
      <c r="AC2610">
        <v>7.6745999999999901</v>
      </c>
      <c r="AD2610">
        <v>-1.116979919359</v>
      </c>
      <c r="AE2610">
        <v>-9.0485199999999999</v>
      </c>
      <c r="AF2610">
        <v>-3.7465498174755898</v>
      </c>
      <c r="AG2610">
        <v>-1.116979919359</v>
      </c>
      <c r="AH2610">
        <v>11.1479173038095</v>
      </c>
      <c r="AI2610">
        <v>95.425455504251104</v>
      </c>
      <c r="AJ2610">
        <v>108.576272072758</v>
      </c>
      <c r="AK2610">
        <v>11.813565925987501</v>
      </c>
      <c r="AL2610">
        <v>82.153436050088402</v>
      </c>
      <c r="AM2610">
        <v>97.236928947583607</v>
      </c>
      <c r="AN2610">
        <v>0.99999998103248899</v>
      </c>
    </row>
    <row r="2611" spans="1:40" x14ac:dyDescent="0.3">
      <c r="A2611" t="str">
        <f>"20200111150407918"</f>
        <v>20200111150407918</v>
      </c>
      <c r="B2611" t="str">
        <f>"1578726247911737"</f>
        <v>1578726247911737</v>
      </c>
      <c r="C2611" t="s">
        <v>40</v>
      </c>
      <c r="D2611">
        <v>5.4358180000000003</v>
      </c>
      <c r="E2611">
        <v>0.41572769999999998</v>
      </c>
      <c r="F2611" t="s">
        <v>72</v>
      </c>
      <c r="G2611">
        <v>-291.01029999999997</v>
      </c>
      <c r="H2611" s="1">
        <v>-1.01073899999999E-5</v>
      </c>
      <c r="I2611">
        <v>-53.456169999999901</v>
      </c>
      <c r="J2611">
        <v>-299.21789999999999</v>
      </c>
      <c r="K2611">
        <v>1.117083</v>
      </c>
      <c r="L2611">
        <v>-44.157649999999997</v>
      </c>
      <c r="M2611">
        <v>0.384851</v>
      </c>
      <c r="N2611">
        <v>0</v>
      </c>
      <c r="O2611">
        <v>-0.92288519999999996</v>
      </c>
      <c r="P2611">
        <v>0.49030509999999999</v>
      </c>
      <c r="Q2611">
        <v>0.1255039</v>
      </c>
      <c r="R2611">
        <v>-0.8624674</v>
      </c>
      <c r="S2611">
        <v>2.0540470000000002</v>
      </c>
      <c r="T2611">
        <v>-0.27494980000000002</v>
      </c>
      <c r="U2611">
        <v>-2.364166</v>
      </c>
      <c r="V2611">
        <v>-0.12500439999999999</v>
      </c>
      <c r="W2611">
        <v>0.1344651</v>
      </c>
      <c r="X2611">
        <v>0.98300209999999999</v>
      </c>
      <c r="Y2611">
        <v>-0.3121913</v>
      </c>
      <c r="Z2611">
        <v>8.6143910000000004E-2</v>
      </c>
      <c r="AA2611">
        <v>0.94610559999999999</v>
      </c>
      <c r="AB2611">
        <v>33</v>
      </c>
      <c r="AC2611">
        <v>8.20760000000001</v>
      </c>
      <c r="AD2611">
        <v>-1.1170931073899999</v>
      </c>
      <c r="AE2611">
        <v>-9.2985199999999892</v>
      </c>
      <c r="AF2611">
        <v>-3.9643129673906401</v>
      </c>
      <c r="AG2611">
        <v>-1.1170931073899999</v>
      </c>
      <c r="AH2611">
        <v>11.6467010561531</v>
      </c>
      <c r="AI2611">
        <v>95.188181191229802</v>
      </c>
      <c r="AJ2611">
        <v>108.797586341864</v>
      </c>
      <c r="AK2611">
        <v>12.353514471817199</v>
      </c>
      <c r="AL2611">
        <v>82.2723099963154</v>
      </c>
      <c r="AM2611">
        <v>97.2471744004133</v>
      </c>
      <c r="AN2611">
        <v>1.00000004587088</v>
      </c>
    </row>
    <row r="2612" spans="1:40" x14ac:dyDescent="0.3">
      <c r="A2612" t="str">
        <f>"20200111150407941"</f>
        <v>20200111150407941</v>
      </c>
      <c r="B2612" t="str">
        <f>"1578726247931257"</f>
        <v>1578726247931257</v>
      </c>
      <c r="C2612" t="s">
        <v>40</v>
      </c>
      <c r="D2612">
        <v>5.4412229999999999</v>
      </c>
      <c r="E2612">
        <v>0.41657290000000002</v>
      </c>
      <c r="F2612" t="s">
        <v>72</v>
      </c>
      <c r="G2612">
        <v>-290.86309999999997</v>
      </c>
      <c r="H2612" s="1">
        <v>-1.016008E-5</v>
      </c>
      <c r="I2612">
        <v>-53.464350000000003</v>
      </c>
      <c r="J2612">
        <v>-299.08350000000002</v>
      </c>
      <c r="K2612">
        <v>1.117175</v>
      </c>
      <c r="L2612">
        <v>-44.446080000000002</v>
      </c>
      <c r="M2612">
        <v>0.39881670000000002</v>
      </c>
      <c r="N2612">
        <v>0</v>
      </c>
      <c r="O2612">
        <v>-0.91693599999999997</v>
      </c>
      <c r="P2612">
        <v>0.50414729999999996</v>
      </c>
      <c r="Q2612">
        <v>0.1247328</v>
      </c>
      <c r="R2612">
        <v>-0.85456279999999996</v>
      </c>
      <c r="S2612">
        <v>2.091675</v>
      </c>
      <c r="T2612">
        <v>-0.279671</v>
      </c>
      <c r="U2612">
        <v>-2.329987</v>
      </c>
      <c r="V2612">
        <v>-0.12590019999999999</v>
      </c>
      <c r="W2612">
        <v>0.13366749999999999</v>
      </c>
      <c r="X2612">
        <v>0.98299650000000005</v>
      </c>
      <c r="Y2612">
        <v>-0.3130502</v>
      </c>
      <c r="Z2612">
        <v>8.7320889999999998E-2</v>
      </c>
      <c r="AA2612">
        <v>0.94571380000000005</v>
      </c>
      <c r="AB2612">
        <v>33</v>
      </c>
      <c r="AC2612">
        <v>8.2204000000000406</v>
      </c>
      <c r="AD2612">
        <v>-1.11718516007999</v>
      </c>
      <c r="AE2612">
        <v>-9.0182699999999993</v>
      </c>
      <c r="AF2612">
        <v>-3.9085252133455901</v>
      </c>
      <c r="AG2612">
        <v>-1.11718516007999</v>
      </c>
      <c r="AH2612">
        <v>11.4526168459858</v>
      </c>
      <c r="AI2612">
        <v>95.274607039456299</v>
      </c>
      <c r="AJ2612">
        <v>108.84363977756701</v>
      </c>
      <c r="AK2612">
        <v>12.152658336603499</v>
      </c>
      <c r="AL2612">
        <v>82.318424990437407</v>
      </c>
      <c r="AM2612">
        <v>97.298591819860505</v>
      </c>
      <c r="AN2612">
        <v>0.99999998996426998</v>
      </c>
    </row>
    <row r="2613" spans="1:40" x14ac:dyDescent="0.3">
      <c r="A2613" t="str">
        <f>"20200111150407962"</f>
        <v>20200111150407962</v>
      </c>
      <c r="B2613" t="str">
        <f>"1578726247950776"</f>
        <v>1578726247950776</v>
      </c>
      <c r="C2613" t="s">
        <v>40</v>
      </c>
      <c r="D2613">
        <v>5.4170350000000003</v>
      </c>
      <c r="E2613">
        <v>0.41728799999999999</v>
      </c>
      <c r="F2613" t="s">
        <v>72</v>
      </c>
      <c r="G2613">
        <v>-290.76080000000002</v>
      </c>
      <c r="H2613" s="1">
        <v>-1.0197609999999999E-5</v>
      </c>
      <c r="I2613">
        <v>-53.461190000000002</v>
      </c>
      <c r="J2613">
        <v>-298.94479999999999</v>
      </c>
      <c r="K2613">
        <v>1.1172580000000001</v>
      </c>
      <c r="L2613">
        <v>-44.732059999999997</v>
      </c>
      <c r="M2613">
        <v>0.41275329999999899</v>
      </c>
      <c r="N2613">
        <v>0</v>
      </c>
      <c r="O2613">
        <v>-0.91074719999999998</v>
      </c>
      <c r="P2613">
        <v>0.51849109999999998</v>
      </c>
      <c r="Q2613">
        <v>0.1230455</v>
      </c>
      <c r="R2613">
        <v>-0.84618389999999999</v>
      </c>
      <c r="S2613">
        <v>2.1230470000000001</v>
      </c>
      <c r="T2613">
        <v>-0.28498489999999999</v>
      </c>
      <c r="U2613">
        <v>-2.2996829999999999</v>
      </c>
      <c r="V2613">
        <v>-0.12736989999999901</v>
      </c>
      <c r="W2613">
        <v>0.13193489999999999</v>
      </c>
      <c r="X2613">
        <v>0.98304119999999995</v>
      </c>
      <c r="Y2613">
        <v>-0.31164999999999998</v>
      </c>
      <c r="Z2613">
        <v>8.8620210000000005E-2</v>
      </c>
      <c r="AA2613">
        <v>0.94605539999999999</v>
      </c>
      <c r="AB2613">
        <v>33</v>
      </c>
      <c r="AC2613">
        <v>8.1839999999999602</v>
      </c>
      <c r="AD2613">
        <v>-1.1172681976100001</v>
      </c>
      <c r="AE2613">
        <v>-8.7291299999999996</v>
      </c>
      <c r="AF2613">
        <v>-3.8176290782278599</v>
      </c>
      <c r="AG2613">
        <v>-1.1172681976100001</v>
      </c>
      <c r="AH2613">
        <v>11.231071756092</v>
      </c>
      <c r="AI2613">
        <v>95.380669267135701</v>
      </c>
      <c r="AJ2613">
        <v>108.773755982333</v>
      </c>
      <c r="AK2613">
        <v>11.914678039914</v>
      </c>
      <c r="AL2613">
        <v>82.418582534637395</v>
      </c>
      <c r="AM2613">
        <v>97.382525524769505</v>
      </c>
      <c r="AN2613">
        <v>0.99999995508072803</v>
      </c>
    </row>
    <row r="2614" spans="1:40" x14ac:dyDescent="0.3">
      <c r="A2614" t="str">
        <f>"20200111150407985"</f>
        <v>20200111150407985</v>
      </c>
      <c r="B2614" t="str">
        <f>"1578726247981033"</f>
        <v>1578726247981033</v>
      </c>
      <c r="C2614" t="s">
        <v>40</v>
      </c>
      <c r="D2614">
        <v>5.4273509999999998</v>
      </c>
      <c r="E2614">
        <v>0.41909970000000002</v>
      </c>
      <c r="F2614" t="s">
        <v>72</v>
      </c>
      <c r="G2614">
        <v>-290.68380000000002</v>
      </c>
      <c r="H2614" s="1">
        <v>-1.022983E-5</v>
      </c>
      <c r="I2614">
        <v>-53.418729999999996</v>
      </c>
      <c r="J2614">
        <v>-298.79750000000001</v>
      </c>
      <c r="K2614">
        <v>1.1173280000000001</v>
      </c>
      <c r="L2614">
        <v>-45.024380000000001</v>
      </c>
      <c r="M2614">
        <v>0.42707400000000001</v>
      </c>
      <c r="N2614">
        <v>0</v>
      </c>
      <c r="O2614">
        <v>-0.90411960000000002</v>
      </c>
      <c r="P2614">
        <v>0.53206309999999901</v>
      </c>
      <c r="Q2614">
        <v>0.1214341</v>
      </c>
      <c r="R2614">
        <v>-0.83795169999999997</v>
      </c>
      <c r="S2614">
        <v>2.1557309999999998</v>
      </c>
      <c r="T2614">
        <v>-0.2915547</v>
      </c>
      <c r="U2614">
        <v>-2.2668149999999998</v>
      </c>
      <c r="V2614">
        <v>-0.12757779999999999</v>
      </c>
      <c r="W2614">
        <v>0.13032249999999901</v>
      </c>
      <c r="X2614">
        <v>0.98322929999999997</v>
      </c>
      <c r="Y2614">
        <v>-0.31054480000000001</v>
      </c>
      <c r="Z2614">
        <v>9.027135E-2</v>
      </c>
      <c r="AA2614">
        <v>0.94626270000000001</v>
      </c>
      <c r="AB2614">
        <v>33</v>
      </c>
      <c r="AC2614">
        <v>8.1136999999999908</v>
      </c>
      <c r="AD2614">
        <v>-1.1173382298299901</v>
      </c>
      <c r="AE2614">
        <v>-8.3943499999999993</v>
      </c>
      <c r="AF2614">
        <v>-3.7170288785652601</v>
      </c>
      <c r="AG2614">
        <v>-1.1173382298299901</v>
      </c>
      <c r="AH2614">
        <v>10.9552698948981</v>
      </c>
      <c r="AI2614">
        <v>95.516691369949996</v>
      </c>
      <c r="AJ2614">
        <v>108.741632669699</v>
      </c>
      <c r="AK2614">
        <v>11.6225077704422</v>
      </c>
      <c r="AL2614">
        <v>82.511770895386306</v>
      </c>
      <c r="AM2614">
        <v>97.393043460631205</v>
      </c>
      <c r="AN2614">
        <v>0.99999995271878805</v>
      </c>
    </row>
    <row r="2615" spans="1:40" x14ac:dyDescent="0.3">
      <c r="A2615" t="str">
        <f>"20200111150408007"</f>
        <v>20200111150408007</v>
      </c>
      <c r="B2615" t="str">
        <f>"1578726248001528"</f>
        <v>1578726248001528</v>
      </c>
      <c r="C2615" t="s">
        <v>40</v>
      </c>
      <c r="D2615">
        <v>5.3924279999999998</v>
      </c>
      <c r="E2615">
        <v>0.42971239999999999</v>
      </c>
      <c r="F2615" t="s">
        <v>72</v>
      </c>
      <c r="G2615">
        <v>-290.63490000000002</v>
      </c>
      <c r="H2615" s="1">
        <v>-1.0248729999999999E-5</v>
      </c>
      <c r="I2615">
        <v>-53.407739999999997</v>
      </c>
      <c r="J2615">
        <v>-298.64589999999998</v>
      </c>
      <c r="K2615">
        <v>1.1173949999999999</v>
      </c>
      <c r="L2615">
        <v>-45.313929999999999</v>
      </c>
      <c r="M2615">
        <v>0.44131880000000001</v>
      </c>
      <c r="N2615">
        <v>0</v>
      </c>
      <c r="O2615">
        <v>-0.8972521</v>
      </c>
      <c r="P2615">
        <v>0.54517349999999998</v>
      </c>
      <c r="Q2615">
        <v>0.12020110000000001</v>
      </c>
      <c r="R2615">
        <v>-0.82966109999999904</v>
      </c>
      <c r="S2615">
        <v>2.180145</v>
      </c>
      <c r="T2615">
        <v>-0.29842920000000001</v>
      </c>
      <c r="U2615">
        <v>-2.2391049999999999</v>
      </c>
      <c r="V2615">
        <v>-0.12739300000000001</v>
      </c>
      <c r="W2615">
        <v>0.12910079999999999</v>
      </c>
      <c r="X2615">
        <v>0.98341449999999997</v>
      </c>
      <c r="Y2615">
        <v>-0.30652390000000002</v>
      </c>
      <c r="Z2615">
        <v>9.1946829999999993E-2</v>
      </c>
      <c r="AA2615">
        <v>0.94741169999999997</v>
      </c>
      <c r="AB2615">
        <v>33</v>
      </c>
      <c r="AC2615">
        <v>8.0109999999999602</v>
      </c>
      <c r="AD2615">
        <v>-1.1174052487299999</v>
      </c>
      <c r="AE2615">
        <v>-8.0938099999999995</v>
      </c>
      <c r="AF2615">
        <v>-3.5817702989757501</v>
      </c>
      <c r="AG2615">
        <v>-1.1174052487299999</v>
      </c>
      <c r="AH2615">
        <v>10.6955701206701</v>
      </c>
      <c r="AI2615">
        <v>95.657617382578294</v>
      </c>
      <c r="AJ2615">
        <v>108.51484947046799</v>
      </c>
      <c r="AK2615">
        <v>11.334588354708201</v>
      </c>
      <c r="AL2615">
        <v>82.582366178618599</v>
      </c>
      <c r="AM2615">
        <v>97.381077692081604</v>
      </c>
      <c r="AN2615">
        <v>1.0000000359099399</v>
      </c>
    </row>
    <row r="2616" spans="1:40" x14ac:dyDescent="0.3">
      <c r="A2616" t="str">
        <f>"20200111150408030"</f>
        <v>20200111150408030</v>
      </c>
      <c r="B2616" t="str">
        <f>"1578726248021048"</f>
        <v>1578726248021048</v>
      </c>
      <c r="C2616" t="s">
        <v>40</v>
      </c>
      <c r="D2616">
        <v>5.4085229999999997</v>
      </c>
      <c r="E2616">
        <v>0.43042469999999999</v>
      </c>
      <c r="F2616" t="s">
        <v>72</v>
      </c>
      <c r="G2616">
        <v>-290.3845</v>
      </c>
      <c r="H2616" s="1">
        <v>-1.02823499999999E-5</v>
      </c>
      <c r="I2616">
        <v>-53.982559999999999</v>
      </c>
      <c r="J2616">
        <v>-298.48840000000001</v>
      </c>
      <c r="K2616">
        <v>1.117456</v>
      </c>
      <c r="L2616">
        <v>-45.603209999999997</v>
      </c>
      <c r="M2616">
        <v>0.45560650000000003</v>
      </c>
      <c r="N2616">
        <v>0</v>
      </c>
      <c r="O2616">
        <v>-0.89008199999999904</v>
      </c>
      <c r="P2616">
        <v>0.55769539999999995</v>
      </c>
      <c r="Q2616">
        <v>0.12092899999999999</v>
      </c>
      <c r="R2616">
        <v>-0.82118950000000002</v>
      </c>
      <c r="S2616">
        <v>2.1436769999999998</v>
      </c>
      <c r="T2616">
        <v>-0.28994350000000002</v>
      </c>
      <c r="U2616">
        <v>-2.2493289999999999</v>
      </c>
      <c r="V2616">
        <v>-0.12668109999999999</v>
      </c>
      <c r="W2616">
        <v>0.12985730000000001</v>
      </c>
      <c r="X2616">
        <v>0.98340680000000003</v>
      </c>
      <c r="Y2616">
        <v>-0.28125790000000001</v>
      </c>
      <c r="Z2616">
        <v>8.8834510000000005E-2</v>
      </c>
      <c r="AA2616">
        <v>0.95551160000000002</v>
      </c>
      <c r="AB2616">
        <v>33</v>
      </c>
      <c r="AC2616">
        <v>8.1039000000000101</v>
      </c>
      <c r="AD2616">
        <v>-1.1174662823499999</v>
      </c>
      <c r="AE2616">
        <v>-8.3793500000000005</v>
      </c>
      <c r="AF2616">
        <v>-3.3648282172884798</v>
      </c>
      <c r="AG2616">
        <v>-1.1174662823499999</v>
      </c>
      <c r="AH2616">
        <v>11.0499402505917</v>
      </c>
      <c r="AI2616">
        <v>95.5257583688267</v>
      </c>
      <c r="AJ2616">
        <v>106.93606861794601</v>
      </c>
      <c r="AK2616">
        <v>11.6048256930337</v>
      </c>
      <c r="AL2616">
        <v>82.5386535163302</v>
      </c>
      <c r="AM2616">
        <v>97.340338539681596</v>
      </c>
      <c r="AN2616">
        <v>0.99999997687336895</v>
      </c>
    </row>
    <row r="2617" spans="1:40" x14ac:dyDescent="0.3">
      <c r="A2617" t="str">
        <f>"20200111150408052"</f>
        <v>20200111150408052</v>
      </c>
      <c r="B2617" t="str">
        <f>"1578726248041436"</f>
        <v>1578726248041436</v>
      </c>
      <c r="C2617" t="s">
        <v>40</v>
      </c>
      <c r="D2617">
        <v>5.403562</v>
      </c>
      <c r="E2617">
        <v>0.43180930000000001</v>
      </c>
      <c r="F2617" t="s">
        <v>72</v>
      </c>
      <c r="G2617">
        <v>-290.44779999999997</v>
      </c>
      <c r="H2617" s="1">
        <v>-1.0275559999999999E-5</v>
      </c>
      <c r="I2617">
        <v>-53.820120000000003</v>
      </c>
      <c r="J2617">
        <v>-298.33359999999999</v>
      </c>
      <c r="K2617">
        <v>1.1175250000000001</v>
      </c>
      <c r="L2617">
        <v>-45.876919999999998</v>
      </c>
      <c r="M2617">
        <v>0.469167</v>
      </c>
      <c r="N2617">
        <v>0</v>
      </c>
      <c r="O2617">
        <v>-0.88300879999999904</v>
      </c>
      <c r="P2617">
        <v>0.56886669999999995</v>
      </c>
      <c r="Q2617">
        <v>0.12269869999999999</v>
      </c>
      <c r="R2617">
        <v>-0.81322569999999905</v>
      </c>
      <c r="S2617">
        <v>2.1737669999999998</v>
      </c>
      <c r="T2617">
        <v>-0.3021064</v>
      </c>
      <c r="U2617">
        <v>-2.2214360000000002</v>
      </c>
      <c r="V2617">
        <v>-0.12527859999999999</v>
      </c>
      <c r="W2617">
        <v>0.1316782</v>
      </c>
      <c r="X2617">
        <v>0.98334440000000001</v>
      </c>
      <c r="Y2617">
        <v>-0.27896110000000002</v>
      </c>
      <c r="Z2617">
        <v>9.1958159999999997E-2</v>
      </c>
      <c r="AA2617">
        <v>0.95588930000000005</v>
      </c>
      <c r="AB2617">
        <v>33</v>
      </c>
      <c r="AC2617">
        <v>7.8858000000000104</v>
      </c>
      <c r="AD2617">
        <v>-1.1175352755600001</v>
      </c>
      <c r="AE2617">
        <v>-7.9431999999999903</v>
      </c>
      <c r="AF2617">
        <v>-3.2048826162044799</v>
      </c>
      <c r="AG2617">
        <v>-1.1175352755600001</v>
      </c>
      <c r="AH2617">
        <v>10.6088681857686</v>
      </c>
      <c r="AI2617">
        <v>95.758175177890706</v>
      </c>
      <c r="AJ2617">
        <v>106.809287259073</v>
      </c>
      <c r="AK2617">
        <v>11.138592454111199</v>
      </c>
      <c r="AL2617">
        <v>82.433420475670005</v>
      </c>
      <c r="AM2617">
        <v>97.260400461633694</v>
      </c>
      <c r="AN2617">
        <v>1.0000000424922699</v>
      </c>
    </row>
    <row r="2618" spans="1:40" x14ac:dyDescent="0.3">
      <c r="A2618" t="str">
        <f>"20200111150408074"</f>
        <v>20200111150408074</v>
      </c>
      <c r="B2618" t="str">
        <f>"1578726248071692"</f>
        <v>1578726248071692</v>
      </c>
      <c r="C2618" t="s">
        <v>40</v>
      </c>
      <c r="D2618">
        <v>5.3944669999999997</v>
      </c>
      <c r="E2618">
        <v>0.43306539999999999</v>
      </c>
      <c r="F2618" t="s">
        <v>72</v>
      </c>
      <c r="G2618">
        <v>-290.31229999999999</v>
      </c>
      <c r="H2618" s="1">
        <v>-1.0315900000000001E-5</v>
      </c>
      <c r="I2618">
        <v>-53.909599999999998</v>
      </c>
      <c r="J2618">
        <v>-298.1705</v>
      </c>
      <c r="K2618">
        <v>1.117575</v>
      </c>
      <c r="L2618">
        <v>-46.155000000000001</v>
      </c>
      <c r="M2618">
        <v>0.4829736</v>
      </c>
      <c r="N2618">
        <v>0</v>
      </c>
      <c r="O2618">
        <v>-0.87553349999999996</v>
      </c>
      <c r="P2618">
        <v>0.57962320000000001</v>
      </c>
      <c r="Q2618">
        <v>0.12591649999999999</v>
      </c>
      <c r="R2618">
        <v>-0.80509770000000003</v>
      </c>
      <c r="S2618">
        <v>2.1959529999999998</v>
      </c>
      <c r="T2618">
        <v>-0.3059422</v>
      </c>
      <c r="U2618">
        <v>-2.1990660000000002</v>
      </c>
      <c r="V2618">
        <v>-0.1232666</v>
      </c>
      <c r="W2618">
        <v>0.134967</v>
      </c>
      <c r="X2618">
        <v>0.98315269999999999</v>
      </c>
      <c r="Y2618">
        <v>-0.273518599999999</v>
      </c>
      <c r="Z2618">
        <v>9.2451389999999994E-2</v>
      </c>
      <c r="AA2618">
        <v>0.95741339999999997</v>
      </c>
      <c r="AB2618">
        <v>33</v>
      </c>
      <c r="AC2618">
        <v>7.8582000000000098</v>
      </c>
      <c r="AD2618">
        <v>-1.1175853159</v>
      </c>
      <c r="AE2618">
        <v>-7.7545999999999902</v>
      </c>
      <c r="AF2618">
        <v>-3.1033278508788298</v>
      </c>
      <c r="AG2618">
        <v>-1.1175853159</v>
      </c>
      <c r="AH2618">
        <v>10.4782808437075</v>
      </c>
      <c r="AI2618">
        <v>95.839134470252205</v>
      </c>
      <c r="AJ2618">
        <v>106.49758531866701</v>
      </c>
      <c r="AK2618">
        <v>10.9851722848558</v>
      </c>
      <c r="AL2618">
        <v>82.243288247855006</v>
      </c>
      <c r="AM2618">
        <v>97.146390498844994</v>
      </c>
      <c r="AN2618">
        <v>0.99999998864092399</v>
      </c>
    </row>
    <row r="2619" spans="1:40" x14ac:dyDescent="0.3">
      <c r="A2619" t="str">
        <f>"20200111150408097"</f>
        <v>20200111150408097</v>
      </c>
      <c r="B2619" t="str">
        <f>"1578726248091214"</f>
        <v>1578726248091214</v>
      </c>
      <c r="C2619" t="s">
        <v>40</v>
      </c>
      <c r="D2619">
        <v>5.4007899999999998</v>
      </c>
      <c r="E2619">
        <v>0.43407449999999997</v>
      </c>
      <c r="F2619" t="s">
        <v>72</v>
      </c>
      <c r="G2619">
        <v>-290.02769999999998</v>
      </c>
      <c r="H2619" s="1">
        <v>-1.0395939999999999E-5</v>
      </c>
      <c r="I2619">
        <v>-54.143889999999999</v>
      </c>
      <c r="J2619">
        <v>-297.99610000000001</v>
      </c>
      <c r="K2619">
        <v>1.117623</v>
      </c>
      <c r="L2619">
        <v>-46.442079999999997</v>
      </c>
      <c r="M2619">
        <v>0.49725320000000001</v>
      </c>
      <c r="N2619">
        <v>0</v>
      </c>
      <c r="O2619">
        <v>-0.86750269999999996</v>
      </c>
      <c r="P2619">
        <v>0.59164119999999998</v>
      </c>
      <c r="Q2619">
        <v>0.12926609999999999</v>
      </c>
      <c r="R2619">
        <v>-0.79577069999999905</v>
      </c>
      <c r="S2619">
        <v>2.2185670000000002</v>
      </c>
      <c r="T2619">
        <v>-0.30449490000000001</v>
      </c>
      <c r="U2619">
        <v>-2.1766359999999998</v>
      </c>
      <c r="V2619">
        <v>-0.1223079</v>
      </c>
      <c r="W2619">
        <v>0.13835049999999999</v>
      </c>
      <c r="X2619">
        <v>0.98280210000000001</v>
      </c>
      <c r="Y2619">
        <v>-0.26763799999999999</v>
      </c>
      <c r="Z2619">
        <v>9.1272229999999996E-2</v>
      </c>
      <c r="AA2619">
        <v>0.95918680000000001</v>
      </c>
      <c r="AB2619">
        <v>33</v>
      </c>
      <c r="AC2619">
        <v>7.9684000000000301</v>
      </c>
      <c r="AD2619">
        <v>-1.11763339594</v>
      </c>
      <c r="AE2619">
        <v>-7.70181</v>
      </c>
      <c r="AF2619">
        <v>-3.0520916586377398</v>
      </c>
      <c r="AG2619">
        <v>-1.11763339594</v>
      </c>
      <c r="AH2619">
        <v>10.5374288227001</v>
      </c>
      <c r="AI2619">
        <v>95.816990872895005</v>
      </c>
      <c r="AJ2619">
        <v>106.15328520090399</v>
      </c>
      <c r="AK2619">
        <v>11.027319442816401</v>
      </c>
      <c r="AL2619">
        <v>82.047592183825302</v>
      </c>
      <c r="AM2619">
        <v>97.093881821087706</v>
      </c>
      <c r="AN2619">
        <v>1.00000002550853</v>
      </c>
    </row>
    <row r="2620" spans="1:40" x14ac:dyDescent="0.3">
      <c r="A2620" t="str">
        <f>"20200111150408119"</f>
        <v>20200111150408119</v>
      </c>
      <c r="B2620" t="str">
        <f>"1578726248111708"</f>
        <v>1578726248111708</v>
      </c>
      <c r="C2620" t="s">
        <v>40</v>
      </c>
      <c r="D2620">
        <v>5.548794</v>
      </c>
      <c r="E2620">
        <v>0.43455169999999999</v>
      </c>
      <c r="F2620" t="s">
        <v>72</v>
      </c>
      <c r="G2620">
        <v>-289.55189999999999</v>
      </c>
      <c r="H2620" s="1">
        <v>-2.4169359999999998E-6</v>
      </c>
      <c r="I2620">
        <v>-54.521680000000003</v>
      </c>
      <c r="J2620">
        <v>-297.82319999999999</v>
      </c>
      <c r="K2620">
        <v>1.117656</v>
      </c>
      <c r="L2620">
        <v>-46.716670000000001</v>
      </c>
      <c r="M2620">
        <v>0.51093129999999998</v>
      </c>
      <c r="N2620">
        <v>0</v>
      </c>
      <c r="O2620">
        <v>-0.8595178</v>
      </c>
      <c r="P2620">
        <v>0.60333289999999995</v>
      </c>
      <c r="Q2620">
        <v>0.12947249999999999</v>
      </c>
      <c r="R2620">
        <v>-0.78690930000000003</v>
      </c>
      <c r="S2620">
        <v>2.2456049999999999</v>
      </c>
      <c r="T2620">
        <v>-0.29721579999999997</v>
      </c>
      <c r="U2620">
        <v>-2.1486510000000001</v>
      </c>
      <c r="V2620">
        <v>-0.1212965</v>
      </c>
      <c r="W2620">
        <v>0.138596</v>
      </c>
      <c r="X2620">
        <v>0.98289280000000001</v>
      </c>
      <c r="Y2620">
        <v>-0.26457960000000003</v>
      </c>
      <c r="Z2620">
        <v>8.8449799999999995E-2</v>
      </c>
      <c r="AA2620">
        <v>0.96029909999999996</v>
      </c>
      <c r="AB2620">
        <v>33</v>
      </c>
      <c r="AC2620">
        <v>8.2712999999999894</v>
      </c>
      <c r="AD2620">
        <v>-1.117658416936</v>
      </c>
      <c r="AE2620">
        <v>-7.8050100000000002</v>
      </c>
      <c r="AF2620">
        <v>-3.0919207297553899</v>
      </c>
      <c r="AG2620">
        <v>-1.117658416936</v>
      </c>
      <c r="AH2620">
        <v>10.8309752492532</v>
      </c>
      <c r="AI2620">
        <v>95.666735607117005</v>
      </c>
      <c r="AJ2620">
        <v>105.932465753364</v>
      </c>
      <c r="AK2620">
        <v>11.3189734068941</v>
      </c>
      <c r="AL2620">
        <v>82.033388830282405</v>
      </c>
      <c r="AM2620">
        <v>97.035168030557699</v>
      </c>
      <c r="AN2620">
        <v>0.99999997421004405</v>
      </c>
    </row>
    <row r="2621" spans="1:40" x14ac:dyDescent="0.3">
      <c r="A2621" t="str">
        <f>"20200111150408141"</f>
        <v>20200111150408141</v>
      </c>
      <c r="B2621" t="str">
        <f>"1578726248131229"</f>
        <v>1578726248131229</v>
      </c>
      <c r="C2621" t="s">
        <v>40</v>
      </c>
      <c r="D2621">
        <v>5.370533</v>
      </c>
      <c r="E2621">
        <v>0.40873759999999998</v>
      </c>
      <c r="F2621" t="s">
        <v>72</v>
      </c>
      <c r="G2621">
        <v>-289.32119999999998</v>
      </c>
      <c r="H2621" s="1">
        <v>-2.5291099999999999E-6</v>
      </c>
      <c r="I2621">
        <v>-54.631259999999997</v>
      </c>
      <c r="J2621">
        <v>-297.65159999999997</v>
      </c>
      <c r="K2621">
        <v>1.1176820000000001</v>
      </c>
      <c r="L2621">
        <v>-46.980159999999998</v>
      </c>
      <c r="M2621">
        <v>0.52407159999999997</v>
      </c>
      <c r="N2621">
        <v>0</v>
      </c>
      <c r="O2621">
        <v>-0.85156929999999997</v>
      </c>
      <c r="P2621">
        <v>0.61446979999999995</v>
      </c>
      <c r="Q2621">
        <v>0.1277556</v>
      </c>
      <c r="R2621">
        <v>-0.778528199999999</v>
      </c>
      <c r="S2621">
        <v>2.2747190000000002</v>
      </c>
      <c r="T2621">
        <v>-0.29903039999999997</v>
      </c>
      <c r="U2621">
        <v>-2.1175540000000002</v>
      </c>
      <c r="V2621">
        <v>-0.1199906</v>
      </c>
      <c r="W2621">
        <v>0.13693069999999999</v>
      </c>
      <c r="X2621">
        <v>0.9832864</v>
      </c>
      <c r="Y2621">
        <v>-0.26292199999999999</v>
      </c>
      <c r="Z2621">
        <v>8.8357350000000001E-2</v>
      </c>
      <c r="AA2621">
        <v>0.96076269999999997</v>
      </c>
      <c r="AB2621">
        <v>33</v>
      </c>
      <c r="AC2621">
        <v>8.3303999999999903</v>
      </c>
      <c r="AD2621">
        <v>-1.1176845291099999</v>
      </c>
      <c r="AE2621">
        <v>-7.6510999999999996</v>
      </c>
      <c r="AF2621">
        <v>-3.0546372964175998</v>
      </c>
      <c r="AG2621">
        <v>-1.1176845291099999</v>
      </c>
      <c r="AH2621">
        <v>10.7769092139458</v>
      </c>
      <c r="AI2621">
        <v>95.698129850429297</v>
      </c>
      <c r="AJ2621">
        <v>105.82499954398899</v>
      </c>
      <c r="AK2621">
        <v>11.2570777702256</v>
      </c>
      <c r="AL2621">
        <v>82.129721855155097</v>
      </c>
      <c r="AM2621">
        <v>96.957414290978704</v>
      </c>
      <c r="AN2621">
        <v>0.99999995255790397</v>
      </c>
    </row>
    <row r="2622" spans="1:40" x14ac:dyDescent="0.3">
      <c r="A2622" t="str">
        <f>"20200111150408164"</f>
        <v>20200111150408164</v>
      </c>
      <c r="B2622" t="str">
        <f>"1578726248161403"</f>
        <v>1578726248161403</v>
      </c>
      <c r="C2622" t="s">
        <v>40</v>
      </c>
      <c r="D2622">
        <v>5.3467209999999996</v>
      </c>
      <c r="E2622">
        <v>0.4047789</v>
      </c>
      <c r="F2622" t="s">
        <v>72</v>
      </c>
      <c r="G2622">
        <v>-285.08120000000002</v>
      </c>
      <c r="H2622" s="1">
        <v>-4.3859739999999997E-6</v>
      </c>
      <c r="I2622">
        <v>-56.927100000000003</v>
      </c>
      <c r="J2622">
        <v>-297.4674</v>
      </c>
      <c r="K2622">
        <v>1.117707</v>
      </c>
      <c r="L2622">
        <v>-47.253570000000003</v>
      </c>
      <c r="M2622">
        <v>0.53772180000000003</v>
      </c>
      <c r="N2622">
        <v>0</v>
      </c>
      <c r="O2622">
        <v>-0.84301619999999999</v>
      </c>
      <c r="P2622">
        <v>0.62635949999999996</v>
      </c>
      <c r="Q2622">
        <v>0.12699360000000001</v>
      </c>
      <c r="R2622">
        <v>-0.76912069999999999</v>
      </c>
      <c r="S2622">
        <v>2.4607239999999999</v>
      </c>
      <c r="T2622">
        <v>-0.21879399999999999</v>
      </c>
      <c r="U2622">
        <v>-1.947174</v>
      </c>
      <c r="V2622">
        <v>-0.11917460000000001</v>
      </c>
      <c r="W2622">
        <v>0.1362014</v>
      </c>
      <c r="X2622">
        <v>0.983487</v>
      </c>
      <c r="Y2622">
        <v>-0.3255171</v>
      </c>
      <c r="Z2622">
        <v>6.4932290000000004E-2</v>
      </c>
      <c r="AA2622">
        <v>0.94330400000000003</v>
      </c>
      <c r="AB2622">
        <v>33</v>
      </c>
      <c r="AC2622">
        <v>12.386199999999899</v>
      </c>
      <c r="AD2622">
        <v>-1.117711385974</v>
      </c>
      <c r="AE2622">
        <v>-9.6735299999999995</v>
      </c>
      <c r="AF2622">
        <v>-5.21419529759046</v>
      </c>
      <c r="AG2622">
        <v>-1.117711385974</v>
      </c>
      <c r="AH2622">
        <v>14.7420341945028</v>
      </c>
      <c r="AI2622">
        <v>94.088473567555496</v>
      </c>
      <c r="AJ2622">
        <v>109.478472192563</v>
      </c>
      <c r="AK2622">
        <v>15.676883731648999</v>
      </c>
      <c r="AL2622">
        <v>82.171903577126599</v>
      </c>
      <c r="AM2622">
        <v>96.909163329107898</v>
      </c>
      <c r="AN2622">
        <v>1.00000004290805</v>
      </c>
    </row>
    <row r="2623" spans="1:40" x14ac:dyDescent="0.3">
      <c r="A2623" t="str">
        <f>"20200111150408186"</f>
        <v>20200111150408186</v>
      </c>
      <c r="B2623" t="str">
        <f>"1578726248180923"</f>
        <v>1578726248180923</v>
      </c>
      <c r="C2623" t="s">
        <v>40</v>
      </c>
      <c r="D2623">
        <v>5.3319789999999996</v>
      </c>
      <c r="E2623">
        <v>0.403756</v>
      </c>
      <c r="F2623" t="s">
        <v>72</v>
      </c>
      <c r="G2623">
        <v>-285.0582</v>
      </c>
      <c r="H2623" s="1">
        <v>-4.4605190000000002E-6</v>
      </c>
      <c r="I2623">
        <v>-56.573340000000002</v>
      </c>
      <c r="J2623">
        <v>-297.28219999999999</v>
      </c>
      <c r="K2623">
        <v>1.1177330000000001</v>
      </c>
      <c r="L2623">
        <v>-47.51932</v>
      </c>
      <c r="M2623">
        <v>0.55100150000000003</v>
      </c>
      <c r="N2623">
        <v>0</v>
      </c>
      <c r="O2623">
        <v>-0.83439680000000005</v>
      </c>
      <c r="P2623">
        <v>0.63936029999999999</v>
      </c>
      <c r="Q2623">
        <v>0.126781</v>
      </c>
      <c r="R2623">
        <v>-0.75838349999999999</v>
      </c>
      <c r="S2623">
        <v>2.5155940000000001</v>
      </c>
      <c r="T2623">
        <v>-0.2265838</v>
      </c>
      <c r="U2623">
        <v>-1.889313</v>
      </c>
      <c r="V2623">
        <v>-0.1203272</v>
      </c>
      <c r="W2623">
        <v>0.1359506</v>
      </c>
      <c r="X2623">
        <v>0.98338130000000001</v>
      </c>
      <c r="Y2623">
        <v>-0.33422770000000002</v>
      </c>
      <c r="Z2623">
        <v>6.6791680000000006E-2</v>
      </c>
      <c r="AA2623">
        <v>0.94012269999999998</v>
      </c>
      <c r="AB2623">
        <v>33</v>
      </c>
      <c r="AC2623">
        <v>12.223999999999901</v>
      </c>
      <c r="AD2623">
        <v>-1.117737460519</v>
      </c>
      <c r="AE2623">
        <v>-9.0540199999999995</v>
      </c>
      <c r="AF2623">
        <v>-5.1833701434608503</v>
      </c>
      <c r="AG2623">
        <v>-1.117737460519</v>
      </c>
      <c r="AH2623">
        <v>14.214624331447199</v>
      </c>
      <c r="AI2623">
        <v>94.225028677162996</v>
      </c>
      <c r="AJ2623">
        <v>110.03441043452101</v>
      </c>
      <c r="AK2623">
        <v>15.1714273540408</v>
      </c>
      <c r="AL2623">
        <v>82.1864078663654</v>
      </c>
      <c r="AM2623">
        <v>96.976072633350199</v>
      </c>
      <c r="AN2623">
        <v>0.99999999094494496</v>
      </c>
    </row>
    <row r="2624" spans="1:40" x14ac:dyDescent="0.3">
      <c r="A2624" t="str">
        <f>"20200111150408208"</f>
        <v>20200111150408208</v>
      </c>
      <c r="B2624" t="str">
        <f>"1578726248201419"</f>
        <v>1578726248201419</v>
      </c>
      <c r="C2624" t="s">
        <v>40</v>
      </c>
      <c r="D2624">
        <v>5.2818870000000002</v>
      </c>
      <c r="E2624">
        <v>0.40275250000000001</v>
      </c>
      <c r="F2624" t="s">
        <v>72</v>
      </c>
      <c r="G2624">
        <v>-284.72660000000002</v>
      </c>
      <c r="H2624" s="1">
        <v>-4.6175240000000001E-6</v>
      </c>
      <c r="I2624">
        <v>-56.580379999999998</v>
      </c>
      <c r="J2624">
        <v>-297.09339999999997</v>
      </c>
      <c r="K2624">
        <v>1.11775</v>
      </c>
      <c r="L2624">
        <v>-47.78134</v>
      </c>
      <c r="M2624">
        <v>0.56410769999999899</v>
      </c>
      <c r="N2624">
        <v>0</v>
      </c>
      <c r="O2624">
        <v>-0.8255924</v>
      </c>
      <c r="P2624">
        <v>0.65203059999999902</v>
      </c>
      <c r="Q2624">
        <v>0.12653200000000001</v>
      </c>
      <c r="R2624">
        <v>-0.74756</v>
      </c>
      <c r="S2624">
        <v>2.552368</v>
      </c>
      <c r="T2624">
        <v>-0.22721930000000001</v>
      </c>
      <c r="U2624">
        <v>-1.84198</v>
      </c>
      <c r="V2624">
        <v>-0.1213236</v>
      </c>
      <c r="W2624">
        <v>0.13566900000000001</v>
      </c>
      <c r="X2624">
        <v>0.9832978</v>
      </c>
      <c r="Y2624">
        <v>-0.33725309999999997</v>
      </c>
      <c r="Z2624">
        <v>6.6542400000000002E-2</v>
      </c>
      <c r="AA2624">
        <v>0.93905939999999999</v>
      </c>
      <c r="AB2624">
        <v>33</v>
      </c>
      <c r="AC2624">
        <v>12.3667999999999</v>
      </c>
      <c r="AD2624">
        <v>-1.1177546175239901</v>
      </c>
      <c r="AE2624">
        <v>-8.7990399999999998</v>
      </c>
      <c r="AF2624">
        <v>-5.2184984721952201</v>
      </c>
      <c r="AG2624">
        <v>-1.1177546175239901</v>
      </c>
      <c r="AH2624">
        <v>14.1650821478427</v>
      </c>
      <c r="AI2624">
        <v>94.234693942664293</v>
      </c>
      <c r="AJ2624">
        <v>110.224090142267</v>
      </c>
      <c r="AK2624">
        <v>15.137095294158399</v>
      </c>
      <c r="AL2624">
        <v>82.202693537770202</v>
      </c>
      <c r="AM2624">
        <v>97.033854825508698</v>
      </c>
      <c r="AN2624">
        <v>1.0000000284813899</v>
      </c>
    </row>
    <row r="2625" spans="1:40" x14ac:dyDescent="0.3">
      <c r="A2625" t="str">
        <f>"20200111150408231"</f>
        <v>20200111150408231</v>
      </c>
      <c r="B2625" t="str">
        <f>"1578726248220939"</f>
        <v>1578726248220939</v>
      </c>
      <c r="C2625" t="s">
        <v>40</v>
      </c>
      <c r="D2625">
        <v>5.3203449999999997</v>
      </c>
      <c r="E2625">
        <v>0.40282869999999998</v>
      </c>
      <c r="F2625" t="s">
        <v>72</v>
      </c>
      <c r="G2625">
        <v>-284.08089999999999</v>
      </c>
      <c r="H2625" s="1">
        <v>-4.8800080000000001E-6</v>
      </c>
      <c r="I2625">
        <v>-56.795299999999997</v>
      </c>
      <c r="J2625">
        <v>-296.8999</v>
      </c>
      <c r="K2625">
        <v>1.117758</v>
      </c>
      <c r="L2625">
        <v>-48.040619999999997</v>
      </c>
      <c r="M2625">
        <v>0.57709940000000004</v>
      </c>
      <c r="N2625">
        <v>0</v>
      </c>
      <c r="O2625">
        <v>-0.8165637</v>
      </c>
      <c r="P2625">
        <v>0.66393459999999904</v>
      </c>
      <c r="Q2625">
        <v>0.1262856</v>
      </c>
      <c r="R2625">
        <v>-0.73704999999999998</v>
      </c>
      <c r="S2625">
        <v>2.588409</v>
      </c>
      <c r="T2625">
        <v>-0.2223405</v>
      </c>
      <c r="U2625">
        <v>-1.7930299999999999</v>
      </c>
      <c r="V2625">
        <v>-0.1215079</v>
      </c>
      <c r="W2625">
        <v>0.1354186</v>
      </c>
      <c r="X2625">
        <v>0.98330949999999995</v>
      </c>
      <c r="Y2625">
        <v>-0.3405957</v>
      </c>
      <c r="Z2625">
        <v>6.4693909999999993E-2</v>
      </c>
      <c r="AA2625">
        <v>0.93798150000000002</v>
      </c>
      <c r="AB2625">
        <v>33</v>
      </c>
      <c r="AC2625">
        <v>12.819000000000001</v>
      </c>
      <c r="AD2625">
        <v>-1.1177628800079999</v>
      </c>
      <c r="AE2625">
        <v>-8.7546799999999898</v>
      </c>
      <c r="AF2625">
        <v>-5.3877623322687702</v>
      </c>
      <c r="AG2625">
        <v>-1.1177628800079999</v>
      </c>
      <c r="AH2625">
        <v>14.4728612386173</v>
      </c>
      <c r="AI2625">
        <v>94.139796728794394</v>
      </c>
      <c r="AJ2625">
        <v>110.418616278968</v>
      </c>
      <c r="AK2625">
        <v>15.4835748209905</v>
      </c>
      <c r="AL2625">
        <v>82.217173577121002</v>
      </c>
      <c r="AM2625">
        <v>97.044349548936495</v>
      </c>
      <c r="AN2625">
        <v>0.99999996988930895</v>
      </c>
    </row>
    <row r="2626" spans="1:40" x14ac:dyDescent="0.3">
      <c r="A2626" t="str">
        <f>"20200111150408254"</f>
        <v>20200111150408254</v>
      </c>
      <c r="B2626" t="str">
        <f>"1578726248251195"</f>
        <v>1578726248251195</v>
      </c>
      <c r="C2626" t="s">
        <v>40</v>
      </c>
      <c r="D2626">
        <v>5.3407470000000004</v>
      </c>
      <c r="E2626">
        <v>0.40371079999999998</v>
      </c>
      <c r="F2626" t="s">
        <v>72</v>
      </c>
      <c r="G2626">
        <v>-283.74209999999999</v>
      </c>
      <c r="H2626" s="1">
        <v>-5.0289490000000001E-6</v>
      </c>
      <c r="I2626">
        <v>-56.84534</v>
      </c>
      <c r="J2626">
        <v>-296.69639999999998</v>
      </c>
      <c r="K2626">
        <v>1.1177699999999999</v>
      </c>
      <c r="L2626">
        <v>-48.304290000000002</v>
      </c>
      <c r="M2626">
        <v>0.59032620000000002</v>
      </c>
      <c r="N2626">
        <v>0</v>
      </c>
      <c r="O2626">
        <v>-0.80705300000000002</v>
      </c>
      <c r="P2626">
        <v>0.67577169999999998</v>
      </c>
      <c r="Q2626">
        <v>0.1268861</v>
      </c>
      <c r="R2626">
        <v>-0.72610799999999998</v>
      </c>
      <c r="S2626">
        <v>2.6168520000000002</v>
      </c>
      <c r="T2626">
        <v>-0.22230269999999999</v>
      </c>
      <c r="U2626">
        <v>-1.751099</v>
      </c>
      <c r="V2626">
        <v>-0.1214837</v>
      </c>
      <c r="W2626">
        <v>0.1360219</v>
      </c>
      <c r="X2626">
        <v>0.98322929999999997</v>
      </c>
      <c r="Y2626">
        <v>-0.34039429999999998</v>
      </c>
      <c r="Z2626">
        <v>6.4174990000000001E-2</v>
      </c>
      <c r="AA2626">
        <v>0.93809019999999999</v>
      </c>
      <c r="AB2626">
        <v>33</v>
      </c>
      <c r="AC2626">
        <v>12.9542999999999</v>
      </c>
      <c r="AD2626">
        <v>-1.117775028949</v>
      </c>
      <c r="AE2626">
        <v>-8.5410499999999896</v>
      </c>
      <c r="AF2626">
        <v>-5.3853427055079504</v>
      </c>
      <c r="AG2626">
        <v>-1.117775028949</v>
      </c>
      <c r="AH2626">
        <v>14.466581595998401</v>
      </c>
      <c r="AI2626">
        <v>94.141639976940795</v>
      </c>
      <c r="AJ2626">
        <v>110.418331299469</v>
      </c>
      <c r="AK2626">
        <v>15.4768640281159</v>
      </c>
      <c r="AL2626">
        <v>82.182284849437394</v>
      </c>
      <c r="AM2626">
        <v>97.043529369223094</v>
      </c>
      <c r="AN2626">
        <v>1.0000000515118901</v>
      </c>
    </row>
    <row r="2627" spans="1:40" x14ac:dyDescent="0.3">
      <c r="A2627" t="str">
        <f>"20200111150408276"</f>
        <v>20200111150408276</v>
      </c>
      <c r="B2627" t="str">
        <f>"1578726248271692"</f>
        <v>1578726248271692</v>
      </c>
      <c r="C2627" t="s">
        <v>40</v>
      </c>
      <c r="D2627">
        <v>5.3198980000000002</v>
      </c>
      <c r="E2627">
        <v>0.4043137</v>
      </c>
      <c r="F2627" t="s">
        <v>72</v>
      </c>
      <c r="G2627">
        <v>-283.68700000000001</v>
      </c>
      <c r="H2627" s="1">
        <v>-5.071643E-6</v>
      </c>
      <c r="I2627">
        <v>-56.74953</v>
      </c>
      <c r="J2627">
        <v>-296.49700000000001</v>
      </c>
      <c r="K2627">
        <v>1.1177820000000001</v>
      </c>
      <c r="L2627">
        <v>-48.554349999999999</v>
      </c>
      <c r="M2627">
        <v>0.60287990000000002</v>
      </c>
      <c r="N2627">
        <v>0</v>
      </c>
      <c r="O2627">
        <v>-0.79771879999999995</v>
      </c>
      <c r="P2627">
        <v>0.68727459999999996</v>
      </c>
      <c r="Q2627">
        <v>0.12808259999999999</v>
      </c>
      <c r="R2627">
        <v>-0.7150164</v>
      </c>
      <c r="S2627">
        <v>2.6402890000000001</v>
      </c>
      <c r="T2627">
        <v>-0.22685640000000001</v>
      </c>
      <c r="U2627">
        <v>-1.713989</v>
      </c>
      <c r="V2627">
        <v>-0.12196949999999999</v>
      </c>
      <c r="W2627">
        <v>0.1372023</v>
      </c>
      <c r="X2627">
        <v>0.98300500000000002</v>
      </c>
      <c r="Y2627">
        <v>-0.33869670000000002</v>
      </c>
      <c r="Z2627">
        <v>6.4950140000000003E-2</v>
      </c>
      <c r="AA2627">
        <v>0.93865120000000002</v>
      </c>
      <c r="AB2627">
        <v>33</v>
      </c>
      <c r="AC2627">
        <v>12.81</v>
      </c>
      <c r="AD2627">
        <v>-1.1177870716429901</v>
      </c>
      <c r="AE2627">
        <v>-8.1951800000000006</v>
      </c>
      <c r="AF2627">
        <v>-5.2501791060573799</v>
      </c>
      <c r="AG2627">
        <v>-1.1177870716429901</v>
      </c>
      <c r="AH2627">
        <v>14.1849887398908</v>
      </c>
      <c r="AI2627">
        <v>94.226545618704407</v>
      </c>
      <c r="AJ2627">
        <v>110.31063144353899</v>
      </c>
      <c r="AK2627">
        <v>15.1666652278622</v>
      </c>
      <c r="AL2627">
        <v>82.114011870393199</v>
      </c>
      <c r="AM2627">
        <v>97.073008272575393</v>
      </c>
      <c r="AN2627">
        <v>0.99999993004026699</v>
      </c>
    </row>
    <row r="2628" spans="1:40" x14ac:dyDescent="0.3">
      <c r="A2628" t="str">
        <f>"20200111150408298"</f>
        <v>20200111150408298</v>
      </c>
      <c r="B2628" t="str">
        <f>"1578726248291214"</f>
        <v>1578726248291214</v>
      </c>
      <c r="C2628" t="s">
        <v>40</v>
      </c>
      <c r="D2628">
        <v>5.3156119999999998</v>
      </c>
      <c r="E2628">
        <v>0.40499540000000001</v>
      </c>
      <c r="F2628" t="s">
        <v>72</v>
      </c>
      <c r="G2628">
        <v>-283.33569999999997</v>
      </c>
      <c r="H2628" s="1">
        <v>-5.2212640000000002E-6</v>
      </c>
      <c r="I2628">
        <v>-56.828539999999997</v>
      </c>
      <c r="J2628">
        <v>-296.29450000000003</v>
      </c>
      <c r="K2628">
        <v>1.117801</v>
      </c>
      <c r="L2628">
        <v>-48.80048</v>
      </c>
      <c r="M2628">
        <v>0.61524499999999904</v>
      </c>
      <c r="N2628">
        <v>0</v>
      </c>
      <c r="O2628">
        <v>-0.78822130000000001</v>
      </c>
      <c r="P2628">
        <v>0.69820400000000005</v>
      </c>
      <c r="Q2628">
        <v>0.12850210000000001</v>
      </c>
      <c r="R2628">
        <v>-0.70427150000000005</v>
      </c>
      <c r="S2628">
        <v>2.66452</v>
      </c>
      <c r="T2628">
        <v>-0.22629640000000001</v>
      </c>
      <c r="U2628">
        <v>-1.6751100000000001</v>
      </c>
      <c r="V2628">
        <v>-0.1218441</v>
      </c>
      <c r="W2628">
        <v>0.1376289</v>
      </c>
      <c r="X2628">
        <v>0.98296099999999997</v>
      </c>
      <c r="Y2628">
        <v>-0.33772150000000001</v>
      </c>
      <c r="Z2628">
        <v>6.4252009999999998E-2</v>
      </c>
      <c r="AA2628">
        <v>0.93905050000000001</v>
      </c>
      <c r="AB2628">
        <v>33</v>
      </c>
      <c r="AC2628">
        <v>12.9588</v>
      </c>
      <c r="AD2628">
        <v>-1.1178062212639901</v>
      </c>
      <c r="AE2628">
        <v>-8.02806</v>
      </c>
      <c r="AF2628">
        <v>-5.2474401918682503</v>
      </c>
      <c r="AG2628">
        <v>-1.1178062212639901</v>
      </c>
      <c r="AH2628">
        <v>14.225527985097401</v>
      </c>
      <c r="AI2628">
        <v>94.216319656947604</v>
      </c>
      <c r="AJ2628">
        <v>110.247751783658</v>
      </c>
      <c r="AK2628">
        <v>15.203643174263201</v>
      </c>
      <c r="AL2628">
        <v>82.089336056844402</v>
      </c>
      <c r="AM2628">
        <v>97.066122959471898</v>
      </c>
      <c r="AN2628">
        <v>1.00000001317051</v>
      </c>
    </row>
    <row r="2629" spans="1:40" x14ac:dyDescent="0.3">
      <c r="A2629" t="str">
        <f>"20200111150408320"</f>
        <v>20200111150408320</v>
      </c>
      <c r="B2629" t="str">
        <f>"1578726248311707"</f>
        <v>1578726248311707</v>
      </c>
      <c r="C2629" t="s">
        <v>40</v>
      </c>
      <c r="D2629">
        <v>5.2882899999999999</v>
      </c>
      <c r="E2629">
        <v>0.40564240000000001</v>
      </c>
      <c r="F2629" t="s">
        <v>72</v>
      </c>
      <c r="G2629">
        <v>-283.08730000000003</v>
      </c>
      <c r="H2629" s="1">
        <v>-5.3333180000000003E-6</v>
      </c>
      <c r="I2629">
        <v>-56.8489199999999</v>
      </c>
      <c r="J2629">
        <v>-296.0856</v>
      </c>
      <c r="K2629">
        <v>1.1178140000000001</v>
      </c>
      <c r="L2629">
        <v>-49.04645</v>
      </c>
      <c r="M2629">
        <v>0.62761250000000002</v>
      </c>
      <c r="N2629">
        <v>0</v>
      </c>
      <c r="O2629">
        <v>-0.77840959999999904</v>
      </c>
      <c r="P2629">
        <v>0.7085127</v>
      </c>
      <c r="Q2629">
        <v>0.1286583</v>
      </c>
      <c r="R2629">
        <v>-0.69387100000000002</v>
      </c>
      <c r="S2629">
        <v>2.6869510000000001</v>
      </c>
      <c r="T2629">
        <v>-0.22741310000000001</v>
      </c>
      <c r="U2629">
        <v>-1.637421</v>
      </c>
      <c r="V2629">
        <v>-0.1208452</v>
      </c>
      <c r="W2629">
        <v>0.1378229</v>
      </c>
      <c r="X2629">
        <v>0.98305710000000002</v>
      </c>
      <c r="Y2629">
        <v>-0.33595079999999999</v>
      </c>
      <c r="Z2629">
        <v>6.3988390000000006E-2</v>
      </c>
      <c r="AA2629">
        <v>0.93970350000000002</v>
      </c>
      <c r="AB2629">
        <v>33</v>
      </c>
      <c r="AC2629">
        <v>12.998299999999899</v>
      </c>
      <c r="AD2629">
        <v>-1.11781933331799</v>
      </c>
      <c r="AE2629">
        <v>-7.8024699999999898</v>
      </c>
      <c r="AF2629">
        <v>-5.1933124650743201</v>
      </c>
      <c r="AG2629">
        <v>-1.11781933331799</v>
      </c>
      <c r="AH2629">
        <v>14.155742271022699</v>
      </c>
      <c r="AI2629">
        <v>94.239823347919099</v>
      </c>
      <c r="AJ2629">
        <v>110.146555448618</v>
      </c>
      <c r="AK2629">
        <v>15.119690924931399</v>
      </c>
      <c r="AL2629">
        <v>82.078113530540193</v>
      </c>
      <c r="AM2629">
        <v>97.008093773023106</v>
      </c>
      <c r="AN2629">
        <v>0.99999998799392897</v>
      </c>
    </row>
    <row r="2630" spans="1:40" x14ac:dyDescent="0.3">
      <c r="A2630" t="str">
        <f>"20200111150408342"</f>
        <v>20200111150408342</v>
      </c>
      <c r="B2630" t="str">
        <f>"1578726248331228"</f>
        <v>1578726248331228</v>
      </c>
      <c r="C2630" t="s">
        <v>40</v>
      </c>
      <c r="D2630">
        <v>5.3521089999999996</v>
      </c>
      <c r="E2630">
        <v>0.40625030000000001</v>
      </c>
      <c r="F2630" t="s">
        <v>72</v>
      </c>
      <c r="G2630">
        <v>-282.81540000000001</v>
      </c>
      <c r="H2630" s="1">
        <v>-5.4521800000000004E-6</v>
      </c>
      <c r="I2630">
        <v>-56.892809999999997</v>
      </c>
      <c r="J2630">
        <v>-295.87169999999998</v>
      </c>
      <c r="K2630">
        <v>1.11782</v>
      </c>
      <c r="L2630">
        <v>-49.290559999999999</v>
      </c>
      <c r="M2630">
        <v>0.63989589999999996</v>
      </c>
      <c r="N2630">
        <v>0</v>
      </c>
      <c r="O2630">
        <v>-0.76834399999999903</v>
      </c>
      <c r="P2630">
        <v>0.71858789999999995</v>
      </c>
      <c r="Q2630">
        <v>0.12924920000000001</v>
      </c>
      <c r="R2630">
        <v>-0.68332040000000005</v>
      </c>
      <c r="S2630">
        <v>2.7077330000000002</v>
      </c>
      <c r="T2630">
        <v>-0.2280856</v>
      </c>
      <c r="U2630">
        <v>-1.601013</v>
      </c>
      <c r="V2630">
        <v>-0.1197071</v>
      </c>
      <c r="W2630">
        <v>0.1384562</v>
      </c>
      <c r="X2630">
        <v>0.98310739999999996</v>
      </c>
      <c r="Y2630">
        <v>-0.3335243</v>
      </c>
      <c r="Z2630">
        <v>6.3560859999999997E-2</v>
      </c>
      <c r="AA2630">
        <v>0.9405964</v>
      </c>
      <c r="AB2630">
        <v>33</v>
      </c>
      <c r="AC2630">
        <v>13.056299999999901</v>
      </c>
      <c r="AD2630">
        <v>-1.11782545218</v>
      </c>
      <c r="AE2630">
        <v>-7.60224999999999</v>
      </c>
      <c r="AF2630">
        <v>-5.1394142846012896</v>
      </c>
      <c r="AG2630">
        <v>-1.11782545218</v>
      </c>
      <c r="AH2630">
        <v>14.119805228593901</v>
      </c>
      <c r="AI2630">
        <v>94.254536559669106</v>
      </c>
      <c r="AJ2630">
        <v>110.000807881707</v>
      </c>
      <c r="AK2630">
        <v>15.067581512098499</v>
      </c>
      <c r="AL2630">
        <v>82.041477241042799</v>
      </c>
      <c r="AM2630">
        <v>96.942388141827905</v>
      </c>
      <c r="AN2630">
        <v>1.0000000345218001</v>
      </c>
    </row>
    <row r="2631" spans="1:40" x14ac:dyDescent="0.3">
      <c r="A2631" t="str">
        <f>"20200111150408365"</f>
        <v>20200111150408365</v>
      </c>
      <c r="B2631" t="str">
        <f>"1578726248361483"</f>
        <v>1578726248361483</v>
      </c>
      <c r="C2631" t="s">
        <v>40</v>
      </c>
      <c r="D2631">
        <v>5.2258719999999999</v>
      </c>
      <c r="E2631">
        <v>0.40809719999999999</v>
      </c>
      <c r="F2631" t="s">
        <v>72</v>
      </c>
      <c r="G2631">
        <v>-282.55720000000002</v>
      </c>
      <c r="H2631" s="1">
        <v>-5.5659600000000003E-6</v>
      </c>
      <c r="I2631">
        <v>-56.929290000000002</v>
      </c>
      <c r="J2631">
        <v>-295.64929999999998</v>
      </c>
      <c r="K2631">
        <v>1.117829</v>
      </c>
      <c r="L2631">
        <v>-49.536380000000001</v>
      </c>
      <c r="M2631">
        <v>0.65227380000000001</v>
      </c>
      <c r="N2631">
        <v>0</v>
      </c>
      <c r="O2631">
        <v>-0.75786419999999999</v>
      </c>
      <c r="P2631">
        <v>0.72862830000000001</v>
      </c>
      <c r="Q2631">
        <v>0.1291882</v>
      </c>
      <c r="R2631">
        <v>-0.67261559999999998</v>
      </c>
      <c r="S2631">
        <v>2.7278440000000002</v>
      </c>
      <c r="T2631">
        <v>-0.229017</v>
      </c>
      <c r="U2631">
        <v>-1.565002</v>
      </c>
      <c r="V2631">
        <v>-0.118311</v>
      </c>
      <c r="W2631">
        <v>0.1384483</v>
      </c>
      <c r="X2631">
        <v>0.98327750000000003</v>
      </c>
      <c r="Y2631">
        <v>-0.3305767</v>
      </c>
      <c r="Z2631">
        <v>6.3152310000000003E-2</v>
      </c>
      <c r="AA2631">
        <v>0.9416639</v>
      </c>
      <c r="AB2631">
        <v>33</v>
      </c>
      <c r="AC2631">
        <v>13.092099999999901</v>
      </c>
      <c r="AD2631">
        <v>-1.11783456596</v>
      </c>
      <c r="AE2631">
        <v>-7.3929099999999996</v>
      </c>
      <c r="AF2631">
        <v>-5.07225605305584</v>
      </c>
      <c r="AG2631">
        <v>-1.11783456596</v>
      </c>
      <c r="AH2631">
        <v>14.065983091441099</v>
      </c>
      <c r="AI2631">
        <v>94.275401478293801</v>
      </c>
      <c r="AJ2631">
        <v>109.82952931483</v>
      </c>
      <c r="AK2631">
        <v>14.9943061164337</v>
      </c>
      <c r="AL2631">
        <v>82.041934269184694</v>
      </c>
      <c r="AM2631">
        <v>96.861022363051305</v>
      </c>
      <c r="AN2631">
        <v>1.00000003325006</v>
      </c>
    </row>
    <row r="2632" spans="1:40" x14ac:dyDescent="0.3">
      <c r="A2632" t="str">
        <f>"20200111150408387"</f>
        <v>20200111150408387</v>
      </c>
      <c r="B2632" t="str">
        <f>"1578726248381006"</f>
        <v>1578726248381006</v>
      </c>
      <c r="C2632" t="s">
        <v>40</v>
      </c>
      <c r="D2632">
        <v>5.2292949999999996</v>
      </c>
      <c r="E2632">
        <v>0.40936430000000001</v>
      </c>
      <c r="F2632" t="s">
        <v>72</v>
      </c>
      <c r="G2632">
        <v>-282.63889999999998</v>
      </c>
      <c r="H2632" s="1">
        <v>-5.5466709999999996E-6</v>
      </c>
      <c r="I2632">
        <v>-56.823860000000003</v>
      </c>
      <c r="J2632">
        <v>-295.4264</v>
      </c>
      <c r="K2632">
        <v>1.117834</v>
      </c>
      <c r="L2632">
        <v>-49.77496</v>
      </c>
      <c r="M2632">
        <v>0.6642979</v>
      </c>
      <c r="N2632">
        <v>0</v>
      </c>
      <c r="O2632">
        <v>-0.74734690000000004</v>
      </c>
      <c r="P2632">
        <v>0.7384153</v>
      </c>
      <c r="Q2632">
        <v>0.12860179999999999</v>
      </c>
      <c r="R2632">
        <v>-0.66197050000000002</v>
      </c>
      <c r="S2632">
        <v>2.7415470000000002</v>
      </c>
      <c r="T2632">
        <v>-0.23554929999999999</v>
      </c>
      <c r="U2632">
        <v>-1.535614</v>
      </c>
      <c r="V2632">
        <v>-0.11692859999999999</v>
      </c>
      <c r="W2632">
        <v>0.13791500000000001</v>
      </c>
      <c r="X2632">
        <v>0.9835178</v>
      </c>
      <c r="Y2632">
        <v>-0.32508019999999999</v>
      </c>
      <c r="Z2632">
        <v>6.421818E-2</v>
      </c>
      <c r="AA2632">
        <v>0.94350350000000005</v>
      </c>
      <c r="AB2632">
        <v>33</v>
      </c>
      <c r="AC2632">
        <v>12.7875</v>
      </c>
      <c r="AD2632">
        <v>-1.1178395466710001</v>
      </c>
      <c r="AE2632">
        <v>-7.04889999999999</v>
      </c>
      <c r="AF2632">
        <v>-4.8461675314270201</v>
      </c>
      <c r="AG2632">
        <v>-1.1178395466710001</v>
      </c>
      <c r="AH2632">
        <v>13.6837303812573</v>
      </c>
      <c r="AI2632">
        <v>94.403346816645495</v>
      </c>
      <c r="AJ2632">
        <v>109.501876871669</v>
      </c>
      <c r="AK2632">
        <v>14.559511741185</v>
      </c>
      <c r="AL2632">
        <v>82.072786236231707</v>
      </c>
      <c r="AM2632">
        <v>96.779964510134505</v>
      </c>
      <c r="AN2632">
        <v>1.0000000538198901</v>
      </c>
    </row>
    <row r="2633" spans="1:40" x14ac:dyDescent="0.3">
      <c r="A2633" t="str">
        <f>"20200111150408410"</f>
        <v>20200111150408410</v>
      </c>
      <c r="B2633" t="str">
        <f>"1578726248401499"</f>
        <v>1578726248401499</v>
      </c>
      <c r="C2633" t="s">
        <v>40</v>
      </c>
      <c r="D2633">
        <v>5.211919</v>
      </c>
      <c r="E2633">
        <v>0.41036470000000003</v>
      </c>
      <c r="F2633" t="s">
        <v>72</v>
      </c>
      <c r="G2633">
        <v>-282.6121</v>
      </c>
      <c r="H2633" s="1">
        <v>-5.571058E-6</v>
      </c>
      <c r="I2633">
        <v>-56.756839999999997</v>
      </c>
      <c r="J2633">
        <v>-295.20229999999998</v>
      </c>
      <c r="K2633">
        <v>1.1178330000000001</v>
      </c>
      <c r="L2633">
        <v>-50.00705</v>
      </c>
      <c r="M2633">
        <v>0.67601140000000004</v>
      </c>
      <c r="N2633">
        <v>0</v>
      </c>
      <c r="O2633">
        <v>-0.73676809999999904</v>
      </c>
      <c r="P2633">
        <v>0.74856719999999999</v>
      </c>
      <c r="Q2633">
        <v>0.1283069</v>
      </c>
      <c r="R2633">
        <v>-0.65052619999999906</v>
      </c>
      <c r="S2633">
        <v>2.7576900000000002</v>
      </c>
      <c r="T2633">
        <v>-0.24056459999999999</v>
      </c>
      <c r="U2633">
        <v>-1.5025329999999999</v>
      </c>
      <c r="V2633">
        <v>-0.1165706</v>
      </c>
      <c r="W2633">
        <v>0.13763549999999999</v>
      </c>
      <c r="X2633">
        <v>0.98359940000000001</v>
      </c>
      <c r="Y2633">
        <v>-0.32112439999999998</v>
      </c>
      <c r="Z2633">
        <v>6.4850000000000005E-2</v>
      </c>
      <c r="AA2633">
        <v>0.94481409999999999</v>
      </c>
      <c r="AB2633">
        <v>33</v>
      </c>
      <c r="AC2633">
        <v>12.5901999999999</v>
      </c>
      <c r="AD2633">
        <v>-1.1178385710580001</v>
      </c>
      <c r="AE2633">
        <v>-6.74979</v>
      </c>
      <c r="AF2633">
        <v>-4.6848641703791296</v>
      </c>
      <c r="AG2633">
        <v>-1.1178385710580001</v>
      </c>
      <c r="AH2633">
        <v>13.403301472489201</v>
      </c>
      <c r="AI2633">
        <v>94.501584332903803</v>
      </c>
      <c r="AJ2633">
        <v>109.26608375157799</v>
      </c>
      <c r="AK2633">
        <v>14.242401683995499</v>
      </c>
      <c r="AL2633">
        <v>82.088954227554396</v>
      </c>
      <c r="AM2633">
        <v>96.758843094965599</v>
      </c>
      <c r="AN2633">
        <v>1.00000000766248</v>
      </c>
    </row>
    <row r="2634" spans="1:40" x14ac:dyDescent="0.3">
      <c r="A2634" t="str">
        <f>"20200111150408432"</f>
        <v>20200111150408432</v>
      </c>
      <c r="B2634" t="str">
        <f>"1578726248421019"</f>
        <v>1578726248421019</v>
      </c>
      <c r="C2634" t="s">
        <v>40</v>
      </c>
      <c r="D2634">
        <v>5.2162980000000001</v>
      </c>
      <c r="E2634">
        <v>0.41150959999999998</v>
      </c>
      <c r="F2634" t="s">
        <v>72</v>
      </c>
      <c r="G2634">
        <v>-282.54899999999998</v>
      </c>
      <c r="H2634" s="1">
        <v>-5.6122159999999998E-6</v>
      </c>
      <c r="I2634">
        <v>-56.690809999999999</v>
      </c>
      <c r="J2634">
        <v>-294.97050000000002</v>
      </c>
      <c r="K2634">
        <v>1.1178319999999999</v>
      </c>
      <c r="L2634">
        <v>-50.239260000000002</v>
      </c>
      <c r="M2634">
        <v>0.68774979999999997</v>
      </c>
      <c r="N2634">
        <v>0</v>
      </c>
      <c r="O2634">
        <v>-0.725823</v>
      </c>
      <c r="P2634">
        <v>0.75894839999999997</v>
      </c>
      <c r="Q2634">
        <v>0.1283617</v>
      </c>
      <c r="R2634">
        <v>-0.63837369999999904</v>
      </c>
      <c r="S2634">
        <v>2.7755740000000002</v>
      </c>
      <c r="T2634">
        <v>-0.24520520000000001</v>
      </c>
      <c r="U2634">
        <v>-1.4661249999999999</v>
      </c>
      <c r="V2634">
        <v>-0.1166373</v>
      </c>
      <c r="W2634">
        <v>0.13769020000000001</v>
      </c>
      <c r="X2634">
        <v>0.98358380000000001</v>
      </c>
      <c r="Y2634">
        <v>-0.31806099999999998</v>
      </c>
      <c r="Z2634">
        <v>6.5336409999999998E-2</v>
      </c>
      <c r="AA2634">
        <v>0.9458162</v>
      </c>
      <c r="AB2634">
        <v>33</v>
      </c>
      <c r="AC2634">
        <v>12.421499999999901</v>
      </c>
      <c r="AD2634">
        <v>-1.1178376122160001</v>
      </c>
      <c r="AE2634">
        <v>-6.4515500000000001</v>
      </c>
      <c r="AF2634">
        <v>-4.55015198317962</v>
      </c>
      <c r="AG2634">
        <v>-1.1178376122160001</v>
      </c>
      <c r="AH2634">
        <v>13.1429396352758</v>
      </c>
      <c r="AI2634">
        <v>94.5950987449027</v>
      </c>
      <c r="AJ2634">
        <v>109.09611145473799</v>
      </c>
      <c r="AK2634">
        <v>13.9531468226283</v>
      </c>
      <c r="AL2634">
        <v>82.085789732681803</v>
      </c>
      <c r="AM2634">
        <v>96.762780863897206</v>
      </c>
      <c r="AN2634">
        <v>0.99999997127488405</v>
      </c>
    </row>
    <row r="2635" spans="1:40" x14ac:dyDescent="0.3">
      <c r="A2635" t="str">
        <f>"20200111150408454"</f>
        <v>20200111150408454</v>
      </c>
      <c r="B2635" t="str">
        <f>"1578726248451049"</f>
        <v>1578726248451049</v>
      </c>
      <c r="C2635" t="s">
        <v>40</v>
      </c>
      <c r="D2635">
        <v>5.18262</v>
      </c>
      <c r="E2635">
        <v>0.41334409999999999</v>
      </c>
      <c r="F2635" t="s">
        <v>72</v>
      </c>
      <c r="G2635">
        <v>-282.41930000000002</v>
      </c>
      <c r="H2635" s="1">
        <v>-5.6781790000000002E-6</v>
      </c>
      <c r="I2635">
        <v>-56.659759999999999</v>
      </c>
      <c r="J2635">
        <v>-294.74509999999998</v>
      </c>
      <c r="K2635">
        <v>1.117823</v>
      </c>
      <c r="L2635">
        <v>-50.45825</v>
      </c>
      <c r="M2635">
        <v>0.69882699999999998</v>
      </c>
      <c r="N2635">
        <v>0</v>
      </c>
      <c r="O2635">
        <v>-0.71516389999999996</v>
      </c>
      <c r="P2635">
        <v>0.76882669999999997</v>
      </c>
      <c r="Q2635">
        <v>0.12834480000000001</v>
      </c>
      <c r="R2635">
        <v>-0.62644509999999998</v>
      </c>
      <c r="S2635">
        <v>2.7931210000000002</v>
      </c>
      <c r="T2635">
        <v>-0.2487605</v>
      </c>
      <c r="U2635">
        <v>-1.4288019999999999</v>
      </c>
      <c r="V2635">
        <v>-0.1168773</v>
      </c>
      <c r="W2635">
        <v>0.13766709999999999</v>
      </c>
      <c r="X2635">
        <v>0.98355859999999995</v>
      </c>
      <c r="Y2635">
        <v>-0.31586510000000001</v>
      </c>
      <c r="Z2635">
        <v>6.5549860000000001E-2</v>
      </c>
      <c r="AA2635">
        <v>0.94653710000000002</v>
      </c>
      <c r="AB2635">
        <v>33</v>
      </c>
      <c r="AC2635">
        <v>12.3257999999999</v>
      </c>
      <c r="AD2635">
        <v>-1.1178286781789999</v>
      </c>
      <c r="AE2635">
        <v>-6.2015099999999901</v>
      </c>
      <c r="AF2635">
        <v>-4.45236903978856</v>
      </c>
      <c r="AG2635">
        <v>-1.1178286781789999</v>
      </c>
      <c r="AH2635">
        <v>12.964790380010699</v>
      </c>
      <c r="AI2635">
        <v>94.661908768868201</v>
      </c>
      <c r="AJ2635">
        <v>108.95349945841799</v>
      </c>
      <c r="AK2635">
        <v>13.753505757364</v>
      </c>
      <c r="AL2635">
        <v>82.087126431506505</v>
      </c>
      <c r="AM2635">
        <v>96.776739103547797</v>
      </c>
      <c r="AN2635">
        <v>1.00000002665582</v>
      </c>
    </row>
    <row r="2636" spans="1:40" x14ac:dyDescent="0.3">
      <c r="A2636" t="str">
        <f>"20200111150408476"</f>
        <v>20200111150408476</v>
      </c>
      <c r="B2636" t="str">
        <f>"1578726248471550"</f>
        <v>1578726248471550</v>
      </c>
      <c r="C2636" t="s">
        <v>40</v>
      </c>
      <c r="D2636">
        <v>5.1773790000000002</v>
      </c>
      <c r="E2636">
        <v>0.41395680000000001</v>
      </c>
      <c r="F2636" t="s">
        <v>72</v>
      </c>
      <c r="G2636">
        <v>-282.36970000000002</v>
      </c>
      <c r="H2636" s="1">
        <v>-5.7087799999999997E-6</v>
      </c>
      <c r="I2636">
        <v>-56.617649999999998</v>
      </c>
      <c r="J2636">
        <v>-294.50670000000002</v>
      </c>
      <c r="K2636">
        <v>1.11782</v>
      </c>
      <c r="L2636">
        <v>-50.682650000000002</v>
      </c>
      <c r="M2636">
        <v>0.71019019999999899</v>
      </c>
      <c r="N2636">
        <v>0</v>
      </c>
      <c r="O2636">
        <v>-0.70388099999999998</v>
      </c>
      <c r="P2636">
        <v>0.77875260000000002</v>
      </c>
      <c r="Q2636">
        <v>0.12752939999999999</v>
      </c>
      <c r="R2636">
        <v>-0.61423179999999999</v>
      </c>
      <c r="S2636">
        <v>2.806305</v>
      </c>
      <c r="T2636">
        <v>-0.25348340000000003</v>
      </c>
      <c r="U2636">
        <v>-1.3967290000000001</v>
      </c>
      <c r="V2636">
        <v>-0.116717</v>
      </c>
      <c r="W2636">
        <v>0.13686039999999999</v>
      </c>
      <c r="X2636">
        <v>0.98369019999999996</v>
      </c>
      <c r="Y2636">
        <v>-0.31104330000000002</v>
      </c>
      <c r="Z2636">
        <v>6.5936149999999999E-2</v>
      </c>
      <c r="AA2636">
        <v>0.9481058</v>
      </c>
      <c r="AB2636">
        <v>33</v>
      </c>
      <c r="AC2636">
        <v>12.137</v>
      </c>
      <c r="AD2636">
        <v>-1.1178257087799901</v>
      </c>
      <c r="AE2636">
        <v>-5.9349999999999898</v>
      </c>
      <c r="AF2636">
        <v>-4.2989883455242204</v>
      </c>
      <c r="AG2636">
        <v>-1.1178257087799901</v>
      </c>
      <c r="AH2636">
        <v>12.7112569708052</v>
      </c>
      <c r="AI2636">
        <v>94.762003224513293</v>
      </c>
      <c r="AJ2636">
        <v>108.685703679364</v>
      </c>
      <c r="AK2636">
        <v>13.4650246523356</v>
      </c>
      <c r="AL2636">
        <v>82.1337885507224</v>
      </c>
      <c r="AM2636">
        <v>96.766633930676704</v>
      </c>
      <c r="AN2636">
        <v>1.00000001837659</v>
      </c>
    </row>
    <row r="2637" spans="1:40" x14ac:dyDescent="0.3">
      <c r="A2637" t="str">
        <f>"20200111150408499"</f>
        <v>20200111150408499</v>
      </c>
      <c r="B2637" t="str">
        <f>"1578726248491068"</f>
        <v>1578726248491068</v>
      </c>
      <c r="C2637" t="s">
        <v>40</v>
      </c>
      <c r="D2637">
        <v>5.1672099999999999</v>
      </c>
      <c r="E2637">
        <v>0.43425770000000002</v>
      </c>
      <c r="F2637" t="s">
        <v>72</v>
      </c>
      <c r="G2637">
        <v>-282.21379999999999</v>
      </c>
      <c r="H2637" s="1">
        <v>-5.7883210000000001E-6</v>
      </c>
      <c r="I2637">
        <v>-56.578710000000001</v>
      </c>
      <c r="J2637">
        <v>-294.26389999999998</v>
      </c>
      <c r="K2637">
        <v>1.117815</v>
      </c>
      <c r="L2637">
        <v>-50.904139999999998</v>
      </c>
      <c r="M2637">
        <v>0.7214121</v>
      </c>
      <c r="N2637">
        <v>0</v>
      </c>
      <c r="O2637">
        <v>-0.69237519999999997</v>
      </c>
      <c r="P2637">
        <v>0.78834579999999999</v>
      </c>
      <c r="Q2637">
        <v>0.12696879999999999</v>
      </c>
      <c r="R2637">
        <v>-0.60198830000000003</v>
      </c>
      <c r="S2637">
        <v>2.8254999999999999</v>
      </c>
      <c r="T2637">
        <v>-0.25692930000000003</v>
      </c>
      <c r="U2637">
        <v>-1.355194</v>
      </c>
      <c r="V2637">
        <v>-0.11631950000000001</v>
      </c>
      <c r="W2637">
        <v>0.1363171</v>
      </c>
      <c r="X2637">
        <v>0.98381269999999998</v>
      </c>
      <c r="Y2637">
        <v>-0.30957099999999999</v>
      </c>
      <c r="Z2637">
        <v>6.6009499999999999E-2</v>
      </c>
      <c r="AA2637">
        <v>0.94858240000000005</v>
      </c>
      <c r="AB2637">
        <v>33</v>
      </c>
      <c r="AC2637">
        <v>12.050099999999899</v>
      </c>
      <c r="AD2637">
        <v>-1.1178207883210001</v>
      </c>
      <c r="AE2637">
        <v>-5.6745699999999903</v>
      </c>
      <c r="AF2637">
        <v>-4.2201480991260896</v>
      </c>
      <c r="AG2637">
        <v>-1.1178207883210001</v>
      </c>
      <c r="AH2637">
        <v>12.534875932818601</v>
      </c>
      <c r="AI2637">
        <v>94.830903738760696</v>
      </c>
      <c r="AJ2637">
        <v>108.606964465788</v>
      </c>
      <c r="AK2637">
        <v>13.273367618826599</v>
      </c>
      <c r="AL2637">
        <v>82.165211732627697</v>
      </c>
      <c r="AM2637">
        <v>96.742969614782993</v>
      </c>
      <c r="AN2637">
        <v>1.00000000325697</v>
      </c>
    </row>
    <row r="2638" spans="1:40" x14ac:dyDescent="0.3">
      <c r="A2638" t="str">
        <f>"20200111150408521"</f>
        <v>20200111150408521</v>
      </c>
      <c r="B2638" t="str">
        <f>"1578726248511561"</f>
        <v>1578726248511561</v>
      </c>
      <c r="C2638" t="s">
        <v>40</v>
      </c>
      <c r="D2638">
        <v>5.1515620000000002</v>
      </c>
      <c r="E2638">
        <v>0.43619140000000001</v>
      </c>
      <c r="F2638" t="s">
        <v>72</v>
      </c>
      <c r="G2638">
        <v>-284.72359999999998</v>
      </c>
      <c r="H2638" s="1">
        <v>-4.7390179999999999E-6</v>
      </c>
      <c r="I2638">
        <v>-55.9056199999999</v>
      </c>
      <c r="J2638">
        <v>-294.02620000000002</v>
      </c>
      <c r="K2638">
        <v>1.1178170000000001</v>
      </c>
      <c r="L2638">
        <v>-51.114289999999997</v>
      </c>
      <c r="M2638">
        <v>0.73206759999999904</v>
      </c>
      <c r="N2638">
        <v>0</v>
      </c>
      <c r="O2638">
        <v>-0.6810988</v>
      </c>
      <c r="P2638">
        <v>0.79781709999999995</v>
      </c>
      <c r="Q2638">
        <v>0.12655739999999999</v>
      </c>
      <c r="R2638">
        <v>-0.58946679999999996</v>
      </c>
      <c r="S2638">
        <v>2.7546689999999998</v>
      </c>
      <c r="T2638">
        <v>-0.3227584</v>
      </c>
      <c r="U2638">
        <v>-1.4441219999999999</v>
      </c>
      <c r="V2638">
        <v>-0.1166191</v>
      </c>
      <c r="W2638">
        <v>0.1358963</v>
      </c>
      <c r="X2638">
        <v>0.98383549999999997</v>
      </c>
      <c r="Y2638">
        <v>-0.25923040000000003</v>
      </c>
      <c r="Z2638">
        <v>8.0409770000000005E-2</v>
      </c>
      <c r="AA2638">
        <v>0.96246240000000005</v>
      </c>
      <c r="AB2638">
        <v>33</v>
      </c>
      <c r="AC2638">
        <v>9.3026000000000302</v>
      </c>
      <c r="AD2638">
        <v>-1.1178217390180001</v>
      </c>
      <c r="AE2638">
        <v>-4.7913299999999799</v>
      </c>
      <c r="AF2638">
        <v>-2.7967532089353999</v>
      </c>
      <c r="AG2638">
        <v>-1.1178217390180001</v>
      </c>
      <c r="AH2638">
        <v>9.9607462773779805</v>
      </c>
      <c r="AI2638">
        <v>96.166576869716394</v>
      </c>
      <c r="AJ2638">
        <v>105.68354574619801</v>
      </c>
      <c r="AK2638">
        <v>10.4061433948514</v>
      </c>
      <c r="AL2638">
        <v>82.189548674339704</v>
      </c>
      <c r="AM2638">
        <v>96.7600214955703</v>
      </c>
      <c r="AN2638">
        <v>1.0000000549493699</v>
      </c>
    </row>
    <row r="2639" spans="1:40" x14ac:dyDescent="0.3">
      <c r="A2639" t="str">
        <f>"20200111150408535"</f>
        <v>20200111150408535</v>
      </c>
      <c r="B2639" t="str">
        <f>"1578726248531082"</f>
        <v>1578726248531082</v>
      </c>
      <c r="C2639" t="s">
        <v>40</v>
      </c>
      <c r="D2639">
        <v>5.1772320000000001</v>
      </c>
      <c r="E2639">
        <v>0.43799060000000001</v>
      </c>
      <c r="F2639" t="s">
        <v>72</v>
      </c>
      <c r="G2639">
        <v>-284.58240000000001</v>
      </c>
      <c r="H2639" s="1">
        <v>-4.7998180000000003E-6</v>
      </c>
      <c r="I2639">
        <v>-55.93365</v>
      </c>
      <c r="J2639">
        <v>-293.8723</v>
      </c>
      <c r="K2639">
        <v>1.1178140000000001</v>
      </c>
      <c r="L2639">
        <v>-51.24689</v>
      </c>
      <c r="M2639">
        <v>0.73879719999999904</v>
      </c>
      <c r="N2639">
        <v>0</v>
      </c>
      <c r="O2639">
        <v>-0.67379339999999999</v>
      </c>
      <c r="P2639">
        <v>0.80368359999999905</v>
      </c>
      <c r="Q2639">
        <v>0.126556</v>
      </c>
      <c r="R2639">
        <v>-0.5814435</v>
      </c>
      <c r="S2639">
        <v>2.7684329999999999</v>
      </c>
      <c r="T2639">
        <v>-0.32768589999999997</v>
      </c>
      <c r="U2639">
        <v>-1.4127809999999901</v>
      </c>
      <c r="V2639">
        <v>-0.116704</v>
      </c>
      <c r="W2639">
        <v>0.13589289999999901</v>
      </c>
      <c r="X2639">
        <v>0.98382590000000003</v>
      </c>
      <c r="Y2639">
        <v>-0.26011400000000001</v>
      </c>
      <c r="Z2639">
        <v>8.1049289999999996E-2</v>
      </c>
      <c r="AA2639">
        <v>0.96217030000000003</v>
      </c>
      <c r="AB2639">
        <v>33</v>
      </c>
      <c r="AC2639">
        <v>9.2898999999999798</v>
      </c>
      <c r="AD2639">
        <v>-1.11781879981799</v>
      </c>
      <c r="AE2639">
        <v>-4.6867599999999996</v>
      </c>
      <c r="AF2639">
        <v>-2.7652478254647899</v>
      </c>
      <c r="AG2639">
        <v>-1.11781879981799</v>
      </c>
      <c r="AH2639">
        <v>9.9078218506420193</v>
      </c>
      <c r="AI2639">
        <v>96.201927946287299</v>
      </c>
      <c r="AJ2639">
        <v>105.594282486441</v>
      </c>
      <c r="AK2639">
        <v>10.347030889560701</v>
      </c>
      <c r="AL2639">
        <v>82.189745286365294</v>
      </c>
      <c r="AM2639">
        <v>96.764962671438099</v>
      </c>
      <c r="AN2639">
        <v>1.0000000526985999</v>
      </c>
    </row>
    <row r="2640" spans="1:40" x14ac:dyDescent="0.3">
      <c r="A2640" t="str">
        <f>"20200111150408549"</f>
        <v>20200111150408549</v>
      </c>
      <c r="B2640" t="str">
        <f>"1578726248541463"</f>
        <v>1578726248541463</v>
      </c>
      <c r="C2640" t="s">
        <v>40</v>
      </c>
      <c r="D2640">
        <v>5.1716220000000002</v>
      </c>
      <c r="E2640">
        <v>0.43885649999999998</v>
      </c>
      <c r="F2640" t="s">
        <v>72</v>
      </c>
      <c r="G2640">
        <v>-284.5573</v>
      </c>
      <c r="H2640" s="1">
        <v>-4.8107280000000003E-6</v>
      </c>
      <c r="I2640">
        <v>-55.937869999999997</v>
      </c>
      <c r="J2640">
        <v>-293.71600000000001</v>
      </c>
      <c r="K2640">
        <v>1.1178129999999999</v>
      </c>
      <c r="L2640">
        <v>-51.379330000000003</v>
      </c>
      <c r="M2640">
        <v>0.74550749999999999</v>
      </c>
      <c r="N2640">
        <v>0</v>
      </c>
      <c r="O2640">
        <v>-0.66636119999999899</v>
      </c>
      <c r="P2640">
        <v>0.80946319999999905</v>
      </c>
      <c r="Q2640">
        <v>0.12637039999999999</v>
      </c>
      <c r="R2640">
        <v>-0.573411</v>
      </c>
      <c r="S2640">
        <v>2.7744140000000002</v>
      </c>
      <c r="T2640">
        <v>-0.33293729999999999</v>
      </c>
      <c r="U2640">
        <v>-1.397186</v>
      </c>
      <c r="V2640">
        <v>-0.1166624</v>
      </c>
      <c r="W2640">
        <v>0.1357101</v>
      </c>
      <c r="X2640">
        <v>0.98385599999999995</v>
      </c>
      <c r="Y2640">
        <v>-0.25550210000000001</v>
      </c>
      <c r="Z2640">
        <v>8.149323E-2</v>
      </c>
      <c r="AA2640">
        <v>0.9633678</v>
      </c>
      <c r="AB2640">
        <v>33</v>
      </c>
      <c r="AC2640">
        <v>9.1587000000000103</v>
      </c>
      <c r="AD2640">
        <v>-1.1178178107279999</v>
      </c>
      <c r="AE2640">
        <v>-4.5585399999999998</v>
      </c>
      <c r="AF2640">
        <v>-2.6729110262615401</v>
      </c>
      <c r="AG2640">
        <v>-1.1178178107279999</v>
      </c>
      <c r="AH2640">
        <v>9.7500069962751894</v>
      </c>
      <c r="AI2640">
        <v>96.309466704375893</v>
      </c>
      <c r="AJ2640">
        <v>105.330672277584</v>
      </c>
      <c r="AK2640">
        <v>10.1713620739656</v>
      </c>
      <c r="AL2640">
        <v>82.200316379413493</v>
      </c>
      <c r="AM2640">
        <v>96.7623686102677</v>
      </c>
      <c r="AN2640">
        <v>0.99999998777588495</v>
      </c>
    </row>
    <row r="2641" spans="1:40" x14ac:dyDescent="0.3">
      <c r="A2641" t="str">
        <f>"20200111150408561"</f>
        <v>20200111150408561</v>
      </c>
      <c r="B2641" t="str">
        <f>"1578726248551224"</f>
        <v>1578726248551224</v>
      </c>
      <c r="C2641" t="s">
        <v>40</v>
      </c>
      <c r="D2641">
        <v>5.1909710000000002</v>
      </c>
      <c r="E2641">
        <v>0.43976749999999998</v>
      </c>
      <c r="F2641" t="s">
        <v>72</v>
      </c>
      <c r="G2641">
        <v>-284.46690000000001</v>
      </c>
      <c r="H2641" s="1">
        <v>-4.851252E-6</v>
      </c>
      <c r="I2641">
        <v>-55.947009999999999</v>
      </c>
      <c r="J2641">
        <v>-293.56889999999999</v>
      </c>
      <c r="K2641">
        <v>1.117812</v>
      </c>
      <c r="L2641">
        <v>-51.500549999999997</v>
      </c>
      <c r="M2641">
        <v>0.75168409999999997</v>
      </c>
      <c r="N2641">
        <v>0</v>
      </c>
      <c r="O2641">
        <v>-0.65938560000000002</v>
      </c>
      <c r="P2641">
        <v>0.81470529999999997</v>
      </c>
      <c r="Q2641">
        <v>0.1263505</v>
      </c>
      <c r="R2641">
        <v>-0.56594279999999997</v>
      </c>
      <c r="S2641">
        <v>2.7845759999999999</v>
      </c>
      <c r="T2641">
        <v>-0.33653240000000001</v>
      </c>
      <c r="U2641">
        <v>-1.3751530000000001</v>
      </c>
      <c r="V2641">
        <v>-0.11654349999999999</v>
      </c>
      <c r="W2641">
        <v>0.1356955</v>
      </c>
      <c r="X2641">
        <v>0.98387210000000003</v>
      </c>
      <c r="Y2641">
        <v>-0.25396400000000002</v>
      </c>
      <c r="Z2641">
        <v>8.1655920000000007E-2</v>
      </c>
      <c r="AA2641">
        <v>0.96376070000000003</v>
      </c>
      <c r="AB2641">
        <v>33</v>
      </c>
      <c r="AC2641">
        <v>9.1019999999999701</v>
      </c>
      <c r="AD2641">
        <v>-1.1178168512519999</v>
      </c>
      <c r="AE2641">
        <v>-4.4464600000000001</v>
      </c>
      <c r="AF2641">
        <v>-2.6276407092070402</v>
      </c>
      <c r="AG2641">
        <v>-1.1178168512519999</v>
      </c>
      <c r="AH2641">
        <v>9.6570595831455606</v>
      </c>
      <c r="AI2641">
        <v>96.372983030207493</v>
      </c>
      <c r="AJ2641">
        <v>105.221411752805</v>
      </c>
      <c r="AK2641">
        <v>10.0703927431877</v>
      </c>
      <c r="AL2641">
        <v>82.201160667853401</v>
      </c>
      <c r="AM2641">
        <v>96.755430743154093</v>
      </c>
      <c r="AN2641">
        <v>0.99999998263545398</v>
      </c>
    </row>
    <row r="2642" spans="1:40" x14ac:dyDescent="0.3">
      <c r="A2642" t="str">
        <f>"20200111150408578"</f>
        <v>20200111150408578</v>
      </c>
      <c r="B2642" t="str">
        <f>"1578726248570743"</f>
        <v>1578726248570743</v>
      </c>
      <c r="C2642" t="s">
        <v>40</v>
      </c>
      <c r="D2642">
        <v>5.2054099999999996</v>
      </c>
      <c r="E2642">
        <v>0.43931360000000003</v>
      </c>
      <c r="F2642" t="s">
        <v>72</v>
      </c>
      <c r="G2642">
        <v>-284.36919999999998</v>
      </c>
      <c r="H2642" s="1">
        <v>-4.8935179999999999E-6</v>
      </c>
      <c r="I2642">
        <v>-55.965020000000003</v>
      </c>
      <c r="J2642">
        <v>-293.3965</v>
      </c>
      <c r="K2642">
        <v>1.1178110000000001</v>
      </c>
      <c r="L2642">
        <v>-51.64029</v>
      </c>
      <c r="M2642">
        <v>0.75879180000000002</v>
      </c>
      <c r="N2642">
        <v>0</v>
      </c>
      <c r="O2642">
        <v>-0.65119369999999999</v>
      </c>
      <c r="P2642">
        <v>0.82045049999999997</v>
      </c>
      <c r="Q2642">
        <v>0.1266264</v>
      </c>
      <c r="R2642">
        <v>-0.55751870000000003</v>
      </c>
      <c r="S2642">
        <v>2.7933349999999999</v>
      </c>
      <c r="T2642">
        <v>-0.33940609999999999</v>
      </c>
      <c r="U2642">
        <v>-1.3555600000000001</v>
      </c>
      <c r="V2642">
        <v>-0.1159903</v>
      </c>
      <c r="W2642">
        <v>0.13599120000000001</v>
      </c>
      <c r="X2642">
        <v>0.98389669999999896</v>
      </c>
      <c r="Y2642">
        <v>-0.2501118</v>
      </c>
      <c r="Z2642">
        <v>8.1410330000000003E-2</v>
      </c>
      <c r="AA2642">
        <v>0.96478830000000004</v>
      </c>
      <c r="AB2642">
        <v>33</v>
      </c>
      <c r="AC2642">
        <v>9.0273000000000199</v>
      </c>
      <c r="AD2642">
        <v>-1.117815893518</v>
      </c>
      <c r="AE2642">
        <v>-4.32472999999999</v>
      </c>
      <c r="AF2642">
        <v>-2.56519734334996</v>
      </c>
      <c r="AG2642">
        <v>-1.117815893518</v>
      </c>
      <c r="AH2642">
        <v>9.5478874326794401</v>
      </c>
      <c r="AI2642">
        <v>96.450761260991499</v>
      </c>
      <c r="AJ2642">
        <v>105.03833785402399</v>
      </c>
      <c r="AK2642">
        <v>9.9494675339562395</v>
      </c>
      <c r="AL2642">
        <v>82.1840602073718</v>
      </c>
      <c r="AM2642">
        <v>96.723492267246399</v>
      </c>
      <c r="AN2642">
        <v>1.0000000362212</v>
      </c>
    </row>
    <row r="2643" spans="1:40" x14ac:dyDescent="0.3">
      <c r="A2643" t="str">
        <f>"20200111150408591"</f>
        <v>20200111150408591</v>
      </c>
      <c r="B2643" t="str">
        <f>"1578726248581480"</f>
        <v>1578726248581480</v>
      </c>
      <c r="C2643" t="s">
        <v>40</v>
      </c>
      <c r="D2643">
        <v>5.1677400000000002</v>
      </c>
      <c r="E2643">
        <v>0.41121039999999998</v>
      </c>
      <c r="F2643" t="s">
        <v>72</v>
      </c>
      <c r="G2643">
        <v>-284.1035</v>
      </c>
      <c r="H2643" s="1">
        <v>-5.0080719999999996E-6</v>
      </c>
      <c r="I2643">
        <v>-56.016869999999997</v>
      </c>
      <c r="J2643">
        <v>-293.23919999999998</v>
      </c>
      <c r="K2643">
        <v>1.11781</v>
      </c>
      <c r="L2643">
        <v>-51.765500000000003</v>
      </c>
      <c r="M2643">
        <v>0.76515250000000001</v>
      </c>
      <c r="N2643">
        <v>0</v>
      </c>
      <c r="O2643">
        <v>-0.64370810000000001</v>
      </c>
      <c r="P2643">
        <v>0.82580629999999999</v>
      </c>
      <c r="Q2643">
        <v>0.12680430000000001</v>
      </c>
      <c r="R2643">
        <v>-0.54951340000000004</v>
      </c>
      <c r="S2643">
        <v>2.8095699999999999</v>
      </c>
      <c r="T2643">
        <v>-0.33795219999999998</v>
      </c>
      <c r="U2643">
        <v>-1.3231809999999999</v>
      </c>
      <c r="V2643">
        <v>-0.1158809</v>
      </c>
      <c r="W2643">
        <v>0.1361735</v>
      </c>
      <c r="X2643">
        <v>0.98388430000000004</v>
      </c>
      <c r="Y2643">
        <v>-0.25192759999999997</v>
      </c>
      <c r="Z2643">
        <v>8.0404439999999994E-2</v>
      </c>
      <c r="AA2643">
        <v>0.96440009999999998</v>
      </c>
      <c r="AB2643">
        <v>33</v>
      </c>
      <c r="AC2643">
        <v>9.1356999999999804</v>
      </c>
      <c r="AD2643">
        <v>-1.117815008072</v>
      </c>
      <c r="AE2643">
        <v>-4.2513699999999899</v>
      </c>
      <c r="AF2643">
        <v>-2.59606855520332</v>
      </c>
      <c r="AG2643">
        <v>-1.117815008072</v>
      </c>
      <c r="AH2643">
        <v>9.6094720621686101</v>
      </c>
      <c r="AI2643">
        <v>96.407380388462201</v>
      </c>
      <c r="AJ2643">
        <v>105.11797241753401</v>
      </c>
      <c r="AK2643">
        <v>10.016538107010099</v>
      </c>
      <c r="AL2643">
        <v>82.173516513439395</v>
      </c>
      <c r="AM2643">
        <v>96.7172926471914</v>
      </c>
      <c r="AN2643">
        <v>0.99999996043677397</v>
      </c>
    </row>
    <row r="2644" spans="1:40" x14ac:dyDescent="0.3">
      <c r="A2644" t="str">
        <f>"20200111150408605"</f>
        <v>20200111150408605</v>
      </c>
      <c r="B2644" t="str">
        <f>"1578726248600999"</f>
        <v>1578726248600999</v>
      </c>
      <c r="C2644" t="s">
        <v>40</v>
      </c>
      <c r="D2644">
        <v>5.1683000000000003</v>
      </c>
      <c r="E2644">
        <v>0.40892010000000001</v>
      </c>
      <c r="F2644" t="s">
        <v>41</v>
      </c>
      <c r="G2644">
        <v>-279.8</v>
      </c>
      <c r="H2644" s="1">
        <v>-4.1481350000000001E-6</v>
      </c>
      <c r="I2644">
        <v>-56.811990000000002</v>
      </c>
      <c r="J2644">
        <v>-293.07769999999999</v>
      </c>
      <c r="K2644">
        <v>1.11781</v>
      </c>
      <c r="L2644">
        <v>-51.89105</v>
      </c>
      <c r="M2644">
        <v>0.77154609999999901</v>
      </c>
      <c r="N2644">
        <v>0</v>
      </c>
      <c r="O2644">
        <v>-0.63603100000000001</v>
      </c>
      <c r="P2644">
        <v>0.83107749999999903</v>
      </c>
      <c r="Q2644">
        <v>0.12720300000000001</v>
      </c>
      <c r="R2644">
        <v>-0.54141490000000003</v>
      </c>
      <c r="S2644">
        <v>2.9365540000000001</v>
      </c>
      <c r="T2644">
        <v>-0.2442502</v>
      </c>
      <c r="U2644">
        <v>-1.102692</v>
      </c>
      <c r="V2644">
        <v>-0.1156421</v>
      </c>
      <c r="W2644">
        <v>0.13658120000000001</v>
      </c>
      <c r="X2644">
        <v>0.98385590000000001</v>
      </c>
      <c r="Y2644">
        <v>-0.32173610000000002</v>
      </c>
      <c r="Z2644">
        <v>5.9346160000000002E-2</v>
      </c>
      <c r="AA2644">
        <v>0.94496769999999997</v>
      </c>
      <c r="AB2644">
        <v>33</v>
      </c>
      <c r="AC2644">
        <v>13.2776999999999</v>
      </c>
      <c r="AD2644">
        <v>-1.1178141481349999</v>
      </c>
      <c r="AE2644">
        <v>-4.9209399999999999</v>
      </c>
      <c r="AF2644">
        <v>-4.6199285367579597</v>
      </c>
      <c r="AG2644">
        <v>-1.1178141481349999</v>
      </c>
      <c r="AH2644">
        <v>13.2926061298508</v>
      </c>
      <c r="AI2644">
        <v>94.541591154898896</v>
      </c>
      <c r="AJ2644">
        <v>109.16521570102999</v>
      </c>
      <c r="AK2644">
        <v>14.116891509035201</v>
      </c>
      <c r="AL2644">
        <v>82.149936836870495</v>
      </c>
      <c r="AM2644">
        <v>96.703767930384799</v>
      </c>
      <c r="AN2644">
        <v>0.99999997572532895</v>
      </c>
    </row>
    <row r="2645" spans="1:40" x14ac:dyDescent="0.3">
      <c r="A2645" t="str">
        <f>"20200111150408621"</f>
        <v>20200111150408621</v>
      </c>
      <c r="B2645" t="str">
        <f>"1578726248610760"</f>
        <v>1578726248610760</v>
      </c>
      <c r="C2645" t="s">
        <v>40</v>
      </c>
      <c r="D2645">
        <v>5.160342</v>
      </c>
      <c r="E2645">
        <v>0.40890149999999997</v>
      </c>
      <c r="F2645" t="s">
        <v>41</v>
      </c>
      <c r="G2645">
        <v>-278.6755</v>
      </c>
      <c r="H2645" s="1">
        <v>-3.614283E-6</v>
      </c>
      <c r="I2645">
        <v>-57.044559999999997</v>
      </c>
      <c r="J2645">
        <v>-292.892</v>
      </c>
      <c r="K2645">
        <v>1.1178129999999999</v>
      </c>
      <c r="L2645">
        <v>-52.032139999999998</v>
      </c>
      <c r="M2645">
        <v>0.7787423</v>
      </c>
      <c r="N2645">
        <v>0</v>
      </c>
      <c r="O2645">
        <v>-0.62719910000000001</v>
      </c>
      <c r="P2645">
        <v>0.83694239999999998</v>
      </c>
      <c r="Q2645">
        <v>0.12807830000000001</v>
      </c>
      <c r="R2645">
        <v>-0.53209329999999999</v>
      </c>
      <c r="S2645">
        <v>2.9558409999999999</v>
      </c>
      <c r="T2645">
        <v>-0.2294139</v>
      </c>
      <c r="U2645">
        <v>-1.0576779999999999</v>
      </c>
      <c r="V2645">
        <v>-0.11537360000000001</v>
      </c>
      <c r="W2645">
        <v>0.13746539999999999</v>
      </c>
      <c r="X2645">
        <v>0.98376430000000004</v>
      </c>
      <c r="Y2645">
        <v>-0.32598890000000003</v>
      </c>
      <c r="Z2645">
        <v>5.5282350000000001E-2</v>
      </c>
      <c r="AA2645">
        <v>0.94375589999999998</v>
      </c>
      <c r="AB2645">
        <v>33</v>
      </c>
      <c r="AC2645">
        <v>14.2164999999999</v>
      </c>
      <c r="AD2645">
        <v>-1.1178166142829999</v>
      </c>
      <c r="AE2645">
        <v>-5.0124199999999899</v>
      </c>
      <c r="AF2645">
        <v>-4.9862297184816002</v>
      </c>
      <c r="AG2645">
        <v>-1.1178166142829999</v>
      </c>
      <c r="AH2645">
        <v>14.1383228916118</v>
      </c>
      <c r="AI2645">
        <v>94.264184209726494</v>
      </c>
      <c r="AJ2645">
        <v>109.426460304842</v>
      </c>
      <c r="AK2645">
        <v>15.033435235371501</v>
      </c>
      <c r="AL2645">
        <v>82.098793712690295</v>
      </c>
      <c r="AM2645">
        <v>96.688961292919203</v>
      </c>
      <c r="AN2645">
        <v>1.0000000008643</v>
      </c>
    </row>
    <row r="2646" spans="1:40" x14ac:dyDescent="0.3">
      <c r="A2646" t="str">
        <f>"20200111150408636"</f>
        <v>20200111150408636</v>
      </c>
      <c r="B2646" t="str">
        <f>"1578726248631257"</f>
        <v>1578726248631257</v>
      </c>
      <c r="C2646" t="s">
        <v>40</v>
      </c>
      <c r="D2646">
        <v>5.2063189999999997</v>
      </c>
      <c r="E2646">
        <v>0.40981099999999998</v>
      </c>
      <c r="F2646" t="s">
        <v>41</v>
      </c>
      <c r="G2646">
        <v>-278.28480000000002</v>
      </c>
      <c r="H2646" s="1">
        <v>-3.4394169999999999E-6</v>
      </c>
      <c r="I2646">
        <v>-57.077449999999999</v>
      </c>
      <c r="J2646">
        <v>-292.7364</v>
      </c>
      <c r="K2646">
        <v>1.1178129999999999</v>
      </c>
      <c r="L2646">
        <v>-52.148009999999999</v>
      </c>
      <c r="M2646">
        <v>0.78465039999999997</v>
      </c>
      <c r="N2646">
        <v>0</v>
      </c>
      <c r="O2646">
        <v>-0.61979200000000001</v>
      </c>
      <c r="P2646">
        <v>0.84179530000000002</v>
      </c>
      <c r="Q2646">
        <v>0.12810170000000001</v>
      </c>
      <c r="R2646">
        <v>-0.52437659999999997</v>
      </c>
      <c r="S2646">
        <v>2.9675600000000002</v>
      </c>
      <c r="T2646">
        <v>-0.22709309999999999</v>
      </c>
      <c r="U2646">
        <v>-1.024994</v>
      </c>
      <c r="V2646">
        <v>-0.1150944</v>
      </c>
      <c r="W2646">
        <v>0.1374995</v>
      </c>
      <c r="X2646">
        <v>0.98379220000000001</v>
      </c>
      <c r="Y2646">
        <v>-0.3275305</v>
      </c>
      <c r="Z2646">
        <v>5.4306029999999998E-2</v>
      </c>
      <c r="AA2646">
        <v>0.94327870000000003</v>
      </c>
      <c r="AB2646">
        <v>33</v>
      </c>
      <c r="AC2646">
        <v>14.4515999999999</v>
      </c>
      <c r="AD2646">
        <v>-1.117816439417</v>
      </c>
      <c r="AE2646">
        <v>-4.9294399999999996</v>
      </c>
      <c r="AF2646">
        <v>-5.0624300763125198</v>
      </c>
      <c r="AG2646">
        <v>-1.117816439417</v>
      </c>
      <c r="AH2646">
        <v>14.319247285124201</v>
      </c>
      <c r="AI2646">
        <v>94.209360546289005</v>
      </c>
      <c r="AJ2646">
        <v>109.470550715711</v>
      </c>
      <c r="AK2646">
        <v>15.2288724035078</v>
      </c>
      <c r="AL2646">
        <v>82.096820895596693</v>
      </c>
      <c r="AM2646">
        <v>96.672732861479105</v>
      </c>
      <c r="AN2646">
        <v>0.99999996309622396</v>
      </c>
    </row>
    <row r="2647" spans="1:40" x14ac:dyDescent="0.3">
      <c r="A2647" t="str">
        <f>"20200111150408649"</f>
        <v>20200111150408649</v>
      </c>
      <c r="B2647" t="str">
        <f>"1578726248640846"</f>
        <v>1578726248640846</v>
      </c>
      <c r="C2647" t="s">
        <v>40</v>
      </c>
      <c r="D2647">
        <v>5.2347479999999997</v>
      </c>
      <c r="E2647">
        <v>0.41015109999999999</v>
      </c>
      <c r="F2647" t="s">
        <v>41</v>
      </c>
      <c r="G2647">
        <v>-278.98829999999998</v>
      </c>
      <c r="H2647" s="1">
        <v>-3.8044450000000001E-6</v>
      </c>
      <c r="I2647">
        <v>-56.791440000000001</v>
      </c>
      <c r="J2647">
        <v>-292.565</v>
      </c>
      <c r="K2647">
        <v>1.1178140000000001</v>
      </c>
      <c r="L2647">
        <v>-52.273409999999998</v>
      </c>
      <c r="M2647">
        <v>0.79103429999999997</v>
      </c>
      <c r="N2647">
        <v>0</v>
      </c>
      <c r="O2647">
        <v>-0.61162340000000004</v>
      </c>
      <c r="P2647">
        <v>0.84706039999999905</v>
      </c>
      <c r="Q2647">
        <v>0.12808449999999999</v>
      </c>
      <c r="R2647">
        <v>-0.51583279999999998</v>
      </c>
      <c r="S2647">
        <v>2.9747620000000001</v>
      </c>
      <c r="T2647">
        <v>-0.24186959999999999</v>
      </c>
      <c r="U2647">
        <v>-1.0047299999999999</v>
      </c>
      <c r="V2647">
        <v>-0.1148482</v>
      </c>
      <c r="W2647">
        <v>0.13749140000000001</v>
      </c>
      <c r="X2647">
        <v>0.98382219999999998</v>
      </c>
      <c r="Y2647">
        <v>-0.32393519999999998</v>
      </c>
      <c r="Z2647">
        <v>5.7158500000000001E-2</v>
      </c>
      <c r="AA2647">
        <v>0.94435100000000005</v>
      </c>
      <c r="AB2647">
        <v>33</v>
      </c>
      <c r="AC2647">
        <v>13.576700000000001</v>
      </c>
      <c r="AD2647">
        <v>-1.11781780444499</v>
      </c>
      <c r="AE2647">
        <v>-4.5180300000000004</v>
      </c>
      <c r="AF2647">
        <v>-4.7016461711553301</v>
      </c>
      <c r="AG2647">
        <v>-1.11781780444499</v>
      </c>
      <c r="AH2647">
        <v>13.422278512726299</v>
      </c>
      <c r="AI2647">
        <v>94.494107607227306</v>
      </c>
      <c r="AJ2647">
        <v>109.304680936015</v>
      </c>
      <c r="AK2647">
        <v>14.2657826226207</v>
      </c>
      <c r="AL2647">
        <v>82.097290193615805</v>
      </c>
      <c r="AM2647">
        <v>96.658386215495298</v>
      </c>
      <c r="AN2647">
        <v>1.0000000576650101</v>
      </c>
    </row>
    <row r="2648" spans="1:40" x14ac:dyDescent="0.3">
      <c r="A2648" t="str">
        <f>"20200111150408663"</f>
        <v>20200111150408663</v>
      </c>
      <c r="B2648" t="str">
        <f>"1578726248661342"</f>
        <v>1578726248661342</v>
      </c>
      <c r="C2648" t="s">
        <v>40</v>
      </c>
      <c r="D2648">
        <v>5.1942209999999998</v>
      </c>
      <c r="E2648">
        <v>0.41117500000000001</v>
      </c>
      <c r="F2648" t="s">
        <v>41</v>
      </c>
      <c r="G2648">
        <v>-278.78489999999999</v>
      </c>
      <c r="H2648" s="1">
        <v>-3.71833E-6</v>
      </c>
      <c r="I2648">
        <v>-56.786369999999998</v>
      </c>
      <c r="J2648">
        <v>-292.40069999999997</v>
      </c>
      <c r="K2648">
        <v>1.117812</v>
      </c>
      <c r="L2648">
        <v>-52.390349999999998</v>
      </c>
      <c r="M2648">
        <v>0.79701889999999997</v>
      </c>
      <c r="N2648">
        <v>0</v>
      </c>
      <c r="O2648">
        <v>-0.60380409999999995</v>
      </c>
      <c r="P2648">
        <v>0.85200200000000004</v>
      </c>
      <c r="Q2648">
        <v>0.12784949999999901</v>
      </c>
      <c r="R2648">
        <v>-0.50768849999999999</v>
      </c>
      <c r="S2648">
        <v>2.983276</v>
      </c>
      <c r="T2648">
        <v>-0.24199860000000001</v>
      </c>
      <c r="U2648">
        <v>-0.97702029999999995</v>
      </c>
      <c r="V2648">
        <v>-0.1146046</v>
      </c>
      <c r="W2648">
        <v>0.1372661</v>
      </c>
      <c r="X2648">
        <v>0.98388200000000003</v>
      </c>
      <c r="Y2648">
        <v>-0.32335849999999999</v>
      </c>
      <c r="Z2648">
        <v>5.6657470000000001E-2</v>
      </c>
      <c r="AA2648">
        <v>0.9445789</v>
      </c>
      <c r="AB2648">
        <v>33</v>
      </c>
      <c r="AC2648">
        <v>13.615799999999901</v>
      </c>
      <c r="AD2648">
        <v>-1.1178157183299999</v>
      </c>
      <c r="AE2648">
        <v>-4.39602</v>
      </c>
      <c r="AF2648">
        <v>-4.6893706228026097</v>
      </c>
      <c r="AG2648">
        <v>-1.1178157183299999</v>
      </c>
      <c r="AH2648">
        <v>13.4256648141741</v>
      </c>
      <c r="AI2648">
        <v>94.494368850027598</v>
      </c>
      <c r="AJ2648">
        <v>109.253493982721</v>
      </c>
      <c r="AK2648">
        <v>14.2649284793406</v>
      </c>
      <c r="AL2648">
        <v>82.110321985053901</v>
      </c>
      <c r="AM2648">
        <v>96.643989551564403</v>
      </c>
      <c r="AN2648">
        <v>0.99999999323718503</v>
      </c>
    </row>
    <row r="2649" spans="1:40" x14ac:dyDescent="0.3">
      <c r="A2649" t="str">
        <f>"20200111150408677"</f>
        <v>20200111150408677</v>
      </c>
      <c r="B2649" t="str">
        <f>"1578726248671105"</f>
        <v>1578726248671105</v>
      </c>
      <c r="C2649" t="s">
        <v>40</v>
      </c>
      <c r="D2649">
        <v>5.203856</v>
      </c>
      <c r="E2649">
        <v>0.4117712</v>
      </c>
      <c r="F2649" t="s">
        <v>41</v>
      </c>
      <c r="G2649">
        <v>-278.71289999999999</v>
      </c>
      <c r="H2649" s="1">
        <v>-3.6917050000000001E-6</v>
      </c>
      <c r="I2649">
        <v>-56.767040000000001</v>
      </c>
      <c r="J2649">
        <v>-292.2319</v>
      </c>
      <c r="K2649">
        <v>1.1178110000000001</v>
      </c>
      <c r="L2649">
        <v>-52.508090000000003</v>
      </c>
      <c r="M2649">
        <v>0.80304370000000003</v>
      </c>
      <c r="N2649">
        <v>0</v>
      </c>
      <c r="O2649">
        <v>-0.59576779999999996</v>
      </c>
      <c r="P2649">
        <v>0.85708289999999998</v>
      </c>
      <c r="Q2649">
        <v>0.12780569999999999</v>
      </c>
      <c r="R2649">
        <v>-0.49907380000000001</v>
      </c>
      <c r="S2649">
        <v>2.9883730000000002</v>
      </c>
      <c r="T2649">
        <v>-0.24404609999999999</v>
      </c>
      <c r="U2649">
        <v>-0.95553589999999999</v>
      </c>
      <c r="V2649">
        <v>-0.1146419</v>
      </c>
      <c r="W2649">
        <v>0.13722119999999999</v>
      </c>
      <c r="X2649">
        <v>0.98388390000000003</v>
      </c>
      <c r="Y2649">
        <v>-0.320465</v>
      </c>
      <c r="Z2649">
        <v>5.6523619999999997E-2</v>
      </c>
      <c r="AA2649">
        <v>0.94557239999999998</v>
      </c>
      <c r="AB2649">
        <v>33</v>
      </c>
      <c r="AC2649">
        <v>13.519</v>
      </c>
      <c r="AD2649">
        <v>-1.117814691705</v>
      </c>
      <c r="AE2649">
        <v>-4.2589499999999898</v>
      </c>
      <c r="AF2649">
        <v>-4.6058366316371302</v>
      </c>
      <c r="AG2649">
        <v>-1.117814691705</v>
      </c>
      <c r="AH2649">
        <v>13.3121143242203</v>
      </c>
      <c r="AI2649">
        <v>94.537158027065004</v>
      </c>
      <c r="AJ2649">
        <v>109.08502456859</v>
      </c>
      <c r="AK2649">
        <v>14.130662707156899</v>
      </c>
      <c r="AL2649">
        <v>82.112919003407896</v>
      </c>
      <c r="AM2649">
        <v>96.646119888462295</v>
      </c>
      <c r="AN2649">
        <v>0.99999997582212896</v>
      </c>
    </row>
    <row r="2650" spans="1:40" x14ac:dyDescent="0.3">
      <c r="A2650" t="str">
        <f>"20200111150408700"</f>
        <v>20200111150408700</v>
      </c>
      <c r="B2650" t="str">
        <f>"1578726248691598"</f>
        <v>1578726248691598</v>
      </c>
      <c r="C2650" t="s">
        <v>40</v>
      </c>
      <c r="D2650">
        <v>5.2278529999999996</v>
      </c>
      <c r="E2650">
        <v>0.4130955</v>
      </c>
      <c r="F2650" t="s">
        <v>41</v>
      </c>
      <c r="G2650">
        <v>-278.56180000000001</v>
      </c>
      <c r="H2650" s="1">
        <v>-3.6305409999999999E-6</v>
      </c>
      <c r="I2650">
        <v>-56.750390000000003</v>
      </c>
      <c r="J2650">
        <v>-291.96019999999999</v>
      </c>
      <c r="K2650">
        <v>1.1178049999999999</v>
      </c>
      <c r="L2650">
        <v>-52.692779999999999</v>
      </c>
      <c r="M2650">
        <v>0.81249539999999998</v>
      </c>
      <c r="N2650">
        <v>0</v>
      </c>
      <c r="O2650">
        <v>-0.58281179999999999</v>
      </c>
      <c r="P2650">
        <v>0.86496589999999995</v>
      </c>
      <c r="Q2650">
        <v>0.12809699999999999</v>
      </c>
      <c r="R2650">
        <v>-0.48520659999999999</v>
      </c>
      <c r="S2650">
        <v>2.9954830000000001</v>
      </c>
      <c r="T2650">
        <v>-0.24494150000000001</v>
      </c>
      <c r="U2650">
        <v>-0.92959590000000003</v>
      </c>
      <c r="V2650">
        <v>-0.11469169999999999</v>
      </c>
      <c r="W2650">
        <v>0.13751169999999999</v>
      </c>
      <c r="X2650">
        <v>0.98383750000000003</v>
      </c>
      <c r="Y2650">
        <v>-0.31340479999999998</v>
      </c>
      <c r="Z2650">
        <v>5.561866E-2</v>
      </c>
      <c r="AA2650">
        <v>0.94798950000000004</v>
      </c>
      <c r="AB2650">
        <v>33</v>
      </c>
      <c r="AC2650">
        <v>13.398399999999899</v>
      </c>
      <c r="AD2650">
        <v>-1.117808630541</v>
      </c>
      <c r="AE2650">
        <v>-4.0576099999999897</v>
      </c>
      <c r="AF2650">
        <v>-4.483779243441</v>
      </c>
      <c r="AG2650">
        <v>-1.117808630541</v>
      </c>
      <c r="AH2650">
        <v>13.168209831424599</v>
      </c>
      <c r="AI2650">
        <v>94.594208292523902</v>
      </c>
      <c r="AJ2650">
        <v>108.803723464413</v>
      </c>
      <c r="AK2650">
        <v>13.9554836033314</v>
      </c>
      <c r="AL2650">
        <v>82.096115000142802</v>
      </c>
      <c r="AM2650">
        <v>96.649291866097201</v>
      </c>
      <c r="AN2650">
        <v>0.999999940046013</v>
      </c>
    </row>
    <row r="2651" spans="1:40" x14ac:dyDescent="0.3">
      <c r="A2651" t="str">
        <f>"20200111150408722"</f>
        <v>20200111150408722</v>
      </c>
      <c r="B2651" t="str">
        <f>"1578726248711118"</f>
        <v>1578726248711118</v>
      </c>
      <c r="C2651" t="s">
        <v>40</v>
      </c>
      <c r="D2651">
        <v>5.2417360000000004</v>
      </c>
      <c r="E2651">
        <v>0.41447830000000002</v>
      </c>
      <c r="F2651" t="s">
        <v>41</v>
      </c>
      <c r="G2651">
        <v>-278.26839999999999</v>
      </c>
      <c r="H2651" s="1">
        <v>-3.50506999999999E-6</v>
      </c>
      <c r="I2651">
        <v>-56.748730000000002</v>
      </c>
      <c r="J2651">
        <v>-291.69139999999999</v>
      </c>
      <c r="K2651">
        <v>1.117801</v>
      </c>
      <c r="L2651">
        <v>-52.869419999999998</v>
      </c>
      <c r="M2651">
        <v>0.82154459999999996</v>
      </c>
      <c r="N2651">
        <v>0</v>
      </c>
      <c r="O2651">
        <v>-0.56998490000000002</v>
      </c>
      <c r="P2651">
        <v>0.87277280000000002</v>
      </c>
      <c r="Q2651">
        <v>0.1280174</v>
      </c>
      <c r="R2651">
        <v>-0.47104099999999999</v>
      </c>
      <c r="S2651">
        <v>3.00528</v>
      </c>
      <c r="T2651">
        <v>-0.24535299999999999</v>
      </c>
      <c r="U2651">
        <v>-0.89025880000000002</v>
      </c>
      <c r="V2651">
        <v>-0.1152895</v>
      </c>
      <c r="W2651">
        <v>0.13741059999999999</v>
      </c>
      <c r="X2651">
        <v>0.98378180000000004</v>
      </c>
      <c r="Y2651">
        <v>-0.31077379999999999</v>
      </c>
      <c r="Z2651">
        <v>5.4769190000000002E-2</v>
      </c>
      <c r="AA2651">
        <v>0.94890459999999999</v>
      </c>
      <c r="AB2651">
        <v>33</v>
      </c>
      <c r="AC2651">
        <v>13.423</v>
      </c>
      <c r="AD2651">
        <v>-1.1178045050700001</v>
      </c>
      <c r="AE2651">
        <v>-3.8793099999999998</v>
      </c>
      <c r="AF2651">
        <v>-4.4358960348443501</v>
      </c>
      <c r="AG2651">
        <v>-1.1178045050700001</v>
      </c>
      <c r="AH2651">
        <v>13.1557445797184</v>
      </c>
      <c r="AI2651">
        <v>94.603144501418697</v>
      </c>
      <c r="AJ2651">
        <v>108.63324192829</v>
      </c>
      <c r="AK2651">
        <v>13.9283981846547</v>
      </c>
      <c r="AL2651">
        <v>82.101963483593707</v>
      </c>
      <c r="AM2651">
        <v>96.684011775934493</v>
      </c>
      <c r="AN2651">
        <v>0.99999998590692496</v>
      </c>
    </row>
    <row r="2652" spans="1:40" x14ac:dyDescent="0.3">
      <c r="A2652" t="str">
        <f>"20200111150408735"</f>
        <v>20200111150408735</v>
      </c>
      <c r="B2652" t="str">
        <f>"1578726248731614"</f>
        <v>1578726248731614</v>
      </c>
      <c r="C2652" t="s">
        <v>40</v>
      </c>
      <c r="D2652">
        <v>5.2719279999999999</v>
      </c>
      <c r="E2652">
        <v>0.42451670000000002</v>
      </c>
      <c r="F2652" t="s">
        <v>41</v>
      </c>
      <c r="G2652">
        <v>-278.14670000000001</v>
      </c>
      <c r="H2652" s="1">
        <v>-3.4647059999999998E-6</v>
      </c>
      <c r="I2652">
        <v>-56.695059999999998</v>
      </c>
      <c r="J2652">
        <v>-291.5378</v>
      </c>
      <c r="K2652">
        <v>1.1177979999999901</v>
      </c>
      <c r="L2652">
        <v>-52.967619999999997</v>
      </c>
      <c r="M2652">
        <v>0.82658290000000001</v>
      </c>
      <c r="N2652">
        <v>0</v>
      </c>
      <c r="O2652">
        <v>-0.56265339999999997</v>
      </c>
      <c r="P2652">
        <v>0.87704680000000002</v>
      </c>
      <c r="Q2652">
        <v>0.12760589999999999</v>
      </c>
      <c r="R2652">
        <v>-0.46314739999999999</v>
      </c>
      <c r="S2652">
        <v>3.014313</v>
      </c>
      <c r="T2652">
        <v>-0.24876180000000001</v>
      </c>
      <c r="U2652">
        <v>-0.85137940000000001</v>
      </c>
      <c r="V2652">
        <v>-0.1154332</v>
      </c>
      <c r="W2652">
        <v>0.13699500000000001</v>
      </c>
      <c r="X2652">
        <v>0.98382289999999994</v>
      </c>
      <c r="Y2652">
        <v>-0.31433060000000002</v>
      </c>
      <c r="Z2652">
        <v>5.5174090000000002E-2</v>
      </c>
      <c r="AA2652">
        <v>0.94770880000000002</v>
      </c>
      <c r="AB2652">
        <v>33</v>
      </c>
      <c r="AC2652">
        <v>13.3910999999999</v>
      </c>
      <c r="AD2652">
        <v>-1.1178014647059999</v>
      </c>
      <c r="AE2652">
        <v>-3.7274400000000001</v>
      </c>
      <c r="AF2652">
        <v>-4.4252973968073004</v>
      </c>
      <c r="AG2652">
        <v>-1.1178014647059999</v>
      </c>
      <c r="AH2652">
        <v>13.082705525559801</v>
      </c>
      <c r="AI2652">
        <v>94.627221490832795</v>
      </c>
      <c r="AJ2652">
        <v>108.688391532227</v>
      </c>
      <c r="AK2652">
        <v>13.8560427623908</v>
      </c>
      <c r="AL2652">
        <v>82.126002874356502</v>
      </c>
      <c r="AM2652">
        <v>96.691990352497498</v>
      </c>
      <c r="AN2652">
        <v>0.99999997612582403</v>
      </c>
    </row>
    <row r="2653" spans="1:40" x14ac:dyDescent="0.3">
      <c r="A2653" t="str">
        <f>"20200111150408748"</f>
        <v>20200111150408748</v>
      </c>
      <c r="B2653" t="str">
        <f>"1578726248741374"</f>
        <v>1578726248741374</v>
      </c>
      <c r="C2653" t="s">
        <v>40</v>
      </c>
      <c r="D2653">
        <v>5.2570639999999997</v>
      </c>
      <c r="E2653">
        <v>0.42389520000000003</v>
      </c>
      <c r="F2653" t="s">
        <v>41</v>
      </c>
      <c r="G2653">
        <v>-279.06689999999998</v>
      </c>
      <c r="H2653" s="1">
        <v>-3.8562529999999996E-6</v>
      </c>
      <c r="I2653">
        <v>-56.709690000000002</v>
      </c>
      <c r="J2653">
        <v>-291.3818</v>
      </c>
      <c r="K2653">
        <v>1.1177950000000001</v>
      </c>
      <c r="L2653">
        <v>-53.065860000000001</v>
      </c>
      <c r="M2653">
        <v>0.83161249999999998</v>
      </c>
      <c r="N2653">
        <v>0</v>
      </c>
      <c r="O2653">
        <v>-0.55519259999999904</v>
      </c>
      <c r="P2653">
        <v>0.88127949999999999</v>
      </c>
      <c r="Q2653">
        <v>0.12765789999999999</v>
      </c>
      <c r="R2653">
        <v>-0.45502749999999997</v>
      </c>
      <c r="S2653">
        <v>2.9863279999999999</v>
      </c>
      <c r="T2653">
        <v>-0.26767239999999998</v>
      </c>
      <c r="U2653">
        <v>-0.89608759999999998</v>
      </c>
      <c r="V2653">
        <v>-0.1156643</v>
      </c>
      <c r="W2653">
        <v>0.13703889999999999</v>
      </c>
      <c r="X2653">
        <v>0.98378969999999999</v>
      </c>
      <c r="Y2653">
        <v>-0.28998370000000001</v>
      </c>
      <c r="Z2653">
        <v>5.8121150000000003E-2</v>
      </c>
      <c r="AA2653">
        <v>0.95526509999999998</v>
      </c>
      <c r="AB2653">
        <v>33</v>
      </c>
      <c r="AC2653">
        <v>12.3149</v>
      </c>
      <c r="AD2653">
        <v>-1.1177988562529999</v>
      </c>
      <c r="AE2653">
        <v>-3.6438299999999999</v>
      </c>
      <c r="AF2653">
        <v>-3.7786077359463102</v>
      </c>
      <c r="AG2653">
        <v>-1.1177988562529999</v>
      </c>
      <c r="AH2653">
        <v>12.1731485848528</v>
      </c>
      <c r="AI2653">
        <v>95.011858822867495</v>
      </c>
      <c r="AJ2653">
        <v>107.24461074022901</v>
      </c>
      <c r="AK2653">
        <v>12.795034082568799</v>
      </c>
      <c r="AL2653">
        <v>82.123464085128603</v>
      </c>
      <c r="AM2653">
        <v>96.705490226459503</v>
      </c>
      <c r="AN2653">
        <v>1.00000003211689</v>
      </c>
    </row>
    <row r="2654" spans="1:40" x14ac:dyDescent="0.3">
      <c r="A2654" t="str">
        <f>"20200111150408759"</f>
        <v>20200111150408759</v>
      </c>
      <c r="B2654" t="str">
        <f>"1578726248751135"</f>
        <v>1578726248751135</v>
      </c>
      <c r="C2654" t="s">
        <v>40</v>
      </c>
      <c r="D2654">
        <v>5.2389510000000001</v>
      </c>
      <c r="E2654">
        <v>0.42484240000000001</v>
      </c>
      <c r="F2654" t="s">
        <v>41</v>
      </c>
      <c r="G2654">
        <v>-278.9803</v>
      </c>
      <c r="H2654" s="1">
        <v>-3.8341479999999999E-6</v>
      </c>
      <c r="I2654">
        <v>-56.641539999999999</v>
      </c>
      <c r="J2654">
        <v>-291.23099999999999</v>
      </c>
      <c r="K2654">
        <v>1.1177950000000001</v>
      </c>
      <c r="L2654">
        <v>-53.157960000000003</v>
      </c>
      <c r="M2654">
        <v>0.83636779999999999</v>
      </c>
      <c r="N2654">
        <v>0</v>
      </c>
      <c r="O2654">
        <v>-0.54800280000000001</v>
      </c>
      <c r="P2654">
        <v>0.88503319999999996</v>
      </c>
      <c r="Q2654">
        <v>0.1274623</v>
      </c>
      <c r="R2654">
        <v>-0.44773829999999998</v>
      </c>
      <c r="S2654">
        <v>2.9970699999999999</v>
      </c>
      <c r="T2654">
        <v>-0.2701383</v>
      </c>
      <c r="U2654">
        <v>-0.86413569999999995</v>
      </c>
      <c r="V2654">
        <v>-0.1153111</v>
      </c>
      <c r="W2654">
        <v>0.13685610000000001</v>
      </c>
      <c r="X2654">
        <v>0.98385659999999997</v>
      </c>
      <c r="Y2654">
        <v>-0.29202329999999999</v>
      </c>
      <c r="Z2654">
        <v>5.8149399999999997E-2</v>
      </c>
      <c r="AA2654">
        <v>0.95464179999999998</v>
      </c>
      <c r="AB2654">
        <v>33</v>
      </c>
      <c r="AC2654">
        <v>12.250699999999901</v>
      </c>
      <c r="AD2654">
        <v>-1.1177988341480001</v>
      </c>
      <c r="AE2654">
        <v>-3.4835799999999999</v>
      </c>
      <c r="AF2654">
        <v>-3.7711615986118501</v>
      </c>
      <c r="AG2654">
        <v>-1.1177988341480001</v>
      </c>
      <c r="AH2654">
        <v>12.0632893804048</v>
      </c>
      <c r="AI2654">
        <v>95.054110001973996</v>
      </c>
      <c r="AJ2654">
        <v>107.360011618995</v>
      </c>
      <c r="AK2654">
        <v>12.6883444433013</v>
      </c>
      <c r="AL2654">
        <v>82.134037320182998</v>
      </c>
      <c r="AM2654">
        <v>96.6847490593712</v>
      </c>
      <c r="AN2654">
        <v>1.0000000256269801</v>
      </c>
    </row>
    <row r="2655" spans="1:40" x14ac:dyDescent="0.3">
      <c r="A2655" t="str">
        <f>"20200111150408772"</f>
        <v>20200111150408772</v>
      </c>
      <c r="B2655" t="str">
        <f>"1578726248760895"</f>
        <v>1578726248760895</v>
      </c>
      <c r="C2655" t="s">
        <v>40</v>
      </c>
      <c r="D2655">
        <v>5.2894379999999996</v>
      </c>
      <c r="E2655">
        <v>0.4245794</v>
      </c>
      <c r="F2655" t="s">
        <v>41</v>
      </c>
      <c r="G2655">
        <v>-278.85919999999999</v>
      </c>
      <c r="H2655" s="1">
        <v>-3.781779E-6</v>
      </c>
      <c r="I2655">
        <v>-56.643520000000002</v>
      </c>
      <c r="J2655">
        <v>-291.06810000000002</v>
      </c>
      <c r="K2655">
        <v>1.117796</v>
      </c>
      <c r="L2655">
        <v>-53.256320000000002</v>
      </c>
      <c r="M2655">
        <v>0.8414199</v>
      </c>
      <c r="N2655">
        <v>0</v>
      </c>
      <c r="O2655">
        <v>-0.54021379999999997</v>
      </c>
      <c r="P2655">
        <v>0.88900669999999904</v>
      </c>
      <c r="Q2655">
        <v>0.12723789999999999</v>
      </c>
      <c r="R2655">
        <v>-0.43986140000000001</v>
      </c>
      <c r="S2655">
        <v>3.001007</v>
      </c>
      <c r="T2655">
        <v>-0.27114329999999998</v>
      </c>
      <c r="U2655">
        <v>-0.8454895</v>
      </c>
      <c r="V2655">
        <v>-0.11492230000000001</v>
      </c>
      <c r="W2655">
        <v>0.13664689999999999</v>
      </c>
      <c r="X2655">
        <v>0.98393109999999995</v>
      </c>
      <c r="Y2655">
        <v>-0.28897840000000002</v>
      </c>
      <c r="Z2655">
        <v>5.7660959999999997E-2</v>
      </c>
      <c r="AA2655">
        <v>0.95559760000000005</v>
      </c>
      <c r="AB2655">
        <v>33</v>
      </c>
      <c r="AC2655">
        <v>12.2089</v>
      </c>
      <c r="AD2655">
        <v>-1.117799781779</v>
      </c>
      <c r="AE2655">
        <v>-3.3872</v>
      </c>
      <c r="AF2655">
        <v>-3.7167697010999698</v>
      </c>
      <c r="AG2655">
        <v>-1.117799781779</v>
      </c>
      <c r="AH2655">
        <v>12.0102418416612</v>
      </c>
      <c r="AI2655">
        <v>95.080831559054502</v>
      </c>
      <c r="AJ2655">
        <v>107.19555421138</v>
      </c>
      <c r="AK2655">
        <v>12.621797116827301</v>
      </c>
      <c r="AL2655">
        <v>82.146136752144798</v>
      </c>
      <c r="AM2655">
        <v>96.661912809545399</v>
      </c>
      <c r="AN2655">
        <v>0.99999995993205404</v>
      </c>
    </row>
    <row r="2656" spans="1:40" x14ac:dyDescent="0.3">
      <c r="A2656" t="str">
        <f>"20200111150408786"</f>
        <v>20200111150408786</v>
      </c>
      <c r="B2656" t="str">
        <f>"1578726248781390"</f>
        <v>1578726248781390</v>
      </c>
      <c r="C2656" t="s">
        <v>40</v>
      </c>
      <c r="D2656">
        <v>5.2615150000000002</v>
      </c>
      <c r="E2656">
        <v>0.42528179999999999</v>
      </c>
      <c r="F2656" t="s">
        <v>41</v>
      </c>
      <c r="G2656">
        <v>-278.94580000000002</v>
      </c>
      <c r="H2656" s="1">
        <v>-3.840557E-6</v>
      </c>
      <c r="I2656">
        <v>-56.545699999999997</v>
      </c>
      <c r="J2656">
        <v>-290.90429999999998</v>
      </c>
      <c r="K2656">
        <v>1.1177969999999999</v>
      </c>
      <c r="L2656">
        <v>-53.353000000000002</v>
      </c>
      <c r="M2656">
        <v>0.84639509999999996</v>
      </c>
      <c r="N2656">
        <v>0</v>
      </c>
      <c r="O2656">
        <v>-0.53238479999999999</v>
      </c>
      <c r="P2656">
        <v>0.89278419999999903</v>
      </c>
      <c r="Q2656">
        <v>0.12733929999999999</v>
      </c>
      <c r="R2656">
        <v>-0.43211250000000001</v>
      </c>
      <c r="S2656">
        <v>3.010132</v>
      </c>
      <c r="T2656">
        <v>-0.27756629999999999</v>
      </c>
      <c r="U2656">
        <v>-0.81680299999999995</v>
      </c>
      <c r="V2656">
        <v>-0.114347</v>
      </c>
      <c r="W2656">
        <v>0.13676869999999999</v>
      </c>
      <c r="X2656">
        <v>0.98398129999999995</v>
      </c>
      <c r="Y2656">
        <v>-0.28921259999999999</v>
      </c>
      <c r="Z2656">
        <v>5.8379420000000001E-2</v>
      </c>
      <c r="AA2656">
        <v>0.95548310000000003</v>
      </c>
      <c r="AB2656">
        <v>33</v>
      </c>
      <c r="AC2656">
        <v>11.9584999999999</v>
      </c>
      <c r="AD2656">
        <v>-1.1178008405569999</v>
      </c>
      <c r="AE2656">
        <v>-3.1926999999999901</v>
      </c>
      <c r="AF2656">
        <v>-3.63492490101196</v>
      </c>
      <c r="AG2656">
        <v>-1.1178008405569999</v>
      </c>
      <c r="AH2656">
        <v>11.726792481265999</v>
      </c>
      <c r="AI2656">
        <v>95.202247195912904</v>
      </c>
      <c r="AJ2656">
        <v>107.2217388941</v>
      </c>
      <c r="AK2656">
        <v>12.3280095576627</v>
      </c>
      <c r="AL2656">
        <v>82.139092747295607</v>
      </c>
      <c r="AM2656">
        <v>96.628525695867495</v>
      </c>
      <c r="AN2656">
        <v>1.00000005622918</v>
      </c>
    </row>
    <row r="2657" spans="1:40" x14ac:dyDescent="0.3">
      <c r="A2657" t="str">
        <f>"20200111150408800"</f>
        <v>20200111150408800</v>
      </c>
      <c r="B2657" t="str">
        <f>"1578726248791150"</f>
        <v>1578726248791150</v>
      </c>
      <c r="C2657" t="s">
        <v>40</v>
      </c>
      <c r="D2657">
        <v>5.2383569999999997</v>
      </c>
      <c r="E2657">
        <v>0.42589860000000002</v>
      </c>
      <c r="F2657" t="s">
        <v>41</v>
      </c>
      <c r="G2657">
        <v>-278.95229999999998</v>
      </c>
      <c r="H2657" s="1">
        <v>-3.8519170000000002E-6</v>
      </c>
      <c r="I2657">
        <v>-56.506979999999999</v>
      </c>
      <c r="J2657">
        <v>-290.72379999999998</v>
      </c>
      <c r="K2657">
        <v>1.1177969999999999</v>
      </c>
      <c r="L2657">
        <v>-53.456819999999901</v>
      </c>
      <c r="M2657">
        <v>0.85175940000000006</v>
      </c>
      <c r="N2657">
        <v>0</v>
      </c>
      <c r="O2657">
        <v>-0.5237598</v>
      </c>
      <c r="P2657">
        <v>0.896669099999999</v>
      </c>
      <c r="Q2657">
        <v>0.12714339999999999</v>
      </c>
      <c r="R2657">
        <v>-0.42405130000000002</v>
      </c>
      <c r="S2657">
        <v>3.0153500000000002</v>
      </c>
      <c r="T2657">
        <v>-0.28200890000000001</v>
      </c>
      <c r="U2657">
        <v>-0.79571530000000001</v>
      </c>
      <c r="V2657">
        <v>-0.1132233</v>
      </c>
      <c r="W2657">
        <v>0.13661329999999999</v>
      </c>
      <c r="X2657">
        <v>0.98413280000000003</v>
      </c>
      <c r="Y2657">
        <v>-0.28609269999999998</v>
      </c>
      <c r="Z2657">
        <v>5.8483500000000001E-2</v>
      </c>
      <c r="AA2657">
        <v>0.95641549999999997</v>
      </c>
      <c r="AB2657">
        <v>33</v>
      </c>
      <c r="AC2657">
        <v>11.7715</v>
      </c>
      <c r="AD2657">
        <v>-1.117800851917</v>
      </c>
      <c r="AE2657">
        <v>-3.0501600000000102</v>
      </c>
      <c r="AF2657">
        <v>-3.53786591389076</v>
      </c>
      <c r="AG2657">
        <v>-1.117800851917</v>
      </c>
      <c r="AH2657">
        <v>11.527686489415901</v>
      </c>
      <c r="AI2657">
        <v>95.296139766067199</v>
      </c>
      <c r="AJ2657">
        <v>107.061335972284</v>
      </c>
      <c r="AK2657">
        <v>12.110059032369699</v>
      </c>
      <c r="AL2657">
        <v>82.148080737529696</v>
      </c>
      <c r="AM2657">
        <v>96.562956057688197</v>
      </c>
      <c r="AN2657">
        <v>1.0000000387178001</v>
      </c>
    </row>
    <row r="2658" spans="1:40" x14ac:dyDescent="0.3">
      <c r="A2658" t="str">
        <f>"20200111150408812"</f>
        <v>20200111150408812</v>
      </c>
      <c r="B2658" t="str">
        <f>"1578726248800911"</f>
        <v>1578726248800911</v>
      </c>
      <c r="C2658" t="s">
        <v>40</v>
      </c>
      <c r="D2658">
        <v>5.2461370000000001</v>
      </c>
      <c r="E2658">
        <v>0.4265021</v>
      </c>
      <c r="F2658" t="s">
        <v>41</v>
      </c>
      <c r="G2658">
        <v>-278.91090000000003</v>
      </c>
      <c r="H2658" s="1">
        <v>-3.8394890000000002E-6</v>
      </c>
      <c r="I2658">
        <v>-56.482790000000001</v>
      </c>
      <c r="J2658">
        <v>-290.57159999999999</v>
      </c>
      <c r="K2658">
        <v>1.1177950000000001</v>
      </c>
      <c r="L2658">
        <v>-53.542940000000002</v>
      </c>
      <c r="M2658">
        <v>0.85619659999999997</v>
      </c>
      <c r="N2658">
        <v>0</v>
      </c>
      <c r="O2658">
        <v>-0.5164744</v>
      </c>
      <c r="P2658">
        <v>0.90004240000000002</v>
      </c>
      <c r="Q2658">
        <v>0.127273</v>
      </c>
      <c r="R2658">
        <v>-0.41680400000000001</v>
      </c>
      <c r="S2658">
        <v>3.0203250000000001</v>
      </c>
      <c r="T2658">
        <v>-0.2858</v>
      </c>
      <c r="U2658">
        <v>-0.77368159999999997</v>
      </c>
      <c r="V2658">
        <v>-0.1127606</v>
      </c>
      <c r="W2658">
        <v>0.13675979999999999</v>
      </c>
      <c r="X2658">
        <v>0.98416550000000003</v>
      </c>
      <c r="Y2658">
        <v>-0.2847961</v>
      </c>
      <c r="Z2658">
        <v>5.861951E-2</v>
      </c>
      <c r="AA2658">
        <v>0.95679409999999998</v>
      </c>
      <c r="AB2658">
        <v>33</v>
      </c>
      <c r="AC2658">
        <v>11.660699999999901</v>
      </c>
      <c r="AD2658">
        <v>-1.1177988394889999</v>
      </c>
      <c r="AE2658">
        <v>-2.9398499999999999</v>
      </c>
      <c r="AF2658">
        <v>-3.4756520271046898</v>
      </c>
      <c r="AG2658">
        <v>-1.1177988394889999</v>
      </c>
      <c r="AH2658">
        <v>11.4047163214133</v>
      </c>
      <c r="AI2658">
        <v>95.356100201578201</v>
      </c>
      <c r="AJ2658">
        <v>106.94889765849101</v>
      </c>
      <c r="AK2658">
        <v>11.9748563929172</v>
      </c>
      <c r="AL2658">
        <v>82.139606783961</v>
      </c>
      <c r="AM2658">
        <v>96.536153052693706</v>
      </c>
      <c r="AN2658">
        <v>0.99999996359932397</v>
      </c>
    </row>
    <row r="2659" spans="1:40" x14ac:dyDescent="0.3">
      <c r="A2659" t="str">
        <f>"20200111150408825"</f>
        <v>20200111150408825</v>
      </c>
      <c r="B2659" t="str">
        <f>"1578726248821407"</f>
        <v>1578726248821407</v>
      </c>
      <c r="C2659" t="s">
        <v>40</v>
      </c>
      <c r="D2659">
        <v>5.2206769999999896</v>
      </c>
      <c r="E2659">
        <v>0.42786829999999998</v>
      </c>
      <c r="F2659" t="s">
        <v>41</v>
      </c>
      <c r="G2659">
        <v>-278.8107</v>
      </c>
      <c r="H2659" s="1">
        <v>-3.7982299999999999E-6</v>
      </c>
      <c r="I2659">
        <v>-56.475000000000001</v>
      </c>
      <c r="J2659">
        <v>-290.41269999999997</v>
      </c>
      <c r="K2659">
        <v>1.1177900000000001</v>
      </c>
      <c r="L2659">
        <v>-53.630769999999998</v>
      </c>
      <c r="M2659">
        <v>0.86073519999999903</v>
      </c>
      <c r="N2659">
        <v>0</v>
      </c>
      <c r="O2659">
        <v>-0.50887439999999995</v>
      </c>
      <c r="P2659">
        <v>0.90351139999999996</v>
      </c>
      <c r="Q2659">
        <v>0.1269653</v>
      </c>
      <c r="R2659">
        <v>-0.4093253</v>
      </c>
      <c r="S2659">
        <v>3.0246279999999999</v>
      </c>
      <c r="T2659">
        <v>-0.28747200000000001</v>
      </c>
      <c r="U2659">
        <v>-0.75405880000000003</v>
      </c>
      <c r="V2659">
        <v>-0.11222070000000001</v>
      </c>
      <c r="W2659">
        <v>0.1364716</v>
      </c>
      <c r="X2659">
        <v>0.98426720000000001</v>
      </c>
      <c r="Y2659">
        <v>-0.28247640000000002</v>
      </c>
      <c r="Z2659">
        <v>5.8237200000000003E-2</v>
      </c>
      <c r="AA2659">
        <v>0.95750480000000004</v>
      </c>
      <c r="AB2659">
        <v>33</v>
      </c>
      <c r="AC2659">
        <v>11.601999999999901</v>
      </c>
      <c r="AD2659">
        <v>-1.1177937982299999</v>
      </c>
      <c r="AE2659">
        <v>-2.84423</v>
      </c>
      <c r="AF2659">
        <v>-3.4261462904808302</v>
      </c>
      <c r="AG2659">
        <v>-1.1177937982299999</v>
      </c>
      <c r="AH2659">
        <v>11.3353908723677</v>
      </c>
      <c r="AI2659">
        <v>95.392369154716704</v>
      </c>
      <c r="AJ2659">
        <v>106.81755497977601</v>
      </c>
      <c r="AK2659">
        <v>11.8944956853367</v>
      </c>
      <c r="AL2659">
        <v>82.156275623034503</v>
      </c>
      <c r="AM2659">
        <v>96.504460318407496</v>
      </c>
      <c r="AN2659">
        <v>0.99999995205544301</v>
      </c>
    </row>
    <row r="2660" spans="1:40" x14ac:dyDescent="0.3">
      <c r="A2660" t="str">
        <f>"20200111150408838"</f>
        <v>20200111150408838</v>
      </c>
      <c r="B2660" t="str">
        <f>"1578726248831167"</f>
        <v>1578726248831167</v>
      </c>
      <c r="C2660" t="s">
        <v>40</v>
      </c>
      <c r="D2660">
        <v>5.257123</v>
      </c>
      <c r="E2660">
        <v>0.42786829999999998</v>
      </c>
      <c r="F2660" t="s">
        <v>41</v>
      </c>
      <c r="G2660">
        <v>-278.79989999999998</v>
      </c>
      <c r="H2660" s="1">
        <v>-3.7959369999999999E-6</v>
      </c>
      <c r="I2660">
        <v>-56.464390000000002</v>
      </c>
      <c r="J2660">
        <v>-290.2602</v>
      </c>
      <c r="K2660">
        <v>1.1177889999999999</v>
      </c>
      <c r="L2660">
        <v>-53.713169999999998</v>
      </c>
      <c r="M2660">
        <v>0.86500639999999995</v>
      </c>
      <c r="N2660">
        <v>0</v>
      </c>
      <c r="O2660">
        <v>-0.50158019999999903</v>
      </c>
      <c r="P2660">
        <v>0.9068368</v>
      </c>
      <c r="Q2660">
        <v>0.12668789999999999</v>
      </c>
      <c r="R2660">
        <v>-0.4019916</v>
      </c>
      <c r="S2660">
        <v>3.026764</v>
      </c>
      <c r="T2660">
        <v>-0.2913423</v>
      </c>
      <c r="U2660">
        <v>-0.73855590000000004</v>
      </c>
      <c r="V2660">
        <v>-0.1118841</v>
      </c>
      <c r="W2660">
        <v>0.13620660000000001</v>
      </c>
      <c r="X2660">
        <v>0.9843423</v>
      </c>
      <c r="Y2660">
        <v>-0.27910629999999997</v>
      </c>
      <c r="Z2660">
        <v>5.8281319999999998E-2</v>
      </c>
      <c r="AA2660">
        <v>0.95848999999999995</v>
      </c>
      <c r="AB2660">
        <v>33</v>
      </c>
      <c r="AC2660">
        <v>11.4603</v>
      </c>
      <c r="AD2660">
        <v>-1.117792795937</v>
      </c>
      <c r="AE2660">
        <v>-2.75122</v>
      </c>
      <c r="AF2660">
        <v>-3.3387105651185802</v>
      </c>
      <c r="AG2660">
        <v>-1.117792795937</v>
      </c>
      <c r="AH2660">
        <v>11.193529127370301</v>
      </c>
      <c r="AI2660">
        <v>95.466247910807098</v>
      </c>
      <c r="AJ2660">
        <v>106.60834183184301</v>
      </c>
      <c r="AK2660">
        <v>11.7342039907942</v>
      </c>
      <c r="AL2660">
        <v>82.171602708297996</v>
      </c>
      <c r="AM2660">
        <v>96.484626421511194</v>
      </c>
      <c r="AN2660">
        <v>1.00000002664282</v>
      </c>
    </row>
    <row r="2661" spans="1:40" x14ac:dyDescent="0.3">
      <c r="A2661" t="str">
        <f>"20200111150408850"</f>
        <v>20200111150408850</v>
      </c>
      <c r="B2661" t="str">
        <f>"1578726248840926"</f>
        <v>1578726248840926</v>
      </c>
      <c r="C2661" t="s">
        <v>40</v>
      </c>
      <c r="D2661">
        <v>5.2275539999999996</v>
      </c>
      <c r="E2661">
        <v>0.43710009999999999</v>
      </c>
      <c r="F2661" t="s">
        <v>41</v>
      </c>
      <c r="G2661">
        <v>-278.65559999999999</v>
      </c>
      <c r="H2661" s="1">
        <v>-3.7384519999999998E-6</v>
      </c>
      <c r="I2661">
        <v>-56.444499999999998</v>
      </c>
      <c r="J2661">
        <v>-290.09280000000001</v>
      </c>
      <c r="K2661">
        <v>1.1177870000000001</v>
      </c>
      <c r="L2661">
        <v>-53.802340000000001</v>
      </c>
      <c r="M2661">
        <v>0.86960509999999902</v>
      </c>
      <c r="N2661">
        <v>0</v>
      </c>
      <c r="O2661">
        <v>-0.49356369999999999</v>
      </c>
      <c r="P2661">
        <v>0.91047540000000005</v>
      </c>
      <c r="Q2661">
        <v>0.12658739999999999</v>
      </c>
      <c r="R2661">
        <v>-0.3937137</v>
      </c>
      <c r="S2661">
        <v>3.0325929999999999</v>
      </c>
      <c r="T2661">
        <v>-0.29211130000000002</v>
      </c>
      <c r="U2661">
        <v>-0.71377559999999995</v>
      </c>
      <c r="V2661">
        <v>-0.11175649999999999</v>
      </c>
      <c r="W2661">
        <v>0.13611119999999999</v>
      </c>
      <c r="X2661">
        <v>0.98436999999999997</v>
      </c>
      <c r="Y2661">
        <v>-0.27808670000000002</v>
      </c>
      <c r="Z2661">
        <v>5.770467E-2</v>
      </c>
      <c r="AA2661">
        <v>0.95882109999999998</v>
      </c>
      <c r="AB2661">
        <v>33</v>
      </c>
      <c r="AC2661">
        <v>11.437200000000001</v>
      </c>
      <c r="AD2661">
        <v>-1.1177907384520001</v>
      </c>
      <c r="AE2661">
        <v>-2.6421599999999899</v>
      </c>
      <c r="AF2661">
        <v>-3.3175722714418701</v>
      </c>
      <c r="AG2661">
        <v>-1.1177907384520001</v>
      </c>
      <c r="AH2661">
        <v>11.1498402835386</v>
      </c>
      <c r="AI2661">
        <v>95.488611201194004</v>
      </c>
      <c r="AJ2661">
        <v>106.57007744564299</v>
      </c>
      <c r="AK2661">
        <v>11.686517028594499</v>
      </c>
      <c r="AL2661">
        <v>82.177120178564806</v>
      </c>
      <c r="AM2661">
        <v>96.477113091036799</v>
      </c>
      <c r="AN2661">
        <v>1.0000000354788401</v>
      </c>
    </row>
    <row r="2662" spans="1:40" x14ac:dyDescent="0.3">
      <c r="A2662" t="str">
        <f>"20200111150408863"</f>
        <v>20200111150408863</v>
      </c>
      <c r="B2662" t="str">
        <f>"1578726248851662"</f>
        <v>1578726248851662</v>
      </c>
      <c r="C2662" t="s">
        <v>40</v>
      </c>
      <c r="D2662">
        <v>5.2639760000000004</v>
      </c>
      <c r="E2662">
        <v>0.43820690000000001</v>
      </c>
      <c r="F2662" t="s">
        <v>41</v>
      </c>
      <c r="G2662">
        <v>-279.22730000000001</v>
      </c>
      <c r="H2662" s="1">
        <v>-3.966128E-6</v>
      </c>
      <c r="I2662">
        <v>-56.523899999999998</v>
      </c>
      <c r="J2662">
        <v>-289.9239</v>
      </c>
      <c r="K2662">
        <v>1.1177870000000001</v>
      </c>
      <c r="L2662">
        <v>-53.889589999999998</v>
      </c>
      <c r="M2662">
        <v>0.87414360000000002</v>
      </c>
      <c r="N2662">
        <v>0</v>
      </c>
      <c r="O2662">
        <v>-0.48548049999999998</v>
      </c>
      <c r="P2662">
        <v>0.91404070000000004</v>
      </c>
      <c r="Q2662">
        <v>0.12651669999999901</v>
      </c>
      <c r="R2662">
        <v>-0.38538699999999998</v>
      </c>
      <c r="S2662">
        <v>3.011841</v>
      </c>
      <c r="T2662">
        <v>-0.30984250000000002</v>
      </c>
      <c r="U2662">
        <v>-0.75439449999999997</v>
      </c>
      <c r="V2662">
        <v>-0.1116172</v>
      </c>
      <c r="W2662">
        <v>0.136045</v>
      </c>
      <c r="X2662">
        <v>0.98439489999999996</v>
      </c>
      <c r="Y2662">
        <v>-0.25515310000000002</v>
      </c>
      <c r="Z2662">
        <v>5.960029E-2</v>
      </c>
      <c r="AA2662">
        <v>0.96506199999999998</v>
      </c>
      <c r="AB2662">
        <v>33</v>
      </c>
      <c r="AC2662">
        <v>10.696599999999901</v>
      </c>
      <c r="AD2662">
        <v>-1.1177909661280001</v>
      </c>
      <c r="AE2662">
        <v>-2.6343099999999899</v>
      </c>
      <c r="AF2662">
        <v>-2.8610316363055799</v>
      </c>
      <c r="AG2662">
        <v>-1.1177909661280001</v>
      </c>
      <c r="AH2662">
        <v>10.5219054626654</v>
      </c>
      <c r="AI2662">
        <v>95.853089809599297</v>
      </c>
      <c r="AJ2662">
        <v>105.211628251029</v>
      </c>
      <c r="AK2662">
        <v>10.961088140926799</v>
      </c>
      <c r="AL2662">
        <v>82.180948337667004</v>
      </c>
      <c r="AM2662">
        <v>96.468945863121903</v>
      </c>
      <c r="AN2662">
        <v>0.99999998025342396</v>
      </c>
    </row>
    <row r="2663" spans="1:40" x14ac:dyDescent="0.3">
      <c r="A2663" t="str">
        <f>"20200111150408876"</f>
        <v>20200111150408876</v>
      </c>
      <c r="B2663" t="str">
        <f>"1578726248871183"</f>
        <v>1578726248871183</v>
      </c>
      <c r="C2663" t="s">
        <v>40</v>
      </c>
      <c r="D2663">
        <v>5.2424229999999996</v>
      </c>
      <c r="E2663">
        <v>0.43906109999999998</v>
      </c>
      <c r="F2663" t="s">
        <v>41</v>
      </c>
      <c r="G2663">
        <v>-279.1567</v>
      </c>
      <c r="H2663" s="1">
        <v>-3.9379360000000002E-6</v>
      </c>
      <c r="I2663">
        <v>-56.514470000000003</v>
      </c>
      <c r="J2663">
        <v>-289.76119999999997</v>
      </c>
      <c r="K2663">
        <v>1.1177870000000001</v>
      </c>
      <c r="L2663">
        <v>-53.972050000000003</v>
      </c>
      <c r="M2663">
        <v>0.87842559999999903</v>
      </c>
      <c r="N2663">
        <v>0</v>
      </c>
      <c r="O2663">
        <v>-0.47768919999999998</v>
      </c>
      <c r="P2663">
        <v>0.9173848</v>
      </c>
      <c r="Q2663">
        <v>0.1265423</v>
      </c>
      <c r="R2663">
        <v>-0.37734899999999999</v>
      </c>
      <c r="S2663">
        <v>3.0155029999999998</v>
      </c>
      <c r="T2663">
        <v>-0.3130542</v>
      </c>
      <c r="U2663">
        <v>-0.73513790000000001</v>
      </c>
      <c r="V2663">
        <v>-0.11150409999999999</v>
      </c>
      <c r="W2663">
        <v>0.1360748</v>
      </c>
      <c r="X2663">
        <v>0.98440360000000005</v>
      </c>
      <c r="Y2663">
        <v>-0.25261860000000003</v>
      </c>
      <c r="Z2663">
        <v>5.9390489999999997E-2</v>
      </c>
      <c r="AA2663">
        <v>0.96574150000000003</v>
      </c>
      <c r="AB2663">
        <v>33</v>
      </c>
      <c r="AC2663">
        <v>10.6044999999999</v>
      </c>
      <c r="AD2663">
        <v>-1.117790937936</v>
      </c>
      <c r="AE2663">
        <v>-2.5424199999999901</v>
      </c>
      <c r="AF2663">
        <v>-2.80313351986287</v>
      </c>
      <c r="AG2663">
        <v>-1.117790937936</v>
      </c>
      <c r="AH2663">
        <v>10.4212133490333</v>
      </c>
      <c r="AI2663">
        <v>95.913577137177199</v>
      </c>
      <c r="AJ2663">
        <v>105.055272660783</v>
      </c>
      <c r="AK2663">
        <v>10.8493641185638</v>
      </c>
      <c r="AL2663">
        <v>82.1792249070715</v>
      </c>
      <c r="AM2663">
        <v>96.462389828169506</v>
      </c>
      <c r="AN2663">
        <v>0.999999981602404</v>
      </c>
    </row>
    <row r="2664" spans="1:40" x14ac:dyDescent="0.3">
      <c r="A2664" t="str">
        <f>"20200111150408890"</f>
        <v>20200111150408890</v>
      </c>
      <c r="B2664" t="str">
        <f>"1578726248880942"</f>
        <v>1578726248880942</v>
      </c>
      <c r="C2664" t="s">
        <v>40</v>
      </c>
      <c r="D2664">
        <v>5.2519039999999997</v>
      </c>
      <c r="E2664">
        <v>0.43984669999999998</v>
      </c>
      <c r="F2664" t="s">
        <v>41</v>
      </c>
      <c r="G2664">
        <v>-279.07679999999999</v>
      </c>
      <c r="H2664" s="1">
        <v>-3.9063360000000003E-6</v>
      </c>
      <c r="I2664">
        <v>-56.502360000000003</v>
      </c>
      <c r="J2664">
        <v>-289.57190000000003</v>
      </c>
      <c r="K2664">
        <v>1.1177809999999999</v>
      </c>
      <c r="L2664">
        <v>-54.066160000000004</v>
      </c>
      <c r="M2664">
        <v>0.88330030000000004</v>
      </c>
      <c r="N2664">
        <v>0</v>
      </c>
      <c r="O2664">
        <v>-0.46861370000000002</v>
      </c>
      <c r="P2664">
        <v>0.92122780000000004</v>
      </c>
      <c r="Q2664">
        <v>0.12628639999999999</v>
      </c>
      <c r="R2664">
        <v>-0.36795529999999999</v>
      </c>
      <c r="S2664">
        <v>3.0196230000000002</v>
      </c>
      <c r="T2664">
        <v>-0.31591000000000002</v>
      </c>
      <c r="U2664">
        <v>-0.71511840000000004</v>
      </c>
      <c r="V2664">
        <v>-0.11142820000000001</v>
      </c>
      <c r="W2664">
        <v>0.1358221</v>
      </c>
      <c r="X2664">
        <v>0.98444710000000002</v>
      </c>
      <c r="Y2664">
        <v>-0.24900549999999999</v>
      </c>
      <c r="Z2664">
        <v>5.8915170000000003E-2</v>
      </c>
      <c r="AA2664">
        <v>0.96670849999999997</v>
      </c>
      <c r="AB2664">
        <v>33</v>
      </c>
      <c r="AC2664">
        <v>10.495100000000001</v>
      </c>
      <c r="AD2664">
        <v>-1.1177849063359999</v>
      </c>
      <c r="AE2664">
        <v>-2.4361999999999902</v>
      </c>
      <c r="AF2664">
        <v>-2.73704292885914</v>
      </c>
      <c r="AG2664">
        <v>-1.1177849063359999</v>
      </c>
      <c r="AH2664">
        <v>10.302022997928599</v>
      </c>
      <c r="AI2664">
        <v>95.986365593456696</v>
      </c>
      <c r="AJ2664">
        <v>104.878633118492</v>
      </c>
      <c r="AK2664">
        <v>10.7178600915061</v>
      </c>
      <c r="AL2664">
        <v>82.193839294757396</v>
      </c>
      <c r="AM2664">
        <v>96.457745151223705</v>
      </c>
      <c r="AN2664">
        <v>0.99999998965102999</v>
      </c>
    </row>
    <row r="2665" spans="1:40" x14ac:dyDescent="0.3">
      <c r="A2665" t="str">
        <f>"20200111150408902"</f>
        <v>20200111150408902</v>
      </c>
      <c r="B2665" t="str">
        <f>"1578726248891678"</f>
        <v>1578726248891678</v>
      </c>
      <c r="C2665" t="s">
        <v>40</v>
      </c>
      <c r="D2665">
        <v>5.2733040000000004</v>
      </c>
      <c r="E2665">
        <v>0.44041390000000002</v>
      </c>
      <c r="F2665" t="s">
        <v>41</v>
      </c>
      <c r="G2665">
        <v>-278.98129999999998</v>
      </c>
      <c r="H2665" s="1">
        <v>-3.8693590000000001E-6</v>
      </c>
      <c r="I2665">
        <v>-56.484219999999901</v>
      </c>
      <c r="J2665">
        <v>-289.40679999999998</v>
      </c>
      <c r="K2665">
        <v>1.11778</v>
      </c>
      <c r="L2665">
        <v>-54.145539999999997</v>
      </c>
      <c r="M2665">
        <v>0.88744630000000002</v>
      </c>
      <c r="N2665">
        <v>0</v>
      </c>
      <c r="O2665">
        <v>-0.46071400000000001</v>
      </c>
      <c r="P2665">
        <v>0.92435880000000004</v>
      </c>
      <c r="Q2665">
        <v>0.12599569999999999</v>
      </c>
      <c r="R2665">
        <v>-0.36011949999999998</v>
      </c>
      <c r="S2665">
        <v>3.0244749999999998</v>
      </c>
      <c r="T2665">
        <v>-0.31921820000000001</v>
      </c>
      <c r="U2665">
        <v>-0.69055180000000005</v>
      </c>
      <c r="V2665">
        <v>-0.11101129999999999</v>
      </c>
      <c r="W2665">
        <v>0.13554620000000001</v>
      </c>
      <c r="X2665">
        <v>0.98453219999999997</v>
      </c>
      <c r="Y2665">
        <v>-0.2481344</v>
      </c>
      <c r="Z2665">
        <v>5.8747189999999998E-2</v>
      </c>
      <c r="AA2665">
        <v>0.96694259999999999</v>
      </c>
      <c r="AB2665">
        <v>33</v>
      </c>
      <c r="AC2665">
        <v>10.4255</v>
      </c>
      <c r="AD2665">
        <v>-1.1177838693590001</v>
      </c>
      <c r="AE2665">
        <v>-2.3386799999999801</v>
      </c>
      <c r="AF2665">
        <v>-2.69843540960502</v>
      </c>
      <c r="AG2665">
        <v>-1.1177838693590001</v>
      </c>
      <c r="AH2665">
        <v>10.2186335924162</v>
      </c>
      <c r="AI2665">
        <v>96.0372404922052</v>
      </c>
      <c r="AJ2665">
        <v>104.792431323024</v>
      </c>
      <c r="AK2665">
        <v>10.6278627641905</v>
      </c>
      <c r="AL2665">
        <v>82.209794576385903</v>
      </c>
      <c r="AM2665">
        <v>96.4332355078608</v>
      </c>
      <c r="AN2665">
        <v>0.99999996694948401</v>
      </c>
    </row>
    <row r="2666" spans="1:40" x14ac:dyDescent="0.3">
      <c r="A2666" t="str">
        <f>"20200111150408914"</f>
        <v>20200111150408914</v>
      </c>
      <c r="B2666" t="str">
        <f>"1578726248911198"</f>
        <v>1578726248911198</v>
      </c>
      <c r="C2666" t="s">
        <v>40</v>
      </c>
      <c r="D2666">
        <v>5.2490670000000001</v>
      </c>
      <c r="E2666">
        <v>0.44084370000000001</v>
      </c>
      <c r="F2666" t="s">
        <v>41</v>
      </c>
      <c r="G2666">
        <v>-278.85539999999997</v>
      </c>
      <c r="H2666" s="1">
        <v>-3.8170629999999999E-6</v>
      </c>
      <c r="I2666">
        <v>-56.476550000000003</v>
      </c>
      <c r="J2666">
        <v>-289.25380000000001</v>
      </c>
      <c r="K2666">
        <v>1.1177760000000001</v>
      </c>
      <c r="L2666">
        <v>-54.2179</v>
      </c>
      <c r="M2666">
        <v>0.89121709999999998</v>
      </c>
      <c r="N2666">
        <v>0</v>
      </c>
      <c r="O2666">
        <v>-0.45337670000000002</v>
      </c>
      <c r="P2666">
        <v>0.92725959999999996</v>
      </c>
      <c r="Q2666">
        <v>0.12567629999999999</v>
      </c>
      <c r="R2666">
        <v>-0.35269679999999998</v>
      </c>
      <c r="S2666">
        <v>3.0285639999999998</v>
      </c>
      <c r="T2666">
        <v>-0.32083630000000002</v>
      </c>
      <c r="U2666">
        <v>-0.66906739999999998</v>
      </c>
      <c r="V2666">
        <v>-0.11078979999999999</v>
      </c>
      <c r="W2666">
        <v>0.135235299999999</v>
      </c>
      <c r="X2666">
        <v>0.98459989999999997</v>
      </c>
      <c r="Y2666">
        <v>-0.24696489999999999</v>
      </c>
      <c r="Z2666">
        <v>5.8293570000000003E-2</v>
      </c>
      <c r="AA2666">
        <v>0.9672695</v>
      </c>
      <c r="AB2666">
        <v>33</v>
      </c>
      <c r="AC2666">
        <v>10.398400000000001</v>
      </c>
      <c r="AD2666">
        <v>-1.117779817063</v>
      </c>
      <c r="AE2666">
        <v>-2.2586499999999998</v>
      </c>
      <c r="AF2666">
        <v>-2.6722033846993298</v>
      </c>
      <c r="AG2666">
        <v>-1.117779817063</v>
      </c>
      <c r="AH2666">
        <v>10.1798550488659</v>
      </c>
      <c r="AI2666">
        <v>96.062372735239705</v>
      </c>
      <c r="AJ2666">
        <v>104.708258797171</v>
      </c>
      <c r="AK2666">
        <v>10.5839289238237</v>
      </c>
      <c r="AL2666">
        <v>82.227773360410495</v>
      </c>
      <c r="AM2666">
        <v>96.420068835276894</v>
      </c>
      <c r="AN2666">
        <v>0.99999996461506901</v>
      </c>
    </row>
    <row r="2667" spans="1:40" x14ac:dyDescent="0.3">
      <c r="A2667" t="str">
        <f>"20200111150408925"</f>
        <v>20200111150408925</v>
      </c>
      <c r="B2667" t="str">
        <f>"1578726248920958"</f>
        <v>1578726248920958</v>
      </c>
      <c r="C2667" t="s">
        <v>40</v>
      </c>
      <c r="D2667">
        <v>5.2803259999999996</v>
      </c>
      <c r="E2667">
        <v>0.44846770000000002</v>
      </c>
      <c r="F2667" t="s">
        <v>41</v>
      </c>
      <c r="G2667">
        <v>-278.7527</v>
      </c>
      <c r="H2667" s="1">
        <v>-3.776409E-6</v>
      </c>
      <c r="I2667">
        <v>-56.461199999999998</v>
      </c>
      <c r="J2667">
        <v>-289.09800000000001</v>
      </c>
      <c r="K2667">
        <v>1.117777</v>
      </c>
      <c r="L2667">
        <v>-54.290129999999998</v>
      </c>
      <c r="M2667">
        <v>0.89497610000000005</v>
      </c>
      <c r="N2667">
        <v>0</v>
      </c>
      <c r="O2667">
        <v>-0.4459108</v>
      </c>
      <c r="P2667">
        <v>0.93009549999999996</v>
      </c>
      <c r="Q2667">
        <v>0.1248692</v>
      </c>
      <c r="R2667">
        <v>-0.34544269999999999</v>
      </c>
      <c r="S2667">
        <v>3.032654</v>
      </c>
      <c r="T2667">
        <v>-0.3228105</v>
      </c>
      <c r="U2667">
        <v>-0.64785769999999998</v>
      </c>
      <c r="V2667">
        <v>-0.1102702</v>
      </c>
      <c r="W2667">
        <v>0.13444719999999999</v>
      </c>
      <c r="X2667">
        <v>0.98476620000000004</v>
      </c>
      <c r="Y2667">
        <v>-0.24560309999999999</v>
      </c>
      <c r="Z2667">
        <v>5.7868269999999999E-2</v>
      </c>
      <c r="AA2667">
        <v>0.96764170000000005</v>
      </c>
      <c r="AB2667">
        <v>33</v>
      </c>
      <c r="AC2667">
        <v>10.3453</v>
      </c>
      <c r="AD2667">
        <v>-1.117780776409</v>
      </c>
      <c r="AE2667">
        <v>-2.1710699999999901</v>
      </c>
      <c r="AF2667">
        <v>-2.6407393022346302</v>
      </c>
      <c r="AG2667">
        <v>-1.117780776409</v>
      </c>
      <c r="AH2667">
        <v>10.114726962214499</v>
      </c>
      <c r="AI2667">
        <v>96.103227348280896</v>
      </c>
      <c r="AJ2667">
        <v>104.632090006336</v>
      </c>
      <c r="AK2667">
        <v>10.513355289660099</v>
      </c>
      <c r="AL2667">
        <v>82.273344769378497</v>
      </c>
      <c r="AM2667">
        <v>96.389138396466905</v>
      </c>
      <c r="AN2667">
        <v>1.0000000176291499</v>
      </c>
    </row>
    <row r="2668" spans="1:40" x14ac:dyDescent="0.3">
      <c r="A2668" t="str">
        <f>"20200111150408939"</f>
        <v>20200111150408939</v>
      </c>
      <c r="B2668" t="str">
        <f>"1578726248931695"</f>
        <v>1578726248931695</v>
      </c>
      <c r="C2668" t="s">
        <v>40</v>
      </c>
      <c r="D2668">
        <v>5.261304</v>
      </c>
      <c r="E2668">
        <v>0.4485595</v>
      </c>
      <c r="F2668" t="s">
        <v>41</v>
      </c>
      <c r="G2668">
        <v>-278.98469999999998</v>
      </c>
      <c r="H2668" s="1">
        <v>-3.8511500000000004E-6</v>
      </c>
      <c r="I2668">
        <v>-56.573340000000002</v>
      </c>
      <c r="J2668">
        <v>-288.93209999999999</v>
      </c>
      <c r="K2668">
        <v>1.117774</v>
      </c>
      <c r="L2668">
        <v>-54.364840000000001</v>
      </c>
      <c r="M2668">
        <v>0.89889149999999995</v>
      </c>
      <c r="N2668">
        <v>0</v>
      </c>
      <c r="O2668">
        <v>-0.43796390000000002</v>
      </c>
      <c r="P2668">
        <v>0.93287750000000003</v>
      </c>
      <c r="Q2668">
        <v>0.1248298</v>
      </c>
      <c r="R2668">
        <v>-0.33787139999999999</v>
      </c>
      <c r="S2668">
        <v>3.017242</v>
      </c>
      <c r="T2668">
        <v>-0.33348410000000001</v>
      </c>
      <c r="U2668">
        <v>-0.68118290000000004</v>
      </c>
      <c r="V2668">
        <v>-0.1095491</v>
      </c>
      <c r="W2668">
        <v>0.13443350000000001</v>
      </c>
      <c r="X2668">
        <v>0.98484850000000002</v>
      </c>
      <c r="Y2668">
        <v>-0.22565779999999999</v>
      </c>
      <c r="Z2668">
        <v>5.8113520000000002E-2</v>
      </c>
      <c r="AA2668">
        <v>0.9724718</v>
      </c>
      <c r="AB2668">
        <v>33</v>
      </c>
      <c r="AC2668">
        <v>9.9474000000000107</v>
      </c>
      <c r="AD2668">
        <v>-1.1177778511500001</v>
      </c>
      <c r="AE2668">
        <v>-2.2084999999999999</v>
      </c>
      <c r="AF2668">
        <v>-2.3434159581218998</v>
      </c>
      <c r="AG2668">
        <v>-1.1177778511500001</v>
      </c>
      <c r="AH2668">
        <v>9.7919445644435203</v>
      </c>
      <c r="AI2668">
        <v>96.334911566472897</v>
      </c>
      <c r="AJ2668">
        <v>103.458931492335</v>
      </c>
      <c r="AK2668">
        <v>10.130311151708799</v>
      </c>
      <c r="AL2668">
        <v>82.274136539479997</v>
      </c>
      <c r="AM2668">
        <v>96.3471733472945</v>
      </c>
      <c r="AN2668">
        <v>0.99999996959265403</v>
      </c>
    </row>
    <row r="2669" spans="1:40" x14ac:dyDescent="0.3">
      <c r="A2669" t="str">
        <f>"20200111150408952"</f>
        <v>20200111150408952</v>
      </c>
      <c r="B2669" t="str">
        <f>"1578726248941454"</f>
        <v>1578726248941454</v>
      </c>
      <c r="C2669" t="s">
        <v>40</v>
      </c>
      <c r="D2669">
        <v>5.2618229999999997</v>
      </c>
      <c r="E2669">
        <v>0.4485595</v>
      </c>
      <c r="F2669" t="s">
        <v>41</v>
      </c>
      <c r="G2669">
        <v>-278.80779999999999</v>
      </c>
      <c r="H2669" s="1">
        <v>-3.7765670000000001E-6</v>
      </c>
      <c r="I2669">
        <v>-56.567349999999998</v>
      </c>
      <c r="J2669">
        <v>-288.75779999999997</v>
      </c>
      <c r="K2669">
        <v>1.1177729999999999</v>
      </c>
      <c r="L2669">
        <v>-54.441960000000002</v>
      </c>
      <c r="M2669">
        <v>0.90291659999999996</v>
      </c>
      <c r="N2669">
        <v>0</v>
      </c>
      <c r="O2669">
        <v>-0.42960429999999999</v>
      </c>
      <c r="P2669">
        <v>0.93575920000000001</v>
      </c>
      <c r="Q2669">
        <v>0.12471119999999999</v>
      </c>
      <c r="R2669">
        <v>-0.32985110000000001</v>
      </c>
      <c r="S2669">
        <v>3.0223390000000001</v>
      </c>
      <c r="T2669">
        <v>-0.33368189999999998</v>
      </c>
      <c r="U2669">
        <v>-0.65750120000000001</v>
      </c>
      <c r="V2669">
        <v>-0.1088658</v>
      </c>
      <c r="W2669">
        <v>0.1343395</v>
      </c>
      <c r="X2669">
        <v>0.98493710000000001</v>
      </c>
      <c r="Y2669">
        <v>-0.22428629999999999</v>
      </c>
      <c r="Z2669">
        <v>5.7232789999999999E-2</v>
      </c>
      <c r="AA2669">
        <v>0.97284119999999996</v>
      </c>
      <c r="AB2669">
        <v>33</v>
      </c>
      <c r="AC2669">
        <v>9.9499999999999797</v>
      </c>
      <c r="AD2669">
        <v>-1.1177767765669999</v>
      </c>
      <c r="AE2669">
        <v>-2.1253899999999999</v>
      </c>
      <c r="AF2669">
        <v>-2.3276337533194198</v>
      </c>
      <c r="AG2669">
        <v>-1.1177767765669999</v>
      </c>
      <c r="AH2669">
        <v>9.7799578868877397</v>
      </c>
      <c r="AI2669">
        <v>96.344482475462101</v>
      </c>
      <c r="AJ2669">
        <v>103.387354582751</v>
      </c>
      <c r="AK2669">
        <v>10.115081812873401</v>
      </c>
      <c r="AL2669">
        <v>82.279571704771996</v>
      </c>
      <c r="AM2669">
        <v>96.307340840047999</v>
      </c>
      <c r="AN2669">
        <v>0.99999997731314905</v>
      </c>
    </row>
    <row r="2670" spans="1:40" x14ac:dyDescent="0.3">
      <c r="A2670" t="str">
        <f>"20200111150408964"</f>
        <v>20200111150408964</v>
      </c>
      <c r="B2670" t="str">
        <f>"1578726248960974"</f>
        <v>1578726248960974</v>
      </c>
      <c r="C2670" t="s">
        <v>40</v>
      </c>
      <c r="D2670">
        <v>5.240437</v>
      </c>
      <c r="E2670">
        <v>0.4493239</v>
      </c>
      <c r="F2670" t="s">
        <v>41</v>
      </c>
      <c r="G2670">
        <v>-278.63069999999999</v>
      </c>
      <c r="H2670" s="1">
        <v>-3.7033620000000002E-6</v>
      </c>
      <c r="I2670">
        <v>-56.554859999999998</v>
      </c>
      <c r="J2670">
        <v>-288.5829</v>
      </c>
      <c r="K2670">
        <v>1.1177699999999999</v>
      </c>
      <c r="L2670">
        <v>-54.517150000000001</v>
      </c>
      <c r="M2670">
        <v>0.9068581</v>
      </c>
      <c r="N2670">
        <v>0</v>
      </c>
      <c r="O2670">
        <v>-0.4212205</v>
      </c>
      <c r="P2670">
        <v>0.93862999999999996</v>
      </c>
      <c r="Q2670">
        <v>0.124733</v>
      </c>
      <c r="R2670">
        <v>-0.32158229999999999</v>
      </c>
      <c r="S2670">
        <v>3.0278019999999999</v>
      </c>
      <c r="T2670">
        <v>-0.33419270000000001</v>
      </c>
      <c r="U2670">
        <v>-0.63171390000000005</v>
      </c>
      <c r="V2670">
        <v>-0.108428</v>
      </c>
      <c r="W2670">
        <v>0.13437679999999999</v>
      </c>
      <c r="X2670">
        <v>0.98498030000000003</v>
      </c>
      <c r="Y2670">
        <v>-0.22359129999999999</v>
      </c>
      <c r="Z2670">
        <v>5.6431370000000002E-2</v>
      </c>
      <c r="AA2670">
        <v>0.97304800000000002</v>
      </c>
      <c r="AB2670">
        <v>33</v>
      </c>
      <c r="AC2670">
        <v>9.9521999999999995</v>
      </c>
      <c r="AD2670">
        <v>-1.1177737033619899</v>
      </c>
      <c r="AE2670">
        <v>-2.0377099999999899</v>
      </c>
      <c r="AF2670">
        <v>-2.3163261999959102</v>
      </c>
      <c r="AG2670">
        <v>-1.1177737033619899</v>
      </c>
      <c r="AH2670">
        <v>9.76621738250644</v>
      </c>
      <c r="AI2670">
        <v>96.354484899525502</v>
      </c>
      <c r="AJ2670">
        <v>103.34272133265701</v>
      </c>
      <c r="AK2670">
        <v>10.099197348259199</v>
      </c>
      <c r="AL2670">
        <v>82.277414987288196</v>
      </c>
      <c r="AM2670">
        <v>96.281905969528395</v>
      </c>
      <c r="AN2670">
        <v>0.99999997347516401</v>
      </c>
    </row>
    <row r="2671" spans="1:40" x14ac:dyDescent="0.3">
      <c r="A2671" t="str">
        <f>"20200111150408980"</f>
        <v>20200111150408980</v>
      </c>
      <c r="B2671" t="str">
        <f>"1578726248970734"</f>
        <v>1578726248970734</v>
      </c>
      <c r="C2671" t="s">
        <v>40</v>
      </c>
      <c r="D2671">
        <v>5.293221</v>
      </c>
      <c r="E2671">
        <v>0.4493239</v>
      </c>
      <c r="F2671" t="s">
        <v>41</v>
      </c>
      <c r="G2671">
        <v>-278.53660000000002</v>
      </c>
      <c r="H2671" s="1">
        <v>-3.6654449999999999E-6</v>
      </c>
      <c r="I2671">
        <v>-56.543709999999997</v>
      </c>
      <c r="J2671">
        <v>-288.3741</v>
      </c>
      <c r="K2671">
        <v>1.1177649999999999</v>
      </c>
      <c r="L2671">
        <v>-54.604309999999998</v>
      </c>
      <c r="M2671">
        <v>0.91143810000000003</v>
      </c>
      <c r="N2671">
        <v>0</v>
      </c>
      <c r="O2671">
        <v>-0.41121629999999998</v>
      </c>
      <c r="P2671">
        <v>0.94194160000000005</v>
      </c>
      <c r="Q2671">
        <v>0.124713</v>
      </c>
      <c r="R2671">
        <v>-0.31175740000000002</v>
      </c>
      <c r="S2671">
        <v>3.0314640000000002</v>
      </c>
      <c r="T2671">
        <v>-0.33728590000000003</v>
      </c>
      <c r="U2671">
        <v>-0.61151119999999903</v>
      </c>
      <c r="V2671">
        <v>-0.1078794</v>
      </c>
      <c r="W2671">
        <v>0.1343763</v>
      </c>
      <c r="X2671">
        <v>0.98504060000000004</v>
      </c>
      <c r="Y2671">
        <v>-0.2193388</v>
      </c>
      <c r="Z2671">
        <v>5.5709830000000002E-2</v>
      </c>
      <c r="AA2671">
        <v>0.9740569</v>
      </c>
      <c r="AB2671">
        <v>33</v>
      </c>
      <c r="AC2671">
        <v>9.8374999999999702</v>
      </c>
      <c r="AD2671">
        <v>-1.1177686654450001</v>
      </c>
      <c r="AE2671">
        <v>-1.93939999999999</v>
      </c>
      <c r="AF2671">
        <v>-2.2499436967056101</v>
      </c>
      <c r="AG2671">
        <v>-1.1177686654450001</v>
      </c>
      <c r="AH2671">
        <v>9.6448140707060404</v>
      </c>
      <c r="AI2671">
        <v>96.439320503090102</v>
      </c>
      <c r="AJ2671">
        <v>103.131132560618</v>
      </c>
      <c r="AK2671">
        <v>9.9666489797868003</v>
      </c>
      <c r="AL2671">
        <v>82.277443864922006</v>
      </c>
      <c r="AM2671">
        <v>96.249994773593599</v>
      </c>
      <c r="AN2671">
        <v>0.99999996929720403</v>
      </c>
    </row>
    <row r="2672" spans="1:40" x14ac:dyDescent="0.3">
      <c r="A2672" t="str">
        <f>"20200111150408994"</f>
        <v>20200111150408994</v>
      </c>
      <c r="B2672" t="str">
        <f>"1578726248991231"</f>
        <v>1578726248991231</v>
      </c>
      <c r="C2672" t="s">
        <v>40</v>
      </c>
      <c r="D2672">
        <v>5.281714</v>
      </c>
      <c r="E2672">
        <v>0.44922580000000001</v>
      </c>
      <c r="F2672" t="s">
        <v>41</v>
      </c>
      <c r="G2672">
        <v>-278.32470000000001</v>
      </c>
      <c r="H2672" s="1">
        <v>-3.578563E-6</v>
      </c>
      <c r="I2672">
        <v>-56.525530000000003</v>
      </c>
      <c r="J2672">
        <v>-288.19779999999997</v>
      </c>
      <c r="K2672">
        <v>1.1177600000000001</v>
      </c>
      <c r="L2672">
        <v>-54.676090000000002</v>
      </c>
      <c r="M2672">
        <v>0.91520520000000005</v>
      </c>
      <c r="N2672">
        <v>0</v>
      </c>
      <c r="O2672">
        <v>-0.40276260000000003</v>
      </c>
      <c r="P2672">
        <v>0.94468669999999999</v>
      </c>
      <c r="Q2672">
        <v>0.1244918</v>
      </c>
      <c r="R2672">
        <v>-0.30342809999999998</v>
      </c>
      <c r="S2672">
        <v>3.037445</v>
      </c>
      <c r="T2672">
        <v>-0.33784570000000003</v>
      </c>
      <c r="U2672">
        <v>-0.58068850000000005</v>
      </c>
      <c r="V2672">
        <v>-0.1074616</v>
      </c>
      <c r="W2672">
        <v>0.13417079999999901</v>
      </c>
      <c r="X2672">
        <v>0.9851143</v>
      </c>
      <c r="Y2672">
        <v>-0.22023300000000001</v>
      </c>
      <c r="Z2672">
        <v>5.4975259999999998E-2</v>
      </c>
      <c r="AA2672">
        <v>0.97389689999999995</v>
      </c>
      <c r="AB2672">
        <v>33</v>
      </c>
      <c r="AC2672">
        <v>9.87309999999996</v>
      </c>
      <c r="AD2672">
        <v>-1.117763578563</v>
      </c>
      <c r="AE2672">
        <v>-1.84944</v>
      </c>
      <c r="AF2672">
        <v>-2.25616843734023</v>
      </c>
      <c r="AG2672">
        <v>-1.117763578563</v>
      </c>
      <c r="AH2672">
        <v>9.6620444580014304</v>
      </c>
      <c r="AI2672">
        <v>96.427582414625903</v>
      </c>
      <c r="AJ2672">
        <v>103.14353401775401</v>
      </c>
      <c r="AK2672">
        <v>9.9847280655813808</v>
      </c>
      <c r="AL2672">
        <v>82.289325919383799</v>
      </c>
      <c r="AM2672">
        <v>96.225517849569997</v>
      </c>
      <c r="AN2672">
        <v>0.99999999155584496</v>
      </c>
    </row>
    <row r="2673" spans="1:40" x14ac:dyDescent="0.3">
      <c r="A2673" t="str">
        <f>"20200111150409006"</f>
        <v>20200111150409006</v>
      </c>
      <c r="B2673" t="str">
        <f>"1578726249000992"</f>
        <v>1578726249000992</v>
      </c>
      <c r="C2673" t="s">
        <v>40</v>
      </c>
      <c r="D2673">
        <v>5.3102619999999998</v>
      </c>
      <c r="E2673">
        <v>0.43694339999999998</v>
      </c>
      <c r="F2673" t="s">
        <v>41</v>
      </c>
      <c r="G2673">
        <v>-278.19069999999999</v>
      </c>
      <c r="H2673" s="1">
        <v>-3.5280599999999999E-6</v>
      </c>
      <c r="I2673">
        <v>-56.493960000000001</v>
      </c>
      <c r="J2673">
        <v>-288.01729999999998</v>
      </c>
      <c r="K2673">
        <v>1.117756</v>
      </c>
      <c r="L2673">
        <v>-54.74774</v>
      </c>
      <c r="M2673">
        <v>0.91896369999999905</v>
      </c>
      <c r="N2673">
        <v>0</v>
      </c>
      <c r="O2673">
        <v>-0.39411239999999997</v>
      </c>
      <c r="P2673">
        <v>0.94736600000000004</v>
      </c>
      <c r="Q2673">
        <v>0.1240417</v>
      </c>
      <c r="R2673">
        <v>-0.29514689999999999</v>
      </c>
      <c r="S2673">
        <v>3.0428769999999998</v>
      </c>
      <c r="T2673">
        <v>-0.33988030000000002</v>
      </c>
      <c r="U2673">
        <v>-0.5527649</v>
      </c>
      <c r="V2673">
        <v>-0.1067988</v>
      </c>
      <c r="W2673">
        <v>0.133745</v>
      </c>
      <c r="X2673">
        <v>0.98524429999999996</v>
      </c>
      <c r="Y2673">
        <v>-0.22000349999999999</v>
      </c>
      <c r="Z2673">
        <v>5.4387530000000003E-2</v>
      </c>
      <c r="AA2673">
        <v>0.97398169999999995</v>
      </c>
      <c r="AB2673">
        <v>33</v>
      </c>
      <c r="AC2673">
        <v>9.8265999999999796</v>
      </c>
      <c r="AD2673">
        <v>-1.1177595280599999</v>
      </c>
      <c r="AE2673">
        <v>-1.7462199999999899</v>
      </c>
      <c r="AF2673">
        <v>-2.2401798554908701</v>
      </c>
      <c r="AG2673">
        <v>-1.1177595280599999</v>
      </c>
      <c r="AH2673">
        <v>9.59897968437663</v>
      </c>
      <c r="AI2673">
        <v>96.469617937419997</v>
      </c>
      <c r="AJ2673">
        <v>103.136388075315</v>
      </c>
      <c r="AK2673">
        <v>9.9200908830812295</v>
      </c>
      <c r="AL2673">
        <v>82.313944565605198</v>
      </c>
      <c r="AM2673">
        <v>96.1866088632828</v>
      </c>
      <c r="AN2673">
        <v>1.0000000196944601</v>
      </c>
    </row>
    <row r="2674" spans="1:40" x14ac:dyDescent="0.3">
      <c r="A2674" t="str">
        <f>"20200111150409018"</f>
        <v>20200111150409018</v>
      </c>
      <c r="B2674" t="str">
        <f>"1578726249010751"</f>
        <v>1578726249010751</v>
      </c>
      <c r="C2674" t="s">
        <v>40</v>
      </c>
      <c r="D2674">
        <v>5.2440480000000003</v>
      </c>
      <c r="E2674">
        <v>0.43630679999999999</v>
      </c>
      <c r="F2674" t="s">
        <v>41</v>
      </c>
      <c r="G2674">
        <v>-276.6386</v>
      </c>
      <c r="H2674" s="1">
        <v>-2.8954939999999999E-6</v>
      </c>
      <c r="I2674">
        <v>-56.343490000000003</v>
      </c>
      <c r="J2674">
        <v>-287.86059999999998</v>
      </c>
      <c r="K2674">
        <v>1.1177469999999901</v>
      </c>
      <c r="L2674">
        <v>-54.8078</v>
      </c>
      <c r="M2674">
        <v>0.92214180000000001</v>
      </c>
      <c r="N2674">
        <v>0</v>
      </c>
      <c r="O2674">
        <v>-0.38661780000000001</v>
      </c>
      <c r="P2674">
        <v>0.94955529999999999</v>
      </c>
      <c r="Q2674">
        <v>0.1238858</v>
      </c>
      <c r="R2674">
        <v>-0.28809309999999899</v>
      </c>
      <c r="S2674">
        <v>3.0719910000000001</v>
      </c>
      <c r="T2674">
        <v>-0.30176950000000002</v>
      </c>
      <c r="U2674">
        <v>-0.4308167</v>
      </c>
      <c r="V2674">
        <v>-0.1061045</v>
      </c>
      <c r="W2674">
        <v>0.13361419999999999</v>
      </c>
      <c r="X2674">
        <v>0.98533709999999997</v>
      </c>
      <c r="Y2674">
        <v>-0.25192540000000002</v>
      </c>
      <c r="Z2674">
        <v>4.897746E-2</v>
      </c>
      <c r="AA2674">
        <v>0.96650650000000005</v>
      </c>
      <c r="AB2674">
        <v>33</v>
      </c>
      <c r="AC2674">
        <v>11.2219999999999</v>
      </c>
      <c r="AD2674">
        <v>-1.11774989549399</v>
      </c>
      <c r="AE2674">
        <v>-1.53569</v>
      </c>
      <c r="AF2674">
        <v>-2.8945770258959098</v>
      </c>
      <c r="AG2674">
        <v>-1.11774989549399</v>
      </c>
      <c r="AH2674">
        <v>10.8374514734199</v>
      </c>
      <c r="AI2674">
        <v>95.690439153245805</v>
      </c>
      <c r="AJ2674">
        <v>104.954070120878</v>
      </c>
      <c r="AK2674">
        <v>11.272900932167</v>
      </c>
      <c r="AL2674">
        <v>82.321507038162295</v>
      </c>
      <c r="AM2674">
        <v>96.146124064567005</v>
      </c>
      <c r="AN2674">
        <v>1.0000000599991401</v>
      </c>
    </row>
    <row r="2675" spans="1:40" x14ac:dyDescent="0.3">
      <c r="A2675" t="str">
        <f>"20200111150409031"</f>
        <v>20200111150409031</v>
      </c>
      <c r="B2675" t="str">
        <f>"1578726249021486"</f>
        <v>1578726249021486</v>
      </c>
      <c r="C2675" t="s">
        <v>40</v>
      </c>
      <c r="D2675">
        <v>5.2455420000000004</v>
      </c>
      <c r="E2675">
        <v>0.43606869999999998</v>
      </c>
      <c r="F2675" t="s">
        <v>41</v>
      </c>
      <c r="G2675">
        <v>-276.24400000000003</v>
      </c>
      <c r="H2675" s="1">
        <v>-2.7293930000000001E-6</v>
      </c>
      <c r="I2675">
        <v>-56.329099999999997</v>
      </c>
      <c r="J2675">
        <v>-287.6943</v>
      </c>
      <c r="K2675">
        <v>1.117739</v>
      </c>
      <c r="L2675">
        <v>-54.870699999999999</v>
      </c>
      <c r="M2675">
        <v>0.92544159999999998</v>
      </c>
      <c r="N2675">
        <v>0</v>
      </c>
      <c r="O2675">
        <v>-0.37865120000000002</v>
      </c>
      <c r="P2675">
        <v>0.95187259999999996</v>
      </c>
      <c r="Q2675">
        <v>0.1239234</v>
      </c>
      <c r="R2675">
        <v>-0.2803254</v>
      </c>
      <c r="S2675">
        <v>3.0757750000000001</v>
      </c>
      <c r="T2675">
        <v>-0.2959521</v>
      </c>
      <c r="U2675">
        <v>-0.40280149999999998</v>
      </c>
      <c r="V2675">
        <v>-0.1056536</v>
      </c>
      <c r="W2675">
        <v>0.13366749999999999</v>
      </c>
      <c r="X2675">
        <v>0.98537830000000004</v>
      </c>
      <c r="Y2675">
        <v>-0.25253439999999999</v>
      </c>
      <c r="Z2675">
        <v>4.7348769999999998E-2</v>
      </c>
      <c r="AA2675">
        <v>0.96642870000000003</v>
      </c>
      <c r="AB2675">
        <v>33</v>
      </c>
      <c r="AC2675">
        <v>11.450299999999899</v>
      </c>
      <c r="AD2675">
        <v>-1.1177417293930001</v>
      </c>
      <c r="AE2675">
        <v>-1.4583999999999899</v>
      </c>
      <c r="AF2675">
        <v>-2.9585342967596202</v>
      </c>
      <c r="AG2675">
        <v>-1.1177417293930001</v>
      </c>
      <c r="AH2675">
        <v>11.0462388661494</v>
      </c>
      <c r="AI2675">
        <v>95.582501557446804</v>
      </c>
      <c r="AJ2675">
        <v>104.993725536341</v>
      </c>
      <c r="AK2675">
        <v>11.4900680958278</v>
      </c>
      <c r="AL2675">
        <v>82.318425368841602</v>
      </c>
      <c r="AM2675">
        <v>96.119950281040602</v>
      </c>
      <c r="AN2675">
        <v>1.0000000389300401</v>
      </c>
    </row>
    <row r="2676" spans="1:40" x14ac:dyDescent="0.3">
      <c r="A2676" t="str">
        <f>"20200111150409041"</f>
        <v>20200111150409041</v>
      </c>
      <c r="B2676" t="str">
        <f>"1578726249031247"</f>
        <v>1578726249031247</v>
      </c>
      <c r="C2676" t="s">
        <v>40</v>
      </c>
      <c r="D2676">
        <v>5.2471439999999996</v>
      </c>
      <c r="E2676">
        <v>0.43617709999999998</v>
      </c>
      <c r="F2676" t="s">
        <v>41</v>
      </c>
      <c r="G2676">
        <v>-276.04419999999999</v>
      </c>
      <c r="H2676" s="1">
        <v>-2.6511030000000002E-6</v>
      </c>
      <c r="I2676">
        <v>-56.295369999999998</v>
      </c>
      <c r="J2676">
        <v>-287.53960000000001</v>
      </c>
      <c r="K2676">
        <v>1.1177299999999999</v>
      </c>
      <c r="L2676">
        <v>-54.927120000000002</v>
      </c>
      <c r="M2676">
        <v>0.92842970000000002</v>
      </c>
      <c r="N2676">
        <v>0</v>
      </c>
      <c r="O2676">
        <v>-0.37126389999999998</v>
      </c>
      <c r="P2676">
        <v>0.95388410000000001</v>
      </c>
      <c r="Q2676">
        <v>0.12438639999999999</v>
      </c>
      <c r="R2676">
        <v>-0.27319080000000001</v>
      </c>
      <c r="S2676">
        <v>3.0792540000000002</v>
      </c>
      <c r="T2676">
        <v>-0.295431099999999</v>
      </c>
      <c r="U2676">
        <v>-0.37655640000000001</v>
      </c>
      <c r="V2676">
        <v>-0.10516739999999999</v>
      </c>
      <c r="W2676">
        <v>0.13414760000000001</v>
      </c>
      <c r="X2676">
        <v>0.98536500000000005</v>
      </c>
      <c r="Y2676">
        <v>-0.25311400000000001</v>
      </c>
      <c r="Z2676">
        <v>4.6625439999999997E-2</v>
      </c>
      <c r="AA2676">
        <v>0.96631219999999995</v>
      </c>
      <c r="AB2676">
        <v>33</v>
      </c>
      <c r="AC2676">
        <v>11.4954</v>
      </c>
      <c r="AD2676">
        <v>-1.1177326511029999</v>
      </c>
      <c r="AE2676">
        <v>-1.36825</v>
      </c>
      <c r="AF2676">
        <v>-2.9700872913863998</v>
      </c>
      <c r="AG2676">
        <v>-1.1177326511029999</v>
      </c>
      <c r="AH2676">
        <v>11.078391952583999</v>
      </c>
      <c r="AI2676">
        <v>95.565989144883304</v>
      </c>
      <c r="AJ2676">
        <v>105.007918742012</v>
      </c>
      <c r="AK2676">
        <v>11.523953881063401</v>
      </c>
      <c r="AL2676">
        <v>82.290667155586803</v>
      </c>
      <c r="AM2676">
        <v>96.092081174546706</v>
      </c>
      <c r="AN2676">
        <v>0.99999997191675905</v>
      </c>
    </row>
    <row r="2677" spans="1:40" x14ac:dyDescent="0.3">
      <c r="A2677" t="str">
        <f>"20200111150409053"</f>
        <v>20200111150409053</v>
      </c>
      <c r="B2677" t="str">
        <f>"1578726249050766"</f>
        <v>1578726249050766</v>
      </c>
      <c r="C2677" t="s">
        <v>40</v>
      </c>
      <c r="D2677">
        <v>5.2882860000000003</v>
      </c>
      <c r="E2677">
        <v>0.43725570000000002</v>
      </c>
      <c r="F2677" t="s">
        <v>41</v>
      </c>
      <c r="G2677">
        <v>-275.89609999999999</v>
      </c>
      <c r="H2677" s="1">
        <v>-2.5933830000000002E-6</v>
      </c>
      <c r="I2677">
        <v>-56.269179999999999</v>
      </c>
      <c r="J2677">
        <v>-287.38299999999998</v>
      </c>
      <c r="K2677">
        <v>1.117723</v>
      </c>
      <c r="L2677">
        <v>-54.983179999999997</v>
      </c>
      <c r="M2677">
        <v>0.93138500000000002</v>
      </c>
      <c r="N2677">
        <v>0</v>
      </c>
      <c r="O2677">
        <v>-0.36378650000000001</v>
      </c>
      <c r="P2677">
        <v>0.95589950000000001</v>
      </c>
      <c r="Q2677">
        <v>0.1248105</v>
      </c>
      <c r="R2677">
        <v>-0.2658548</v>
      </c>
      <c r="S2677">
        <v>3.0818789999999998</v>
      </c>
      <c r="T2677">
        <v>-0.29585020000000001</v>
      </c>
      <c r="U2677">
        <v>-0.355224599999999</v>
      </c>
      <c r="V2677">
        <v>-0.1048036</v>
      </c>
      <c r="W2677">
        <v>0.1345838</v>
      </c>
      <c r="X2677">
        <v>0.98534429999999995</v>
      </c>
      <c r="Y2677">
        <v>-0.25206240000000002</v>
      </c>
      <c r="Z2677">
        <v>4.5966119999999999E-2</v>
      </c>
      <c r="AA2677">
        <v>0.96661870000000005</v>
      </c>
      <c r="AB2677">
        <v>33</v>
      </c>
      <c r="AC2677">
        <v>11.486899999999901</v>
      </c>
      <c r="AD2677">
        <v>-1.1177255933829999</v>
      </c>
      <c r="AE2677">
        <v>-1.286</v>
      </c>
      <c r="AF2677">
        <v>-2.9536688192691898</v>
      </c>
      <c r="AG2677">
        <v>-1.1177255933829999</v>
      </c>
      <c r="AH2677">
        <v>11.0641087253031</v>
      </c>
      <c r="AI2677">
        <v>95.5746678062917</v>
      </c>
      <c r="AJ2677">
        <v>104.947079699249</v>
      </c>
      <c r="AK2677">
        <v>11.5059972136862</v>
      </c>
      <c r="AL2677">
        <v>82.265446179430995</v>
      </c>
      <c r="AM2677">
        <v>96.071291412274206</v>
      </c>
      <c r="AN2677">
        <v>0.99999999166894404</v>
      </c>
    </row>
    <row r="2678" spans="1:40" x14ac:dyDescent="0.3">
      <c r="A2678" t="str">
        <f>"20200111150409069"</f>
        <v>20200111150409069</v>
      </c>
      <c r="B2678" t="str">
        <f>"1578726249061505"</f>
        <v>1578726249061505</v>
      </c>
      <c r="C2678" t="s">
        <v>40</v>
      </c>
      <c r="D2678">
        <v>5.3068900000000001</v>
      </c>
      <c r="E2678">
        <v>0.43771640000000001</v>
      </c>
      <c r="F2678" t="s">
        <v>41</v>
      </c>
      <c r="G2678">
        <v>-275.72030000000001</v>
      </c>
      <c r="H2678" s="1">
        <v>-2.51736E-6</v>
      </c>
      <c r="I2678">
        <v>-56.2718699999999</v>
      </c>
      <c r="J2678">
        <v>-287.16570000000002</v>
      </c>
      <c r="K2678">
        <v>1.1177029999999999</v>
      </c>
      <c r="L2678">
        <v>-55.058869999999999</v>
      </c>
      <c r="M2678">
        <v>0.93536719999999896</v>
      </c>
      <c r="N2678">
        <v>0</v>
      </c>
      <c r="O2678">
        <v>-0.35342210000000002</v>
      </c>
      <c r="P2678">
        <v>0.95820879999999997</v>
      </c>
      <c r="Q2678">
        <v>0.12647639999999999</v>
      </c>
      <c r="R2678">
        <v>-0.25659280000000001</v>
      </c>
      <c r="S2678">
        <v>3.0822449999999999</v>
      </c>
      <c r="T2678">
        <v>-0.29539490000000002</v>
      </c>
      <c r="U2678">
        <v>-0.3405762</v>
      </c>
      <c r="V2678">
        <v>-0.1033685</v>
      </c>
      <c r="W2678">
        <v>0.13629869999999999</v>
      </c>
      <c r="X2678">
        <v>0.98526020000000003</v>
      </c>
      <c r="Y2678">
        <v>-0.24594350000000001</v>
      </c>
      <c r="Z2678">
        <v>4.4692990000000002E-2</v>
      </c>
      <c r="AA2678">
        <v>0.96825329999999998</v>
      </c>
      <c r="AB2678">
        <v>33</v>
      </c>
      <c r="AC2678">
        <v>11.445399999999999</v>
      </c>
      <c r="AD2678">
        <v>-1.1177055173599999</v>
      </c>
      <c r="AE2678">
        <v>-1.2129999999999901</v>
      </c>
      <c r="AF2678">
        <v>-2.8835267958137201</v>
      </c>
      <c r="AG2678">
        <v>-1.1177055173599999</v>
      </c>
      <c r="AH2678">
        <v>11.031327983395199</v>
      </c>
      <c r="AI2678">
        <v>95.598668922653999</v>
      </c>
      <c r="AJ2678">
        <v>104.649022438822</v>
      </c>
      <c r="AK2678">
        <v>11.4566220799567</v>
      </c>
      <c r="AL2678">
        <v>82.166276055634498</v>
      </c>
      <c r="AM2678">
        <v>95.989271623395197</v>
      </c>
      <c r="AN2678">
        <v>1.00000002205898</v>
      </c>
    </row>
    <row r="2679" spans="1:40" x14ac:dyDescent="0.3">
      <c r="A2679" t="str">
        <f>"20200111150409081"</f>
        <v>20200111150409081</v>
      </c>
      <c r="B2679" t="str">
        <f>"1578726249071262"</f>
        <v>1578726249071262</v>
      </c>
      <c r="C2679" t="s">
        <v>40</v>
      </c>
      <c r="D2679">
        <v>5.2973939999999997</v>
      </c>
      <c r="E2679">
        <v>0.43771640000000001</v>
      </c>
      <c r="F2679" t="s">
        <v>41</v>
      </c>
      <c r="G2679">
        <v>-275.36219999999997</v>
      </c>
      <c r="H2679" s="1">
        <v>-2.364656E-6</v>
      </c>
      <c r="I2679">
        <v>-56.267679999999999</v>
      </c>
      <c r="J2679">
        <v>-287.00740000000002</v>
      </c>
      <c r="K2679">
        <v>1.117683</v>
      </c>
      <c r="L2679">
        <v>-55.111660000000001</v>
      </c>
      <c r="M2679">
        <v>0.93817340000000005</v>
      </c>
      <c r="N2679">
        <v>0</v>
      </c>
      <c r="O2679">
        <v>-0.34590409999999999</v>
      </c>
      <c r="P2679">
        <v>0.95993379999999995</v>
      </c>
      <c r="Q2679">
        <v>0.12664600000000001</v>
      </c>
      <c r="R2679">
        <v>-0.2499759</v>
      </c>
      <c r="S2679">
        <v>3.0848080000000002</v>
      </c>
      <c r="T2679">
        <v>-0.29210779999999997</v>
      </c>
      <c r="U2679">
        <v>-0.31591799999999998</v>
      </c>
      <c r="V2679">
        <v>-0.1022488</v>
      </c>
      <c r="W2679">
        <v>0.1365075</v>
      </c>
      <c r="X2679">
        <v>0.98534809999999995</v>
      </c>
      <c r="Y2679">
        <v>-0.24599879999999999</v>
      </c>
      <c r="Z2679">
        <v>4.3528119999999997E-2</v>
      </c>
      <c r="AA2679">
        <v>0.96829229999999999</v>
      </c>
      <c r="AB2679">
        <v>33</v>
      </c>
      <c r="AC2679">
        <v>11.645200000000001</v>
      </c>
      <c r="AD2679">
        <v>-1.1176853646560001</v>
      </c>
      <c r="AE2679">
        <v>-1.15602</v>
      </c>
      <c r="AF2679">
        <v>-2.9172309225498898</v>
      </c>
      <c r="AG2679">
        <v>-1.1176853646560001</v>
      </c>
      <c r="AH2679">
        <v>11.223732118116599</v>
      </c>
      <c r="AI2679">
        <v>95.5051622104953</v>
      </c>
      <c r="AJ2679">
        <v>104.569724100258</v>
      </c>
      <c r="AK2679">
        <v>11.650391387807</v>
      </c>
      <c r="AL2679">
        <v>82.154199623182507</v>
      </c>
      <c r="AM2679">
        <v>95.924334339099104</v>
      </c>
      <c r="AN2679">
        <v>0.99999999641564996</v>
      </c>
    </row>
    <row r="2680" spans="1:40" x14ac:dyDescent="0.3">
      <c r="A2680" t="str">
        <f>"20200111150409093"</f>
        <v>20200111150409093</v>
      </c>
      <c r="B2680" t="str">
        <f>"1578726249081022"</f>
        <v>1578726249081022</v>
      </c>
      <c r="C2680" t="s">
        <v>40</v>
      </c>
      <c r="D2680">
        <v>5.3160889999999998</v>
      </c>
      <c r="E2680">
        <v>0.44296580000000002</v>
      </c>
      <c r="F2680" t="s">
        <v>41</v>
      </c>
      <c r="G2680">
        <v>-275.18189999999998</v>
      </c>
      <c r="H2680" s="1">
        <v>-2.2931640000000002E-6</v>
      </c>
      <c r="I2680">
        <v>-56.241219999999998</v>
      </c>
      <c r="J2680">
        <v>-286.84269999999998</v>
      </c>
      <c r="K2680">
        <v>1.117659</v>
      </c>
      <c r="L2680">
        <v>-55.16574</v>
      </c>
      <c r="M2680">
        <v>0.94102079999999999</v>
      </c>
      <c r="N2680">
        <v>0</v>
      </c>
      <c r="O2680">
        <v>-0.33808139999999998</v>
      </c>
      <c r="P2680">
        <v>0.96146039999999999</v>
      </c>
      <c r="Q2680">
        <v>0.12689300000000001</v>
      </c>
      <c r="R2680">
        <v>-0.24391080000000001</v>
      </c>
      <c r="S2680">
        <v>3.0869450000000001</v>
      </c>
      <c r="T2680">
        <v>-0.2917612</v>
      </c>
      <c r="U2680">
        <v>-0.29486079999999998</v>
      </c>
      <c r="V2680">
        <v>-0.10025290000000001</v>
      </c>
      <c r="W2680">
        <v>0.136824</v>
      </c>
      <c r="X2680">
        <v>0.98550930000000003</v>
      </c>
      <c r="Y2680">
        <v>-0.24458650000000001</v>
      </c>
      <c r="Z2680">
        <v>4.2709990000000003E-2</v>
      </c>
      <c r="AA2680">
        <v>0.96868639999999995</v>
      </c>
      <c r="AB2680">
        <v>33</v>
      </c>
      <c r="AC2680">
        <v>11.660799999999901</v>
      </c>
      <c r="AD2680">
        <v>-1.117661293164</v>
      </c>
      <c r="AE2680">
        <v>-1.07547999999999</v>
      </c>
      <c r="AF2680">
        <v>-2.9040615298992898</v>
      </c>
      <c r="AG2680">
        <v>-1.117661293164</v>
      </c>
      <c r="AH2680">
        <v>11.2353341795597</v>
      </c>
      <c r="AI2680">
        <v>95.501307153186701</v>
      </c>
      <c r="AJ2680">
        <v>104.492383164684</v>
      </c>
      <c r="AK2680">
        <v>11.658279215306999</v>
      </c>
      <c r="AL2680">
        <v>82.135893901092501</v>
      </c>
      <c r="AM2680">
        <v>95.808546140673002</v>
      </c>
      <c r="AN2680">
        <v>1.0000000156604401</v>
      </c>
    </row>
    <row r="2681" spans="1:40" x14ac:dyDescent="0.3">
      <c r="A2681" t="str">
        <f>"20200111150409104"</f>
        <v>20200111150409104</v>
      </c>
      <c r="B2681" t="str">
        <f>"1578726249101518"</f>
        <v>1578726249101518</v>
      </c>
      <c r="C2681" t="s">
        <v>40</v>
      </c>
      <c r="D2681">
        <v>5.3075330000000003</v>
      </c>
      <c r="E2681">
        <v>0.44425160000000002</v>
      </c>
      <c r="F2681" t="s">
        <v>41</v>
      </c>
      <c r="G2681">
        <v>-275.72070000000002</v>
      </c>
      <c r="H2681" s="1">
        <v>-2.5093120000000002E-6</v>
      </c>
      <c r="I2681">
        <v>-56.308999999999997</v>
      </c>
      <c r="J2681">
        <v>-286.67320000000001</v>
      </c>
      <c r="K2681">
        <v>1.1176280000000001</v>
      </c>
      <c r="L2681">
        <v>-55.219700000000003</v>
      </c>
      <c r="M2681">
        <v>0.94386579999999998</v>
      </c>
      <c r="N2681">
        <v>0</v>
      </c>
      <c r="O2681">
        <v>-0.33005600000000002</v>
      </c>
      <c r="P2681">
        <v>0.96297630000000001</v>
      </c>
      <c r="Q2681">
        <v>0.12665390000000001</v>
      </c>
      <c r="R2681">
        <v>-0.23798240000000001</v>
      </c>
      <c r="S2681">
        <v>3.0807799999999999</v>
      </c>
      <c r="T2681">
        <v>-0.30958909999999901</v>
      </c>
      <c r="U2681">
        <v>-0.31668089999999999</v>
      </c>
      <c r="V2681">
        <v>-9.7922519999999999E-2</v>
      </c>
      <c r="W2681">
        <v>0.13666719999999999</v>
      </c>
      <c r="X2681">
        <v>0.98576529999999996</v>
      </c>
      <c r="Y2681">
        <v>-0.22911699999999999</v>
      </c>
      <c r="Z2681">
        <v>4.383923E-2</v>
      </c>
      <c r="AA2681">
        <v>0.97241120000000003</v>
      </c>
      <c r="AB2681">
        <v>33</v>
      </c>
      <c r="AC2681">
        <v>10.952499999999899</v>
      </c>
      <c r="AD2681">
        <v>-1.117630509312</v>
      </c>
      <c r="AE2681">
        <v>-1.0892999999999899</v>
      </c>
      <c r="AF2681">
        <v>-2.5606164920388101</v>
      </c>
      <c r="AG2681">
        <v>-1.117630509312</v>
      </c>
      <c r="AH2681">
        <v>10.5890033258933</v>
      </c>
      <c r="AI2681">
        <v>95.857449698265697</v>
      </c>
      <c r="AJ2681">
        <v>103.594208208381</v>
      </c>
      <c r="AK2681">
        <v>10.9513855840449</v>
      </c>
      <c r="AL2681">
        <v>82.144962831472697</v>
      </c>
      <c r="AM2681">
        <v>95.672953919863602</v>
      </c>
      <c r="AN2681">
        <v>0.99999998508153998</v>
      </c>
    </row>
    <row r="2682" spans="1:40" x14ac:dyDescent="0.3">
      <c r="A2682" t="str">
        <f>"20200111150409117"</f>
        <v>20200111150409117</v>
      </c>
      <c r="B2682" t="str">
        <f>"1578726249111278"</f>
        <v>1578726249111278</v>
      </c>
      <c r="C2682" t="s">
        <v>40</v>
      </c>
      <c r="D2682">
        <v>5.3152109999999997</v>
      </c>
      <c r="E2682">
        <v>0.44490259999999998</v>
      </c>
      <c r="F2682" t="s">
        <v>41</v>
      </c>
      <c r="G2682">
        <v>-275.60719999999998</v>
      </c>
      <c r="H2682" s="1">
        <v>-2.4572590000000001E-6</v>
      </c>
      <c r="I2682">
        <v>-56.324280000000002</v>
      </c>
      <c r="J2682">
        <v>-286.51960000000003</v>
      </c>
      <c r="K2682">
        <v>1.1175919999999999</v>
      </c>
      <c r="L2682">
        <v>-55.267029999999998</v>
      </c>
      <c r="M2682">
        <v>0.94636670000000001</v>
      </c>
      <c r="N2682">
        <v>0</v>
      </c>
      <c r="O2682">
        <v>-0.32281569999999998</v>
      </c>
      <c r="P2682">
        <v>0.96425240000000001</v>
      </c>
      <c r="Q2682">
        <v>0.1260163</v>
      </c>
      <c r="R2682">
        <v>-0.2331038</v>
      </c>
      <c r="S2682">
        <v>3.0802309999999999</v>
      </c>
      <c r="T2682">
        <v>-0.31109439999999999</v>
      </c>
      <c r="U2682">
        <v>-0.30746459999999998</v>
      </c>
      <c r="V2682">
        <v>-9.5353090000000001E-2</v>
      </c>
      <c r="W2682">
        <v>0.1361202</v>
      </c>
      <c r="X2682">
        <v>0.98609290000000005</v>
      </c>
      <c r="Y2682">
        <v>-0.22455130000000001</v>
      </c>
      <c r="Z2682">
        <v>4.3150359999999999E-2</v>
      </c>
      <c r="AA2682">
        <v>0.97350650000000005</v>
      </c>
      <c r="AB2682">
        <v>33</v>
      </c>
      <c r="AC2682">
        <v>10.9124</v>
      </c>
      <c r="AD2682">
        <v>-1.117594457259</v>
      </c>
      <c r="AE2682">
        <v>-1.05724999999999</v>
      </c>
      <c r="AF2682">
        <v>-2.4964337734325999</v>
      </c>
      <c r="AG2682">
        <v>-1.117594457259</v>
      </c>
      <c r="AH2682">
        <v>10.559660942796899</v>
      </c>
      <c r="AI2682">
        <v>95.8805600839828</v>
      </c>
      <c r="AJ2682">
        <v>103.301211212722</v>
      </c>
      <c r="AK2682">
        <v>10.9081454969606</v>
      </c>
      <c r="AL2682">
        <v>82.176599896917907</v>
      </c>
      <c r="AM2682">
        <v>95.523208077105807</v>
      </c>
      <c r="AN2682">
        <v>1.00000006402549</v>
      </c>
    </row>
    <row r="2683" spans="1:40" x14ac:dyDescent="0.3">
      <c r="A2683" t="str">
        <f>"20200111150409130"</f>
        <v>20200111150409130</v>
      </c>
      <c r="B2683" t="str">
        <f>"1578726249121039"</f>
        <v>1578726249121039</v>
      </c>
      <c r="C2683" t="s">
        <v>40</v>
      </c>
      <c r="D2683">
        <v>5.306489</v>
      </c>
      <c r="E2683">
        <v>0.44548090000000001</v>
      </c>
      <c r="F2683" t="s">
        <v>41</v>
      </c>
      <c r="G2683">
        <v>-275.61430000000001</v>
      </c>
      <c r="H2683" s="1">
        <v>-2.4620150000000001E-6</v>
      </c>
      <c r="I2683">
        <v>-56.316589999999998</v>
      </c>
      <c r="J2683">
        <v>-286.3202</v>
      </c>
      <c r="K2683">
        <v>1.1175409999999999</v>
      </c>
      <c r="L2683">
        <v>-55.327150000000003</v>
      </c>
      <c r="M2683">
        <v>0.94951280000000005</v>
      </c>
      <c r="N2683">
        <v>0</v>
      </c>
      <c r="O2683">
        <v>-0.31344090000000002</v>
      </c>
      <c r="P2683">
        <v>0.96596029999999999</v>
      </c>
      <c r="Q2683">
        <v>0.125444</v>
      </c>
      <c r="R2683">
        <v>-0.22624</v>
      </c>
      <c r="S2683">
        <v>3.0808110000000002</v>
      </c>
      <c r="T2683">
        <v>-0.31572860000000003</v>
      </c>
      <c r="U2683">
        <v>-0.29650880000000002</v>
      </c>
      <c r="V2683">
        <v>-9.2599680000000004E-2</v>
      </c>
      <c r="W2683">
        <v>0.1356435</v>
      </c>
      <c r="X2683">
        <v>0.98642090000000004</v>
      </c>
      <c r="Y2683">
        <v>-0.21835750000000001</v>
      </c>
      <c r="Z2683">
        <v>4.2568780000000001E-2</v>
      </c>
      <c r="AA2683">
        <v>0.97493989999999997</v>
      </c>
      <c r="AB2683">
        <v>33</v>
      </c>
      <c r="AC2683">
        <v>10.7058999999999</v>
      </c>
      <c r="AD2683">
        <v>-1.117543462015</v>
      </c>
      <c r="AE2683">
        <v>-0.98944000000000198</v>
      </c>
      <c r="AF2683">
        <v>-2.3905707947044701</v>
      </c>
      <c r="AG2683">
        <v>-1.117543462015</v>
      </c>
      <c r="AH2683">
        <v>10.364485289016701</v>
      </c>
      <c r="AI2683">
        <v>95.997821655732196</v>
      </c>
      <c r="AJ2683">
        <v>102.988142488568</v>
      </c>
      <c r="AK2683">
        <v>10.695152519727401</v>
      </c>
      <c r="AL2683">
        <v>82.204168191738802</v>
      </c>
      <c r="AM2683">
        <v>95.362891025023998</v>
      </c>
      <c r="AN2683">
        <v>1.0000000258925801</v>
      </c>
    </row>
    <row r="2684" spans="1:40" x14ac:dyDescent="0.3">
      <c r="A2684" t="str">
        <f>"20200111150409141"</f>
        <v>20200111150409141</v>
      </c>
      <c r="B2684" t="str">
        <f>"1578726249130799"</f>
        <v>1578726249130799</v>
      </c>
      <c r="C2684" t="s">
        <v>40</v>
      </c>
      <c r="D2684">
        <v>5.2950400000000002</v>
      </c>
      <c r="E2684">
        <v>0.44548090000000001</v>
      </c>
      <c r="F2684" t="s">
        <v>41</v>
      </c>
      <c r="G2684">
        <v>-275.51330000000002</v>
      </c>
      <c r="H2684" s="1">
        <v>-2.4215550000000001E-6</v>
      </c>
      <c r="I2684">
        <v>-56.303539999999998</v>
      </c>
      <c r="J2684">
        <v>-286.1574</v>
      </c>
      <c r="K2684">
        <v>1.1174809999999999</v>
      </c>
      <c r="L2684">
        <v>-55.374079999999999</v>
      </c>
      <c r="M2684">
        <v>0.95198430000000001</v>
      </c>
      <c r="N2684">
        <v>0</v>
      </c>
      <c r="O2684">
        <v>-0.30585309999999999</v>
      </c>
      <c r="P2684">
        <v>0.96723910000000002</v>
      </c>
      <c r="Q2684">
        <v>0.12481449999999999</v>
      </c>
      <c r="R2684">
        <v>-0.22106529999999999</v>
      </c>
      <c r="S2684">
        <v>3.0818789999999998</v>
      </c>
      <c r="T2684">
        <v>-0.31869730000000002</v>
      </c>
      <c r="U2684">
        <v>-0.27844239999999998</v>
      </c>
      <c r="V2684">
        <v>-8.9991769999999999E-2</v>
      </c>
      <c r="W2684">
        <v>0.1351049</v>
      </c>
      <c r="X2684">
        <v>0.9867361</v>
      </c>
      <c r="Y2684">
        <v>-0.2162676</v>
      </c>
      <c r="Z2684">
        <v>4.2118389999999999E-2</v>
      </c>
      <c r="AA2684">
        <v>0.97542519999999999</v>
      </c>
      <c r="AB2684">
        <v>33</v>
      </c>
      <c r="AC2684">
        <v>10.6440999999999</v>
      </c>
      <c r="AD2684">
        <v>-1.117483421555</v>
      </c>
      <c r="AE2684">
        <v>-0.92945999999999795</v>
      </c>
      <c r="AF2684">
        <v>-2.3452587191476599</v>
      </c>
      <c r="AG2684">
        <v>-1.117483421555</v>
      </c>
      <c r="AH2684">
        <v>10.3055021190637</v>
      </c>
      <c r="AI2684">
        <v>96.035587191503495</v>
      </c>
      <c r="AJ2684">
        <v>102.82064912235001</v>
      </c>
      <c r="AK2684">
        <v>10.6279057948034</v>
      </c>
      <c r="AL2684">
        <v>82.235314147481503</v>
      </c>
      <c r="AM2684">
        <v>95.211042506628004</v>
      </c>
      <c r="AN2684">
        <v>0.99999999185747601</v>
      </c>
    </row>
    <row r="2685" spans="1:40" x14ac:dyDescent="0.3">
      <c r="A2685" t="str">
        <f>"20200111150409153"</f>
        <v>20200111150409153</v>
      </c>
      <c r="B2685" t="str">
        <f>"1578726249151295"</f>
        <v>1578726249151295</v>
      </c>
      <c r="C2685" t="s">
        <v>40</v>
      </c>
      <c r="D2685">
        <v>5.3003070000000001</v>
      </c>
      <c r="E2685">
        <v>0.45446209999999998</v>
      </c>
      <c r="F2685" t="s">
        <v>41</v>
      </c>
      <c r="G2685">
        <v>-275.38470000000001</v>
      </c>
      <c r="H2685" s="1">
        <v>-2.3706019999999999E-6</v>
      </c>
      <c r="I2685">
        <v>-56.28454</v>
      </c>
      <c r="J2685">
        <v>-285.9973</v>
      </c>
      <c r="K2685">
        <v>1.1174120000000001</v>
      </c>
      <c r="L2685">
        <v>-55.419370000000001</v>
      </c>
      <c r="M2685">
        <v>0.95434289999999999</v>
      </c>
      <c r="N2685">
        <v>0</v>
      </c>
      <c r="O2685">
        <v>-0.29841329999999999</v>
      </c>
      <c r="P2685">
        <v>0.96868639999999995</v>
      </c>
      <c r="Q2685">
        <v>0.12416199999999999</v>
      </c>
      <c r="R2685">
        <v>-0.21501400000000001</v>
      </c>
      <c r="S2685">
        <v>3.0833439999999999</v>
      </c>
      <c r="T2685">
        <v>-0.31984420000000002</v>
      </c>
      <c r="U2685">
        <v>-0.26058959999999998</v>
      </c>
      <c r="V2685">
        <v>-8.8442019999999996E-2</v>
      </c>
      <c r="W2685">
        <v>0.13450490000000001</v>
      </c>
      <c r="X2685">
        <v>0.98695820000000001</v>
      </c>
      <c r="Y2685">
        <v>-0.21432490000000001</v>
      </c>
      <c r="Z2685">
        <v>4.143136E-2</v>
      </c>
      <c r="AA2685">
        <v>0.97588330000000001</v>
      </c>
      <c r="AB2685">
        <v>33</v>
      </c>
      <c r="AC2685">
        <v>10.612599999999899</v>
      </c>
      <c r="AD2685">
        <v>-1.1174143706020001</v>
      </c>
      <c r="AE2685">
        <v>-0.86517000000000599</v>
      </c>
      <c r="AF2685">
        <v>-2.3159758771910099</v>
      </c>
      <c r="AG2685">
        <v>-1.1174143706020001</v>
      </c>
      <c r="AH2685">
        <v>10.274019640024999</v>
      </c>
      <c r="AI2685">
        <v>96.056361007937795</v>
      </c>
      <c r="AJ2685">
        <v>102.70331991447</v>
      </c>
      <c r="AK2685">
        <v>10.5909319090899</v>
      </c>
      <c r="AL2685">
        <v>82.270008546983206</v>
      </c>
      <c r="AM2685">
        <v>95.120638041808206</v>
      </c>
      <c r="AN2685">
        <v>1.0000000237864599</v>
      </c>
    </row>
    <row r="2686" spans="1:40" x14ac:dyDescent="0.3">
      <c r="A2686" t="str">
        <f>"20200111150409165"</f>
        <v>20200111150409165</v>
      </c>
      <c r="B2686" t="str">
        <f>"1578726249161056"</f>
        <v>1578726249161056</v>
      </c>
      <c r="C2686" t="s">
        <v>40</v>
      </c>
      <c r="D2686">
        <v>6.3103579999999999</v>
      </c>
      <c r="E2686">
        <v>0.45053110000000002</v>
      </c>
      <c r="F2686" t="s">
        <v>41</v>
      </c>
      <c r="G2686">
        <v>-277.56990000000002</v>
      </c>
      <c r="H2686" s="1">
        <v>-3.310196E-6</v>
      </c>
      <c r="I2686">
        <v>-56.274859999999997</v>
      </c>
      <c r="J2686">
        <v>-285.82209999999998</v>
      </c>
      <c r="K2686">
        <v>1.1173310000000001</v>
      </c>
      <c r="L2686">
        <v>-55.467379999999999</v>
      </c>
      <c r="M2686">
        <v>0.95683470000000004</v>
      </c>
      <c r="N2686">
        <v>0</v>
      </c>
      <c r="O2686">
        <v>-0.29032439999999998</v>
      </c>
      <c r="P2686">
        <v>0.97042580000000001</v>
      </c>
      <c r="Q2686">
        <v>0.1232839</v>
      </c>
      <c r="R2686">
        <v>-0.20754500000000001</v>
      </c>
      <c r="S2686">
        <v>3.0799259999999999</v>
      </c>
      <c r="T2686">
        <v>-0.4083812</v>
      </c>
      <c r="U2686">
        <v>-0.3126526</v>
      </c>
      <c r="V2686">
        <v>-8.7670979999999996E-2</v>
      </c>
      <c r="W2686">
        <v>0.13365150000000001</v>
      </c>
      <c r="X2686">
        <v>0.98714290000000005</v>
      </c>
      <c r="Y2686">
        <v>-0.18816279999999999</v>
      </c>
      <c r="Z2686">
        <v>5.0061670000000003E-2</v>
      </c>
      <c r="AA2686">
        <v>0.98086110000000004</v>
      </c>
      <c r="AB2686">
        <v>33</v>
      </c>
      <c r="AC2686">
        <v>8.2521999999999593</v>
      </c>
      <c r="AD2686">
        <v>-1.1173343101959901</v>
      </c>
      <c r="AE2686">
        <v>-0.80747999999999098</v>
      </c>
      <c r="AF2686">
        <v>-1.59438333876298</v>
      </c>
      <c r="AG2686">
        <v>-1.1173343101959901</v>
      </c>
      <c r="AH2686">
        <v>7.9861316695618898</v>
      </c>
      <c r="AI2686">
        <v>97.812305440282103</v>
      </c>
      <c r="AJ2686">
        <v>101.290318813171</v>
      </c>
      <c r="AK2686">
        <v>8.2200239193840297</v>
      </c>
      <c r="AL2686">
        <v>82.319350213331106</v>
      </c>
      <c r="AM2686">
        <v>95.075285605025101</v>
      </c>
      <c r="AN2686">
        <v>1.00000001460341</v>
      </c>
    </row>
    <row r="2687" spans="1:40" x14ac:dyDescent="0.3">
      <c r="A2687" t="str">
        <f>"20200111150409180"</f>
        <v>20200111150409180</v>
      </c>
      <c r="B2687" t="str">
        <f>"1578726249170814"</f>
        <v>1578726249170814</v>
      </c>
      <c r="C2687" t="s">
        <v>40</v>
      </c>
      <c r="D2687">
        <v>5.3670689999999999</v>
      </c>
      <c r="E2687">
        <v>0.45053110000000002</v>
      </c>
      <c r="F2687" t="s">
        <v>41</v>
      </c>
      <c r="G2687">
        <v>-278.00700000000001</v>
      </c>
      <c r="H2687" s="1">
        <v>-3.5317189999999999E-6</v>
      </c>
      <c r="I2687">
        <v>-56.121029999999998</v>
      </c>
      <c r="J2687">
        <v>-285.61849999999998</v>
      </c>
      <c r="K2687">
        <v>1.11721</v>
      </c>
      <c r="L2687">
        <v>-55.520870000000002</v>
      </c>
      <c r="M2687">
        <v>0.95960420000000002</v>
      </c>
      <c r="N2687">
        <v>0</v>
      </c>
      <c r="O2687">
        <v>-0.28103660000000003</v>
      </c>
      <c r="P2687">
        <v>0.97296380000000005</v>
      </c>
      <c r="Q2687">
        <v>0.119406399999999</v>
      </c>
      <c r="R2687">
        <v>-0.1976965</v>
      </c>
      <c r="S2687">
        <v>3.0922550000000002</v>
      </c>
      <c r="T2687">
        <v>-0.44210650000000001</v>
      </c>
      <c r="U2687">
        <v>-0.25863649999999999</v>
      </c>
      <c r="V2687">
        <v>-8.8085930000000007E-2</v>
      </c>
      <c r="W2687">
        <v>0.12975989999999901</v>
      </c>
      <c r="X2687">
        <v>0.98762510000000003</v>
      </c>
      <c r="Y2687">
        <v>-0.19536990000000001</v>
      </c>
      <c r="Z2687">
        <v>5.32556E-2</v>
      </c>
      <c r="AA2687">
        <v>0.9792826</v>
      </c>
      <c r="AB2687">
        <v>33</v>
      </c>
      <c r="AC2687">
        <v>7.6114999999999702</v>
      </c>
      <c r="AD2687">
        <v>-1.117213531719</v>
      </c>
      <c r="AE2687">
        <v>-0.60016000000000902</v>
      </c>
      <c r="AF2687">
        <v>-1.5305622218322401</v>
      </c>
      <c r="AG2687">
        <v>-1.117213531719</v>
      </c>
      <c r="AH2687">
        <v>7.3167011929853603</v>
      </c>
      <c r="AI2687">
        <v>98.500421204160801</v>
      </c>
      <c r="AJ2687">
        <v>101.81518372083301</v>
      </c>
      <c r="AK2687">
        <v>7.5581018210784503</v>
      </c>
      <c r="AL2687">
        <v>82.544282296982303</v>
      </c>
      <c r="AM2687">
        <v>95.096704256018299</v>
      </c>
      <c r="AN2687">
        <v>1.0000000504309901</v>
      </c>
    </row>
    <row r="2688" spans="1:40" x14ac:dyDescent="0.3">
      <c r="A2688" t="str">
        <f>"20200111150409203"</f>
        <v>20200111150409203</v>
      </c>
      <c r="B2688" t="str">
        <f>"1578726249201071"</f>
        <v>1578726249201071</v>
      </c>
      <c r="C2688" t="s">
        <v>40</v>
      </c>
      <c r="D2688">
        <v>6.7844680000000004</v>
      </c>
      <c r="E2688">
        <v>0.45997700000000002</v>
      </c>
      <c r="F2688" t="s">
        <v>41</v>
      </c>
      <c r="G2688">
        <v>-278.00029999999998</v>
      </c>
      <c r="H2688" s="1">
        <v>-3.538673E-6</v>
      </c>
      <c r="I2688">
        <v>-56.076469999999901</v>
      </c>
      <c r="J2688">
        <v>-285.28640000000001</v>
      </c>
      <c r="K2688">
        <v>1.1169849999999999</v>
      </c>
      <c r="L2688">
        <v>-55.604370000000003</v>
      </c>
      <c r="M2688">
        <v>0.96385529999999997</v>
      </c>
      <c r="N2688">
        <v>0</v>
      </c>
      <c r="O2688">
        <v>-0.26609379999999999</v>
      </c>
      <c r="P2688">
        <v>0.97706029999999999</v>
      </c>
      <c r="Q2688">
        <v>0.1134768</v>
      </c>
      <c r="R2688">
        <v>-0.1802125</v>
      </c>
      <c r="S2688">
        <v>3.0932010000000001</v>
      </c>
      <c r="T2688">
        <v>-0.45361849999999998</v>
      </c>
      <c r="U2688">
        <v>-0.22558590000000001</v>
      </c>
      <c r="V2688">
        <v>-9.039208E-2</v>
      </c>
      <c r="W2688">
        <v>0.1237538</v>
      </c>
      <c r="X2688">
        <v>0.98818740000000005</v>
      </c>
      <c r="Y2688">
        <v>-0.19051609999999999</v>
      </c>
      <c r="Z2688">
        <v>5.219439E-2</v>
      </c>
      <c r="AA2688">
        <v>0.98029549999999999</v>
      </c>
      <c r="AB2688">
        <v>33</v>
      </c>
      <c r="AC2688">
        <v>7.2861000000000304</v>
      </c>
      <c r="AD2688">
        <v>-1.1169885386730001</v>
      </c>
      <c r="AE2688">
        <v>-0.47209999999999702</v>
      </c>
      <c r="AF2688">
        <v>-1.4499469456830401</v>
      </c>
      <c r="AG2688">
        <v>-1.1169885386730001</v>
      </c>
      <c r="AH2688">
        <v>6.98551382060832</v>
      </c>
      <c r="AI2688">
        <v>98.898199978362598</v>
      </c>
      <c r="AJ2688">
        <v>101.726081741797</v>
      </c>
      <c r="AK2688">
        <v>7.2213165613156898</v>
      </c>
      <c r="AL2688">
        <v>82.891205241308</v>
      </c>
      <c r="AM2688">
        <v>95.226449856100899</v>
      </c>
      <c r="AN2688">
        <v>1.00000003432996</v>
      </c>
    </row>
    <row r="2689" spans="1:40" x14ac:dyDescent="0.3">
      <c r="A2689" t="str">
        <f>"20200111150409214"</f>
        <v>20200111150409214</v>
      </c>
      <c r="B2689" t="str">
        <f>"1578726249210830"</f>
        <v>1578726249210830</v>
      </c>
      <c r="C2689" t="s">
        <v>40</v>
      </c>
      <c r="D2689">
        <v>5.1669580000000002</v>
      </c>
      <c r="E2689">
        <v>0.45569890000000002</v>
      </c>
      <c r="F2689" t="s">
        <v>72</v>
      </c>
      <c r="G2689">
        <v>-281.53660000000002</v>
      </c>
      <c r="H2689" s="1">
        <v>-6.13730199999999E-6</v>
      </c>
      <c r="I2689">
        <v>-55.903469999999999</v>
      </c>
      <c r="J2689">
        <v>-285.13490000000002</v>
      </c>
      <c r="K2689">
        <v>1.116862</v>
      </c>
      <c r="L2689">
        <v>-55.640630000000002</v>
      </c>
      <c r="M2689">
        <v>0.96567890000000001</v>
      </c>
      <c r="N2689">
        <v>0</v>
      </c>
      <c r="O2689">
        <v>-0.25939879999999998</v>
      </c>
      <c r="P2689">
        <v>0.97886589999999996</v>
      </c>
      <c r="Q2689">
        <v>0.11017639999999999</v>
      </c>
      <c r="R2689">
        <v>-0.17228760000000001</v>
      </c>
      <c r="S2689">
        <v>3.1327210000000001</v>
      </c>
      <c r="T2689">
        <v>-0.93317249999999996</v>
      </c>
      <c r="U2689">
        <v>-0.24987789999999999</v>
      </c>
      <c r="V2689">
        <v>-9.1503280000000006E-2</v>
      </c>
      <c r="W2689">
        <v>0.1204168</v>
      </c>
      <c r="X2689">
        <v>0.98849730000000002</v>
      </c>
      <c r="Y2689">
        <v>-0.16383989999999901</v>
      </c>
      <c r="Z2689">
        <v>9.8508830000000006E-2</v>
      </c>
      <c r="AA2689">
        <v>0.98155619999999999</v>
      </c>
      <c r="AB2689">
        <v>33</v>
      </c>
      <c r="AC2689">
        <v>3.5982999999999898</v>
      </c>
      <c r="AD2689">
        <v>-1.116868137302</v>
      </c>
      <c r="AE2689">
        <v>-0.26283999999999702</v>
      </c>
      <c r="AF2689">
        <v>-0.62020215664177503</v>
      </c>
      <c r="AG2689">
        <v>-1.116868137302</v>
      </c>
      <c r="AH2689">
        <v>3.2334376908389699</v>
      </c>
      <c r="AI2689">
        <v>108.738382012201</v>
      </c>
      <c r="AJ2689">
        <v>100.857965536584</v>
      </c>
      <c r="AK2689">
        <v>3.47665995630312</v>
      </c>
      <c r="AL2689">
        <v>83.083841995857696</v>
      </c>
      <c r="AM2689">
        <v>95.288687687440401</v>
      </c>
      <c r="AN2689">
        <v>0.99999998404014401</v>
      </c>
    </row>
    <row r="2690" spans="1:40" x14ac:dyDescent="0.3">
      <c r="A2690" t="str">
        <f>"20200111150409226"</f>
        <v>20200111150409226</v>
      </c>
      <c r="B2690" t="str">
        <f>"1578726249221566"</f>
        <v>1578726249221566</v>
      </c>
      <c r="C2690" t="s">
        <v>40</v>
      </c>
      <c r="D2690">
        <v>5.7932389999999998</v>
      </c>
      <c r="E2690">
        <v>0.45569890000000002</v>
      </c>
      <c r="F2690" t="s">
        <v>72</v>
      </c>
      <c r="G2690">
        <v>-281.2063</v>
      </c>
      <c r="H2690" s="1">
        <v>-6.2507649999999996E-6</v>
      </c>
      <c r="I2690">
        <v>-55.877510000000001</v>
      </c>
      <c r="J2690">
        <v>-284.96129999999999</v>
      </c>
      <c r="K2690">
        <v>1.116717</v>
      </c>
      <c r="L2690">
        <v>-55.6811199999999</v>
      </c>
      <c r="M2690">
        <v>0.96768860000000001</v>
      </c>
      <c r="N2690">
        <v>0</v>
      </c>
      <c r="O2690">
        <v>-0.25179960000000001</v>
      </c>
      <c r="P2690">
        <v>0.98078600000000005</v>
      </c>
      <c r="Q2690">
        <v>0.1069666</v>
      </c>
      <c r="R2690">
        <v>-0.16314719999999999</v>
      </c>
      <c r="S2690">
        <v>3.1317439999999999</v>
      </c>
      <c r="T2690">
        <v>-0.89034579999999997</v>
      </c>
      <c r="U2690">
        <v>-0.18884280000000001</v>
      </c>
      <c r="V2690">
        <v>-9.2905130000000002E-2</v>
      </c>
      <c r="W2690">
        <v>0.1171618</v>
      </c>
      <c r="X2690">
        <v>0.98875769999999996</v>
      </c>
      <c r="Y2690">
        <v>-0.17643519999999999</v>
      </c>
      <c r="Z2690">
        <v>9.3997750000000005E-2</v>
      </c>
      <c r="AA2690">
        <v>0.97981379999999996</v>
      </c>
      <c r="AB2690">
        <v>33</v>
      </c>
      <c r="AC2690">
        <v>3.7549999999999901</v>
      </c>
      <c r="AD2690">
        <v>-1.116723250765</v>
      </c>
      <c r="AE2690">
        <v>-0.196390000000008</v>
      </c>
      <c r="AF2690">
        <v>-0.69429077725063204</v>
      </c>
      <c r="AG2690">
        <v>-1.116723250765</v>
      </c>
      <c r="AH2690">
        <v>3.3848870384597798</v>
      </c>
      <c r="AI2690">
        <v>107.910104369466</v>
      </c>
      <c r="AJ2690">
        <v>101.59144403854</v>
      </c>
      <c r="AK2690">
        <v>3.63133181702079</v>
      </c>
      <c r="AL2690">
        <v>83.271670008395105</v>
      </c>
      <c r="AM2690">
        <v>95.367835755965899</v>
      </c>
      <c r="AN2690">
        <v>1.0000000199344199</v>
      </c>
    </row>
    <row r="2691" spans="1:40" x14ac:dyDescent="0.3">
      <c r="A2691" t="str">
        <f>"20200111150409240"</f>
        <v>20200111150409240</v>
      </c>
      <c r="B2691" t="str">
        <f>"1578726249231327"</f>
        <v>1578726249231327</v>
      </c>
      <c r="C2691" t="s">
        <v>40</v>
      </c>
      <c r="D2691">
        <v>6.1371190000000002</v>
      </c>
      <c r="E2691">
        <v>0.4024509</v>
      </c>
      <c r="F2691" t="s">
        <v>72</v>
      </c>
      <c r="G2691">
        <v>-281.07990000000001</v>
      </c>
      <c r="H2691" s="1">
        <v>-6.2928519999999999E-6</v>
      </c>
      <c r="I2691">
        <v>-55.87959</v>
      </c>
      <c r="J2691">
        <v>-284.77969999999999</v>
      </c>
      <c r="K2691">
        <v>1.1165499999999999</v>
      </c>
      <c r="L2691">
        <v>-55.721589999999999</v>
      </c>
      <c r="M2691">
        <v>0.96968019999999999</v>
      </c>
      <c r="N2691">
        <v>0</v>
      </c>
      <c r="O2691">
        <v>-0.24401919999999999</v>
      </c>
      <c r="P2691">
        <v>0.98261589999999999</v>
      </c>
      <c r="Q2691">
        <v>0.1048183</v>
      </c>
      <c r="R2691">
        <v>-0.15322910000000001</v>
      </c>
      <c r="S2691">
        <v>3.130341</v>
      </c>
      <c r="T2691">
        <v>-0.90063510000000002</v>
      </c>
      <c r="U2691">
        <v>-0.1600647</v>
      </c>
      <c r="V2691">
        <v>-9.4898549999999998E-2</v>
      </c>
      <c r="W2691">
        <v>0.1149481</v>
      </c>
      <c r="X2691">
        <v>0.98882820000000005</v>
      </c>
      <c r="Y2691">
        <v>-0.17735709999999999</v>
      </c>
      <c r="Z2691">
        <v>9.3123609999999996E-2</v>
      </c>
      <c r="AA2691">
        <v>0.97973080000000001</v>
      </c>
      <c r="AB2691">
        <v>33</v>
      </c>
      <c r="AC2691">
        <v>3.6997999999999802</v>
      </c>
      <c r="AD2691">
        <v>-1.1165562928520001</v>
      </c>
      <c r="AE2691">
        <v>-0.158000000000001</v>
      </c>
      <c r="AF2691">
        <v>-0.68720433865260599</v>
      </c>
      <c r="AG2691">
        <v>-1.1165562928520001</v>
      </c>
      <c r="AH2691">
        <v>3.3242832306355501</v>
      </c>
      <c r="AI2691">
        <v>108.207285262067</v>
      </c>
      <c r="AJ2691">
        <v>101.679809055788</v>
      </c>
      <c r="AK2691">
        <v>3.5734866385163802</v>
      </c>
      <c r="AL2691">
        <v>83.399368485474795</v>
      </c>
      <c r="AM2691">
        <v>95.481927891700593</v>
      </c>
      <c r="AN2691">
        <v>1.00000000480047</v>
      </c>
    </row>
    <row r="2692" spans="1:40" x14ac:dyDescent="0.3">
      <c r="A2692" t="str">
        <f>"20200111150409252"</f>
        <v>20200111150409252</v>
      </c>
      <c r="B2692" t="str">
        <f>"1578726249241087"</f>
        <v>1578726249241087</v>
      </c>
      <c r="C2692" t="s">
        <v>40</v>
      </c>
      <c r="D2692">
        <v>5.2532779999999999</v>
      </c>
      <c r="E2692">
        <v>0.4024509</v>
      </c>
      <c r="F2692" t="s">
        <v>66</v>
      </c>
      <c r="G2692">
        <v>-167.99870000000001</v>
      </c>
      <c r="H2692">
        <v>10.975110000000001</v>
      </c>
      <c r="I2692">
        <v>-44.014710000000001</v>
      </c>
      <c r="J2692">
        <v>-284.59350000000001</v>
      </c>
      <c r="K2692">
        <v>1.116376</v>
      </c>
      <c r="L2692">
        <v>-55.7620199999999</v>
      </c>
      <c r="M2692">
        <v>0.97163160000000004</v>
      </c>
      <c r="N2692">
        <v>0</v>
      </c>
      <c r="O2692">
        <v>-0.23613190000000001</v>
      </c>
      <c r="P2692">
        <v>0.98426930000000001</v>
      </c>
      <c r="Q2692">
        <v>0.103245699999999</v>
      </c>
      <c r="R2692">
        <v>-0.14336699999999999</v>
      </c>
      <c r="S2692">
        <v>3.0734859999999999</v>
      </c>
      <c r="T2692">
        <v>0.25946059999999999</v>
      </c>
      <c r="U2692">
        <v>0.30810549999999998</v>
      </c>
      <c r="V2692">
        <v>-9.6724379999999999E-2</v>
      </c>
      <c r="W2692">
        <v>0.113318</v>
      </c>
      <c r="X2692">
        <v>0.98883940000000004</v>
      </c>
      <c r="Y2692">
        <v>-0.32990629999999999</v>
      </c>
      <c r="Z2692">
        <v>-3.3632960000000003E-2</v>
      </c>
      <c r="AA2692">
        <v>0.94341439999999999</v>
      </c>
      <c r="AB2692">
        <v>33</v>
      </c>
      <c r="AC2692">
        <v>116.59480000000001</v>
      </c>
      <c r="AD2692">
        <v>9.8587340000000001</v>
      </c>
      <c r="AE2692">
        <v>11.747309999999899</v>
      </c>
      <c r="AF2692">
        <v>-38.675456635926501</v>
      </c>
      <c r="AG2692">
        <v>9.8587340000000001</v>
      </c>
      <c r="AH2692">
        <v>109.746120319178</v>
      </c>
      <c r="AI2692">
        <v>85.157178437059699</v>
      </c>
      <c r="AJ2692">
        <v>109.412886685556</v>
      </c>
      <c r="AK2692">
        <v>116.778407709609</v>
      </c>
      <c r="AL2692">
        <v>83.493380423562002</v>
      </c>
      <c r="AM2692">
        <v>95.586675246923903</v>
      </c>
      <c r="AN2692">
        <v>0.99999996690137105</v>
      </c>
    </row>
    <row r="2693" spans="1:40" x14ac:dyDescent="0.3">
      <c r="A2693" t="str">
        <f>"20200111150409266"</f>
        <v>20200111150409266</v>
      </c>
      <c r="B2693" t="str">
        <f>"1578726249261582"</f>
        <v>1578726249261582</v>
      </c>
      <c r="C2693" t="s">
        <v>40</v>
      </c>
      <c r="D2693">
        <v>5.6030110000000004</v>
      </c>
      <c r="E2693">
        <v>0.42273119999999997</v>
      </c>
      <c r="F2693" t="s">
        <v>66</v>
      </c>
      <c r="G2693">
        <v>-167.99870000000001</v>
      </c>
      <c r="H2693">
        <v>10.752969999999999</v>
      </c>
      <c r="I2693">
        <v>-42.895099999999999</v>
      </c>
      <c r="J2693">
        <v>-284.39620000000002</v>
      </c>
      <c r="K2693">
        <v>1.1161859999999999</v>
      </c>
      <c r="L2693">
        <v>-55.803220000000003</v>
      </c>
      <c r="M2693">
        <v>0.97358579999999995</v>
      </c>
      <c r="N2693">
        <v>0</v>
      </c>
      <c r="O2693">
        <v>-0.2279428</v>
      </c>
      <c r="P2693">
        <v>0.98566750000000003</v>
      </c>
      <c r="Q2693">
        <v>0.10334699999999999</v>
      </c>
      <c r="R2693">
        <v>-0.1333384</v>
      </c>
      <c r="S2693">
        <v>3.0706790000000002</v>
      </c>
      <c r="T2693">
        <v>0.25379160000000001</v>
      </c>
      <c r="U2693">
        <v>0.33886719999999998</v>
      </c>
      <c r="V2693">
        <v>-9.8413589999999995E-2</v>
      </c>
      <c r="W2693">
        <v>0.1133673</v>
      </c>
      <c r="X2693">
        <v>0.98866710000000002</v>
      </c>
      <c r="Y2693">
        <v>-0.33150220000000002</v>
      </c>
      <c r="Z2693">
        <v>-3.2320990000000001E-2</v>
      </c>
      <c r="AA2693">
        <v>0.94290070000000004</v>
      </c>
      <c r="AB2693">
        <v>33</v>
      </c>
      <c r="AC2693">
        <v>116.39749999999999</v>
      </c>
      <c r="AD2693">
        <v>9.6367840000000005</v>
      </c>
      <c r="AE2693">
        <v>12.908119999999901</v>
      </c>
      <c r="AF2693">
        <v>-38.839520514461</v>
      </c>
      <c r="AG2693">
        <v>9.6367840000000005</v>
      </c>
      <c r="AH2693">
        <v>109.64772501840299</v>
      </c>
      <c r="AI2693">
        <v>85.264159391245201</v>
      </c>
      <c r="AJ2693">
        <v>109.50521164609501</v>
      </c>
      <c r="AK2693">
        <v>116.72188981235399</v>
      </c>
      <c r="AL2693">
        <v>83.490537683354901</v>
      </c>
      <c r="AM2693">
        <v>95.684592494643894</v>
      </c>
      <c r="AN2693">
        <v>1.0000000070141899</v>
      </c>
    </row>
    <row r="2694" spans="1:40" x14ac:dyDescent="0.3">
      <c r="A2694" t="str">
        <f>"20200111150409283"</f>
        <v>20200111150409283</v>
      </c>
      <c r="B2694" t="str">
        <f>"1578726249271343"</f>
        <v>1578726249271343</v>
      </c>
      <c r="C2694" t="s">
        <v>40</v>
      </c>
      <c r="D2694">
        <v>5.3197369999999999</v>
      </c>
      <c r="E2694">
        <v>0.4231916</v>
      </c>
      <c r="F2694" t="s">
        <v>41</v>
      </c>
      <c r="G2694">
        <v>-272.50290000000001</v>
      </c>
      <c r="H2694" s="1">
        <v>-1.6605870000000001E-6</v>
      </c>
      <c r="I2694">
        <v>-55.0306</v>
      </c>
      <c r="J2694">
        <v>-284.17410000000001</v>
      </c>
      <c r="K2694">
        <v>1.115977</v>
      </c>
      <c r="L2694">
        <v>-55.847410000000004</v>
      </c>
      <c r="M2694">
        <v>0.97564600000000001</v>
      </c>
      <c r="N2694">
        <v>0</v>
      </c>
      <c r="O2694">
        <v>-0.21896009999999999</v>
      </c>
      <c r="P2694">
        <v>0.98680250000000003</v>
      </c>
      <c r="Q2694">
        <v>0.1048753</v>
      </c>
      <c r="R2694">
        <v>-0.1233788</v>
      </c>
      <c r="S2694">
        <v>3.10141</v>
      </c>
      <c r="T2694">
        <v>-0.29106769999999998</v>
      </c>
      <c r="U2694">
        <v>0.20147709999999999</v>
      </c>
      <c r="V2694">
        <v>-9.9231680000000003E-2</v>
      </c>
      <c r="W2694">
        <v>0.1148714</v>
      </c>
      <c r="X2694">
        <v>0.9884117</v>
      </c>
      <c r="Y2694">
        <v>-0.279593599999999</v>
      </c>
      <c r="Z2694">
        <v>3.3472519999999999E-2</v>
      </c>
      <c r="AA2694">
        <v>0.95953480000000002</v>
      </c>
      <c r="AB2694">
        <v>33</v>
      </c>
      <c r="AC2694">
        <v>11.671200000000001</v>
      </c>
      <c r="AD2694">
        <v>-1.1159786605869999</v>
      </c>
      <c r="AE2694">
        <v>0.81680999999999604</v>
      </c>
      <c r="AF2694">
        <v>-3.32250277141745</v>
      </c>
      <c r="AG2694">
        <v>-1.1159786605869999</v>
      </c>
      <c r="AH2694">
        <v>11.1080075647932</v>
      </c>
      <c r="AI2694">
        <v>95.497935866166998</v>
      </c>
      <c r="AJ2694">
        <v>106.65238668336301</v>
      </c>
      <c r="AK2694">
        <v>11.6478437960193</v>
      </c>
      <c r="AL2694">
        <v>83.403792521472198</v>
      </c>
      <c r="AM2694">
        <v>95.733005029975402</v>
      </c>
      <c r="AN2694">
        <v>1.00000002677523</v>
      </c>
    </row>
    <row r="2695" spans="1:40" x14ac:dyDescent="0.3">
      <c r="A2695" t="str">
        <f>"20200111150409295"</f>
        <v>20200111150409295</v>
      </c>
      <c r="B2695" t="str">
        <f>"1578726249291839"</f>
        <v>1578726249291839</v>
      </c>
      <c r="C2695" t="s">
        <v>40</v>
      </c>
      <c r="D2695">
        <v>5.3521130000000001</v>
      </c>
      <c r="E2695">
        <v>0.42360720000000002</v>
      </c>
      <c r="F2695" t="s">
        <v>41</v>
      </c>
      <c r="G2695">
        <v>-272.15780000000001</v>
      </c>
      <c r="H2695" s="1">
        <v>-1.5662609999999999E-6</v>
      </c>
      <c r="I2695">
        <v>-54.956040000000002</v>
      </c>
      <c r="J2695">
        <v>-283.98790000000002</v>
      </c>
      <c r="K2695">
        <v>1.1157919999999999</v>
      </c>
      <c r="L2695">
        <v>-55.883119999999998</v>
      </c>
      <c r="M2695">
        <v>0.97727390000000003</v>
      </c>
      <c r="N2695">
        <v>0</v>
      </c>
      <c r="O2695">
        <v>-0.21157880000000001</v>
      </c>
      <c r="P2695">
        <v>0.98755059999999995</v>
      </c>
      <c r="Q2695">
        <v>0.1054474</v>
      </c>
      <c r="R2695">
        <v>-0.11672630000000001</v>
      </c>
      <c r="S2695">
        <v>3.0994570000000001</v>
      </c>
      <c r="T2695">
        <v>-0.287854099999999</v>
      </c>
      <c r="U2695">
        <v>0.2299194</v>
      </c>
      <c r="V2695">
        <v>-9.8366930000000005E-2</v>
      </c>
      <c r="W2695">
        <v>0.1154738</v>
      </c>
      <c r="X2695">
        <v>0.98842790000000003</v>
      </c>
      <c r="Y2695">
        <v>-0.28121210000000002</v>
      </c>
      <c r="Z2695">
        <v>3.2521290000000001E-2</v>
      </c>
      <c r="AA2695">
        <v>0.95909440000000001</v>
      </c>
      <c r="AB2695">
        <v>33</v>
      </c>
      <c r="AC2695">
        <v>11.8301</v>
      </c>
      <c r="AD2695">
        <v>-1.1157935662609999</v>
      </c>
      <c r="AE2695">
        <v>0.92707999999999602</v>
      </c>
      <c r="AF2695">
        <v>-3.37941993171522</v>
      </c>
      <c r="AG2695">
        <v>-1.1157935662609999</v>
      </c>
      <c r="AH2695">
        <v>11.2664507267543</v>
      </c>
      <c r="AI2695">
        <v>95.418935022411006</v>
      </c>
      <c r="AJ2695">
        <v>106.696840075556</v>
      </c>
      <c r="AK2695">
        <v>11.8151761026134</v>
      </c>
      <c r="AL2695">
        <v>83.369046030311694</v>
      </c>
      <c r="AM2695">
        <v>95.683280972202795</v>
      </c>
      <c r="AN2695">
        <v>0.999999982451237</v>
      </c>
    </row>
    <row r="2696" spans="1:40" x14ac:dyDescent="0.3">
      <c r="A2696" t="str">
        <f>"20200111150409306"</f>
        <v>20200111150409306</v>
      </c>
      <c r="B2696" t="str">
        <f>"1578726249301599"</f>
        <v>1578726249301599</v>
      </c>
      <c r="C2696" t="s">
        <v>40</v>
      </c>
      <c r="D2696">
        <v>5.3400759999999998</v>
      </c>
      <c r="E2696">
        <v>0.42434909999999998</v>
      </c>
      <c r="F2696" t="s">
        <v>41</v>
      </c>
      <c r="G2696">
        <v>-271.78989999999999</v>
      </c>
      <c r="H2696" s="1">
        <v>-1.456519E-6</v>
      </c>
      <c r="I2696">
        <v>-54.90616</v>
      </c>
      <c r="J2696">
        <v>-283.81900000000002</v>
      </c>
      <c r="K2696">
        <v>1.115623</v>
      </c>
      <c r="L2696">
        <v>-55.914520000000003</v>
      </c>
      <c r="M2696">
        <v>0.97867599999999999</v>
      </c>
      <c r="N2696">
        <v>0</v>
      </c>
      <c r="O2696">
        <v>-0.20499709999999999</v>
      </c>
      <c r="P2696">
        <v>0.98798810000000004</v>
      </c>
      <c r="Q2696">
        <v>0.1061561</v>
      </c>
      <c r="R2696">
        <v>-0.1122964</v>
      </c>
      <c r="S2696">
        <v>3.0974119999999998</v>
      </c>
      <c r="T2696">
        <v>-0.28333140000000001</v>
      </c>
      <c r="U2696">
        <v>0.2480774</v>
      </c>
      <c r="V2696">
        <v>-9.6097409999999994E-2</v>
      </c>
      <c r="W2696">
        <v>0.11625630000000001</v>
      </c>
      <c r="X2696">
        <v>0.98855939999999998</v>
      </c>
      <c r="Y2696">
        <v>-0.28048719999999999</v>
      </c>
      <c r="Z2696">
        <v>3.1404000000000001E-2</v>
      </c>
      <c r="AA2696">
        <v>0.95934390000000003</v>
      </c>
      <c r="AB2696">
        <v>33</v>
      </c>
      <c r="AC2696">
        <v>12.0291</v>
      </c>
      <c r="AD2696">
        <v>-1.1156244565189899</v>
      </c>
      <c r="AE2696">
        <v>1.0083599999999899</v>
      </c>
      <c r="AF2696">
        <v>-3.42383663250925</v>
      </c>
      <c r="AG2696">
        <v>-1.1156244565189899</v>
      </c>
      <c r="AH2696">
        <v>11.4689004050971</v>
      </c>
      <c r="AI2696">
        <v>95.325099346301201</v>
      </c>
      <c r="AJ2696">
        <v>106.62206086931</v>
      </c>
      <c r="AK2696">
        <v>12.0209380547498</v>
      </c>
      <c r="AL2696">
        <v>83.323907947441995</v>
      </c>
      <c r="AM2696">
        <v>95.552251512018003</v>
      </c>
      <c r="AN2696">
        <v>0.99999996341337805</v>
      </c>
    </row>
    <row r="2697" spans="1:40" x14ac:dyDescent="0.3">
      <c r="A2697" t="str">
        <f>"20200111150409326"</f>
        <v>20200111150409326</v>
      </c>
      <c r="B2697" t="str">
        <f>"1578726249321118"</f>
        <v>1578726249321118</v>
      </c>
      <c r="C2697" t="s">
        <v>40</v>
      </c>
      <c r="D2697">
        <v>5.3230139999999997</v>
      </c>
      <c r="E2697">
        <v>0.42616500000000002</v>
      </c>
      <c r="F2697" t="s">
        <v>41</v>
      </c>
      <c r="G2697">
        <v>-271.48099999999999</v>
      </c>
      <c r="H2697" s="1">
        <v>-1.3562850000000001E-6</v>
      </c>
      <c r="I2697">
        <v>-54.890300000000003</v>
      </c>
      <c r="J2697">
        <v>-283.53429999999997</v>
      </c>
      <c r="K2697">
        <v>1.115335</v>
      </c>
      <c r="L2697">
        <v>-55.9647199999999</v>
      </c>
      <c r="M2697">
        <v>0.98086859999999998</v>
      </c>
      <c r="N2697">
        <v>0</v>
      </c>
      <c r="O2697">
        <v>-0.19424050000000001</v>
      </c>
      <c r="P2697">
        <v>0.98836080000000004</v>
      </c>
      <c r="Q2697">
        <v>0.10780140000000001</v>
      </c>
      <c r="R2697">
        <v>-0.1073408</v>
      </c>
      <c r="S2697">
        <v>3.095764</v>
      </c>
      <c r="T2697">
        <v>-0.27992420000000001</v>
      </c>
      <c r="U2697">
        <v>0.25698850000000001</v>
      </c>
      <c r="V2697">
        <v>-9.0115029999999999E-2</v>
      </c>
      <c r="W2697">
        <v>0.1180837</v>
      </c>
      <c r="X2697">
        <v>0.98890619999999996</v>
      </c>
      <c r="Y2697">
        <v>-0.2728506</v>
      </c>
      <c r="Z2697">
        <v>2.9740019999999999E-2</v>
      </c>
      <c r="AA2697">
        <v>0.96159660000000002</v>
      </c>
      <c r="AB2697">
        <v>33</v>
      </c>
      <c r="AC2697">
        <v>12.053299999999901</v>
      </c>
      <c r="AD2697">
        <v>-1.1153363562850001</v>
      </c>
      <c r="AE2697">
        <v>1.0744199999999799</v>
      </c>
      <c r="AF2697">
        <v>-3.3667872882038199</v>
      </c>
      <c r="AG2697">
        <v>-1.1153363562850001</v>
      </c>
      <c r="AH2697">
        <v>11.517141986996499</v>
      </c>
      <c r="AI2697">
        <v>95.310453183992905</v>
      </c>
      <c r="AJ2697">
        <v>106.29513867823501</v>
      </c>
      <c r="AK2697">
        <v>12.050883427379899</v>
      </c>
      <c r="AL2697">
        <v>83.218479498661594</v>
      </c>
      <c r="AM2697">
        <v>95.2067526827649</v>
      </c>
      <c r="AN2697">
        <v>0.99999997561801501</v>
      </c>
    </row>
    <row r="2698" spans="1:40" x14ac:dyDescent="0.3">
      <c r="A2698" t="str">
        <f>"20200111150409337"</f>
        <v>20200111150409337</v>
      </c>
      <c r="B2698" t="str">
        <f>"1578726249330878"</f>
        <v>1578726249330878</v>
      </c>
      <c r="C2698" t="s">
        <v>40</v>
      </c>
      <c r="D2698">
        <v>5.270613</v>
      </c>
      <c r="E2698">
        <v>0.42716670000000001</v>
      </c>
      <c r="F2698" t="s">
        <v>41</v>
      </c>
      <c r="G2698">
        <v>-270.8503</v>
      </c>
      <c r="H2698" s="1">
        <v>-1.1385669999999999E-6</v>
      </c>
      <c r="I2698">
        <v>-54.900260000000003</v>
      </c>
      <c r="J2698">
        <v>-283.36869999999999</v>
      </c>
      <c r="K2698">
        <v>1.1151610000000001</v>
      </c>
      <c r="L2698">
        <v>-55.992370000000001</v>
      </c>
      <c r="M2698">
        <v>0.98204919999999996</v>
      </c>
      <c r="N2698">
        <v>0</v>
      </c>
      <c r="O2698">
        <v>-0.18818360000000001</v>
      </c>
      <c r="P2698">
        <v>0.98863140000000005</v>
      </c>
      <c r="Q2698">
        <v>0.1088213</v>
      </c>
      <c r="R2698">
        <v>-0.1037612</v>
      </c>
      <c r="S2698">
        <v>3.0931700000000002</v>
      </c>
      <c r="T2698">
        <v>-0.2719897</v>
      </c>
      <c r="U2698">
        <v>0.25958249999999999</v>
      </c>
      <c r="V2698">
        <v>-8.7543640000000006E-2</v>
      </c>
      <c r="W2698">
        <v>0.1191784</v>
      </c>
      <c r="X2698">
        <v>0.98900589999999999</v>
      </c>
      <c r="Y2698">
        <v>-0.26792480000000002</v>
      </c>
      <c r="Z2698">
        <v>2.8182659999999998E-2</v>
      </c>
      <c r="AA2698">
        <v>0.96302750000000004</v>
      </c>
      <c r="AB2698">
        <v>33</v>
      </c>
      <c r="AC2698">
        <v>12.5183999999999</v>
      </c>
      <c r="AD2698">
        <v>-1.1151621385670001</v>
      </c>
      <c r="AE2698">
        <v>1.0921099999999899</v>
      </c>
      <c r="AF2698">
        <v>-3.40175743125539</v>
      </c>
      <c r="AG2698">
        <v>-1.1151621385670001</v>
      </c>
      <c r="AH2698">
        <v>11.994706856427801</v>
      </c>
      <c r="AI2698">
        <v>95.111144939386406</v>
      </c>
      <c r="AJ2698">
        <v>105.833595359469</v>
      </c>
      <c r="AK2698">
        <v>12.5175290208583</v>
      </c>
      <c r="AL2698">
        <v>83.1553120789508</v>
      </c>
      <c r="AM2698">
        <v>95.058455317419799</v>
      </c>
      <c r="AN2698">
        <v>1.0000000250829</v>
      </c>
    </row>
    <row r="2699" spans="1:40" x14ac:dyDescent="0.3">
      <c r="A2699" t="str">
        <f>"20200111150409349"</f>
        <v>20200111150409349</v>
      </c>
      <c r="B2699" t="str">
        <f>"1578726249341614"</f>
        <v>1578726249341614</v>
      </c>
      <c r="C2699" t="s">
        <v>40</v>
      </c>
      <c r="D2699">
        <v>5.2656559999999999</v>
      </c>
      <c r="E2699">
        <v>0.42812299999999998</v>
      </c>
      <c r="F2699" t="s">
        <v>41</v>
      </c>
      <c r="G2699">
        <v>-270.57389999999998</v>
      </c>
      <c r="H2699" s="1">
        <v>-1.0438550000000001E-6</v>
      </c>
      <c r="I2699">
        <v>-54.902470000000001</v>
      </c>
      <c r="J2699">
        <v>-283.2002</v>
      </c>
      <c r="K2699">
        <v>1.114987</v>
      </c>
      <c r="L2699">
        <v>-56.020049999999998</v>
      </c>
      <c r="M2699">
        <v>0.98320010000000002</v>
      </c>
      <c r="N2699">
        <v>0</v>
      </c>
      <c r="O2699">
        <v>-0.1820775</v>
      </c>
      <c r="P2699">
        <v>0.98885789999999996</v>
      </c>
      <c r="Q2699">
        <v>0.10994329999999999</v>
      </c>
      <c r="R2699">
        <v>-0.1003627</v>
      </c>
      <c r="S2699">
        <v>3.0917659999999998</v>
      </c>
      <c r="T2699">
        <v>-0.26947159999999998</v>
      </c>
      <c r="U2699">
        <v>0.26336670000000001</v>
      </c>
      <c r="V2699">
        <v>-8.4746139999999998E-2</v>
      </c>
      <c r="W2699">
        <v>0.1203813</v>
      </c>
      <c r="X2699">
        <v>0.98910390000000004</v>
      </c>
      <c r="Y2699">
        <v>-0.26321549999999999</v>
      </c>
      <c r="Z2699">
        <v>2.7204550000000001E-2</v>
      </c>
      <c r="AA2699">
        <v>0.96435340000000003</v>
      </c>
      <c r="AB2699">
        <v>33</v>
      </c>
      <c r="AC2699">
        <v>12.626300000000001</v>
      </c>
      <c r="AD2699">
        <v>-1.1149880438549999</v>
      </c>
      <c r="AE2699">
        <v>1.11758</v>
      </c>
      <c r="AF2699">
        <v>-3.3719604007850101</v>
      </c>
      <c r="AG2699">
        <v>-1.1149880438549999</v>
      </c>
      <c r="AH2699">
        <v>12.117940662472501</v>
      </c>
      <c r="AI2699">
        <v>95.065658404210694</v>
      </c>
      <c r="AJ2699">
        <v>105.549855490605</v>
      </c>
      <c r="AK2699">
        <v>12.627660162579801</v>
      </c>
      <c r="AL2699">
        <v>83.0858913263951</v>
      </c>
      <c r="AM2699">
        <v>94.897126123536694</v>
      </c>
      <c r="AN2699">
        <v>1.0000000453148901</v>
      </c>
    </row>
    <row r="2700" spans="1:40" x14ac:dyDescent="0.3">
      <c r="A2700" t="str">
        <f>"20200111150409359"</f>
        <v>20200111150409359</v>
      </c>
      <c r="B2700" t="str">
        <f>"1578726249351375"</f>
        <v>1578726249351375</v>
      </c>
      <c r="C2700" t="s">
        <v>40</v>
      </c>
      <c r="D2700">
        <v>5.2933349999999999</v>
      </c>
      <c r="E2700">
        <v>0.42868919999999999</v>
      </c>
      <c r="F2700" t="s">
        <v>41</v>
      </c>
      <c r="G2700">
        <v>-270.3306</v>
      </c>
      <c r="H2700" s="1">
        <v>-9.5891190000000001E-7</v>
      </c>
      <c r="I2700">
        <v>-54.909399999999998</v>
      </c>
      <c r="J2700">
        <v>-283.04939999999999</v>
      </c>
      <c r="K2700">
        <v>1.114827</v>
      </c>
      <c r="L2700">
        <v>-56.043370000000003</v>
      </c>
      <c r="M2700">
        <v>0.98416119999999996</v>
      </c>
      <c r="N2700">
        <v>0</v>
      </c>
      <c r="O2700">
        <v>-0.17681050000000001</v>
      </c>
      <c r="P2700">
        <v>0.98903240000000003</v>
      </c>
      <c r="Q2700">
        <v>0.1111148</v>
      </c>
      <c r="R2700">
        <v>-9.7305059999999999E-2</v>
      </c>
      <c r="S2700">
        <v>3.0906370000000001</v>
      </c>
      <c r="T2700">
        <v>-0.26776549999999999</v>
      </c>
      <c r="U2700">
        <v>0.26672360000000001</v>
      </c>
      <c r="V2700">
        <v>-8.2463889999999998E-2</v>
      </c>
      <c r="W2700">
        <v>0.1216148</v>
      </c>
      <c r="X2700">
        <v>0.98914590000000002</v>
      </c>
      <c r="Y2700">
        <v>-0.25917410000000002</v>
      </c>
      <c r="Z2700">
        <v>2.6416709999999999E-2</v>
      </c>
      <c r="AA2700">
        <v>0.96546929999999997</v>
      </c>
      <c r="AB2700">
        <v>33</v>
      </c>
      <c r="AC2700">
        <v>12.7187999999999</v>
      </c>
      <c r="AD2700">
        <v>-1.1148279589118999</v>
      </c>
      <c r="AE2700">
        <v>1.1339699999999899</v>
      </c>
      <c r="AF2700">
        <v>-3.3396481921941401</v>
      </c>
      <c r="AG2700">
        <v>-1.1148279589118999</v>
      </c>
      <c r="AH2700">
        <v>12.224686595005201</v>
      </c>
      <c r="AI2700">
        <v>95.027432529813296</v>
      </c>
      <c r="AJ2700">
        <v>105.27973186270199</v>
      </c>
      <c r="AK2700">
        <v>12.721597925248901</v>
      </c>
      <c r="AL2700">
        <v>83.014693782325494</v>
      </c>
      <c r="AM2700">
        <v>94.765658799581601</v>
      </c>
      <c r="AN2700">
        <v>1.0000000321098901</v>
      </c>
    </row>
    <row r="2701" spans="1:40" x14ac:dyDescent="0.3">
      <c r="A2701" t="str">
        <f>"20200111150409370"</f>
        <v>20200111150409370</v>
      </c>
      <c r="B2701" t="str">
        <f>"1578726249361134"</f>
        <v>1578726249361134</v>
      </c>
      <c r="C2701" t="s">
        <v>40</v>
      </c>
      <c r="D2701">
        <v>5.3350860000000004</v>
      </c>
      <c r="E2701">
        <v>0.4291778</v>
      </c>
      <c r="F2701" t="s">
        <v>41</v>
      </c>
      <c r="G2701">
        <v>-270.0924</v>
      </c>
      <c r="H2701" s="1">
        <v>-8.7995069999999898E-7</v>
      </c>
      <c r="I2701">
        <v>-54.902639999999998</v>
      </c>
      <c r="J2701">
        <v>-282.89179999999999</v>
      </c>
      <c r="K2701">
        <v>1.1146609999999999</v>
      </c>
      <c r="L2701">
        <v>-56.067469999999901</v>
      </c>
      <c r="M2701">
        <v>0.98512980000000006</v>
      </c>
      <c r="N2701">
        <v>0</v>
      </c>
      <c r="O2701">
        <v>-0.1713344</v>
      </c>
      <c r="P2701">
        <v>0.98928749999999999</v>
      </c>
      <c r="Q2701">
        <v>0.11203349999999999</v>
      </c>
      <c r="R2701">
        <v>-9.3587219999999999E-2</v>
      </c>
      <c r="S2701">
        <v>3.0899049999999999</v>
      </c>
      <c r="T2701">
        <v>-0.26585730000000002</v>
      </c>
      <c r="U2701">
        <v>0.27203369999999999</v>
      </c>
      <c r="V2701">
        <v>-8.063157E-2</v>
      </c>
      <c r="W2701">
        <v>0.1225826</v>
      </c>
      <c r="X2701">
        <v>0.98917750000000004</v>
      </c>
      <c r="Y2701">
        <v>-0.25552510000000001</v>
      </c>
      <c r="Z2701">
        <v>2.5611809999999999E-2</v>
      </c>
      <c r="AA2701">
        <v>0.96646310000000002</v>
      </c>
      <c r="AB2701">
        <v>33</v>
      </c>
      <c r="AC2701">
        <v>12.799399999999901</v>
      </c>
      <c r="AD2701">
        <v>-1.1146618799507</v>
      </c>
      <c r="AE2701">
        <v>1.16482999999998</v>
      </c>
      <c r="AF2701">
        <v>-3.3158187756578301</v>
      </c>
      <c r="AG2701">
        <v>-1.1146618799507</v>
      </c>
      <c r="AH2701">
        <v>12.317858231800299</v>
      </c>
      <c r="AI2701">
        <v>94.993877583470393</v>
      </c>
      <c r="AJ2701">
        <v>105.066199588874</v>
      </c>
      <c r="AK2701">
        <v>12.8049504754353</v>
      </c>
      <c r="AL2701">
        <v>82.958824935398695</v>
      </c>
      <c r="AM2701">
        <v>94.660090908082694</v>
      </c>
      <c r="AN2701">
        <v>1.0000000352048299</v>
      </c>
    </row>
    <row r="2702" spans="1:40" x14ac:dyDescent="0.3">
      <c r="A2702" t="str">
        <f>"20200111150409381"</f>
        <v>20200111150409381</v>
      </c>
      <c r="B2702" t="str">
        <f>"1578726249371871"</f>
        <v>1578726249371871</v>
      </c>
      <c r="C2702" t="s">
        <v>40</v>
      </c>
      <c r="D2702">
        <v>5.3223240000000001</v>
      </c>
      <c r="E2702">
        <v>0.42968830000000002</v>
      </c>
      <c r="F2702" t="s">
        <v>81</v>
      </c>
      <c r="G2702">
        <v>-269.81200000000001</v>
      </c>
      <c r="H2702" s="1">
        <v>-4.1907950000000003E-6</v>
      </c>
      <c r="I2702">
        <v>-54.8801699999999</v>
      </c>
      <c r="J2702">
        <v>-282.72190000000001</v>
      </c>
      <c r="K2702">
        <v>1.1144829999999999</v>
      </c>
      <c r="L2702">
        <v>-56.092100000000002</v>
      </c>
      <c r="M2702">
        <v>0.98610929999999997</v>
      </c>
      <c r="N2702">
        <v>0</v>
      </c>
      <c r="O2702">
        <v>-0.16560710000000001</v>
      </c>
      <c r="P2702">
        <v>0.9895465</v>
      </c>
      <c r="Q2702">
        <v>0.1131066</v>
      </c>
      <c r="R2702">
        <v>-8.9469889999999996E-2</v>
      </c>
      <c r="S2702">
        <v>3.0888059999999999</v>
      </c>
      <c r="T2702">
        <v>-0.26322790000000001</v>
      </c>
      <c r="U2702">
        <v>0.28036499999999998</v>
      </c>
      <c r="V2702">
        <v>-7.8949759999999994E-2</v>
      </c>
      <c r="W2702">
        <v>0.1236975</v>
      </c>
      <c r="X2702">
        <v>0.98917429999999995</v>
      </c>
      <c r="Y2702">
        <v>-0.25258560000000002</v>
      </c>
      <c r="Z2702">
        <v>2.475863E-2</v>
      </c>
      <c r="AA2702">
        <v>0.9672577</v>
      </c>
      <c r="AB2702">
        <v>33</v>
      </c>
      <c r="AC2702">
        <v>12.909899999999899</v>
      </c>
      <c r="AD2702">
        <v>-1.11448719079499</v>
      </c>
      <c r="AE2702">
        <v>1.21193</v>
      </c>
      <c r="AF2702">
        <v>-3.3088935371700399</v>
      </c>
      <c r="AG2702">
        <v>-1.11448719079499</v>
      </c>
      <c r="AH2702">
        <v>12.4389955881602</v>
      </c>
      <c r="AI2702">
        <v>94.948622254793705</v>
      </c>
      <c r="AJ2702">
        <v>104.89626925736199</v>
      </c>
      <c r="AK2702">
        <v>12.919731784408</v>
      </c>
      <c r="AL2702">
        <v>82.894455482264604</v>
      </c>
      <c r="AM2702">
        <v>94.563320487661301</v>
      </c>
      <c r="AN2702">
        <v>0.99999996594539797</v>
      </c>
    </row>
    <row r="2703" spans="1:40" x14ac:dyDescent="0.3">
      <c r="A2703" t="str">
        <f>"20200111150409393"</f>
        <v>20200111150409393</v>
      </c>
      <c r="B2703" t="str">
        <f>"1578726249381630"</f>
        <v>1578726249381630</v>
      </c>
      <c r="C2703" t="s">
        <v>40</v>
      </c>
      <c r="D2703">
        <v>5.3515449999999998</v>
      </c>
      <c r="E2703">
        <v>0.43019740000000001</v>
      </c>
      <c r="F2703" t="s">
        <v>81</v>
      </c>
      <c r="G2703">
        <v>-269.49889999999999</v>
      </c>
      <c r="H2703" s="1">
        <v>-4.0618410000000003E-6</v>
      </c>
      <c r="I2703">
        <v>-54.849919999999997</v>
      </c>
      <c r="J2703">
        <v>-282.5702</v>
      </c>
      <c r="K2703">
        <v>1.1143259999999999</v>
      </c>
      <c r="L2703">
        <v>-56.11356</v>
      </c>
      <c r="M2703">
        <v>0.98694300000000001</v>
      </c>
      <c r="N2703">
        <v>0</v>
      </c>
      <c r="O2703">
        <v>-0.16056619999999999</v>
      </c>
      <c r="P2703">
        <v>0.98971500000000001</v>
      </c>
      <c r="Q2703">
        <v>0.114107</v>
      </c>
      <c r="R2703">
        <v>-8.6277629999999994E-2</v>
      </c>
      <c r="S2703">
        <v>3.0876459999999999</v>
      </c>
      <c r="T2703">
        <v>-0.26023839999999998</v>
      </c>
      <c r="U2703">
        <v>0.29003909999999899</v>
      </c>
      <c r="V2703">
        <v>-7.7040490000000003E-2</v>
      </c>
      <c r="W2703">
        <v>0.124746</v>
      </c>
      <c r="X2703">
        <v>0.98919319999999999</v>
      </c>
      <c r="Y2703">
        <v>-0.25073780000000001</v>
      </c>
      <c r="Z2703">
        <v>2.3986879999999999E-2</v>
      </c>
      <c r="AA2703">
        <v>0.9677578</v>
      </c>
      <c r="AB2703">
        <v>33</v>
      </c>
      <c r="AC2703">
        <v>13.071300000000001</v>
      </c>
      <c r="AD2703">
        <v>-1.1143300618409999</v>
      </c>
      <c r="AE2703">
        <v>1.2636400000000001</v>
      </c>
      <c r="AF2703">
        <v>-3.3222991644289799</v>
      </c>
      <c r="AG2703">
        <v>-1.1143300618409999</v>
      </c>
      <c r="AH2703">
        <v>12.6079777249978</v>
      </c>
      <c r="AI2703">
        <v>94.884943025729001</v>
      </c>
      <c r="AJ2703">
        <v>104.76230530479</v>
      </c>
      <c r="AK2703">
        <v>13.0858895585562</v>
      </c>
      <c r="AL2703">
        <v>82.833912115161695</v>
      </c>
      <c r="AM2703">
        <v>94.453328748463505</v>
      </c>
      <c r="AN2703">
        <v>0.99999999427083996</v>
      </c>
    </row>
    <row r="2704" spans="1:40" x14ac:dyDescent="0.3">
      <c r="A2704" t="str">
        <f>"20200111150409404"</f>
        <v>20200111150409404</v>
      </c>
      <c r="B2704" t="str">
        <f>"1578726249401150"</f>
        <v>1578726249401150</v>
      </c>
      <c r="C2704" t="s">
        <v>40</v>
      </c>
      <c r="D2704">
        <v>5.3658590000000004</v>
      </c>
      <c r="E2704">
        <v>0.43119229999999997</v>
      </c>
      <c r="F2704" t="s">
        <v>81</v>
      </c>
      <c r="G2704">
        <v>-269.19150000000002</v>
      </c>
      <c r="H2704" s="1">
        <v>-3.9342280000000003E-6</v>
      </c>
      <c r="I2704">
        <v>-54.826079999999997</v>
      </c>
      <c r="J2704">
        <v>-282.40449999999998</v>
      </c>
      <c r="K2704">
        <v>1.1141529999999999</v>
      </c>
      <c r="L2704">
        <v>-56.136020000000002</v>
      </c>
      <c r="M2704">
        <v>0.98780380000000001</v>
      </c>
      <c r="N2704">
        <v>0</v>
      </c>
      <c r="O2704">
        <v>-0.15518570000000001</v>
      </c>
      <c r="P2704">
        <v>0.98991790000000002</v>
      </c>
      <c r="Q2704">
        <v>0.11509709999999999</v>
      </c>
      <c r="R2704">
        <v>-8.255477E-2</v>
      </c>
      <c r="S2704">
        <v>3.0867</v>
      </c>
      <c r="T2704">
        <v>-0.25709609999999999</v>
      </c>
      <c r="U2704">
        <v>0.2970276</v>
      </c>
      <c r="V2704">
        <v>-7.5320150000000002E-2</v>
      </c>
      <c r="W2704">
        <v>0.12577730000000001</v>
      </c>
      <c r="X2704">
        <v>0.98919509999999999</v>
      </c>
      <c r="Y2704">
        <v>-0.24772530000000001</v>
      </c>
      <c r="Z2704">
        <v>2.3134769999999999E-2</v>
      </c>
      <c r="AA2704">
        <v>0.96855400000000003</v>
      </c>
      <c r="AB2704">
        <v>33</v>
      </c>
      <c r="AC2704">
        <v>13.2129999999999</v>
      </c>
      <c r="AD2704">
        <v>-1.114156934228</v>
      </c>
      <c r="AE2704">
        <v>1.3099399999999899</v>
      </c>
      <c r="AF2704">
        <v>-3.3213159049790102</v>
      </c>
      <c r="AG2704">
        <v>-1.114156934228</v>
      </c>
      <c r="AH2704">
        <v>12.7597593435862</v>
      </c>
      <c r="AI2704">
        <v>94.830147252339501</v>
      </c>
      <c r="AJ2704">
        <v>104.590107404904</v>
      </c>
      <c r="AK2704">
        <v>13.231928941805499</v>
      </c>
      <c r="AL2704">
        <v>82.774353920387597</v>
      </c>
      <c r="AM2704">
        <v>94.354262879954902</v>
      </c>
      <c r="AN2704">
        <v>1.0000000000276601</v>
      </c>
    </row>
    <row r="2705" spans="1:40" x14ac:dyDescent="0.3">
      <c r="A2705" t="str">
        <f>"20200111150409415"</f>
        <v>20200111150409415</v>
      </c>
      <c r="B2705" t="str">
        <f>"1578726249410910"</f>
        <v>1578726249410910</v>
      </c>
      <c r="C2705" t="s">
        <v>40</v>
      </c>
      <c r="D2705">
        <v>5.3513739999999999</v>
      </c>
      <c r="E2705">
        <v>0.43147469999999999</v>
      </c>
      <c r="F2705" t="s">
        <v>81</v>
      </c>
      <c r="G2705">
        <v>-268.81049999999999</v>
      </c>
      <c r="H2705" s="1">
        <v>-3.7741180000000001E-6</v>
      </c>
      <c r="I2705">
        <v>-54.807250000000003</v>
      </c>
      <c r="J2705">
        <v>-282.24110000000002</v>
      </c>
      <c r="K2705">
        <v>1.113982</v>
      </c>
      <c r="L2705">
        <v>-56.157319999999999</v>
      </c>
      <c r="M2705">
        <v>0.98860420000000004</v>
      </c>
      <c r="N2705">
        <v>0</v>
      </c>
      <c r="O2705">
        <v>-0.15000559999999999</v>
      </c>
      <c r="P2705">
        <v>0.99017390000000005</v>
      </c>
      <c r="Q2705">
        <v>0.11572449999999999</v>
      </c>
      <c r="R2705">
        <v>-7.8509770000000006E-2</v>
      </c>
      <c r="S2705">
        <v>3.0851139999999999</v>
      </c>
      <c r="T2705">
        <v>-0.25285540000000001</v>
      </c>
      <c r="U2705">
        <v>0.30154419999999998</v>
      </c>
      <c r="V2705">
        <v>-7.4123350000000005E-2</v>
      </c>
      <c r="W2705">
        <v>0.12643199999999999</v>
      </c>
      <c r="X2705">
        <v>0.98920200000000003</v>
      </c>
      <c r="Y2705">
        <v>-0.2441721</v>
      </c>
      <c r="Z2705">
        <v>2.2199119999999999E-2</v>
      </c>
      <c r="AA2705">
        <v>0.96947779999999995</v>
      </c>
      <c r="AB2705">
        <v>33</v>
      </c>
      <c r="AC2705">
        <v>13.4306</v>
      </c>
      <c r="AD2705">
        <v>-1.1139857741179999</v>
      </c>
      <c r="AE2705">
        <v>1.3500699999999899</v>
      </c>
      <c r="AF2705">
        <v>-3.32695870033566</v>
      </c>
      <c r="AG2705">
        <v>-1.1139857741179999</v>
      </c>
      <c r="AH2705">
        <v>12.9876191179619</v>
      </c>
      <c r="AI2705">
        <v>94.749797504845702</v>
      </c>
      <c r="AJ2705">
        <v>104.368147470203</v>
      </c>
      <c r="AK2705">
        <v>13.453173188951601</v>
      </c>
      <c r="AL2705">
        <v>82.736540208234999</v>
      </c>
      <c r="AM2705">
        <v>94.285305814592903</v>
      </c>
      <c r="AN2705">
        <v>0.99999995922161</v>
      </c>
    </row>
    <row r="2706" spans="1:40" x14ac:dyDescent="0.3">
      <c r="A2706" t="str">
        <f>"20200111150409426"</f>
        <v>20200111150409426</v>
      </c>
      <c r="B2706" t="str">
        <f>"1578726249421646"</f>
        <v>1578726249421646</v>
      </c>
      <c r="C2706" t="s">
        <v>40</v>
      </c>
      <c r="D2706">
        <v>5.4090749999999996</v>
      </c>
      <c r="E2706">
        <v>0.43182969999999998</v>
      </c>
      <c r="F2706" t="s">
        <v>81</v>
      </c>
      <c r="G2706">
        <v>-268.53969999999998</v>
      </c>
      <c r="H2706" s="1">
        <v>-3.6643830000000002E-6</v>
      </c>
      <c r="I2706">
        <v>-54.77084</v>
      </c>
      <c r="J2706">
        <v>-282.07870000000003</v>
      </c>
      <c r="K2706">
        <v>1.113804</v>
      </c>
      <c r="L2706">
        <v>-56.177860000000003</v>
      </c>
      <c r="M2706">
        <v>0.98935910000000005</v>
      </c>
      <c r="N2706">
        <v>0</v>
      </c>
      <c r="O2706">
        <v>-0.1449455</v>
      </c>
      <c r="P2706">
        <v>0.99044900000000002</v>
      </c>
      <c r="Q2706">
        <v>0.11607779999999999</v>
      </c>
      <c r="R2706">
        <v>-7.4409630000000004E-2</v>
      </c>
      <c r="S2706">
        <v>3.0838009999999998</v>
      </c>
      <c r="T2706">
        <v>-0.25072709999999998</v>
      </c>
      <c r="U2706">
        <v>0.31204219999999999</v>
      </c>
      <c r="V2706">
        <v>-7.3101379999999994E-2</v>
      </c>
      <c r="W2706">
        <v>0.12680939999999999</v>
      </c>
      <c r="X2706">
        <v>0.98922980000000005</v>
      </c>
      <c r="Y2706">
        <v>-0.2425628</v>
      </c>
      <c r="Z2706">
        <v>2.1546280000000001E-2</v>
      </c>
      <c r="AA2706">
        <v>0.96989639999999999</v>
      </c>
      <c r="AB2706">
        <v>33</v>
      </c>
      <c r="AC2706">
        <v>13.539</v>
      </c>
      <c r="AD2706">
        <v>-1.1138076643829999</v>
      </c>
      <c r="AE2706">
        <v>1.4070199999999899</v>
      </c>
      <c r="AF2706">
        <v>-3.33242033740592</v>
      </c>
      <c r="AG2706">
        <v>-1.1138076643829999</v>
      </c>
      <c r="AH2706">
        <v>13.104303260313401</v>
      </c>
      <c r="AI2706">
        <v>94.709039283864897</v>
      </c>
      <c r="AJ2706">
        <v>104.267870873923</v>
      </c>
      <c r="AK2706">
        <v>13.567179395757099</v>
      </c>
      <c r="AL2706">
        <v>82.714741744495797</v>
      </c>
      <c r="AM2706">
        <v>94.226319727583999</v>
      </c>
      <c r="AN2706">
        <v>1.0000000164471501</v>
      </c>
    </row>
    <row r="2707" spans="1:40" x14ac:dyDescent="0.3">
      <c r="A2707" t="str">
        <f>"20200111150409438"</f>
        <v>20200111150409438</v>
      </c>
      <c r="B2707" t="str">
        <f>"1578726249431406"</f>
        <v>1578726249431406</v>
      </c>
      <c r="C2707" t="s">
        <v>40</v>
      </c>
      <c r="D2707">
        <v>5.4038519999999997</v>
      </c>
      <c r="E2707">
        <v>0.43217549999999999</v>
      </c>
      <c r="F2707" t="s">
        <v>41</v>
      </c>
      <c r="G2707">
        <v>-268.37040000000002</v>
      </c>
      <c r="H2707" s="1">
        <v>-3.596048E-6</v>
      </c>
      <c r="I2707">
        <v>-54.746769999999998</v>
      </c>
      <c r="J2707">
        <v>-281.90859999999998</v>
      </c>
      <c r="K2707">
        <v>1.1136090000000001</v>
      </c>
      <c r="L2707">
        <v>-56.198270000000001</v>
      </c>
      <c r="M2707">
        <v>0.99009559999999996</v>
      </c>
      <c r="N2707">
        <v>0</v>
      </c>
      <c r="O2707">
        <v>-0.139829799999999</v>
      </c>
      <c r="P2707">
        <v>0.99081770000000002</v>
      </c>
      <c r="Q2707">
        <v>0.1158565</v>
      </c>
      <c r="R2707">
        <v>-6.9697750000000003E-2</v>
      </c>
      <c r="S2707">
        <v>3.0824280000000002</v>
      </c>
      <c r="T2707">
        <v>-0.25044909999999998</v>
      </c>
      <c r="U2707">
        <v>0.32177729999999999</v>
      </c>
      <c r="V2707">
        <v>-7.2628349999999994E-2</v>
      </c>
      <c r="W2707">
        <v>0.12659799999999999</v>
      </c>
      <c r="X2707">
        <v>0.9892917</v>
      </c>
      <c r="Y2707">
        <v>-0.2406489</v>
      </c>
      <c r="Z2707">
        <v>2.103957E-2</v>
      </c>
      <c r="AA2707">
        <v>0.97038420000000003</v>
      </c>
      <c r="AB2707">
        <v>33</v>
      </c>
      <c r="AC2707">
        <v>13.5381999999999</v>
      </c>
      <c r="AD2707">
        <v>-1.1136125960479999</v>
      </c>
      <c r="AE2707">
        <v>1.45149999999999</v>
      </c>
      <c r="AF2707">
        <v>-3.3083009081052701</v>
      </c>
      <c r="AG2707">
        <v>-1.1136125960479999</v>
      </c>
      <c r="AH2707">
        <v>13.114467484916799</v>
      </c>
      <c r="AI2707">
        <v>94.706855986866501</v>
      </c>
      <c r="AJ2707">
        <v>104.158236241392</v>
      </c>
      <c r="AK2707">
        <v>13.5710812143169</v>
      </c>
      <c r="AL2707">
        <v>82.726952357529299</v>
      </c>
      <c r="AM2707">
        <v>94.198808075426498</v>
      </c>
      <c r="AN2707">
        <v>0.99999999925830596</v>
      </c>
    </row>
    <row r="2708" spans="1:40" x14ac:dyDescent="0.3">
      <c r="A2708" t="str">
        <f>"20200111150409449"</f>
        <v>20200111150409449</v>
      </c>
      <c r="B2708" t="str">
        <f>"1578726249441167"</f>
        <v>1578726249441167</v>
      </c>
      <c r="C2708" t="s">
        <v>40</v>
      </c>
      <c r="D2708">
        <v>5.3847880000000004</v>
      </c>
      <c r="E2708">
        <v>0.43250300000000003</v>
      </c>
      <c r="F2708" t="s">
        <v>41</v>
      </c>
      <c r="G2708">
        <v>-268.30810000000002</v>
      </c>
      <c r="H2708" s="1">
        <v>-3.5727760000000001E-6</v>
      </c>
      <c r="I2708">
        <v>-54.727130000000002</v>
      </c>
      <c r="J2708">
        <v>-281.74299999999999</v>
      </c>
      <c r="K2708">
        <v>1.1134170000000001</v>
      </c>
      <c r="L2708">
        <v>-56.217739999999999</v>
      </c>
      <c r="M2708">
        <v>0.99077850000000001</v>
      </c>
      <c r="N2708">
        <v>0</v>
      </c>
      <c r="O2708">
        <v>-0.13490849999999999</v>
      </c>
      <c r="P2708">
        <v>0.99119880000000005</v>
      </c>
      <c r="Q2708">
        <v>0.11541949999999999</v>
      </c>
      <c r="R2708">
        <v>-6.4832539999999994E-2</v>
      </c>
      <c r="S2708">
        <v>3.0807190000000002</v>
      </c>
      <c r="T2708">
        <v>-0.25224999999999997</v>
      </c>
      <c r="U2708">
        <v>0.3332214</v>
      </c>
      <c r="V2708">
        <v>-7.2502670000000005E-2</v>
      </c>
      <c r="W2708">
        <v>0.12616379999999999</v>
      </c>
      <c r="X2708">
        <v>0.98935640000000002</v>
      </c>
      <c r="Y2708">
        <v>-0.239449</v>
      </c>
      <c r="Z2708">
        <v>2.074997E-2</v>
      </c>
      <c r="AA2708">
        <v>0.97068719999999997</v>
      </c>
      <c r="AB2708">
        <v>33</v>
      </c>
      <c r="AC2708">
        <v>13.434899999999899</v>
      </c>
      <c r="AD2708">
        <v>-1.113420572776</v>
      </c>
      <c r="AE2708">
        <v>1.49060999999999</v>
      </c>
      <c r="AF2708">
        <v>-3.2674370208619501</v>
      </c>
      <c r="AG2708">
        <v>-1.113420572776</v>
      </c>
      <c r="AH2708">
        <v>13.0225922075547</v>
      </c>
      <c r="AI2708">
        <v>94.740615061035996</v>
      </c>
      <c r="AJ2708">
        <v>104.085050171387</v>
      </c>
      <c r="AK2708">
        <v>13.4723330519047</v>
      </c>
      <c r="AL2708">
        <v>82.752031380002506</v>
      </c>
      <c r="AM2708">
        <v>94.191295015770706</v>
      </c>
      <c r="AN2708">
        <v>1.00000001390426</v>
      </c>
    </row>
    <row r="2709" spans="1:40" x14ac:dyDescent="0.3">
      <c r="A2709" t="str">
        <f>"20200111150409460"</f>
        <v>20200111150409460</v>
      </c>
      <c r="B2709" t="str">
        <f>"1578726249450926"</f>
        <v>1578726249450926</v>
      </c>
      <c r="C2709" t="s">
        <v>40</v>
      </c>
      <c r="D2709">
        <v>5.3979819999999998</v>
      </c>
      <c r="E2709">
        <v>0.43289650000000002</v>
      </c>
      <c r="F2709" t="s">
        <v>81</v>
      </c>
      <c r="G2709">
        <v>-268.27670000000001</v>
      </c>
      <c r="H2709" s="1">
        <v>-3.5627549999999998E-6</v>
      </c>
      <c r="I2709">
        <v>-54.707749999999997</v>
      </c>
      <c r="J2709">
        <v>-281.5795</v>
      </c>
      <c r="K2709">
        <v>1.113205</v>
      </c>
      <c r="L2709">
        <v>-56.235779999999998</v>
      </c>
      <c r="M2709">
        <v>0.99139980000000005</v>
      </c>
      <c r="N2709">
        <v>0</v>
      </c>
      <c r="O2709">
        <v>-0.13026860000000001</v>
      </c>
      <c r="P2709">
        <v>0.99154059999999999</v>
      </c>
      <c r="Q2709">
        <v>0.1152205</v>
      </c>
      <c r="R2709">
        <v>-5.976364E-2</v>
      </c>
      <c r="S2709">
        <v>3.078827</v>
      </c>
      <c r="T2709">
        <v>-0.25456299999999998</v>
      </c>
      <c r="U2709">
        <v>0.34521479999999999</v>
      </c>
      <c r="V2709">
        <v>-7.2861259999999997E-2</v>
      </c>
      <c r="W2709">
        <v>0.12595609999999999</v>
      </c>
      <c r="X2709">
        <v>0.98935649999999997</v>
      </c>
      <c r="Y2709">
        <v>-0.23869889999999999</v>
      </c>
      <c r="Z2709">
        <v>2.0537099999999999E-2</v>
      </c>
      <c r="AA2709">
        <v>0.97087650000000003</v>
      </c>
      <c r="AB2709">
        <v>33</v>
      </c>
      <c r="AC2709">
        <v>13.3027999999999</v>
      </c>
      <c r="AD2709">
        <v>-1.1132085627549999</v>
      </c>
      <c r="AE2709">
        <v>1.52803</v>
      </c>
      <c r="AF2709">
        <v>-3.2257848711833099</v>
      </c>
      <c r="AG2709">
        <v>-1.1132085627549999</v>
      </c>
      <c r="AH2709">
        <v>12.9011886707922</v>
      </c>
      <c r="AI2709">
        <v>94.785086066169697</v>
      </c>
      <c r="AJ2709">
        <v>104.038281992557</v>
      </c>
      <c r="AK2709">
        <v>13.344871316679001</v>
      </c>
      <c r="AL2709">
        <v>82.764027259575201</v>
      </c>
      <c r="AM2709">
        <v>94.211949842459106</v>
      </c>
      <c r="AN2709">
        <v>0.99999999321412303</v>
      </c>
    </row>
    <row r="2710" spans="1:40" x14ac:dyDescent="0.3">
      <c r="A2710" t="str">
        <f>"20200111150409471"</f>
        <v>20200111150409471</v>
      </c>
      <c r="B2710" t="str">
        <f>"1578726249461662"</f>
        <v>1578726249461662</v>
      </c>
      <c r="C2710" t="s">
        <v>40</v>
      </c>
      <c r="D2710">
        <v>5.4179120000000003</v>
      </c>
      <c r="E2710">
        <v>0.43289650000000002</v>
      </c>
      <c r="F2710" t="s">
        <v>81</v>
      </c>
      <c r="G2710">
        <v>-268.24549999999999</v>
      </c>
      <c r="H2710" s="1">
        <v>-3.5529240000000001E-6</v>
      </c>
      <c r="I2710">
        <v>-54.687750000000001</v>
      </c>
      <c r="J2710">
        <v>-281.41699999999997</v>
      </c>
      <c r="K2710">
        <v>1.1129929999999999</v>
      </c>
      <c r="L2710">
        <v>-56.253360000000001</v>
      </c>
      <c r="M2710">
        <v>0.99198770000000003</v>
      </c>
      <c r="N2710">
        <v>0</v>
      </c>
      <c r="O2710">
        <v>-0.1257171</v>
      </c>
      <c r="P2710">
        <v>0.99180020000000002</v>
      </c>
      <c r="Q2710">
        <v>0.115538</v>
      </c>
      <c r="R2710">
        <v>-5.4620929999999998E-2</v>
      </c>
      <c r="S2710">
        <v>3.076965</v>
      </c>
      <c r="T2710">
        <v>-0.25688559999999999</v>
      </c>
      <c r="U2710">
        <v>0.35720829999999998</v>
      </c>
      <c r="V2710">
        <v>-7.3386729999999997E-2</v>
      </c>
      <c r="W2710">
        <v>0.12626270000000001</v>
      </c>
      <c r="X2710">
        <v>0.98927860000000001</v>
      </c>
      <c r="Y2710">
        <v>-0.2380381</v>
      </c>
      <c r="Z2710">
        <v>2.0327830000000002E-2</v>
      </c>
      <c r="AA2710">
        <v>0.97104310000000005</v>
      </c>
      <c r="AB2710">
        <v>33</v>
      </c>
      <c r="AC2710">
        <v>13.1715</v>
      </c>
      <c r="AD2710">
        <v>-1.112996552924</v>
      </c>
      <c r="AE2710">
        <v>1.56560999999999</v>
      </c>
      <c r="AF2710">
        <v>-3.18676089538828</v>
      </c>
      <c r="AG2710">
        <v>-1.112996552924</v>
      </c>
      <c r="AH2710">
        <v>12.780160465035999</v>
      </c>
      <c r="AI2710">
        <v>94.830046524751097</v>
      </c>
      <c r="AJ2710">
        <v>104.00130426401</v>
      </c>
      <c r="AK2710">
        <v>13.2184230467657</v>
      </c>
      <c r="AL2710">
        <v>82.746319155400897</v>
      </c>
      <c r="AM2710">
        <v>94.242548443506905</v>
      </c>
      <c r="AN2710">
        <v>1.0000000149846699</v>
      </c>
    </row>
    <row r="2711" spans="1:40" x14ac:dyDescent="0.3">
      <c r="A2711" t="str">
        <f>"20200111150409482"</f>
        <v>20200111150409482</v>
      </c>
      <c r="B2711" t="str">
        <f>"1578726249471423"</f>
        <v>1578726249471423</v>
      </c>
      <c r="C2711" t="s">
        <v>40</v>
      </c>
      <c r="D2711">
        <v>5.4197759999999997</v>
      </c>
      <c r="E2711">
        <v>0.44520359999999998</v>
      </c>
      <c r="F2711" t="s">
        <v>81</v>
      </c>
      <c r="G2711">
        <v>-268.06380000000001</v>
      </c>
      <c r="H2711" s="1">
        <v>-3.4843689999999998E-6</v>
      </c>
      <c r="I2711">
        <v>-54.634880000000003</v>
      </c>
      <c r="J2711">
        <v>-281.2629</v>
      </c>
      <c r="K2711">
        <v>1.1127880000000001</v>
      </c>
      <c r="L2711">
        <v>-56.26923</v>
      </c>
      <c r="M2711">
        <v>0.99250609999999995</v>
      </c>
      <c r="N2711">
        <v>0</v>
      </c>
      <c r="O2711">
        <v>-0.1215596</v>
      </c>
      <c r="P2711">
        <v>0.9919924</v>
      </c>
      <c r="Q2711">
        <v>0.1159463</v>
      </c>
      <c r="R2711">
        <v>-5.0077940000000001E-2</v>
      </c>
      <c r="S2711">
        <v>3.0751650000000001</v>
      </c>
      <c r="T2711">
        <v>-0.2563182</v>
      </c>
      <c r="U2711">
        <v>0.37271120000000002</v>
      </c>
      <c r="V2711">
        <v>-7.3709819999999995E-2</v>
      </c>
      <c r="W2711">
        <v>0.12666520000000001</v>
      </c>
      <c r="X2711">
        <v>0.9892031</v>
      </c>
      <c r="Y2711">
        <v>-0.23887839999999999</v>
      </c>
      <c r="Z2711">
        <v>1.9980520000000002E-2</v>
      </c>
      <c r="AA2711">
        <v>0.97084389999999998</v>
      </c>
      <c r="AB2711">
        <v>33</v>
      </c>
      <c r="AC2711">
        <v>13.1990999999999</v>
      </c>
      <c r="AD2711">
        <v>-1.1127914843690001</v>
      </c>
      <c r="AE2711">
        <v>1.63435</v>
      </c>
      <c r="AF2711">
        <v>-3.2043971230681598</v>
      </c>
      <c r="AG2711">
        <v>-1.1127914843690001</v>
      </c>
      <c r="AH2711">
        <v>12.8128191965393</v>
      </c>
      <c r="AI2711">
        <v>94.816074834312104</v>
      </c>
      <c r="AJ2711">
        <v>104.041261503632</v>
      </c>
      <c r="AK2711">
        <v>13.2542371177377</v>
      </c>
      <c r="AL2711">
        <v>82.723070779251401</v>
      </c>
      <c r="AM2711">
        <v>94.261481931000006</v>
      </c>
      <c r="AN2711">
        <v>0.99999999175254095</v>
      </c>
    </row>
    <row r="2712" spans="1:40" x14ac:dyDescent="0.3">
      <c r="A2712" t="str">
        <f>"20200111150409493"</f>
        <v>20200111150409493</v>
      </c>
      <c r="B2712" t="str">
        <f>"1578726249481183"</f>
        <v>1578726249481183</v>
      </c>
      <c r="C2712" t="s">
        <v>40</v>
      </c>
      <c r="D2712">
        <v>5.413532</v>
      </c>
      <c r="E2712">
        <v>0.44502789999999998</v>
      </c>
      <c r="F2712" t="s">
        <v>41</v>
      </c>
      <c r="G2712">
        <v>-269.04950000000002</v>
      </c>
      <c r="H2712" s="1">
        <v>-3.820765E-6</v>
      </c>
      <c r="I2712">
        <v>-55.122280000000003</v>
      </c>
      <c r="J2712">
        <v>-281.10270000000003</v>
      </c>
      <c r="K2712">
        <v>1.112573</v>
      </c>
      <c r="L2712">
        <v>-56.285249999999998</v>
      </c>
      <c r="M2712">
        <v>0.99301519999999999</v>
      </c>
      <c r="N2712">
        <v>0</v>
      </c>
      <c r="O2712">
        <v>-0.117332199999999</v>
      </c>
      <c r="P2712">
        <v>0.99211590000000005</v>
      </c>
      <c r="Q2712">
        <v>0.1167291</v>
      </c>
      <c r="R2712">
        <v>-4.5615650000000001E-2</v>
      </c>
      <c r="S2712">
        <v>3.071472</v>
      </c>
      <c r="T2712">
        <v>-0.27985009999999999</v>
      </c>
      <c r="U2712">
        <v>0.2884216</v>
      </c>
      <c r="V2712">
        <v>-7.3882539999999997E-2</v>
      </c>
      <c r="W2712">
        <v>0.12744749999999999</v>
      </c>
      <c r="X2712">
        <v>0.98908969999999896</v>
      </c>
      <c r="Y2712">
        <v>-0.2083342</v>
      </c>
      <c r="Z2712">
        <v>2.009273E-2</v>
      </c>
      <c r="AA2712">
        <v>0.97785129999999998</v>
      </c>
      <c r="AB2712">
        <v>33</v>
      </c>
      <c r="AC2712">
        <v>12.0532</v>
      </c>
      <c r="AD2712">
        <v>-1.112576820765</v>
      </c>
      <c r="AE2712">
        <v>1.1629699999999901</v>
      </c>
      <c r="AF2712">
        <v>-2.5477656392524799</v>
      </c>
      <c r="AG2712">
        <v>-1.112576820765</v>
      </c>
      <c r="AH2712">
        <v>11.734409416467001</v>
      </c>
      <c r="AI2712">
        <v>95.293594721548402</v>
      </c>
      <c r="AJ2712">
        <v>102.24988624897399</v>
      </c>
      <c r="AK2712">
        <v>12.0592413230654</v>
      </c>
      <c r="AL2712">
        <v>82.677881859009602</v>
      </c>
      <c r="AM2712">
        <v>94.271918613227697</v>
      </c>
      <c r="AN2712">
        <v>0.99999996480959497</v>
      </c>
    </row>
    <row r="2713" spans="1:40" x14ac:dyDescent="0.3">
      <c r="A2713" t="str">
        <f>"20200111150409504"</f>
        <v>20200111150409504</v>
      </c>
      <c r="B2713" t="str">
        <f>"1578726249501678"</f>
        <v>1578726249501678</v>
      </c>
      <c r="C2713" t="s">
        <v>40</v>
      </c>
      <c r="D2713">
        <v>5.4501410000000003</v>
      </c>
      <c r="E2713">
        <v>0.44577630000000001</v>
      </c>
      <c r="F2713" t="s">
        <v>41</v>
      </c>
      <c r="G2713">
        <v>-268.58089999999999</v>
      </c>
      <c r="H2713" s="1">
        <v>-3.632815E-6</v>
      </c>
      <c r="I2713">
        <v>-55.0486</v>
      </c>
      <c r="J2713">
        <v>-280.93189999999998</v>
      </c>
      <c r="K2713">
        <v>1.112336</v>
      </c>
      <c r="L2713">
        <v>-56.301639999999999</v>
      </c>
      <c r="M2713">
        <v>0.99352050000000003</v>
      </c>
      <c r="N2713">
        <v>0</v>
      </c>
      <c r="O2713">
        <v>-0.1129777</v>
      </c>
      <c r="P2713">
        <v>0.99220739999999996</v>
      </c>
      <c r="Q2713">
        <v>0.1176474</v>
      </c>
      <c r="R2713">
        <v>-4.1030030000000002E-2</v>
      </c>
      <c r="S2713">
        <v>3.069855</v>
      </c>
      <c r="T2713">
        <v>-0.27276119999999998</v>
      </c>
      <c r="U2713">
        <v>0.30316159999999998</v>
      </c>
      <c r="V2713">
        <v>-7.4045830000000007E-2</v>
      </c>
      <c r="W2713">
        <v>0.12836729999999999</v>
      </c>
      <c r="X2713">
        <v>0.98895849999999996</v>
      </c>
      <c r="Y2713">
        <v>-0.20882880000000001</v>
      </c>
      <c r="Z2713">
        <v>1.9229739999999999E-2</v>
      </c>
      <c r="AA2713">
        <v>0.97776320000000005</v>
      </c>
      <c r="AB2713">
        <v>33</v>
      </c>
      <c r="AC2713">
        <v>12.351000000000001</v>
      </c>
      <c r="AD2713">
        <v>-1.1123396328149999</v>
      </c>
      <c r="AE2713">
        <v>1.2530399999999899</v>
      </c>
      <c r="AF2713">
        <v>-2.6194806129565702</v>
      </c>
      <c r="AG2713">
        <v>-1.1123396328149999</v>
      </c>
      <c r="AH2713">
        <v>12.033724155075801</v>
      </c>
      <c r="AI2713">
        <v>95.160957226939203</v>
      </c>
      <c r="AJ2713">
        <v>102.280474373017</v>
      </c>
      <c r="AK2713">
        <v>12.365657895188701</v>
      </c>
      <c r="AL2713">
        <v>82.624744489241294</v>
      </c>
      <c r="AM2713">
        <v>94.281890909518793</v>
      </c>
      <c r="AN2713">
        <v>0.99999993168596202</v>
      </c>
    </row>
    <row r="2714" spans="1:40" x14ac:dyDescent="0.3">
      <c r="A2714" t="str">
        <f>"20200111150409516"</f>
        <v>20200111150409516</v>
      </c>
      <c r="B2714" t="str">
        <f>"1578726249511438"</f>
        <v>1578726249511438</v>
      </c>
      <c r="C2714" t="s">
        <v>40</v>
      </c>
      <c r="D2714">
        <v>5.4462960000000002</v>
      </c>
      <c r="E2714">
        <v>0.44577109999999898</v>
      </c>
      <c r="F2714" t="s">
        <v>81</v>
      </c>
      <c r="G2714">
        <v>-268.37279999999998</v>
      </c>
      <c r="H2714" s="1">
        <v>-3.5469869999999999E-6</v>
      </c>
      <c r="I2714">
        <v>-55.02908</v>
      </c>
      <c r="J2714">
        <v>-280.76740000000001</v>
      </c>
      <c r="K2714">
        <v>1.1120920000000001</v>
      </c>
      <c r="L2714">
        <v>-56.316769999999998</v>
      </c>
      <c r="M2714">
        <v>0.99397020000000003</v>
      </c>
      <c r="N2714">
        <v>0</v>
      </c>
      <c r="O2714">
        <v>-0.10895489999999999</v>
      </c>
      <c r="P2714">
        <v>0.99230609999999997</v>
      </c>
      <c r="Q2714">
        <v>0.11817999999999999</v>
      </c>
      <c r="R2714">
        <v>-3.6911760000000002E-2</v>
      </c>
      <c r="S2714">
        <v>3.0686339999999999</v>
      </c>
      <c r="T2714">
        <v>-0.27178360000000001</v>
      </c>
      <c r="U2714">
        <v>0.3109131</v>
      </c>
      <c r="V2714">
        <v>-7.4071730000000002E-2</v>
      </c>
      <c r="W2714">
        <v>0.12890689999999999</v>
      </c>
      <c r="X2714">
        <v>0.98888640000000005</v>
      </c>
      <c r="Y2714">
        <v>-0.2073837</v>
      </c>
      <c r="Z2714">
        <v>1.8748850000000001E-2</v>
      </c>
      <c r="AA2714">
        <v>0.97807999999999995</v>
      </c>
      <c r="AB2714">
        <v>33</v>
      </c>
      <c r="AC2714">
        <v>12.394600000000001</v>
      </c>
      <c r="AD2714">
        <v>-1.112095546987</v>
      </c>
      <c r="AE2714">
        <v>1.28768999999999</v>
      </c>
      <c r="AF2714">
        <v>-2.6097923078590002</v>
      </c>
      <c r="AG2714">
        <v>-1.112095546987</v>
      </c>
      <c r="AH2714">
        <v>12.0842445113142</v>
      </c>
      <c r="AI2714">
        <v>95.140187010920698</v>
      </c>
      <c r="AJ2714">
        <v>102.18680077039799</v>
      </c>
      <c r="AK2714">
        <v>12.412765115195601</v>
      </c>
      <c r="AL2714">
        <v>82.593568885980901</v>
      </c>
      <c r="AM2714">
        <v>94.283694210745907</v>
      </c>
      <c r="AN2714">
        <v>0.99999996107888001</v>
      </c>
    </row>
    <row r="2715" spans="1:40" x14ac:dyDescent="0.3">
      <c r="A2715" t="str">
        <f>"20200111150409527"</f>
        <v>20200111150409527</v>
      </c>
      <c r="B2715" t="str">
        <f>"1578726249521198"</f>
        <v>1578726249521198</v>
      </c>
      <c r="C2715" t="s">
        <v>40</v>
      </c>
      <c r="D2715">
        <v>5.4197699999999998</v>
      </c>
      <c r="E2715">
        <v>0.44614789999999999</v>
      </c>
      <c r="F2715" t="s">
        <v>41</v>
      </c>
      <c r="G2715">
        <v>-268.16930000000002</v>
      </c>
      <c r="H2715" s="1">
        <v>-3.466968E-6</v>
      </c>
      <c r="I2715">
        <v>-54.988050000000001</v>
      </c>
      <c r="J2715">
        <v>-280.59050000000002</v>
      </c>
      <c r="K2715">
        <v>1.1118250000000001</v>
      </c>
      <c r="L2715">
        <v>-56.332639999999998</v>
      </c>
      <c r="M2715">
        <v>0.99442439999999999</v>
      </c>
      <c r="N2715">
        <v>0</v>
      </c>
      <c r="O2715">
        <v>-0.1047337</v>
      </c>
      <c r="P2715">
        <v>0.99246179999999995</v>
      </c>
      <c r="Q2715">
        <v>0.1180332</v>
      </c>
      <c r="R2715">
        <v>-3.2986399999999999E-2</v>
      </c>
      <c r="S2715">
        <v>3.0675349999999999</v>
      </c>
      <c r="T2715">
        <v>-0.27078730000000001</v>
      </c>
      <c r="U2715">
        <v>0.32351679999999999</v>
      </c>
      <c r="V2715">
        <v>-7.3695239999999995E-2</v>
      </c>
      <c r="W2715">
        <v>0.12877919999999901</v>
      </c>
      <c r="X2715">
        <v>0.98893120000000001</v>
      </c>
      <c r="Y2715">
        <v>-0.2072678</v>
      </c>
      <c r="Z2715">
        <v>1.8308189999999998E-2</v>
      </c>
      <c r="AA2715">
        <v>0.97811289999999995</v>
      </c>
      <c r="AB2715">
        <v>33</v>
      </c>
      <c r="AC2715">
        <v>12.421200000000001</v>
      </c>
      <c r="AD2715">
        <v>-1.1118284669679901</v>
      </c>
      <c r="AE2715">
        <v>1.34459</v>
      </c>
      <c r="AF2715">
        <v>-2.6174817557495298</v>
      </c>
      <c r="AG2715">
        <v>-1.1118284669679901</v>
      </c>
      <c r="AH2715">
        <v>12.1160908544897</v>
      </c>
      <c r="AI2715">
        <v>95.125453300120896</v>
      </c>
      <c r="AJ2715">
        <v>102.190468131808</v>
      </c>
      <c r="AK2715">
        <v>12.445361821815</v>
      </c>
      <c r="AL2715">
        <v>82.600947303350793</v>
      </c>
      <c r="AM2715">
        <v>94.261809222267104</v>
      </c>
      <c r="AN2715">
        <v>0.99999999454236799</v>
      </c>
    </row>
    <row r="2716" spans="1:40" x14ac:dyDescent="0.3">
      <c r="A2716" t="str">
        <f>"20200111150409538"</f>
        <v>20200111150409538</v>
      </c>
      <c r="B2716" t="str">
        <f>"1578726249530958"</f>
        <v>1578726249530958</v>
      </c>
      <c r="C2716" t="s">
        <v>40</v>
      </c>
      <c r="D2716">
        <v>5.4501400000000002</v>
      </c>
      <c r="E2716">
        <v>0.44653029999999999</v>
      </c>
      <c r="F2716" t="s">
        <v>81</v>
      </c>
      <c r="G2716">
        <v>-268.10680000000002</v>
      </c>
      <c r="H2716" s="1">
        <v>-3.4416549999999998E-6</v>
      </c>
      <c r="I2716">
        <v>-54.979419999999998</v>
      </c>
      <c r="J2716">
        <v>-280.43009999999998</v>
      </c>
      <c r="K2716">
        <v>1.1115630000000001</v>
      </c>
      <c r="L2716">
        <v>-56.34619</v>
      </c>
      <c r="M2716">
        <v>0.99479329999999999</v>
      </c>
      <c r="N2716">
        <v>0</v>
      </c>
      <c r="O2716">
        <v>-0.1011724</v>
      </c>
      <c r="P2716">
        <v>0.99264059999999998</v>
      </c>
      <c r="Q2716">
        <v>0.117392</v>
      </c>
      <c r="R2716">
        <v>-2.9727630000000001E-2</v>
      </c>
      <c r="S2716">
        <v>3.0663149999999999</v>
      </c>
      <c r="T2716">
        <v>-0.27309290000000003</v>
      </c>
      <c r="U2716">
        <v>0.33236690000000002</v>
      </c>
      <c r="V2716">
        <v>-7.3311689999999999E-2</v>
      </c>
      <c r="W2716">
        <v>0.1281573</v>
      </c>
      <c r="X2716">
        <v>0.98904049999999999</v>
      </c>
      <c r="Y2716">
        <v>-0.2065932</v>
      </c>
      <c r="Z2716">
        <v>1.812312E-2</v>
      </c>
      <c r="AA2716">
        <v>0.97825910000000005</v>
      </c>
      <c r="AB2716">
        <v>33</v>
      </c>
      <c r="AC2716">
        <v>12.3232999999999</v>
      </c>
      <c r="AD2716">
        <v>-1.111566441655</v>
      </c>
      <c r="AE2716">
        <v>1.36677</v>
      </c>
      <c r="AF2716">
        <v>-2.5858444831402698</v>
      </c>
      <c r="AG2716">
        <v>-1.111566441655</v>
      </c>
      <c r="AH2716">
        <v>12.025119850337299</v>
      </c>
      <c r="AI2716">
        <v>95.163862630331593</v>
      </c>
      <c r="AJ2716">
        <v>102.13590090512</v>
      </c>
      <c r="AK2716">
        <v>12.350128706219101</v>
      </c>
      <c r="AL2716">
        <v>82.636877349084898</v>
      </c>
      <c r="AM2716">
        <v>94.239242718035797</v>
      </c>
      <c r="AN2716">
        <v>1.00000000403709</v>
      </c>
    </row>
    <row r="2717" spans="1:40" x14ac:dyDescent="0.3">
      <c r="A2717" t="str">
        <f>"20200111150409550"</f>
        <v>20200111150409550</v>
      </c>
      <c r="B2717" t="str">
        <f>"1578726249541694"</f>
        <v>1578726249541694</v>
      </c>
      <c r="C2717" t="s">
        <v>40</v>
      </c>
      <c r="D2717">
        <v>5.4536949999999997</v>
      </c>
      <c r="E2717">
        <v>0.44653029999999999</v>
      </c>
      <c r="F2717" t="s">
        <v>81</v>
      </c>
      <c r="G2717">
        <v>-268.11470000000003</v>
      </c>
      <c r="H2717" s="1">
        <v>-3.4443549999999998E-6</v>
      </c>
      <c r="I2717">
        <v>-54.98359</v>
      </c>
      <c r="J2717">
        <v>-280.26389999999998</v>
      </c>
      <c r="K2717">
        <v>1.111289</v>
      </c>
      <c r="L2717">
        <v>-56.360109999999999</v>
      </c>
      <c r="M2717">
        <v>0.99515659999999895</v>
      </c>
      <c r="N2717">
        <v>0</v>
      </c>
      <c r="O2717">
        <v>-9.7538700000000006E-2</v>
      </c>
      <c r="P2717">
        <v>0.99282899999999996</v>
      </c>
      <c r="Q2717">
        <v>0.1165644</v>
      </c>
      <c r="R2717">
        <v>-2.6518170000000001E-2</v>
      </c>
      <c r="S2717">
        <v>3.0650940000000002</v>
      </c>
      <c r="T2717">
        <v>-0.27665009999999901</v>
      </c>
      <c r="U2717">
        <v>0.3391113</v>
      </c>
      <c r="V2717">
        <v>-7.2801909999999997E-2</v>
      </c>
      <c r="W2717">
        <v>0.12735379999999999</v>
      </c>
      <c r="X2717">
        <v>0.98918189999999995</v>
      </c>
      <c r="Y2717">
        <v>-0.20517750000000001</v>
      </c>
      <c r="Z2717">
        <v>1.7973969999999999E-2</v>
      </c>
      <c r="AA2717">
        <v>0.97855970000000003</v>
      </c>
      <c r="AB2717">
        <v>33</v>
      </c>
      <c r="AC2717">
        <v>12.149199999999899</v>
      </c>
      <c r="AD2717">
        <v>-1.1112924443549901</v>
      </c>
      <c r="AE2717">
        <v>1.37651999999999</v>
      </c>
      <c r="AF2717">
        <v>-2.53412729035235</v>
      </c>
      <c r="AG2717">
        <v>-1.1112924443549901</v>
      </c>
      <c r="AH2717">
        <v>11.8590217511515</v>
      </c>
      <c r="AI2717">
        <v>95.235944854493596</v>
      </c>
      <c r="AJ2717">
        <v>102.061994593016</v>
      </c>
      <c r="AK2717">
        <v>12.1775682677156</v>
      </c>
      <c r="AL2717">
        <v>82.683294617493701</v>
      </c>
      <c r="AM2717">
        <v>94.209271457122497</v>
      </c>
      <c r="AN2717">
        <v>0.99999996988084805</v>
      </c>
    </row>
    <row r="2718" spans="1:40" x14ac:dyDescent="0.3">
      <c r="A2718" t="str">
        <f>"20200111150409560"</f>
        <v>20200111150409560</v>
      </c>
      <c r="B2718" t="str">
        <f>"1578726249551454"</f>
        <v>1578726249551454</v>
      </c>
      <c r="C2718" t="s">
        <v>40</v>
      </c>
      <c r="D2718">
        <v>5.4447890000000001</v>
      </c>
      <c r="E2718">
        <v>0.45261869999999998</v>
      </c>
      <c r="F2718" t="s">
        <v>81</v>
      </c>
      <c r="G2718">
        <v>-268.0806</v>
      </c>
      <c r="H2718" s="1">
        <v>-3.4314779999999999E-6</v>
      </c>
      <c r="I2718">
        <v>-54.973579999999998</v>
      </c>
      <c r="J2718">
        <v>-280.10890000000001</v>
      </c>
      <c r="K2718">
        <v>1.1110150000000001</v>
      </c>
      <c r="L2718">
        <v>-56.372340000000001</v>
      </c>
      <c r="M2718">
        <v>0.99545819999999996</v>
      </c>
      <c r="N2718">
        <v>0</v>
      </c>
      <c r="O2718">
        <v>-9.4417440000000005E-2</v>
      </c>
      <c r="P2718">
        <v>0.99294249999999995</v>
      </c>
      <c r="Q2718">
        <v>0.1161368</v>
      </c>
      <c r="R2718">
        <v>-2.4034839999999998E-2</v>
      </c>
      <c r="S2718">
        <v>3.063812</v>
      </c>
      <c r="T2718">
        <v>-0.27946470000000001</v>
      </c>
      <c r="U2718">
        <v>0.34866329999999901</v>
      </c>
      <c r="V2718">
        <v>-7.2082560000000004E-2</v>
      </c>
      <c r="W2718">
        <v>0.1269518</v>
      </c>
      <c r="X2718">
        <v>0.98928629999999995</v>
      </c>
      <c r="Y2718">
        <v>-0.20515410000000001</v>
      </c>
      <c r="Z2718">
        <v>1.7876739999999999E-2</v>
      </c>
      <c r="AA2718">
        <v>0.97856639999999995</v>
      </c>
      <c r="AB2718">
        <v>33</v>
      </c>
      <c r="AC2718">
        <v>12.0283</v>
      </c>
      <c r="AD2718">
        <v>-1.1110184314779901</v>
      </c>
      <c r="AE2718">
        <v>1.39875999999999</v>
      </c>
      <c r="AF2718">
        <v>-2.5071709594448901</v>
      </c>
      <c r="AG2718">
        <v>-1.1110184314779901</v>
      </c>
      <c r="AH2718">
        <v>11.7436249104193</v>
      </c>
      <c r="AI2718">
        <v>95.286018634306899</v>
      </c>
      <c r="AJ2718">
        <v>102.051274683225</v>
      </c>
      <c r="AK2718">
        <v>12.059560282679801</v>
      </c>
      <c r="AL2718">
        <v>82.706516367937994</v>
      </c>
      <c r="AM2718">
        <v>94.1673889814017</v>
      </c>
      <c r="AN2718">
        <v>1.0000000191735401</v>
      </c>
    </row>
    <row r="2719" spans="1:40" x14ac:dyDescent="0.3">
      <c r="A2719" t="str">
        <f>"20200111150409571"</f>
        <v>20200111150409571</v>
      </c>
      <c r="B2719" t="str">
        <f>"1578726249561214"</f>
        <v>1578726249561214</v>
      </c>
      <c r="C2719" t="s">
        <v>40</v>
      </c>
      <c r="D2719">
        <v>5.4386359999999998</v>
      </c>
      <c r="E2719">
        <v>0.4530729</v>
      </c>
      <c r="F2719" t="s">
        <v>41</v>
      </c>
      <c r="G2719">
        <v>-269.14580000000001</v>
      </c>
      <c r="H2719" s="1">
        <v>-3.8354760000000001E-6</v>
      </c>
      <c r="I2719">
        <v>-55.272109999999998</v>
      </c>
      <c r="J2719">
        <v>-279.94749999999999</v>
      </c>
      <c r="K2719">
        <v>1.1107290000000001</v>
      </c>
      <c r="L2719">
        <v>-56.384950000000003</v>
      </c>
      <c r="M2719">
        <v>0.9957549</v>
      </c>
      <c r="N2719">
        <v>0</v>
      </c>
      <c r="O2719">
        <v>-9.1238169999999993E-2</v>
      </c>
      <c r="P2719">
        <v>0.99296949999999995</v>
      </c>
      <c r="Q2719">
        <v>0.11640399999999999</v>
      </c>
      <c r="R2719">
        <v>-2.148808E-2</v>
      </c>
      <c r="S2719">
        <v>3.0650940000000002</v>
      </c>
      <c r="T2719">
        <v>-0.31062109999999998</v>
      </c>
      <c r="U2719">
        <v>0.30758669999999999</v>
      </c>
      <c r="V2719">
        <v>-7.1370840000000005E-2</v>
      </c>
      <c r="W2719">
        <v>0.12724460000000001</v>
      </c>
      <c r="X2719">
        <v>0.98930030000000002</v>
      </c>
      <c r="Y2719">
        <v>-0.18879989999999999</v>
      </c>
      <c r="Z2719">
        <v>1.8719679999999999E-2</v>
      </c>
      <c r="AA2719">
        <v>0.98183719999999997</v>
      </c>
      <c r="AB2719">
        <v>33</v>
      </c>
      <c r="AC2719">
        <v>10.801699999999901</v>
      </c>
      <c r="AD2719">
        <v>-1.110732835476</v>
      </c>
      <c r="AE2719">
        <v>1.1128400000000001</v>
      </c>
      <c r="AF2719">
        <v>-2.07211769549806</v>
      </c>
      <c r="AG2719">
        <v>-1.110732835476</v>
      </c>
      <c r="AH2719">
        <v>10.5447712531588</v>
      </c>
      <c r="AI2719">
        <v>95.901038028164606</v>
      </c>
      <c r="AJ2719">
        <v>101.11734796096</v>
      </c>
      <c r="AK2719">
        <v>10.8036845546899</v>
      </c>
      <c r="AL2719">
        <v>82.689603110111904</v>
      </c>
      <c r="AM2719">
        <v>94.126326169122606</v>
      </c>
      <c r="AN2719">
        <v>1.00000003430577</v>
      </c>
    </row>
    <row r="2720" spans="1:40" x14ac:dyDescent="0.3">
      <c r="A2720" t="str">
        <f>"20200111150409582"</f>
        <v>20200111150409582</v>
      </c>
      <c r="B2720" t="str">
        <f>"1578726249570976"</f>
        <v>1578726249570976</v>
      </c>
      <c r="C2720" t="s">
        <v>40</v>
      </c>
      <c r="D2720">
        <v>5.472823</v>
      </c>
      <c r="E2720">
        <v>0.45357459999999999</v>
      </c>
      <c r="F2720" t="s">
        <v>41</v>
      </c>
      <c r="G2720">
        <v>-268.9572</v>
      </c>
      <c r="H2720" s="1">
        <v>-3.755527E-6</v>
      </c>
      <c r="I2720">
        <v>-55.2667</v>
      </c>
      <c r="J2720">
        <v>-279.78440000000001</v>
      </c>
      <c r="K2720">
        <v>1.1104430000000001</v>
      </c>
      <c r="L2720">
        <v>-56.39716</v>
      </c>
      <c r="M2720">
        <v>0.9960253</v>
      </c>
      <c r="N2720">
        <v>0</v>
      </c>
      <c r="O2720">
        <v>-8.8243479999999999E-2</v>
      </c>
      <c r="P2720">
        <v>0.99299179999999998</v>
      </c>
      <c r="Q2720">
        <v>0.1166534</v>
      </c>
      <c r="R2720">
        <v>-1.8955650000000001E-2</v>
      </c>
      <c r="S2720">
        <v>3.0643009999999999</v>
      </c>
      <c r="T2720">
        <v>-0.30969099999999999</v>
      </c>
      <c r="U2720">
        <v>0.31176759999999998</v>
      </c>
      <c r="V2720">
        <v>-7.0826310000000003E-2</v>
      </c>
      <c r="W2720">
        <v>0.12751460000000001</v>
      </c>
      <c r="X2720">
        <v>0.98930459999999998</v>
      </c>
      <c r="Y2720">
        <v>-0.1872299</v>
      </c>
      <c r="Z2720">
        <v>1.8287729999999999E-2</v>
      </c>
      <c r="AA2720">
        <v>0.98214579999999996</v>
      </c>
      <c r="AB2720">
        <v>33</v>
      </c>
      <c r="AC2720">
        <v>10.827199999999999</v>
      </c>
      <c r="AD2720">
        <v>-1.1104467555269999</v>
      </c>
      <c r="AE2720">
        <v>1.13045999999999</v>
      </c>
      <c r="AF2720">
        <v>-2.0601131584485599</v>
      </c>
      <c r="AG2720">
        <v>-1.1104467555269999</v>
      </c>
      <c r="AH2720">
        <v>10.5751555224059</v>
      </c>
      <c r="AI2720">
        <v>95.884568897692503</v>
      </c>
      <c r="AJ2720">
        <v>101.023549539366</v>
      </c>
      <c r="AK2720">
        <v>10.8310236148549</v>
      </c>
      <c r="AL2720">
        <v>82.674005691419595</v>
      </c>
      <c r="AM2720">
        <v>94.094933775997205</v>
      </c>
      <c r="AN2720">
        <v>0.99999996549126702</v>
      </c>
    </row>
    <row r="2721" spans="1:40" x14ac:dyDescent="0.3">
      <c r="A2721" t="str">
        <f>"20200111150409594"</f>
        <v>20200111150409594</v>
      </c>
      <c r="B2721" t="str">
        <f>"1578726249591470"</f>
        <v>1578726249591470</v>
      </c>
      <c r="C2721" t="s">
        <v>40</v>
      </c>
      <c r="D2721">
        <v>5.4504109999999999</v>
      </c>
      <c r="E2721">
        <v>0.45392549999999998</v>
      </c>
      <c r="F2721" t="s">
        <v>41</v>
      </c>
      <c r="G2721">
        <v>-268.75080000000003</v>
      </c>
      <c r="H2721" s="1">
        <v>-3.668206E-6</v>
      </c>
      <c r="I2721">
        <v>-55.259900000000002</v>
      </c>
      <c r="J2721">
        <v>-279.61869999999999</v>
      </c>
      <c r="K2721">
        <v>1.110147</v>
      </c>
      <c r="L2721">
        <v>-56.409239999999997</v>
      </c>
      <c r="M2721">
        <v>0.99627889999999997</v>
      </c>
      <c r="N2721">
        <v>0</v>
      </c>
      <c r="O2721">
        <v>-8.5337979999999994E-2</v>
      </c>
      <c r="P2721">
        <v>0.99299349999999997</v>
      </c>
      <c r="Q2721">
        <v>0.1170592</v>
      </c>
      <c r="R2721">
        <v>-1.6157189999999998E-2</v>
      </c>
      <c r="S2721">
        <v>3.0634160000000001</v>
      </c>
      <c r="T2721">
        <v>-0.30830960000000002</v>
      </c>
      <c r="U2721">
        <v>0.31573489999999999</v>
      </c>
      <c r="V2721">
        <v>-7.0636130000000005E-2</v>
      </c>
      <c r="W2721">
        <v>0.12793550000000001</v>
      </c>
      <c r="X2721">
        <v>0.98926389999999997</v>
      </c>
      <c r="Y2721">
        <v>-0.18568660000000001</v>
      </c>
      <c r="Z2721">
        <v>1.784268E-2</v>
      </c>
      <c r="AA2721">
        <v>0.98244699999999996</v>
      </c>
      <c r="AB2721">
        <v>33</v>
      </c>
      <c r="AC2721">
        <v>10.867899999999899</v>
      </c>
      <c r="AD2721">
        <v>-1.1101506682060001</v>
      </c>
      <c r="AE2721">
        <v>1.14934</v>
      </c>
      <c r="AF2721">
        <v>-2.0514893609696898</v>
      </c>
      <c r="AG2721">
        <v>-1.1101506682060001</v>
      </c>
      <c r="AH2721">
        <v>10.620564479892201</v>
      </c>
      <c r="AI2721">
        <v>95.859822095686397</v>
      </c>
      <c r="AJ2721">
        <v>100.932721536318</v>
      </c>
      <c r="AK2721">
        <v>10.8737037377261</v>
      </c>
      <c r="AL2721">
        <v>82.649691072793701</v>
      </c>
      <c r="AM2721">
        <v>94.084142930457801</v>
      </c>
      <c r="AN2721">
        <v>1.00000000943241</v>
      </c>
    </row>
    <row r="2722" spans="1:40" x14ac:dyDescent="0.3">
      <c r="A2722" t="str">
        <f>"20200111150409605"</f>
        <v>20200111150409605</v>
      </c>
      <c r="B2722" t="str">
        <f>"1578726249601231"</f>
        <v>1578726249601231</v>
      </c>
      <c r="C2722" t="s">
        <v>40</v>
      </c>
      <c r="D2722">
        <v>5.4900799999999998</v>
      </c>
      <c r="E2722">
        <v>0.4541171</v>
      </c>
      <c r="F2722" t="s">
        <v>41</v>
      </c>
      <c r="G2722">
        <v>-268.50349999999997</v>
      </c>
      <c r="H2722" s="1">
        <v>-3.5651349999999999E-6</v>
      </c>
      <c r="I2722">
        <v>-55.242820000000002</v>
      </c>
      <c r="J2722">
        <v>-279.4522</v>
      </c>
      <c r="K2722">
        <v>1.10985</v>
      </c>
      <c r="L2722">
        <v>-56.421080000000003</v>
      </c>
      <c r="M2722">
        <v>0.99651049999999997</v>
      </c>
      <c r="N2722">
        <v>0</v>
      </c>
      <c r="O2722">
        <v>-8.2595619999999995E-2</v>
      </c>
      <c r="P2722">
        <v>0.99296870000000004</v>
      </c>
      <c r="Q2722">
        <v>0.1175325</v>
      </c>
      <c r="R2722">
        <v>-1.411632E-2</v>
      </c>
      <c r="S2722">
        <v>3.0624389999999999</v>
      </c>
      <c r="T2722">
        <v>-0.30586760000000002</v>
      </c>
      <c r="U2722">
        <v>0.32135010000000003</v>
      </c>
      <c r="V2722">
        <v>-6.9852310000000001E-2</v>
      </c>
      <c r="W2722">
        <v>0.12843350000000001</v>
      </c>
      <c r="X2722">
        <v>0.989255</v>
      </c>
      <c r="Y2722">
        <v>-0.18483540000000001</v>
      </c>
      <c r="Z2722">
        <v>1.7391480000000001E-2</v>
      </c>
      <c r="AA2722">
        <v>0.98261560000000003</v>
      </c>
      <c r="AB2722">
        <v>33</v>
      </c>
      <c r="AC2722">
        <v>10.948700000000001</v>
      </c>
      <c r="AD2722">
        <v>-1.1098535651350001</v>
      </c>
      <c r="AE2722">
        <v>1.1782600000000001</v>
      </c>
      <c r="AF2722">
        <v>-2.0577115086988802</v>
      </c>
      <c r="AG2722">
        <v>-1.1098535651350001</v>
      </c>
      <c r="AH2722">
        <v>10.705215394643799</v>
      </c>
      <c r="AI2722">
        <v>95.813274111308203</v>
      </c>
      <c r="AJ2722">
        <v>100.880449527667</v>
      </c>
      <c r="AK2722">
        <v>10.957535682569899</v>
      </c>
      <c r="AL2722">
        <v>82.620920223501699</v>
      </c>
      <c r="AM2722">
        <v>94.039009925658206</v>
      </c>
      <c r="AN2722">
        <v>0.99999998207979202</v>
      </c>
    </row>
    <row r="2723" spans="1:40" x14ac:dyDescent="0.3">
      <c r="A2723" t="str">
        <f>"20200111150409616"</f>
        <v>20200111150409616</v>
      </c>
      <c r="B2723" t="str">
        <f>"1578726249610993"</f>
        <v>1578726249610993</v>
      </c>
      <c r="C2723" t="s">
        <v>40</v>
      </c>
      <c r="D2723">
        <v>5.4750439999999996</v>
      </c>
      <c r="E2723">
        <v>0.45449410000000001</v>
      </c>
      <c r="F2723" t="s">
        <v>41</v>
      </c>
      <c r="G2723">
        <v>-268.17250000000001</v>
      </c>
      <c r="H2723" s="1">
        <v>-3.4273350000000001E-6</v>
      </c>
      <c r="I2723">
        <v>-55.219299999999997</v>
      </c>
      <c r="J2723">
        <v>-279.2801</v>
      </c>
      <c r="K2723">
        <v>1.1095410000000001</v>
      </c>
      <c r="L2723">
        <v>-56.43289</v>
      </c>
      <c r="M2723">
        <v>0.99672340000000004</v>
      </c>
      <c r="N2723">
        <v>0</v>
      </c>
      <c r="O2723">
        <v>-7.9992140000000003E-2</v>
      </c>
      <c r="P2723">
        <v>0.99290560000000005</v>
      </c>
      <c r="Q2723">
        <v>0.11826490000000001</v>
      </c>
      <c r="R2723">
        <v>-1.2342880000000001E-2</v>
      </c>
      <c r="S2723">
        <v>3.0615540000000001</v>
      </c>
      <c r="T2723">
        <v>-0.30123810000000001</v>
      </c>
      <c r="U2723">
        <v>0.32617190000000001</v>
      </c>
      <c r="V2723">
        <v>-6.8935930000000006E-2</v>
      </c>
      <c r="W2723">
        <v>0.12919439999999999</v>
      </c>
      <c r="X2723">
        <v>0.98922019999999999</v>
      </c>
      <c r="Y2723">
        <v>-0.18388460000000001</v>
      </c>
      <c r="Z2723">
        <v>1.6831840000000001E-2</v>
      </c>
      <c r="AA2723">
        <v>0.98280369999999995</v>
      </c>
      <c r="AB2723">
        <v>33</v>
      </c>
      <c r="AC2723">
        <v>11.1075999999999</v>
      </c>
      <c r="AD2723">
        <v>-1.1095444273349999</v>
      </c>
      <c r="AE2723">
        <v>1.2135899999999999</v>
      </c>
      <c r="AF2723">
        <v>-2.0777970857561701</v>
      </c>
      <c r="AG2723">
        <v>-1.1095444273349999</v>
      </c>
      <c r="AH2723">
        <v>10.867755253402301</v>
      </c>
      <c r="AI2723">
        <v>95.726407295262703</v>
      </c>
      <c r="AJ2723">
        <v>100.823713085135</v>
      </c>
      <c r="AK2723">
        <v>11.120091448079901</v>
      </c>
      <c r="AL2723">
        <v>82.576957583303198</v>
      </c>
      <c r="AM2723">
        <v>93.986334599690906</v>
      </c>
      <c r="AN2723">
        <v>0.99999997976218202</v>
      </c>
    </row>
    <row r="2724" spans="1:40" x14ac:dyDescent="0.3">
      <c r="A2724" t="str">
        <f>"20200111150409627"</f>
        <v>20200111150409627</v>
      </c>
      <c r="B2724" t="str">
        <f>"1578726249621726"</f>
        <v>1578726249621726</v>
      </c>
      <c r="C2724" t="s">
        <v>40</v>
      </c>
      <c r="D2724">
        <v>5.372884</v>
      </c>
      <c r="E2724">
        <v>0.45449410000000001</v>
      </c>
      <c r="F2724" t="s">
        <v>41</v>
      </c>
      <c r="G2724">
        <v>-268.0181</v>
      </c>
      <c r="H2724" s="1">
        <v>-3.3602410000000001E-6</v>
      </c>
      <c r="I2724">
        <v>-55.224060000000001</v>
      </c>
      <c r="J2724">
        <v>-279.11110000000002</v>
      </c>
      <c r="K2724">
        <v>1.109235</v>
      </c>
      <c r="L2724">
        <v>-56.4443699999999</v>
      </c>
      <c r="M2724">
        <v>0.99691689999999999</v>
      </c>
      <c r="N2724">
        <v>0</v>
      </c>
      <c r="O2724">
        <v>-7.7547560000000001E-2</v>
      </c>
      <c r="P2724">
        <v>0.9928555</v>
      </c>
      <c r="Q2724">
        <v>0.1188771</v>
      </c>
      <c r="R2724">
        <v>-1.029294E-2</v>
      </c>
      <c r="S2724">
        <v>3.061401</v>
      </c>
      <c r="T2724">
        <v>-0.3016123</v>
      </c>
      <c r="U2724">
        <v>0.32858280000000001</v>
      </c>
      <c r="V2724">
        <v>-6.8453330000000007E-2</v>
      </c>
      <c r="W2724">
        <v>0.12982839999999901</v>
      </c>
      <c r="X2724">
        <v>0.98917069999999996</v>
      </c>
      <c r="Y2724">
        <v>-0.18226110000000001</v>
      </c>
      <c r="Z2724">
        <v>1.653375E-2</v>
      </c>
      <c r="AA2724">
        <v>0.98311110000000002</v>
      </c>
      <c r="AB2724">
        <v>33</v>
      </c>
      <c r="AC2724">
        <v>11.093</v>
      </c>
      <c r="AD2724">
        <v>-1.1092383602410001</v>
      </c>
      <c r="AE2724">
        <v>1.22030999999999</v>
      </c>
      <c r="AF2724">
        <v>-2.0566133559667801</v>
      </c>
      <c r="AG2724">
        <v>-1.1092383602410001</v>
      </c>
      <c r="AH2724">
        <v>10.8576848318607</v>
      </c>
      <c r="AI2724">
        <v>95.731967014224495</v>
      </c>
      <c r="AJ2724">
        <v>100.725638819022</v>
      </c>
      <c r="AK2724">
        <v>11.106276970424799</v>
      </c>
      <c r="AL2724">
        <v>82.540323470854204</v>
      </c>
      <c r="AM2724">
        <v>93.958713948137898</v>
      </c>
      <c r="AN2724">
        <v>0.99999997278656905</v>
      </c>
    </row>
    <row r="2725" spans="1:40" x14ac:dyDescent="0.3">
      <c r="A2725" t="str">
        <f>"20200111150409639"</f>
        <v>20200111150409639</v>
      </c>
      <c r="B2725" t="str">
        <f>"1578726249631486"</f>
        <v>1578726249631486</v>
      </c>
      <c r="C2725" t="s">
        <v>40</v>
      </c>
      <c r="D2725">
        <v>6.0462480000000003</v>
      </c>
      <c r="E2725">
        <v>0.45449410000000001</v>
      </c>
      <c r="F2725" t="s">
        <v>41</v>
      </c>
      <c r="G2725">
        <v>-267.77519999999998</v>
      </c>
      <c r="H2725" s="1">
        <v>-3.2598009999999999E-6</v>
      </c>
      <c r="I2725">
        <v>-55.2029</v>
      </c>
      <c r="J2725">
        <v>-278.94130000000001</v>
      </c>
      <c r="K2725">
        <v>1.1089180000000001</v>
      </c>
      <c r="L2725">
        <v>-56.455469999999998</v>
      </c>
      <c r="M2725">
        <v>0.99708050000000004</v>
      </c>
      <c r="N2725">
        <v>0</v>
      </c>
      <c r="O2725">
        <v>-7.542037E-2</v>
      </c>
      <c r="P2725">
        <v>0.99279360000000005</v>
      </c>
      <c r="Q2725">
        <v>0.1195292</v>
      </c>
      <c r="R2725">
        <v>-8.5957329999999995E-3</v>
      </c>
      <c r="S2725">
        <v>3.0609440000000001</v>
      </c>
      <c r="T2725">
        <v>-0.29952030000000002</v>
      </c>
      <c r="U2725">
        <v>0.33520509999999998</v>
      </c>
      <c r="V2725">
        <v>-6.793122E-2</v>
      </c>
      <c r="W2725">
        <v>0.1305045</v>
      </c>
      <c r="X2725">
        <v>0.98911769999999999</v>
      </c>
      <c r="Y2725">
        <v>-0.18230850000000001</v>
      </c>
      <c r="Z2725">
        <v>1.621558E-2</v>
      </c>
      <c r="AA2725">
        <v>0.98310759999999997</v>
      </c>
      <c r="AB2725">
        <v>33</v>
      </c>
      <c r="AC2725">
        <v>11.1661</v>
      </c>
      <c r="AD2725">
        <v>-1.1089212598010001</v>
      </c>
      <c r="AE2725">
        <v>1.25256999999999</v>
      </c>
      <c r="AF2725">
        <v>-2.0710409144434601</v>
      </c>
      <c r="AG2725">
        <v>-1.1089212598010001</v>
      </c>
      <c r="AH2725">
        <v>10.933323800022601</v>
      </c>
      <c r="AI2725">
        <v>95.690947284911601</v>
      </c>
      <c r="AJ2725">
        <v>100.726146579485</v>
      </c>
      <c r="AK2725">
        <v>11.182865739419301</v>
      </c>
      <c r="AL2725">
        <v>82.501253217041096</v>
      </c>
      <c r="AM2725">
        <v>93.928824643786101</v>
      </c>
      <c r="AN2725">
        <v>0.99999994981211204</v>
      </c>
    </row>
    <row r="2726" spans="1:40" x14ac:dyDescent="0.3">
      <c r="A2726" t="str">
        <f>"20200111150409651"</f>
        <v>20200111150409651</v>
      </c>
      <c r="B2726" t="str">
        <f>"1578726249641246"</f>
        <v>1578726249641246</v>
      </c>
      <c r="C2726" t="s">
        <v>40</v>
      </c>
      <c r="D2726">
        <v>5.3473899999999999</v>
      </c>
      <c r="E2726">
        <v>0.48376740000000001</v>
      </c>
      <c r="F2726" t="s">
        <v>41</v>
      </c>
      <c r="G2726">
        <v>-267.52789999999999</v>
      </c>
      <c r="H2726" s="1">
        <v>-3.1568949999999999E-6</v>
      </c>
      <c r="I2726">
        <v>-55.18486</v>
      </c>
      <c r="J2726">
        <v>-278.76600000000002</v>
      </c>
      <c r="K2726">
        <v>1.108587</v>
      </c>
      <c r="L2726">
        <v>-56.466830000000002</v>
      </c>
      <c r="M2726">
        <v>0.99723709999999999</v>
      </c>
      <c r="N2726">
        <v>0</v>
      </c>
      <c r="O2726">
        <v>-7.3326890000000006E-2</v>
      </c>
      <c r="P2726">
        <v>0.99271759999999998</v>
      </c>
      <c r="Q2726">
        <v>0.12026630000000001</v>
      </c>
      <c r="R2726">
        <v>-6.925629E-3</v>
      </c>
      <c r="S2726">
        <v>3.0605159999999998</v>
      </c>
      <c r="T2726">
        <v>-0.29735980000000001</v>
      </c>
      <c r="U2726">
        <v>0.34069820000000001</v>
      </c>
      <c r="V2726">
        <v>-6.7410739999999997E-2</v>
      </c>
      <c r="W2726">
        <v>0.13126699999999999</v>
      </c>
      <c r="X2726">
        <v>0.9890525</v>
      </c>
      <c r="Y2726">
        <v>-0.18203130000000001</v>
      </c>
      <c r="Z2726">
        <v>1.5884229999999999E-2</v>
      </c>
      <c r="AA2726">
        <v>0.98316440000000005</v>
      </c>
      <c r="AB2726">
        <v>33</v>
      </c>
      <c r="AC2726">
        <v>11.2380999999999</v>
      </c>
      <c r="AD2726">
        <v>-1.1085901568950001</v>
      </c>
      <c r="AE2726">
        <v>1.2819700000000001</v>
      </c>
      <c r="AF2726">
        <v>-2.08262591227769</v>
      </c>
      <c r="AG2726">
        <v>-1.1085901568950001</v>
      </c>
      <c r="AH2726">
        <v>11.008089385438501</v>
      </c>
      <c r="AI2726">
        <v>95.651109660090199</v>
      </c>
      <c r="AJ2726">
        <v>100.713195417875</v>
      </c>
      <c r="AK2726">
        <v>11.2580786435457</v>
      </c>
      <c r="AL2726">
        <v>82.457186780214499</v>
      </c>
      <c r="AM2726">
        <v>93.899071928290397</v>
      </c>
      <c r="AN2726">
        <v>1.0000000404562901</v>
      </c>
    </row>
    <row r="2727" spans="1:40" x14ac:dyDescent="0.3">
      <c r="A2727" t="str">
        <f>"20200111150409665"</f>
        <v>20200111150409665</v>
      </c>
      <c r="B2727" t="str">
        <f>"1578726249661743"</f>
        <v>1578726249661743</v>
      </c>
      <c r="C2727" t="s">
        <v>40</v>
      </c>
      <c r="D2727">
        <v>5.2516949999999998</v>
      </c>
      <c r="E2727">
        <v>0.49772860000000002</v>
      </c>
      <c r="F2727" t="s">
        <v>66</v>
      </c>
      <c r="G2727">
        <v>-157.93819999999999</v>
      </c>
      <c r="H2727">
        <v>19.292100000000001</v>
      </c>
      <c r="I2727">
        <v>-52.06606</v>
      </c>
      <c r="J2727">
        <v>-278.5548</v>
      </c>
      <c r="K2727">
        <v>1.1081810000000001</v>
      </c>
      <c r="L2727">
        <v>-56.480220000000003</v>
      </c>
      <c r="M2727">
        <v>0.99739409999999895</v>
      </c>
      <c r="N2727">
        <v>0</v>
      </c>
      <c r="O2727">
        <v>-7.1166469999999996E-2</v>
      </c>
      <c r="P2727">
        <v>0.99262399999999995</v>
      </c>
      <c r="Q2727">
        <v>0.1211383</v>
      </c>
      <c r="R2727">
        <v>-4.8116499999999998E-3</v>
      </c>
      <c r="S2727">
        <v>2.968658</v>
      </c>
      <c r="T2727">
        <v>0.44675619999999999</v>
      </c>
      <c r="U2727">
        <v>0.10812380000000001</v>
      </c>
      <c r="V2727">
        <v>-6.7238980000000004E-2</v>
      </c>
      <c r="W2727">
        <v>0.13216700000000001</v>
      </c>
      <c r="X2727">
        <v>0.9889443</v>
      </c>
      <c r="Y2727">
        <v>-0.1054432</v>
      </c>
      <c r="Z2727">
        <v>-1.8530990000000001E-2</v>
      </c>
      <c r="AA2727">
        <v>0.99425260000000004</v>
      </c>
      <c r="AB2727">
        <v>33</v>
      </c>
      <c r="AC2727">
        <v>120.61660000000001</v>
      </c>
      <c r="AD2727">
        <v>18.183918999999999</v>
      </c>
      <c r="AE2727">
        <v>4.4141599999999901</v>
      </c>
      <c r="AF2727">
        <v>-12.699185394472799</v>
      </c>
      <c r="AG2727">
        <v>18.183918999999999</v>
      </c>
      <c r="AH2727">
        <v>117.33338188373099</v>
      </c>
      <c r="AI2727">
        <v>81.240933638884499</v>
      </c>
      <c r="AJ2727">
        <v>96.177171597920605</v>
      </c>
      <c r="AK2727">
        <v>119.411250408641</v>
      </c>
      <c r="AL2727">
        <v>82.405167138158802</v>
      </c>
      <c r="AM2727">
        <v>93.889591974527093</v>
      </c>
      <c r="AN2727">
        <v>1.0000000124114601</v>
      </c>
    </row>
    <row r="2728" spans="1:40" x14ac:dyDescent="0.3">
      <c r="A2728" t="str">
        <f>"20200111150409677"</f>
        <v>20200111150409677</v>
      </c>
      <c r="B2728" t="str">
        <f>"1578726249671502"</f>
        <v>1578726249671502</v>
      </c>
      <c r="C2728" t="s">
        <v>40</v>
      </c>
      <c r="D2728">
        <v>5.1947179999999999</v>
      </c>
      <c r="E2728">
        <v>0.4999015</v>
      </c>
      <c r="F2728" t="s">
        <v>81</v>
      </c>
      <c r="G2728">
        <v>-268.63170000000002</v>
      </c>
      <c r="H2728" s="1">
        <v>-3.4052949999999999E-6</v>
      </c>
      <c r="I2728">
        <v>-56.454059999999998</v>
      </c>
      <c r="J2728">
        <v>-278.38499999999999</v>
      </c>
      <c r="K2728">
        <v>1.1078570000000001</v>
      </c>
      <c r="L2728">
        <v>-56.490810000000003</v>
      </c>
      <c r="M2728">
        <v>0.99750079999999997</v>
      </c>
      <c r="N2728">
        <v>0</v>
      </c>
      <c r="O2728">
        <v>-6.9658639999999994E-2</v>
      </c>
      <c r="P2728">
        <v>0.99249350000000003</v>
      </c>
      <c r="Q2728">
        <v>0.1222654</v>
      </c>
      <c r="R2728">
        <v>-2.8035899999999999E-3</v>
      </c>
      <c r="S2728">
        <v>3.0640559999999999</v>
      </c>
      <c r="T2728">
        <v>-0.34218470000000001</v>
      </c>
      <c r="U2728">
        <v>8.0566409999999998E-3</v>
      </c>
      <c r="V2728">
        <v>-6.7636870000000002E-2</v>
      </c>
      <c r="W2728">
        <v>0.13331170000000001</v>
      </c>
      <c r="X2728">
        <v>0.98876350000000002</v>
      </c>
      <c r="Y2728">
        <v>-7.1409780000000006E-2</v>
      </c>
      <c r="Z2728">
        <v>1.1726189999999999E-2</v>
      </c>
      <c r="AA2728">
        <v>0.99737810000000005</v>
      </c>
      <c r="AB2728">
        <v>33</v>
      </c>
      <c r="AC2728">
        <v>9.7532999999999603</v>
      </c>
      <c r="AD2728">
        <v>-1.1078604052950001</v>
      </c>
      <c r="AE2728">
        <v>3.6749999999997798E-2</v>
      </c>
      <c r="AF2728">
        <v>-0.706988196027722</v>
      </c>
      <c r="AG2728">
        <v>-1.1078604052950001</v>
      </c>
      <c r="AH2728">
        <v>9.6031438560368301</v>
      </c>
      <c r="AI2728">
        <v>96.563191983703007</v>
      </c>
      <c r="AJ2728">
        <v>94.210547539884701</v>
      </c>
      <c r="AK2728">
        <v>9.6926548946447593</v>
      </c>
      <c r="AL2728">
        <v>82.3389950587448</v>
      </c>
      <c r="AM2728">
        <v>93.9132507542474</v>
      </c>
      <c r="AN2728">
        <v>1.00000000723626</v>
      </c>
    </row>
    <row r="2729" spans="1:40" x14ac:dyDescent="0.3">
      <c r="A2729" t="str">
        <f>"20200111150409689"</f>
        <v>20200111150409689</v>
      </c>
      <c r="B2729" t="str">
        <f>"1578726249681262"</f>
        <v>1578726249681262</v>
      </c>
      <c r="C2729" t="s">
        <v>40</v>
      </c>
      <c r="D2729">
        <v>5.5945809999999998</v>
      </c>
      <c r="E2729">
        <v>0.50103450000000005</v>
      </c>
      <c r="F2729" t="s">
        <v>42</v>
      </c>
      <c r="G2729">
        <v>-277.49149999999997</v>
      </c>
      <c r="H2729">
        <v>1.0082169999999999</v>
      </c>
      <c r="I2729">
        <v>-56.492019999999997</v>
      </c>
      <c r="J2729">
        <v>-278.20069999999998</v>
      </c>
      <c r="K2729">
        <v>1.1075090000000001</v>
      </c>
      <c r="L2729">
        <v>-56.50226</v>
      </c>
      <c r="M2729">
        <v>0.99760629999999995</v>
      </c>
      <c r="N2729">
        <v>0</v>
      </c>
      <c r="O2729">
        <v>-6.8139450000000004E-2</v>
      </c>
      <c r="P2729">
        <v>0.99237359999999997</v>
      </c>
      <c r="Q2729">
        <v>0.123264899999999</v>
      </c>
      <c r="R2729">
        <v>-7.2112539999999903E-4</v>
      </c>
      <c r="S2729">
        <v>3.0647579999999999</v>
      </c>
      <c r="T2729">
        <v>-0.3417248</v>
      </c>
      <c r="U2729">
        <v>-3.6621090000000002E-3</v>
      </c>
      <c r="V2729">
        <v>-6.8087079999999994E-2</v>
      </c>
      <c r="W2729">
        <v>0.13433290000000001</v>
      </c>
      <c r="X2729">
        <v>0.98859439999999998</v>
      </c>
      <c r="Y2729">
        <v>-6.6120470000000001E-2</v>
      </c>
      <c r="Z2729">
        <v>1.1245079999999999E-2</v>
      </c>
      <c r="AA2729">
        <v>0.99774830000000003</v>
      </c>
      <c r="AB2729">
        <v>34</v>
      </c>
      <c r="AC2729">
        <v>0.70920000000000905</v>
      </c>
      <c r="AD2729">
        <v>-9.9292000000000102E-2</v>
      </c>
      <c r="AE2729">
        <v>1.0240000000003101E-2</v>
      </c>
      <c r="AF2729">
        <v>-5.7418781986500501E-2</v>
      </c>
      <c r="AG2729">
        <v>-9.9292000000000102E-2</v>
      </c>
      <c r="AH2729">
        <v>0.69326735434116304</v>
      </c>
      <c r="AI2729">
        <v>98.123217091062301</v>
      </c>
      <c r="AJ2729">
        <v>94.734626791902897</v>
      </c>
      <c r="AK2729">
        <v>0.70269156988255399</v>
      </c>
      <c r="AL2729">
        <v>82.279953749209994</v>
      </c>
      <c r="AM2729">
        <v>93.939888399461097</v>
      </c>
      <c r="AN2729">
        <v>1.0000000330983401</v>
      </c>
    </row>
    <row r="2730" spans="1:40" x14ac:dyDescent="0.3">
      <c r="A2730" t="str">
        <f>"20200111150409700"</f>
        <v>20200111150409700</v>
      </c>
      <c r="B2730" t="str">
        <f>"1578726249691023"</f>
        <v>1578726249691023</v>
      </c>
      <c r="C2730" t="s">
        <v>40</v>
      </c>
      <c r="D2730">
        <v>6.009665</v>
      </c>
      <c r="E2730">
        <v>0.50103450000000005</v>
      </c>
      <c r="F2730" t="s">
        <v>42</v>
      </c>
      <c r="G2730">
        <v>-277.19119999999998</v>
      </c>
      <c r="H2730">
        <v>1.0059400000000001</v>
      </c>
      <c r="I2730">
        <v>-56.504829999999998</v>
      </c>
      <c r="J2730">
        <v>-278.02229999999997</v>
      </c>
      <c r="K2730">
        <v>1.1071709999999999</v>
      </c>
      <c r="L2730">
        <v>-56.513210000000001</v>
      </c>
      <c r="M2730">
        <v>0.99768319999999999</v>
      </c>
      <c r="N2730">
        <v>0</v>
      </c>
      <c r="O2730">
        <v>-6.7009949999999999E-2</v>
      </c>
      <c r="P2730">
        <v>0.99230469999999904</v>
      </c>
      <c r="Q2730">
        <v>0.12381780000000001</v>
      </c>
      <c r="R2730">
        <v>9.7712639999999996E-4</v>
      </c>
      <c r="S2730">
        <v>3.0613100000000002</v>
      </c>
      <c r="T2730">
        <v>-0.30797269999999999</v>
      </c>
      <c r="U2730">
        <v>-7.0800780000000001E-3</v>
      </c>
      <c r="V2730">
        <v>-6.8544579999999994E-2</v>
      </c>
      <c r="W2730">
        <v>0.1349098</v>
      </c>
      <c r="X2730">
        <v>0.98848420000000004</v>
      </c>
      <c r="Y2730">
        <v>-6.4045710000000006E-2</v>
      </c>
      <c r="Z2730">
        <v>9.9343069999999999E-3</v>
      </c>
      <c r="AA2730">
        <v>0.99789749999999999</v>
      </c>
      <c r="AB2730">
        <v>34</v>
      </c>
      <c r="AC2730">
        <v>0.83109999999999196</v>
      </c>
      <c r="AD2730">
        <v>-0.101230999999999</v>
      </c>
      <c r="AE2730">
        <v>8.3799999999953894E-3</v>
      </c>
      <c r="AF2730">
        <v>-6.3120601561952802E-2</v>
      </c>
      <c r="AG2730">
        <v>-0.101230999999999</v>
      </c>
      <c r="AH2730">
        <v>0.81655679520204905</v>
      </c>
      <c r="AI2730">
        <v>97.046263217073204</v>
      </c>
      <c r="AJ2730">
        <v>94.420226901559204</v>
      </c>
      <c r="AK2730">
        <v>0.82522537860464795</v>
      </c>
      <c r="AL2730">
        <v>82.246596012385893</v>
      </c>
      <c r="AM2730">
        <v>93.966718386542993</v>
      </c>
      <c r="AN2730">
        <v>1.0000000136165199</v>
      </c>
    </row>
    <row r="2731" spans="1:40" x14ac:dyDescent="0.3">
      <c r="A2731" t="str">
        <f>"20200111150409712"</f>
        <v>20200111150409712</v>
      </c>
      <c r="B2731" t="str">
        <f>"1578726249701758"</f>
        <v>1578726249701758</v>
      </c>
      <c r="C2731" t="s">
        <v>40</v>
      </c>
      <c r="D2731">
        <v>6.0286249999999999</v>
      </c>
      <c r="E2731">
        <v>0.50783329999999904</v>
      </c>
      <c r="F2731" t="s">
        <v>41</v>
      </c>
      <c r="G2731">
        <v>-266.95339999999999</v>
      </c>
      <c r="H2731" s="1">
        <v>-2.673157E-6</v>
      </c>
      <c r="I2731">
        <v>-56.522519999999901</v>
      </c>
      <c r="J2731">
        <v>-277.85789999999997</v>
      </c>
      <c r="K2731">
        <v>1.1068610000000001</v>
      </c>
      <c r="L2731">
        <v>-56.52328</v>
      </c>
      <c r="M2731">
        <v>0.99774689999999999</v>
      </c>
      <c r="N2731">
        <v>0</v>
      </c>
      <c r="O2731">
        <v>-6.6057569999999996E-2</v>
      </c>
      <c r="P2731">
        <v>0.99222509999999997</v>
      </c>
      <c r="Q2731">
        <v>0.124421699999999</v>
      </c>
      <c r="R2731">
        <v>2.933948E-3</v>
      </c>
      <c r="S2731">
        <v>3.0615230000000002</v>
      </c>
      <c r="T2731">
        <v>-0.30623050000000002</v>
      </c>
      <c r="U2731">
        <v>-2.5939940000000001E-3</v>
      </c>
      <c r="V2731">
        <v>-6.9444510000000001E-2</v>
      </c>
      <c r="W2731">
        <v>0.13553289999999901</v>
      </c>
      <c r="X2731">
        <v>0.98833610000000005</v>
      </c>
      <c r="Y2731">
        <v>-6.456518E-2</v>
      </c>
      <c r="Z2731">
        <v>9.8088380000000003E-3</v>
      </c>
      <c r="AA2731">
        <v>0.99786529999999996</v>
      </c>
      <c r="AB2731">
        <v>34</v>
      </c>
      <c r="AC2731">
        <v>10.904499999999899</v>
      </c>
      <c r="AD2731">
        <v>-1.1068636731569901</v>
      </c>
      <c r="AE2731">
        <v>7.6000000001386005E-4</v>
      </c>
      <c r="AF2731">
        <v>-0.71377836729748301</v>
      </c>
      <c r="AG2731">
        <v>-1.1068636731569901</v>
      </c>
      <c r="AH2731">
        <v>10.7696658481812</v>
      </c>
      <c r="AI2731">
        <v>95.855274058168405</v>
      </c>
      <c r="AJ2731">
        <v>93.791832089171706</v>
      </c>
      <c r="AK2731">
        <v>10.849899964057601</v>
      </c>
      <c r="AL2731">
        <v>82.210563784745403</v>
      </c>
      <c r="AM2731">
        <v>94.019228585091099</v>
      </c>
      <c r="AN2731">
        <v>0.99999997675737895</v>
      </c>
    </row>
    <row r="2732" spans="1:40" x14ac:dyDescent="0.3">
      <c r="A2732" t="str">
        <f>"20200111150409724"</f>
        <v>20200111150409724</v>
      </c>
      <c r="B2732" t="str">
        <f>"1578726249711520"</f>
        <v>1578726249711520</v>
      </c>
      <c r="C2732" t="s">
        <v>40</v>
      </c>
      <c r="D2732">
        <v>5.3825089999999998</v>
      </c>
      <c r="E2732">
        <v>0.50347889999999995</v>
      </c>
      <c r="F2732" t="s">
        <v>66</v>
      </c>
      <c r="G2732">
        <v>-157.3501</v>
      </c>
      <c r="H2732">
        <v>20.154499999999999</v>
      </c>
      <c r="I2732">
        <v>-58.716270000000002</v>
      </c>
      <c r="J2732">
        <v>-277.68239999999997</v>
      </c>
      <c r="K2732">
        <v>1.1065400000000001</v>
      </c>
      <c r="L2732">
        <v>-56.534030000000001</v>
      </c>
      <c r="M2732">
        <v>0.99779949999999995</v>
      </c>
      <c r="N2732">
        <v>0</v>
      </c>
      <c r="O2732">
        <v>-6.5265310000000007E-2</v>
      </c>
      <c r="P2732">
        <v>0.99218329999999999</v>
      </c>
      <c r="Q2732">
        <v>0.1247114</v>
      </c>
      <c r="R2732">
        <v>4.4254730000000001E-3</v>
      </c>
      <c r="S2732">
        <v>2.9649049999999999</v>
      </c>
      <c r="T2732">
        <v>0.4686362</v>
      </c>
      <c r="U2732">
        <v>-5.3955080000000002E-2</v>
      </c>
      <c r="V2732">
        <v>-7.0036199999999896E-2</v>
      </c>
      <c r="W2732">
        <v>0.1358481</v>
      </c>
      <c r="X2732">
        <v>0.98825110000000005</v>
      </c>
      <c r="Y2732">
        <v>-4.5726620000000003E-2</v>
      </c>
      <c r="Z2732">
        <v>-1.3836330000000001E-2</v>
      </c>
      <c r="AA2732">
        <v>0.99885820000000003</v>
      </c>
      <c r="AB2732">
        <v>34</v>
      </c>
      <c r="AC2732">
        <v>120.33229999999899</v>
      </c>
      <c r="AD2732">
        <v>19.04796</v>
      </c>
      <c r="AE2732">
        <v>-2.18223999999999</v>
      </c>
      <c r="AF2732">
        <v>-5.5377594750428702</v>
      </c>
      <c r="AG2732">
        <v>19.04796</v>
      </c>
      <c r="AH2732">
        <v>117.280392504876</v>
      </c>
      <c r="AI2732">
        <v>80.785013397721997</v>
      </c>
      <c r="AJ2732">
        <v>92.703390985912307</v>
      </c>
      <c r="AK2732">
        <v>118.946130774661</v>
      </c>
      <c r="AL2732">
        <v>82.1923357974173</v>
      </c>
      <c r="AM2732">
        <v>94.053707534504198</v>
      </c>
      <c r="AN2732">
        <v>1.00000000611763</v>
      </c>
    </row>
    <row r="2733" spans="1:40" x14ac:dyDescent="0.3">
      <c r="A2733" t="str">
        <f>"20200111150409750"</f>
        <v>20200111150409750</v>
      </c>
      <c r="B2733" t="str">
        <f>"1578726249741774"</f>
        <v>1578726249741774</v>
      </c>
      <c r="C2733" t="s">
        <v>40</v>
      </c>
      <c r="D2733">
        <v>5.649254</v>
      </c>
      <c r="E2733">
        <v>0.50347889999999995</v>
      </c>
      <c r="F2733" t="s">
        <v>66</v>
      </c>
      <c r="G2733">
        <v>-157.3501</v>
      </c>
      <c r="H2733">
        <v>21.95561</v>
      </c>
      <c r="I2733">
        <v>-57.134630000000001</v>
      </c>
      <c r="J2733">
        <v>-277.28059999999999</v>
      </c>
      <c r="K2733">
        <v>1.1058300000000001</v>
      </c>
      <c r="L2733">
        <v>-56.558720000000001</v>
      </c>
      <c r="M2733">
        <v>0.99787709999999996</v>
      </c>
      <c r="N2733">
        <v>0</v>
      </c>
      <c r="O2733">
        <v>-6.4075010000000002E-2</v>
      </c>
      <c r="P2733">
        <v>0.99195129999999998</v>
      </c>
      <c r="Q2733">
        <v>0.12633230000000001</v>
      </c>
      <c r="R2733">
        <v>8.5466239999999992E-3</v>
      </c>
      <c r="S2733">
        <v>2.9592589999999999</v>
      </c>
      <c r="T2733">
        <v>0.5127275</v>
      </c>
      <c r="U2733">
        <v>-1.4770510000000001E-2</v>
      </c>
      <c r="V2733">
        <v>-7.2717260000000006E-2</v>
      </c>
      <c r="W2733">
        <v>0.13752259999999999</v>
      </c>
      <c r="X2733">
        <v>0.98782579999999998</v>
      </c>
      <c r="Y2733">
        <v>-5.7290500000000001E-2</v>
      </c>
      <c r="Z2733">
        <v>-1.5940630000000001E-2</v>
      </c>
      <c r="AA2733">
        <v>0.99823030000000001</v>
      </c>
      <c r="AB2733">
        <v>34</v>
      </c>
      <c r="AC2733">
        <v>119.93049999999999</v>
      </c>
      <c r="AD2733">
        <v>20.849779999999999</v>
      </c>
      <c r="AE2733">
        <v>-0.57591000000000703</v>
      </c>
      <c r="AF2733">
        <v>-6.9017531873796996</v>
      </c>
      <c r="AG2733">
        <v>20.849779999999999</v>
      </c>
      <c r="AH2733">
        <v>116.208777334947</v>
      </c>
      <c r="AI2733">
        <v>79.845927831951002</v>
      </c>
      <c r="AJ2733">
        <v>93.398860002152105</v>
      </c>
      <c r="AK2733">
        <v>118.26591839068099</v>
      </c>
      <c r="AL2733">
        <v>82.095485267284204</v>
      </c>
      <c r="AM2733">
        <v>94.2101458192531</v>
      </c>
      <c r="AN2733">
        <v>1.0000000382791501</v>
      </c>
    </row>
    <row r="2734" spans="1:40" x14ac:dyDescent="0.3">
      <c r="A2734" t="str">
        <f>"20200111150409761"</f>
        <v>20200111150409761</v>
      </c>
      <c r="B2734" t="str">
        <f>"1578726249751535"</f>
        <v>1578726249751535</v>
      </c>
      <c r="C2734" t="s">
        <v>40</v>
      </c>
      <c r="D2734">
        <v>5.3704390000000002</v>
      </c>
      <c r="E2734">
        <v>0.51335159999999902</v>
      </c>
      <c r="F2734" t="s">
        <v>66</v>
      </c>
      <c r="G2734">
        <v>-157.3501</v>
      </c>
      <c r="H2734">
        <v>22.089870000000001</v>
      </c>
      <c r="I2734">
        <v>-56.652729999999998</v>
      </c>
      <c r="J2734">
        <v>-277.12110000000001</v>
      </c>
      <c r="K2734">
        <v>1.105556</v>
      </c>
      <c r="L2734">
        <v>-56.568629999999999</v>
      </c>
      <c r="M2734">
        <v>0.99788739999999998</v>
      </c>
      <c r="N2734">
        <v>0</v>
      </c>
      <c r="O2734">
        <v>-6.3916849999999997E-2</v>
      </c>
      <c r="P2734">
        <v>0.99186220000000003</v>
      </c>
      <c r="Q2734">
        <v>0.1269681</v>
      </c>
      <c r="R2734">
        <v>9.4043149999999999E-3</v>
      </c>
      <c r="S2734">
        <v>2.9584350000000001</v>
      </c>
      <c r="T2734">
        <v>0.51763159999999997</v>
      </c>
      <c r="U2734">
        <v>-2.319336E-3</v>
      </c>
      <c r="V2734">
        <v>-7.3317579999999993E-2</v>
      </c>
      <c r="W2734">
        <v>0.13818569999999999</v>
      </c>
      <c r="X2734">
        <v>0.98768880000000003</v>
      </c>
      <c r="Y2734">
        <v>-6.123845E-2</v>
      </c>
      <c r="Z2734">
        <v>-1.6411060000000002E-2</v>
      </c>
      <c r="AA2734">
        <v>0.99798819999999999</v>
      </c>
      <c r="AB2734">
        <v>34</v>
      </c>
      <c r="AC2734">
        <v>119.771</v>
      </c>
      <c r="AD2734">
        <v>20.984314000000001</v>
      </c>
      <c r="AE2734">
        <v>-8.4099999999999397E-2</v>
      </c>
      <c r="AF2734">
        <v>-7.3464659495305504</v>
      </c>
      <c r="AG2734">
        <v>20.984314000000001</v>
      </c>
      <c r="AH2734">
        <v>115.971541277838</v>
      </c>
      <c r="AI2734">
        <v>79.763747212959103</v>
      </c>
      <c r="AJ2734">
        <v>93.624680738569495</v>
      </c>
      <c r="AK2734">
        <v>118.08348903363</v>
      </c>
      <c r="AL2734">
        <v>82.057125582685202</v>
      </c>
      <c r="AM2734">
        <v>94.245362940140893</v>
      </c>
      <c r="AN2734">
        <v>0.99999996043349204</v>
      </c>
    </row>
    <row r="2735" spans="1:40" x14ac:dyDescent="0.3">
      <c r="A2735" t="str">
        <f>"20200111150409773"</f>
        <v>20200111150409773</v>
      </c>
      <c r="B2735" t="str">
        <f>"1578726249761295"</f>
        <v>1578726249761295</v>
      </c>
      <c r="C2735" t="s">
        <v>40</v>
      </c>
      <c r="D2735">
        <v>5.2946309999999999</v>
      </c>
      <c r="E2735">
        <v>0.51491409999999904</v>
      </c>
      <c r="F2735" t="s">
        <v>42</v>
      </c>
      <c r="G2735">
        <v>-276.28960000000001</v>
      </c>
      <c r="H2735">
        <v>1.025061</v>
      </c>
      <c r="I2735">
        <v>-56.589779999999998</v>
      </c>
      <c r="J2735">
        <v>-276.9545</v>
      </c>
      <c r="K2735">
        <v>1.10527</v>
      </c>
      <c r="L2735">
        <v>-56.579039999999999</v>
      </c>
      <c r="M2735">
        <v>0.99789289999999997</v>
      </c>
      <c r="N2735">
        <v>0</v>
      </c>
      <c r="O2735">
        <v>-6.3837950000000004E-2</v>
      </c>
      <c r="P2735">
        <v>0.9917648</v>
      </c>
      <c r="Q2735">
        <v>0.1276571</v>
      </c>
      <c r="R2735">
        <v>1.033188E-2</v>
      </c>
      <c r="S2735">
        <v>3.0632929999999998</v>
      </c>
      <c r="T2735">
        <v>-0.296566</v>
      </c>
      <c r="U2735">
        <v>-7.778931E-2</v>
      </c>
      <c r="V2735">
        <v>-7.4062169999999997E-2</v>
      </c>
      <c r="W2735">
        <v>0.138904</v>
      </c>
      <c r="X2735">
        <v>0.98753250000000004</v>
      </c>
      <c r="Y2735">
        <v>-3.8012230000000001E-2</v>
      </c>
      <c r="Z2735">
        <v>7.9963949999999999E-3</v>
      </c>
      <c r="AA2735">
        <v>0.9992453</v>
      </c>
      <c r="AB2735">
        <v>34</v>
      </c>
      <c r="AC2735">
        <v>0.66489999999998795</v>
      </c>
      <c r="AD2735">
        <v>-8.0208999999999905E-2</v>
      </c>
      <c r="AE2735">
        <v>-1.07400000000055E-2</v>
      </c>
      <c r="AF2735">
        <v>-3.1275601581141697E-2</v>
      </c>
      <c r="AG2735">
        <v>-8.0208999999999905E-2</v>
      </c>
      <c r="AH2735">
        <v>0.65470426254249003</v>
      </c>
      <c r="AI2735">
        <v>96.976726290842706</v>
      </c>
      <c r="AJ2735">
        <v>92.734973387310006</v>
      </c>
      <c r="AK2735">
        <v>0.66034030493872498</v>
      </c>
      <c r="AL2735">
        <v>82.015569435652594</v>
      </c>
      <c r="AM2735">
        <v>94.288993658977603</v>
      </c>
      <c r="AN2735">
        <v>0.99999998239867904</v>
      </c>
    </row>
    <row r="2736" spans="1:40" x14ac:dyDescent="0.3">
      <c r="A2736" t="str">
        <f>"20200111150409783"</f>
        <v>20200111150409783</v>
      </c>
      <c r="B2736" t="str">
        <f>"1578726249781790"</f>
        <v>1578726249781790</v>
      </c>
      <c r="C2736" t="s">
        <v>40</v>
      </c>
      <c r="D2736">
        <v>5.314902</v>
      </c>
      <c r="E2736">
        <v>0.51552749999999903</v>
      </c>
      <c r="F2736" t="s">
        <v>42</v>
      </c>
      <c r="G2736">
        <v>-276.00170000000003</v>
      </c>
      <c r="H2736">
        <v>1.0052140000000001</v>
      </c>
      <c r="I2736">
        <v>-56.6066199999999</v>
      </c>
      <c r="J2736">
        <v>-276.77839999999998</v>
      </c>
      <c r="K2736">
        <v>1.1049800000000001</v>
      </c>
      <c r="L2736">
        <v>-56.590179999999997</v>
      </c>
      <c r="M2736">
        <v>0.99788650000000001</v>
      </c>
      <c r="N2736">
        <v>0</v>
      </c>
      <c r="O2736">
        <v>-6.3939770000000007E-2</v>
      </c>
      <c r="P2736">
        <v>0.99163199999999996</v>
      </c>
      <c r="Q2736">
        <v>0.1286368</v>
      </c>
      <c r="R2736">
        <v>1.090261E-2</v>
      </c>
      <c r="S2736">
        <v>3.0672609999999998</v>
      </c>
      <c r="T2736">
        <v>-0.32194430000000002</v>
      </c>
      <c r="U2736">
        <v>-8.8012699999999999E-2</v>
      </c>
      <c r="V2736">
        <v>-7.4624490000000002E-2</v>
      </c>
      <c r="W2736">
        <v>0.139917299999999</v>
      </c>
      <c r="X2736">
        <v>0.98734710000000003</v>
      </c>
      <c r="Y2736">
        <v>-3.4752900000000003E-2</v>
      </c>
      <c r="Z2736">
        <v>8.5054399999999995E-3</v>
      </c>
      <c r="AA2736">
        <v>0.99935969999999996</v>
      </c>
      <c r="AB2736">
        <v>34</v>
      </c>
      <c r="AC2736">
        <v>0.77669999999994799</v>
      </c>
      <c r="AD2736">
        <v>-9.9765999999999799E-2</v>
      </c>
      <c r="AE2736">
        <v>-1.6439999999988599E-2</v>
      </c>
      <c r="AF2736">
        <v>-3.2719400950838903E-2</v>
      </c>
      <c r="AG2736">
        <v>-9.9765999999999799E-2</v>
      </c>
      <c r="AH2736">
        <v>0.76356919941006696</v>
      </c>
      <c r="AI2736">
        <v>97.437203399091104</v>
      </c>
      <c r="AJ2736">
        <v>92.453657679442799</v>
      </c>
      <c r="AK2736">
        <v>0.77075400501217795</v>
      </c>
      <c r="AL2736">
        <v>81.956939058327293</v>
      </c>
      <c r="AM2736">
        <v>94.322243506029395</v>
      </c>
      <c r="AN2736">
        <v>0.99999998061272899</v>
      </c>
    </row>
    <row r="2737" spans="1:40" x14ac:dyDescent="0.3">
      <c r="A2737" t="str">
        <f>"20200111150409796"</f>
        <v>20200111150409796</v>
      </c>
      <c r="B2737" t="str">
        <f>"1578726249791550"</f>
        <v>1578726249791550</v>
      </c>
      <c r="C2737" t="s">
        <v>40</v>
      </c>
      <c r="D2737">
        <v>5.3282160000000003</v>
      </c>
      <c r="E2737">
        <v>0.51610809999999996</v>
      </c>
      <c r="F2737" t="s">
        <v>42</v>
      </c>
      <c r="G2737">
        <v>-275.99619999999999</v>
      </c>
      <c r="H2737">
        <v>1.0177719999999999</v>
      </c>
      <c r="I2737">
        <v>-56.613810000000001</v>
      </c>
      <c r="J2737">
        <v>-276.6103</v>
      </c>
      <c r="K2737">
        <v>1.1047039999999999</v>
      </c>
      <c r="L2737">
        <v>-56.601010000000002</v>
      </c>
      <c r="M2737">
        <v>0.9978707</v>
      </c>
      <c r="N2737">
        <v>0</v>
      </c>
      <c r="O2737">
        <v>-6.41872E-2</v>
      </c>
      <c r="P2737">
        <v>0.99151860000000003</v>
      </c>
      <c r="Q2737">
        <v>0.12949849999999999</v>
      </c>
      <c r="R2737">
        <v>1.1010310000000001E-2</v>
      </c>
      <c r="S2737">
        <v>3.0707089999999999</v>
      </c>
      <c r="T2737">
        <v>-0.34213579999999999</v>
      </c>
      <c r="U2737">
        <v>-9.1827389999999995E-2</v>
      </c>
      <c r="V2737">
        <v>-7.4873830000000002E-2</v>
      </c>
      <c r="W2737">
        <v>0.14081289999999999</v>
      </c>
      <c r="X2737">
        <v>0.98720090000000005</v>
      </c>
      <c r="Y2737">
        <v>-3.3728840000000003E-2</v>
      </c>
      <c r="Z2737">
        <v>8.995935E-3</v>
      </c>
      <c r="AA2737">
        <v>0.99939049999999996</v>
      </c>
      <c r="AB2737">
        <v>34</v>
      </c>
      <c r="AC2737">
        <v>0.61410000000000697</v>
      </c>
      <c r="AD2737">
        <v>-8.6932000000000204E-2</v>
      </c>
      <c r="AE2737">
        <v>-1.28000000000056E-2</v>
      </c>
      <c r="AF2737">
        <v>-2.6123140423874602E-2</v>
      </c>
      <c r="AG2737">
        <v>-8.6932000000000204E-2</v>
      </c>
      <c r="AH2737">
        <v>0.60160466836118698</v>
      </c>
      <c r="AI2737">
        <v>98.214703962145094</v>
      </c>
      <c r="AJ2737">
        <v>92.486360440216899</v>
      </c>
      <c r="AK2737">
        <v>0.60841414191616106</v>
      </c>
      <c r="AL2737">
        <v>81.905111933564598</v>
      </c>
      <c r="AM2737">
        <v>94.337270039364498</v>
      </c>
      <c r="AN2737">
        <v>0.99999999009304397</v>
      </c>
    </row>
    <row r="2738" spans="1:40" x14ac:dyDescent="0.3">
      <c r="A2738" t="str">
        <f>"20200111150409806"</f>
        <v>20200111150409806</v>
      </c>
      <c r="B2738" t="str">
        <f>"1578726249801310"</f>
        <v>1578726249801310</v>
      </c>
      <c r="C2738" t="s">
        <v>40</v>
      </c>
      <c r="D2738">
        <v>5.3650640000000003</v>
      </c>
      <c r="E2738">
        <v>0.51683690000000004</v>
      </c>
      <c r="F2738" t="s">
        <v>42</v>
      </c>
      <c r="G2738">
        <v>-275.70280000000002</v>
      </c>
      <c r="H2738">
        <v>1.0029790000000001</v>
      </c>
      <c r="I2738">
        <v>-56.629689999999997</v>
      </c>
      <c r="J2738">
        <v>-276.45060000000001</v>
      </c>
      <c r="K2738">
        <v>1.1044449999999999</v>
      </c>
      <c r="L2738">
        <v>-56.61139</v>
      </c>
      <c r="M2738">
        <v>0.9978494</v>
      </c>
      <c r="N2738">
        <v>0</v>
      </c>
      <c r="O2738">
        <v>-6.4520850000000005E-2</v>
      </c>
      <c r="P2738">
        <v>0.99142609999999998</v>
      </c>
      <c r="Q2738">
        <v>0.1302113</v>
      </c>
      <c r="R2738">
        <v>1.093532E-2</v>
      </c>
      <c r="S2738">
        <v>3.0717469999999998</v>
      </c>
      <c r="T2738">
        <v>-0.34426770000000001</v>
      </c>
      <c r="U2738">
        <v>-9.6862790000000004E-2</v>
      </c>
      <c r="V2738">
        <v>-7.5033340000000004E-2</v>
      </c>
      <c r="W2738">
        <v>0.14155870000000001</v>
      </c>
      <c r="X2738">
        <v>0.98708209999999996</v>
      </c>
      <c r="Y2738">
        <v>-3.2435270000000002E-2</v>
      </c>
      <c r="Z2738">
        <v>9.0132360000000009E-3</v>
      </c>
      <c r="AA2738">
        <v>0.99943320000000002</v>
      </c>
      <c r="AB2738">
        <v>34</v>
      </c>
      <c r="AC2738">
        <v>0.74779999999998303</v>
      </c>
      <c r="AD2738">
        <v>-0.101466</v>
      </c>
      <c r="AE2738">
        <v>-1.8300000000003501E-2</v>
      </c>
      <c r="AF2738">
        <v>-2.9448213969712599E-2</v>
      </c>
      <c r="AG2738">
        <v>-0.101466</v>
      </c>
      <c r="AH2738">
        <v>0.73391859184885799</v>
      </c>
      <c r="AI2738">
        <v>97.8651315940795</v>
      </c>
      <c r="AJ2738">
        <v>92.297739530705996</v>
      </c>
      <c r="AK2738">
        <v>0.74148435312109995</v>
      </c>
      <c r="AL2738">
        <v>81.861948209886293</v>
      </c>
      <c r="AM2738">
        <v>94.346995831818504</v>
      </c>
      <c r="AN2738">
        <v>0.999999969898827</v>
      </c>
    </row>
    <row r="2739" spans="1:40" x14ac:dyDescent="0.3">
      <c r="A2739" t="str">
        <f>"20200111150409829"</f>
        <v>20200111150409829</v>
      </c>
      <c r="B2739" t="str">
        <f>"1578726249821806"</f>
        <v>1578726249821806</v>
      </c>
      <c r="C2739" t="s">
        <v>40</v>
      </c>
      <c r="D2739">
        <v>5.3673229999999998</v>
      </c>
      <c r="E2739">
        <v>0.51841340000000002</v>
      </c>
      <c r="F2739" t="s">
        <v>42</v>
      </c>
      <c r="G2739">
        <v>-275.69580000000002</v>
      </c>
      <c r="H2739">
        <v>1.018597</v>
      </c>
      <c r="I2739">
        <v>-56.636859999999999</v>
      </c>
      <c r="J2739">
        <v>-276.09750000000003</v>
      </c>
      <c r="K2739">
        <v>1.103874</v>
      </c>
      <c r="L2739">
        <v>-56.635010000000001</v>
      </c>
      <c r="M2739">
        <v>0.9977705</v>
      </c>
      <c r="N2739">
        <v>0</v>
      </c>
      <c r="O2739">
        <v>-6.5734459999999995E-2</v>
      </c>
      <c r="P2739">
        <v>0.99136539999999995</v>
      </c>
      <c r="Q2739">
        <v>0.13083359999999999</v>
      </c>
      <c r="R2739">
        <v>8.8066849999999999E-3</v>
      </c>
      <c r="S2739">
        <v>3.0729679999999999</v>
      </c>
      <c r="T2739">
        <v>-0.34949730000000001</v>
      </c>
      <c r="U2739">
        <v>-0.10345459999999999</v>
      </c>
      <c r="V2739">
        <v>-7.390745E-2</v>
      </c>
      <c r="W2739">
        <v>0.1422601</v>
      </c>
      <c r="X2739">
        <v>0.9870662</v>
      </c>
      <c r="Y2739">
        <v>-3.1502049999999997E-2</v>
      </c>
      <c r="Z2739">
        <v>9.2296040000000006E-3</v>
      </c>
      <c r="AA2739">
        <v>0.99946109999999999</v>
      </c>
      <c r="AB2739">
        <v>34</v>
      </c>
      <c r="AC2739">
        <v>0.401700000000005</v>
      </c>
      <c r="AD2739">
        <v>-8.5277000000000006E-2</v>
      </c>
      <c r="AE2739">
        <v>-1.84999999999746E-3</v>
      </c>
      <c r="AF2739">
        <v>-2.3502138553152401E-2</v>
      </c>
      <c r="AG2739">
        <v>-8.5277000000000006E-2</v>
      </c>
      <c r="AH2739">
        <v>0.38366247454060398</v>
      </c>
      <c r="AI2739">
        <v>102.508757609085</v>
      </c>
      <c r="AJ2739">
        <v>93.505406180935296</v>
      </c>
      <c r="AK2739">
        <v>0.39372758554131199</v>
      </c>
      <c r="AL2739">
        <v>81.821350042053595</v>
      </c>
      <c r="AM2739">
        <v>94.282081470150004</v>
      </c>
      <c r="AN2739">
        <v>0.99999996519997503</v>
      </c>
    </row>
    <row r="2740" spans="1:40" x14ac:dyDescent="0.3">
      <c r="A2740" t="str">
        <f>"20200111150409839"</f>
        <v>20200111150409839</v>
      </c>
      <c r="B2740" t="str">
        <f>"1578726249831566"</f>
        <v>1578726249831566</v>
      </c>
      <c r="C2740" t="s">
        <v>40</v>
      </c>
      <c r="D2740">
        <v>5.3614220000000001</v>
      </c>
      <c r="E2740">
        <v>0.51915270000000002</v>
      </c>
      <c r="F2740" t="s">
        <v>42</v>
      </c>
      <c r="G2740">
        <v>-275.10809999999998</v>
      </c>
      <c r="H2740">
        <v>0.98955689999999996</v>
      </c>
      <c r="I2740">
        <v>-56.67474</v>
      </c>
      <c r="J2740">
        <v>-275.94209999999998</v>
      </c>
      <c r="K2740">
        <v>1.1036330000000001</v>
      </c>
      <c r="L2740">
        <v>-56.645809999999997</v>
      </c>
      <c r="M2740">
        <v>0.99771980000000005</v>
      </c>
      <c r="N2740">
        <v>0</v>
      </c>
      <c r="O2740">
        <v>-6.6500729999999994E-2</v>
      </c>
      <c r="P2740">
        <v>0.99134250000000002</v>
      </c>
      <c r="Q2740">
        <v>0.13109599999999999</v>
      </c>
      <c r="R2740">
        <v>7.3384699999999997E-3</v>
      </c>
      <c r="S2740">
        <v>3.0741269999999998</v>
      </c>
      <c r="T2740">
        <v>-0.3551512</v>
      </c>
      <c r="U2740">
        <v>-0.1231384</v>
      </c>
      <c r="V2740">
        <v>-7.3114960000000007E-2</v>
      </c>
      <c r="W2740">
        <v>0.1425575</v>
      </c>
      <c r="X2740">
        <v>0.98708240000000003</v>
      </c>
      <c r="Y2740">
        <v>-2.5903410000000002E-2</v>
      </c>
      <c r="Z2740">
        <v>9.1387299999999994E-3</v>
      </c>
      <c r="AA2740">
        <v>0.99962269999999998</v>
      </c>
      <c r="AB2740">
        <v>34</v>
      </c>
      <c r="AC2740">
        <v>0.83400000000000296</v>
      </c>
      <c r="AD2740">
        <v>-0.1140761</v>
      </c>
      <c r="AE2740">
        <v>-2.8930000000002499E-2</v>
      </c>
      <c r="AF2740">
        <v>-2.6111403367314798E-2</v>
      </c>
      <c r="AG2740">
        <v>-0.1140761</v>
      </c>
      <c r="AH2740">
        <v>0.81877725832419401</v>
      </c>
      <c r="AI2740">
        <v>97.927693833848295</v>
      </c>
      <c r="AJ2740">
        <v>91.8265851012425</v>
      </c>
      <c r="AK2740">
        <v>0.82709815664521003</v>
      </c>
      <c r="AL2740">
        <v>81.804135528142297</v>
      </c>
      <c r="AM2740">
        <v>94.236264631209195</v>
      </c>
      <c r="AN2740">
        <v>1.0000000512859</v>
      </c>
    </row>
    <row r="2741" spans="1:40" x14ac:dyDescent="0.3">
      <c r="A2741" t="str">
        <f>"20200111150409851"</f>
        <v>20200111150409851</v>
      </c>
      <c r="B2741" t="str">
        <f>"1578726249841326"</f>
        <v>1578726249841326</v>
      </c>
      <c r="C2741" t="s">
        <v>40</v>
      </c>
      <c r="D2741">
        <v>5.3312480000000004</v>
      </c>
      <c r="E2741">
        <v>0.51964030000000005</v>
      </c>
      <c r="F2741" t="s">
        <v>42</v>
      </c>
      <c r="G2741">
        <v>-275.10090000000002</v>
      </c>
      <c r="H2741">
        <v>1.0062329999999999</v>
      </c>
      <c r="I2741">
        <v>-56.682519999999997</v>
      </c>
      <c r="J2741">
        <v>-275.77319999999997</v>
      </c>
      <c r="K2741">
        <v>1.10338</v>
      </c>
      <c r="L2741">
        <v>-56.657649999999997</v>
      </c>
      <c r="M2741">
        <v>0.99766160000000004</v>
      </c>
      <c r="N2741">
        <v>0</v>
      </c>
      <c r="O2741">
        <v>-6.7371249999999994E-2</v>
      </c>
      <c r="P2741">
        <v>0.99133329999999997</v>
      </c>
      <c r="Q2741">
        <v>0.13124050000000001</v>
      </c>
      <c r="R2741">
        <v>5.8702329999999999E-3</v>
      </c>
      <c r="S2741">
        <v>3.0742189999999998</v>
      </c>
      <c r="T2741">
        <v>-0.35585729999999999</v>
      </c>
      <c r="U2741">
        <v>-0.13378909999999999</v>
      </c>
      <c r="V2741">
        <v>-7.2421620000000006E-2</v>
      </c>
      <c r="W2741">
        <v>0.14273820000000001</v>
      </c>
      <c r="X2741">
        <v>0.98710730000000002</v>
      </c>
      <c r="Y2741">
        <v>-2.3328700000000001E-2</v>
      </c>
      <c r="Z2741">
        <v>9.1073270000000001E-3</v>
      </c>
      <c r="AA2741">
        <v>0.99968639999999998</v>
      </c>
      <c r="AB2741">
        <v>34</v>
      </c>
      <c r="AC2741">
        <v>0.67229999999995005</v>
      </c>
      <c r="AD2741">
        <v>-9.7147000000000094E-2</v>
      </c>
      <c r="AE2741">
        <v>-2.4869999999999899E-2</v>
      </c>
      <c r="AF2741">
        <v>-2.0064820965103501E-2</v>
      </c>
      <c r="AG2741">
        <v>-9.7147000000000094E-2</v>
      </c>
      <c r="AH2741">
        <v>0.65871275766641202</v>
      </c>
      <c r="AI2741">
        <v>98.3856750270335</v>
      </c>
      <c r="AJ2741">
        <v>91.744727395401299</v>
      </c>
      <c r="AK2741">
        <v>0.66614010070093399</v>
      </c>
      <c r="AL2741">
        <v>81.793674398828998</v>
      </c>
      <c r="AM2741">
        <v>94.196131371070507</v>
      </c>
      <c r="AN2741">
        <v>0.99999995324797597</v>
      </c>
    </row>
    <row r="2742" spans="1:40" x14ac:dyDescent="0.3">
      <c r="A2742" t="str">
        <f>"20200111150409861"</f>
        <v>20200111150409861</v>
      </c>
      <c r="B2742" t="str">
        <f>"1578726249851087"</f>
        <v>1578726249851087</v>
      </c>
      <c r="C2742" t="s">
        <v>40</v>
      </c>
      <c r="D2742">
        <v>5.3397360000000003</v>
      </c>
      <c r="E2742">
        <v>0.52024570000000003</v>
      </c>
      <c r="F2742" t="s">
        <v>42</v>
      </c>
      <c r="G2742">
        <v>-274.80709999999999</v>
      </c>
      <c r="H2742">
        <v>0.99095670000000002</v>
      </c>
      <c r="I2742">
        <v>-56.702590000000001</v>
      </c>
      <c r="J2742">
        <v>-275.6114</v>
      </c>
      <c r="K2742">
        <v>1.1031550000000001</v>
      </c>
      <c r="L2742">
        <v>-56.669370000000001</v>
      </c>
      <c r="M2742">
        <v>0.99759560000000003</v>
      </c>
      <c r="N2742">
        <v>0</v>
      </c>
      <c r="O2742">
        <v>-6.8341929999999995E-2</v>
      </c>
      <c r="P2742">
        <v>0.9913149</v>
      </c>
      <c r="Q2742">
        <v>0.1314427</v>
      </c>
      <c r="R2742">
        <v>4.2243569999999998E-3</v>
      </c>
      <c r="S2742">
        <v>3.0744020000000001</v>
      </c>
      <c r="T2742">
        <v>-0.35761999999999999</v>
      </c>
      <c r="U2742">
        <v>-0.14242550000000001</v>
      </c>
      <c r="V2742">
        <v>-7.1660399999999999E-2</v>
      </c>
      <c r="W2742">
        <v>0.14297179999999901</v>
      </c>
      <c r="X2742">
        <v>0.98712909999999998</v>
      </c>
      <c r="Y2742">
        <v>-2.1501320000000001E-2</v>
      </c>
      <c r="Z2742">
        <v>9.1571699999999992E-3</v>
      </c>
      <c r="AA2742">
        <v>0.99972689999999997</v>
      </c>
      <c r="AB2742">
        <v>34</v>
      </c>
      <c r="AC2742">
        <v>0.80430000000001201</v>
      </c>
      <c r="AD2742">
        <v>-0.112198299999999</v>
      </c>
      <c r="AE2742">
        <v>-3.3220000000007098E-2</v>
      </c>
      <c r="AF2742">
        <v>-2.1412757107469801E-2</v>
      </c>
      <c r="AG2742">
        <v>-0.112198299999999</v>
      </c>
      <c r="AH2742">
        <v>0.78935526525581401</v>
      </c>
      <c r="AI2742">
        <v>98.0868485625234</v>
      </c>
      <c r="AJ2742">
        <v>91.553875499150905</v>
      </c>
      <c r="AK2742">
        <v>0.797576767137127</v>
      </c>
      <c r="AL2742">
        <v>81.780151829731494</v>
      </c>
      <c r="AM2742">
        <v>94.152089742336699</v>
      </c>
      <c r="AN2742">
        <v>1.0000000042951001</v>
      </c>
    </row>
    <row r="2743" spans="1:40" x14ac:dyDescent="0.3">
      <c r="A2743" t="str">
        <f>"20200111150409873"</f>
        <v>20200111150409873</v>
      </c>
      <c r="B2743" t="str">
        <f>"1578726249871583"</f>
        <v>1578726249871583</v>
      </c>
      <c r="C2743" t="s">
        <v>40</v>
      </c>
      <c r="D2743">
        <v>5.5263179999999998</v>
      </c>
      <c r="E2743">
        <v>0.51955390000000001</v>
      </c>
      <c r="F2743" t="s">
        <v>42</v>
      </c>
      <c r="G2743">
        <v>-274.79930000000002</v>
      </c>
      <c r="H2743">
        <v>1.008424</v>
      </c>
      <c r="I2743">
        <v>-56.709879999999998</v>
      </c>
      <c r="J2743">
        <v>-275.43599999999998</v>
      </c>
      <c r="K2743">
        <v>1.10292099999999</v>
      </c>
      <c r="L2743">
        <v>-56.682250000000003</v>
      </c>
      <c r="M2743">
        <v>0.99751809999999996</v>
      </c>
      <c r="N2743">
        <v>0</v>
      </c>
      <c r="O2743">
        <v>-6.9466079999999999E-2</v>
      </c>
      <c r="P2743">
        <v>0.99134140000000004</v>
      </c>
      <c r="Q2743">
        <v>0.1312914</v>
      </c>
      <c r="R2743">
        <v>2.228041E-3</v>
      </c>
      <c r="S2743">
        <v>3.0744630000000002</v>
      </c>
      <c r="T2743">
        <v>-0.35845890000000002</v>
      </c>
      <c r="U2743">
        <v>-0.1526489</v>
      </c>
      <c r="V2743">
        <v>-7.0703719999999998E-2</v>
      </c>
      <c r="W2743">
        <v>0.14285239999999999</v>
      </c>
      <c r="X2743">
        <v>0.98721530000000002</v>
      </c>
      <c r="Y2743">
        <v>-1.931662E-2</v>
      </c>
      <c r="Z2743">
        <v>9.1807350000000006E-3</v>
      </c>
      <c r="AA2743">
        <v>0.99977119999999997</v>
      </c>
      <c r="AB2743">
        <v>34</v>
      </c>
      <c r="AC2743">
        <v>0.63669999999996196</v>
      </c>
      <c r="AD2743">
        <v>-9.4496999999999803E-2</v>
      </c>
      <c r="AE2743">
        <v>-2.7630000000002E-2</v>
      </c>
      <c r="AF2743">
        <v>-1.6310132004869599E-2</v>
      </c>
      <c r="AG2743">
        <v>-9.4496999999999803E-2</v>
      </c>
      <c r="AH2743">
        <v>0.62337557284709699</v>
      </c>
      <c r="AI2743">
        <v>98.616890574118798</v>
      </c>
      <c r="AJ2743">
        <v>91.498757109974804</v>
      </c>
      <c r="AK2743">
        <v>0.63070817993543005</v>
      </c>
      <c r="AL2743">
        <v>81.787063333848295</v>
      </c>
      <c r="AM2743">
        <v>94.096492062971507</v>
      </c>
      <c r="AN2743">
        <v>0.99999993638084195</v>
      </c>
    </row>
    <row r="2744" spans="1:40" x14ac:dyDescent="0.3">
      <c r="A2744" t="str">
        <f>"20200111150409886"</f>
        <v>20200111150409886</v>
      </c>
      <c r="B2744" t="str">
        <f>"1578726249881342"</f>
        <v>1578726249881342</v>
      </c>
      <c r="C2744" t="s">
        <v>40</v>
      </c>
      <c r="D2744">
        <v>5.3648290000000003</v>
      </c>
      <c r="E2744">
        <v>0.47992430000000003</v>
      </c>
      <c r="F2744" t="s">
        <v>42</v>
      </c>
      <c r="G2744">
        <v>-274.5043</v>
      </c>
      <c r="H2744">
        <v>0.99489430000000001</v>
      </c>
      <c r="I2744">
        <v>-56.728789999999996</v>
      </c>
      <c r="J2744">
        <v>-275.2482</v>
      </c>
      <c r="K2744">
        <v>1.1026910000000001</v>
      </c>
      <c r="L2744">
        <v>-56.696379999999998</v>
      </c>
      <c r="M2744">
        <v>0.99742580000000003</v>
      </c>
      <c r="N2744">
        <v>0</v>
      </c>
      <c r="O2744">
        <v>-7.0780170000000003E-2</v>
      </c>
      <c r="P2744">
        <v>0.99137359999999997</v>
      </c>
      <c r="Q2744">
        <v>0.1310675</v>
      </c>
      <c r="R2744" s="1">
        <v>-2.6316849999999999E-5</v>
      </c>
      <c r="S2744">
        <v>3.0737610000000002</v>
      </c>
      <c r="T2744">
        <v>-0.3563907</v>
      </c>
      <c r="U2744">
        <v>-0.15344240000000001</v>
      </c>
      <c r="V2744">
        <v>-6.9679450000000004E-2</v>
      </c>
      <c r="W2744">
        <v>0.14265799999999901</v>
      </c>
      <c r="X2744">
        <v>0.98731630000000004</v>
      </c>
      <c r="Y2744">
        <v>-2.0355950000000001E-2</v>
      </c>
      <c r="Z2744">
        <v>9.3414829999999994E-3</v>
      </c>
      <c r="AA2744">
        <v>0.9997492</v>
      </c>
      <c r="AB2744">
        <v>34</v>
      </c>
      <c r="AC2744">
        <v>0.74389999999999601</v>
      </c>
      <c r="AD2744">
        <v>-0.107796699999999</v>
      </c>
      <c r="AE2744">
        <v>-3.2409999999998697E-2</v>
      </c>
      <c r="AF2744">
        <v>-1.9910839926218001E-2</v>
      </c>
      <c r="AG2744">
        <v>-0.107796699999999</v>
      </c>
      <c r="AH2744">
        <v>0.729048450074537</v>
      </c>
      <c r="AI2744">
        <v>98.407692060136299</v>
      </c>
      <c r="AJ2744">
        <v>91.564400264074607</v>
      </c>
      <c r="AK2744">
        <v>0.73724365893071098</v>
      </c>
      <c r="AL2744">
        <v>81.798317446894004</v>
      </c>
      <c r="AM2744">
        <v>94.036933078721603</v>
      </c>
      <c r="AN2744">
        <v>1.0000000034809899</v>
      </c>
    </row>
    <row r="2745" spans="1:40" x14ac:dyDescent="0.3">
      <c r="A2745" t="str">
        <f>"20200111150409895"</f>
        <v>20200111150409895</v>
      </c>
      <c r="B2745" t="str">
        <f>"1578726249891102"</f>
        <v>1578726249891102</v>
      </c>
      <c r="C2745" t="s">
        <v>40</v>
      </c>
      <c r="D2745">
        <v>5.3265409999999997</v>
      </c>
      <c r="E2745">
        <v>0.47820400000000002</v>
      </c>
      <c r="F2745" t="s">
        <v>82</v>
      </c>
      <c r="G2745">
        <v>-240.22020000000001</v>
      </c>
      <c r="H2745" s="1">
        <v>-5.2531519999999995E-7</v>
      </c>
      <c r="I2745">
        <v>-54.884300000000003</v>
      </c>
      <c r="J2745">
        <v>-275.09649999999999</v>
      </c>
      <c r="K2745">
        <v>1.1025180000000001</v>
      </c>
      <c r="L2745">
        <v>-56.708100000000002</v>
      </c>
      <c r="M2745">
        <v>0.99734319999999999</v>
      </c>
      <c r="N2745">
        <v>0</v>
      </c>
      <c r="O2745">
        <v>-7.1936379999999994E-2</v>
      </c>
      <c r="P2745">
        <v>0.9914039</v>
      </c>
      <c r="Q2745">
        <v>0.13082469999999999</v>
      </c>
      <c r="R2745">
        <v>-1.9377280000000001E-3</v>
      </c>
      <c r="S2745">
        <v>3.0387569999999999</v>
      </c>
      <c r="T2745">
        <v>-9.5660809999999999E-2</v>
      </c>
      <c r="U2745">
        <v>0.157196</v>
      </c>
      <c r="V2745">
        <v>-6.8862930000000003E-2</v>
      </c>
      <c r="W2745">
        <v>0.1424366</v>
      </c>
      <c r="X2745">
        <v>0.98740550000000005</v>
      </c>
      <c r="Y2745">
        <v>-0.123276</v>
      </c>
      <c r="Z2745">
        <v>4.2008389999999996E-3</v>
      </c>
      <c r="AA2745">
        <v>0.99236349999999995</v>
      </c>
      <c r="AB2745">
        <v>34</v>
      </c>
      <c r="AC2745">
        <v>34.876299999999901</v>
      </c>
      <c r="AD2745">
        <v>-1.1025185253151999</v>
      </c>
      <c r="AE2745">
        <v>1.8237999999999901</v>
      </c>
      <c r="AF2745">
        <v>-4.32380516584207</v>
      </c>
      <c r="AG2745">
        <v>-1.1025185253151999</v>
      </c>
      <c r="AH2745">
        <v>34.620222302496202</v>
      </c>
      <c r="AI2745">
        <v>91.809977725755104</v>
      </c>
      <c r="AJ2745">
        <v>97.118950185849002</v>
      </c>
      <c r="AK2745">
        <v>34.906598666800498</v>
      </c>
      <c r="AL2745">
        <v>81.811133209776401</v>
      </c>
      <c r="AM2745">
        <v>93.989421770681503</v>
      </c>
      <c r="AN2745">
        <v>0.99999995478899595</v>
      </c>
    </row>
    <row r="2746" spans="1:40" x14ac:dyDescent="0.3">
      <c r="A2746" t="str">
        <f>"20200111150409906"</f>
        <v>20200111150409906</v>
      </c>
      <c r="B2746" t="str">
        <f>"1578726249901838"</f>
        <v>1578726249901838</v>
      </c>
      <c r="C2746" t="s">
        <v>40</v>
      </c>
      <c r="D2746">
        <v>5.2939579999999999</v>
      </c>
      <c r="E2746">
        <v>0.47880790000000001</v>
      </c>
      <c r="F2746" t="s">
        <v>83</v>
      </c>
      <c r="G2746">
        <v>-239.23339999999999</v>
      </c>
      <c r="H2746" s="1">
        <v>-3.9461430000000003E-6</v>
      </c>
      <c r="I2746">
        <v>-54.758040000000001</v>
      </c>
      <c r="J2746">
        <v>-274.93810000000002</v>
      </c>
      <c r="K2746">
        <v>1.102341</v>
      </c>
      <c r="L2746">
        <v>-56.720519999999901</v>
      </c>
      <c r="M2746">
        <v>0.99725269999999999</v>
      </c>
      <c r="N2746">
        <v>0</v>
      </c>
      <c r="O2746">
        <v>-7.3180419999999996E-2</v>
      </c>
      <c r="P2746">
        <v>0.99142739999999996</v>
      </c>
      <c r="Q2746">
        <v>0.13059119999999999</v>
      </c>
      <c r="R2746">
        <v>-4.250752E-3</v>
      </c>
      <c r="S2746">
        <v>3.0386660000000001</v>
      </c>
      <c r="T2746">
        <v>-9.341621E-2</v>
      </c>
      <c r="U2746">
        <v>0.16522220000000001</v>
      </c>
      <c r="V2746">
        <v>-6.7732650000000005E-2</v>
      </c>
      <c r="W2746">
        <v>0.1422223</v>
      </c>
      <c r="X2746">
        <v>0.98751460000000002</v>
      </c>
      <c r="Y2746">
        <v>-0.12713039999999901</v>
      </c>
      <c r="Z2746">
        <v>4.1995670000000004E-3</v>
      </c>
      <c r="AA2746">
        <v>0.99187709999999996</v>
      </c>
      <c r="AB2746">
        <v>34</v>
      </c>
      <c r="AC2746">
        <v>35.704700000000003</v>
      </c>
      <c r="AD2746">
        <v>-1.1023449461429999</v>
      </c>
      <c r="AE2746">
        <v>1.96247999999999</v>
      </c>
      <c r="AF2746">
        <v>-4.5659351911347796</v>
      </c>
      <c r="AG2746">
        <v>-1.1023449461429999</v>
      </c>
      <c r="AH2746">
        <v>35.431656706188598</v>
      </c>
      <c r="AI2746">
        <v>91.767398494696195</v>
      </c>
      <c r="AJ2746">
        <v>97.3430081942887</v>
      </c>
      <c r="AK2746">
        <v>35.741645534238202</v>
      </c>
      <c r="AL2746">
        <v>81.823538273366296</v>
      </c>
      <c r="AM2746">
        <v>93.923715587336005</v>
      </c>
      <c r="AN2746">
        <v>0.99999998985323602</v>
      </c>
    </row>
    <row r="2747" spans="1:40" x14ac:dyDescent="0.3">
      <c r="A2747" t="str">
        <f>"20200111150409918"</f>
        <v>20200111150409918</v>
      </c>
      <c r="B2747" t="str">
        <f>"1578726249911598"</f>
        <v>1578726249911598</v>
      </c>
      <c r="C2747" t="s">
        <v>40</v>
      </c>
      <c r="D2747">
        <v>5.4350699999999996</v>
      </c>
      <c r="E2747">
        <v>0.47944320000000001</v>
      </c>
      <c r="F2747" t="s">
        <v>82</v>
      </c>
      <c r="G2747">
        <v>-242.46449999999999</v>
      </c>
      <c r="H2747" s="1">
        <v>-1.236263E-6</v>
      </c>
      <c r="I2747">
        <v>-55.082769999999996</v>
      </c>
      <c r="J2747">
        <v>-274.75799999999998</v>
      </c>
      <c r="K2747">
        <v>1.102169</v>
      </c>
      <c r="L2747">
        <v>-56.735050000000001</v>
      </c>
      <c r="M2747">
        <v>0.99714049999999999</v>
      </c>
      <c r="N2747">
        <v>0</v>
      </c>
      <c r="O2747">
        <v>-7.469249E-2</v>
      </c>
      <c r="P2747">
        <v>0.99147370000000001</v>
      </c>
      <c r="Q2747">
        <v>0.13011030000000001</v>
      </c>
      <c r="R2747">
        <v>-7.162336E-3</v>
      </c>
      <c r="S2747">
        <v>3.0401919999999998</v>
      </c>
      <c r="T2747">
        <v>-0.1032016</v>
      </c>
      <c r="U2747">
        <v>0.15332029999999999</v>
      </c>
      <c r="V2747">
        <v>-6.6275860000000006E-2</v>
      </c>
      <c r="W2747">
        <v>0.14175879999999999</v>
      </c>
      <c r="X2747">
        <v>0.98768009999999995</v>
      </c>
      <c r="Y2747">
        <v>-0.1247144</v>
      </c>
      <c r="Z2747">
        <v>4.6475529999999996E-3</v>
      </c>
      <c r="AA2747">
        <v>0.9921818</v>
      </c>
      <c r="AB2747">
        <v>34</v>
      </c>
      <c r="AC2747">
        <v>32.293499999999902</v>
      </c>
      <c r="AD2747">
        <v>-1.1021702362629999</v>
      </c>
      <c r="AE2747">
        <v>1.65228</v>
      </c>
      <c r="AF2747">
        <v>-4.0551935721809702</v>
      </c>
      <c r="AG2747">
        <v>-1.1021702362629999</v>
      </c>
      <c r="AH2747">
        <v>32.042631688529198</v>
      </c>
      <c r="AI2747">
        <v>91.954448653510795</v>
      </c>
      <c r="AJ2747">
        <v>97.212791178559797</v>
      </c>
      <c r="AK2747">
        <v>32.317017493331598</v>
      </c>
      <c r="AL2747">
        <v>81.850366886638099</v>
      </c>
      <c r="AM2747">
        <v>93.838938270410495</v>
      </c>
      <c r="AN2747">
        <v>1.00000001346609</v>
      </c>
    </row>
    <row r="2748" spans="1:40" x14ac:dyDescent="0.3">
      <c r="A2748" t="str">
        <f>"20200111150409930"</f>
        <v>20200111150409930</v>
      </c>
      <c r="B2748" t="str">
        <f>"1578726249921359"</f>
        <v>1578726249921359</v>
      </c>
      <c r="C2748" t="s">
        <v>40</v>
      </c>
      <c r="D2748">
        <v>5.2403940000000002</v>
      </c>
      <c r="E2748">
        <v>0.4794002</v>
      </c>
      <c r="F2748" t="s">
        <v>83</v>
      </c>
      <c r="G2748">
        <v>-233.5898</v>
      </c>
      <c r="H2748" s="1">
        <v>-1.6831930000000001E-6</v>
      </c>
      <c r="I2748">
        <v>-54.8422699999999</v>
      </c>
      <c r="J2748">
        <v>-274.58269999999999</v>
      </c>
      <c r="K2748">
        <v>1.1020099999999999</v>
      </c>
      <c r="L2748">
        <v>-56.749360000000003</v>
      </c>
      <c r="M2748">
        <v>0.9970272</v>
      </c>
      <c r="N2748">
        <v>0</v>
      </c>
      <c r="O2748">
        <v>-7.6193979999999994E-2</v>
      </c>
      <c r="P2748">
        <v>0.99153009999999997</v>
      </c>
      <c r="Q2748">
        <v>0.12949840000000001</v>
      </c>
      <c r="R2748">
        <v>-9.9180259999999999E-3</v>
      </c>
      <c r="S2748">
        <v>3.0374759999999998</v>
      </c>
      <c r="T2748">
        <v>-8.1320409999999996E-2</v>
      </c>
      <c r="U2748">
        <v>0.13964840000000001</v>
      </c>
      <c r="V2748">
        <v>-6.4971210000000001E-2</v>
      </c>
      <c r="W2748">
        <v>0.14116129999999999</v>
      </c>
      <c r="X2748">
        <v>0.98785230000000002</v>
      </c>
      <c r="Y2748">
        <v>-0.1218409</v>
      </c>
      <c r="Z2748">
        <v>3.6678269999999998E-3</v>
      </c>
      <c r="AA2748">
        <v>0.99254290000000001</v>
      </c>
      <c r="AB2748">
        <v>34</v>
      </c>
      <c r="AC2748">
        <v>40.992899999999899</v>
      </c>
      <c r="AD2748">
        <v>-1.102011683193</v>
      </c>
      <c r="AE2748">
        <v>1.90709</v>
      </c>
      <c r="AF2748">
        <v>-5.0215413614225399</v>
      </c>
      <c r="AG2748">
        <v>-1.102011683193</v>
      </c>
      <c r="AH2748">
        <v>40.699050729849397</v>
      </c>
      <c r="AI2748">
        <v>91.539356730571797</v>
      </c>
      <c r="AJ2748">
        <v>97.033735268799404</v>
      </c>
      <c r="AK2748">
        <v>41.022469912295897</v>
      </c>
      <c r="AL2748">
        <v>81.8849485067486</v>
      </c>
      <c r="AM2748">
        <v>93.762933396365995</v>
      </c>
      <c r="AN2748">
        <v>0.999999968680921</v>
      </c>
    </row>
    <row r="2749" spans="1:40" x14ac:dyDescent="0.3">
      <c r="A2749" t="str">
        <f>"20200111150409940"</f>
        <v>20200111150409940</v>
      </c>
      <c r="B2749" t="str">
        <f>"1578726249931118"</f>
        <v>1578726249931118</v>
      </c>
      <c r="C2749" t="s">
        <v>40</v>
      </c>
      <c r="D2749">
        <v>5.508991</v>
      </c>
      <c r="E2749">
        <v>0.47979959999999999</v>
      </c>
      <c r="F2749" t="s">
        <v>83</v>
      </c>
      <c r="G2749">
        <v>-238.34950000000001</v>
      </c>
      <c r="H2749" s="1">
        <v>-3.4923430000000001E-6</v>
      </c>
      <c r="I2749">
        <v>-55.178539999999998</v>
      </c>
      <c r="J2749">
        <v>-274.41770000000002</v>
      </c>
      <c r="K2749">
        <v>1.101885</v>
      </c>
      <c r="L2749">
        <v>-56.763309999999997</v>
      </c>
      <c r="M2749">
        <v>0.9969131</v>
      </c>
      <c r="N2749">
        <v>0</v>
      </c>
      <c r="O2749">
        <v>-7.7672530000000004E-2</v>
      </c>
      <c r="P2749">
        <v>0.99159390000000003</v>
      </c>
      <c r="Q2749">
        <v>0.12876679999999999</v>
      </c>
      <c r="R2749">
        <v>-1.26806E-2</v>
      </c>
      <c r="S2749">
        <v>3.0390009999999998</v>
      </c>
      <c r="T2749">
        <v>-9.2429399999999995E-2</v>
      </c>
      <c r="U2749">
        <v>0.13174439999999901</v>
      </c>
      <c r="V2749">
        <v>-6.3651760000000002E-2</v>
      </c>
      <c r="W2749">
        <v>0.14043849999999999</v>
      </c>
      <c r="X2749">
        <v>0.98804119999999995</v>
      </c>
      <c r="Y2749">
        <v>-0.1206928</v>
      </c>
      <c r="Z2749">
        <v>4.1941870000000003E-3</v>
      </c>
      <c r="AA2749">
        <v>0.99268100000000004</v>
      </c>
      <c r="AB2749">
        <v>34</v>
      </c>
      <c r="AC2749">
        <v>36.068199999999997</v>
      </c>
      <c r="AD2749">
        <v>-1.1018884923429999</v>
      </c>
      <c r="AE2749">
        <v>1.58476999999999</v>
      </c>
      <c r="AF2749">
        <v>-4.3775960890077599</v>
      </c>
      <c r="AG2749">
        <v>-1.1018884923429999</v>
      </c>
      <c r="AH2749">
        <v>35.802769054601498</v>
      </c>
      <c r="AI2749">
        <v>91.749791547553102</v>
      </c>
      <c r="AJ2749">
        <v>96.9709405237667</v>
      </c>
      <c r="AK2749">
        <v>36.086226981289997</v>
      </c>
      <c r="AL2749">
        <v>81.926778583955098</v>
      </c>
      <c r="AM2749">
        <v>93.686024919591006</v>
      </c>
      <c r="AN2749">
        <v>0.99999996586539297</v>
      </c>
    </row>
    <row r="2750" spans="1:40" x14ac:dyDescent="0.3">
      <c r="A2750" t="str">
        <f>"20200111150409952"</f>
        <v>20200111150409952</v>
      </c>
      <c r="B2750" t="str">
        <f>"1578726249941855"</f>
        <v>1578726249941855</v>
      </c>
      <c r="C2750" t="s">
        <v>40</v>
      </c>
      <c r="D2750">
        <v>5.6678550000000003</v>
      </c>
      <c r="E2750">
        <v>0.47979959999999999</v>
      </c>
      <c r="F2750" t="s">
        <v>83</v>
      </c>
      <c r="G2750">
        <v>-235.17179999999999</v>
      </c>
      <c r="H2750" s="1">
        <v>-2.1249799999999999E-6</v>
      </c>
      <c r="I2750">
        <v>-55.205280000000002</v>
      </c>
      <c r="J2750">
        <v>-274.25110000000001</v>
      </c>
      <c r="K2750">
        <v>1.101766</v>
      </c>
      <c r="L2750">
        <v>-56.777529999999999</v>
      </c>
      <c r="M2750">
        <v>0.99679450000000003</v>
      </c>
      <c r="N2750">
        <v>0</v>
      </c>
      <c r="O2750">
        <v>-7.9180390000000003E-2</v>
      </c>
      <c r="P2750">
        <v>0.99168400000000001</v>
      </c>
      <c r="Q2750">
        <v>0.12773190000000001</v>
      </c>
      <c r="R2750">
        <v>-1.5732619999999999E-2</v>
      </c>
      <c r="S2750">
        <v>3.038116</v>
      </c>
      <c r="T2750">
        <v>-8.5299609999999998E-2</v>
      </c>
      <c r="U2750">
        <v>0.1206055</v>
      </c>
      <c r="V2750">
        <v>-6.2080610000000001E-2</v>
      </c>
      <c r="W2750">
        <v>0.1394097</v>
      </c>
      <c r="X2750">
        <v>0.98828689999999997</v>
      </c>
      <c r="Y2750">
        <v>-0.1185871</v>
      </c>
      <c r="Z2750">
        <v>3.8848369999999999E-3</v>
      </c>
      <c r="AA2750">
        <v>0.99293609999999999</v>
      </c>
      <c r="AB2750">
        <v>34</v>
      </c>
      <c r="AC2750">
        <v>39.079300000000003</v>
      </c>
      <c r="AD2750">
        <v>-1.10176812498</v>
      </c>
      <c r="AE2750">
        <v>1.5722499999999999</v>
      </c>
      <c r="AF2750">
        <v>-4.6581336233164397</v>
      </c>
      <c r="AG2750">
        <v>-1.10176812498</v>
      </c>
      <c r="AH2750">
        <v>38.801295733062901</v>
      </c>
      <c r="AI2750">
        <v>91.6148952006576</v>
      </c>
      <c r="AJ2750">
        <v>96.845652935601905</v>
      </c>
      <c r="AK2750">
        <v>39.095430070770398</v>
      </c>
      <c r="AL2750">
        <v>81.986310675101706</v>
      </c>
      <c r="AM2750">
        <v>93.594390985671296</v>
      </c>
      <c r="AN2750">
        <v>1.00000003165183</v>
      </c>
    </row>
    <row r="2751" spans="1:40" x14ac:dyDescent="0.3">
      <c r="A2751" t="str">
        <f>"20200111150409962"</f>
        <v>20200111150409962</v>
      </c>
      <c r="B2751" t="str">
        <f>"1578726249951615"</f>
        <v>1578726249951615</v>
      </c>
      <c r="C2751" t="s">
        <v>40</v>
      </c>
      <c r="D2751">
        <v>5.2730199999999998</v>
      </c>
      <c r="E2751">
        <v>0.47999779999999997</v>
      </c>
      <c r="F2751" t="s">
        <v>83</v>
      </c>
      <c r="G2751">
        <v>-236.37520000000001</v>
      </c>
      <c r="H2751" s="1">
        <v>-2.6084190000000002E-6</v>
      </c>
      <c r="I2751">
        <v>-55.386969999999998</v>
      </c>
      <c r="J2751">
        <v>-274.09739999999999</v>
      </c>
      <c r="K2751">
        <v>1.101675</v>
      </c>
      <c r="L2751">
        <v>-56.790990000000001</v>
      </c>
      <c r="M2751">
        <v>0.99668049999999997</v>
      </c>
      <c r="N2751">
        <v>0</v>
      </c>
      <c r="O2751">
        <v>-8.060225E-2</v>
      </c>
      <c r="P2751">
        <v>0.99175849999999999</v>
      </c>
      <c r="Q2751">
        <v>0.12685260000000001</v>
      </c>
      <c r="R2751">
        <v>-1.7989939999999999E-2</v>
      </c>
      <c r="S2751">
        <v>3.0383300000000002</v>
      </c>
      <c r="T2751">
        <v>-8.8381650000000006E-2</v>
      </c>
      <c r="U2751">
        <v>0.11154169999999999</v>
      </c>
      <c r="V2751">
        <v>-6.1224840000000003E-2</v>
      </c>
      <c r="W2751">
        <v>0.13853560000000001</v>
      </c>
      <c r="X2751">
        <v>0.98846319999999999</v>
      </c>
      <c r="Y2751">
        <v>-0.11703719999999999</v>
      </c>
      <c r="Z2751">
        <v>4.0437650000000004E-3</v>
      </c>
      <c r="AA2751">
        <v>0.99311930000000004</v>
      </c>
      <c r="AB2751">
        <v>34</v>
      </c>
      <c r="AC2751">
        <v>37.722200000000001</v>
      </c>
      <c r="AD2751">
        <v>-1.1016776084190001</v>
      </c>
      <c r="AE2751">
        <v>1.40402</v>
      </c>
      <c r="AF2751">
        <v>-4.4363662735245004</v>
      </c>
      <c r="AG2751">
        <v>-1.1016776084190001</v>
      </c>
      <c r="AH2751">
        <v>37.454372374473003</v>
      </c>
      <c r="AI2751">
        <v>91.6731150874067</v>
      </c>
      <c r="AJ2751">
        <v>96.755052559625895</v>
      </c>
      <c r="AK2751">
        <v>37.732281261957098</v>
      </c>
      <c r="AL2751">
        <v>82.036883777280806</v>
      </c>
      <c r="AM2751">
        <v>93.544339525704501</v>
      </c>
      <c r="AN2751">
        <v>1.0000000456273099</v>
      </c>
    </row>
    <row r="2752" spans="1:40" x14ac:dyDescent="0.3">
      <c r="A2752" t="str">
        <f>"20200111150409974"</f>
        <v>20200111150409974</v>
      </c>
      <c r="B2752" t="str">
        <f>"1578726249961374"</f>
        <v>1578726249961374</v>
      </c>
      <c r="C2752" t="s">
        <v>40</v>
      </c>
      <c r="D2752">
        <v>5.2814990000000002</v>
      </c>
      <c r="E2752">
        <v>0.47954000000000002</v>
      </c>
      <c r="F2752" t="s">
        <v>83</v>
      </c>
      <c r="G2752">
        <v>-233.27070000000001</v>
      </c>
      <c r="H2752" s="1">
        <v>-1.424605E-6</v>
      </c>
      <c r="I2752">
        <v>-55.40605</v>
      </c>
      <c r="J2752">
        <v>-273.93419999999998</v>
      </c>
      <c r="K2752">
        <v>1.1015900000000001</v>
      </c>
      <c r="L2752">
        <v>-56.805480000000003</v>
      </c>
      <c r="M2752">
        <v>0.99655680000000002</v>
      </c>
      <c r="N2752">
        <v>0</v>
      </c>
      <c r="O2752">
        <v>-8.2119139999999993E-2</v>
      </c>
      <c r="P2752">
        <v>0.99183449999999995</v>
      </c>
      <c r="Q2752">
        <v>0.12594710000000001</v>
      </c>
      <c r="R2752">
        <v>-2.0037320000000001E-2</v>
      </c>
      <c r="S2752">
        <v>3.0372919999999999</v>
      </c>
      <c r="T2752">
        <v>-8.1959009999999999E-2</v>
      </c>
      <c r="U2752">
        <v>0.1030273</v>
      </c>
      <c r="V2752">
        <v>-6.0676330000000001E-2</v>
      </c>
      <c r="W2752">
        <v>0.13763549999999999</v>
      </c>
      <c r="X2752">
        <v>0.98862269999999997</v>
      </c>
      <c r="Y2752">
        <v>-0.1157921</v>
      </c>
      <c r="Z2752">
        <v>3.7754730000000001E-3</v>
      </c>
      <c r="AA2752">
        <v>0.99326630000000005</v>
      </c>
      <c r="AB2752">
        <v>34</v>
      </c>
      <c r="AC2752">
        <v>40.6634999999999</v>
      </c>
      <c r="AD2752">
        <v>-1.101591424605</v>
      </c>
      <c r="AE2752">
        <v>1.39943</v>
      </c>
      <c r="AF2752">
        <v>-4.7307054945098201</v>
      </c>
      <c r="AG2752">
        <v>-1.101591424605</v>
      </c>
      <c r="AH2752">
        <v>40.381613647024302</v>
      </c>
      <c r="AI2752">
        <v>91.552005950109006</v>
      </c>
      <c r="AJ2752">
        <v>96.681743852069104</v>
      </c>
      <c r="AK2752">
        <v>40.672691070054498</v>
      </c>
      <c r="AL2752">
        <v>82.088954130074598</v>
      </c>
      <c r="AM2752">
        <v>93.512100546519306</v>
      </c>
      <c r="AN2752">
        <v>0.99999999541890405</v>
      </c>
    </row>
    <row r="2753" spans="1:40" x14ac:dyDescent="0.3">
      <c r="A2753" t="str">
        <f>"20200111150409985"</f>
        <v>20200111150409985</v>
      </c>
      <c r="B2753" t="str">
        <f>"1578726249980895"</f>
        <v>1578726249980895</v>
      </c>
      <c r="C2753" t="s">
        <v>40</v>
      </c>
      <c r="D2753">
        <v>5.5544099999999998</v>
      </c>
      <c r="E2753">
        <v>0.47954330000000001</v>
      </c>
      <c r="F2753" t="s">
        <v>83</v>
      </c>
      <c r="G2753">
        <v>-236.98939999999999</v>
      </c>
      <c r="H2753" s="1">
        <v>-2.8365989999999998E-6</v>
      </c>
      <c r="I2753">
        <v>-55.586019999999998</v>
      </c>
      <c r="J2753">
        <v>-273.75139999999999</v>
      </c>
      <c r="K2753">
        <v>1.101515</v>
      </c>
      <c r="L2753">
        <v>-56.82199</v>
      </c>
      <c r="M2753">
        <v>0.99641420000000003</v>
      </c>
      <c r="N2753">
        <v>0</v>
      </c>
      <c r="O2753">
        <v>-8.3832669999999998E-2</v>
      </c>
      <c r="P2753">
        <v>0.99194000000000004</v>
      </c>
      <c r="Q2753">
        <v>0.1248708</v>
      </c>
      <c r="R2753">
        <v>-2.1513830000000001E-2</v>
      </c>
      <c r="S2753">
        <v>3.0382690000000001</v>
      </c>
      <c r="T2753">
        <v>-9.0592859999999997E-2</v>
      </c>
      <c r="U2753">
        <v>0.1002808</v>
      </c>
      <c r="V2753">
        <v>-6.0898969999999997E-2</v>
      </c>
      <c r="W2753">
        <v>0.13656699999999999</v>
      </c>
      <c r="X2753">
        <v>0.9887572</v>
      </c>
      <c r="Y2753">
        <v>-0.11657530000000001</v>
      </c>
      <c r="Z2753">
        <v>4.2343700000000003E-3</v>
      </c>
      <c r="AA2753">
        <v>0.99317279999999997</v>
      </c>
      <c r="AB2753">
        <v>34</v>
      </c>
      <c r="AC2753">
        <v>36.762</v>
      </c>
      <c r="AD2753">
        <v>-1.1015178365989999</v>
      </c>
      <c r="AE2753">
        <v>1.23597</v>
      </c>
      <c r="AF2753">
        <v>-4.3098118254082998</v>
      </c>
      <c r="AG2753">
        <v>-1.1015178365989999</v>
      </c>
      <c r="AH2753">
        <v>36.496223986136201</v>
      </c>
      <c r="AI2753">
        <v>91.716836792067994</v>
      </c>
      <c r="AJ2753">
        <v>96.734825498154905</v>
      </c>
      <c r="AK2753">
        <v>36.766318618553598</v>
      </c>
      <c r="AL2753">
        <v>82.150758445158999</v>
      </c>
      <c r="AM2753">
        <v>93.524476794217094</v>
      </c>
      <c r="AN2753">
        <v>1.0000000152939501</v>
      </c>
    </row>
    <row r="2754" spans="1:40" x14ac:dyDescent="0.3">
      <c r="A2754" t="str">
        <f>"20200111150409996"</f>
        <v>20200111150409996</v>
      </c>
      <c r="B2754" t="str">
        <f>"1578726249991630"</f>
        <v>1578726249991630</v>
      </c>
      <c r="C2754" t="s">
        <v>40</v>
      </c>
      <c r="D2754">
        <v>5.2800630000000002</v>
      </c>
      <c r="E2754">
        <v>0.47971910000000001</v>
      </c>
      <c r="F2754" t="s">
        <v>83</v>
      </c>
      <c r="G2754">
        <v>-236.41059999999999</v>
      </c>
      <c r="H2754" s="1">
        <v>-2.5767459999999998E-6</v>
      </c>
      <c r="I2754">
        <v>-55.651130000000002</v>
      </c>
      <c r="J2754">
        <v>-273.5856</v>
      </c>
      <c r="K2754">
        <v>1.101464</v>
      </c>
      <c r="L2754">
        <v>-56.837339999999998</v>
      </c>
      <c r="M2754">
        <v>0.99628249999999996</v>
      </c>
      <c r="N2754">
        <v>0</v>
      </c>
      <c r="O2754">
        <v>-8.5383340000000002E-2</v>
      </c>
      <c r="P2754">
        <v>0.99200080000000002</v>
      </c>
      <c r="Q2754">
        <v>0.1241768</v>
      </c>
      <c r="R2754">
        <v>-2.2688349999999999E-2</v>
      </c>
      <c r="S2754">
        <v>3.0377200000000002</v>
      </c>
      <c r="T2754">
        <v>-8.9609739999999993E-2</v>
      </c>
      <c r="U2754">
        <v>9.5245360000000001E-2</v>
      </c>
      <c r="V2754">
        <v>-6.126409E-2</v>
      </c>
      <c r="W2754">
        <v>0.13587779999999999</v>
      </c>
      <c r="X2754">
        <v>0.98882959999999998</v>
      </c>
      <c r="Y2754">
        <v>-0.1164837</v>
      </c>
      <c r="Z2754">
        <v>4.2335439999999997E-3</v>
      </c>
      <c r="AA2754">
        <v>0.99318360000000006</v>
      </c>
      <c r="AB2754">
        <v>34</v>
      </c>
      <c r="AC2754">
        <v>37.174999999999997</v>
      </c>
      <c r="AD2754">
        <v>-1.1014665767459999</v>
      </c>
      <c r="AE2754">
        <v>1.18621</v>
      </c>
      <c r="AF2754">
        <v>-4.3523939349946597</v>
      </c>
      <c r="AG2754">
        <v>-1.1014665767459999</v>
      </c>
      <c r="AH2754">
        <v>36.905570273728102</v>
      </c>
      <c r="AI2754">
        <v>91.697757170677093</v>
      </c>
      <c r="AJ2754">
        <v>96.726010096532093</v>
      </c>
      <c r="AK2754">
        <v>37.1776502594523</v>
      </c>
      <c r="AL2754">
        <v>82.190618307711006</v>
      </c>
      <c r="AM2754">
        <v>93.545295128269203</v>
      </c>
      <c r="AN2754">
        <v>1.0000000215462601</v>
      </c>
    </row>
    <row r="2755" spans="1:40" x14ac:dyDescent="0.3">
      <c r="A2755" t="str">
        <f>"20200111150410008"</f>
        <v>20200111150410008</v>
      </c>
      <c r="B2755" t="str">
        <f>"1578726250001390"</f>
        <v>1578726250001390</v>
      </c>
      <c r="C2755" t="s">
        <v>40</v>
      </c>
      <c r="D2755">
        <v>5.1991870000000002</v>
      </c>
      <c r="E2755">
        <v>0.47972490000000001</v>
      </c>
      <c r="F2755" t="s">
        <v>83</v>
      </c>
      <c r="G2755">
        <v>-235.36349999999999</v>
      </c>
      <c r="H2755" s="1">
        <v>-2.1177559999999999E-6</v>
      </c>
      <c r="I2755">
        <v>-55.706240000000001</v>
      </c>
      <c r="J2755">
        <v>-273.40949999999998</v>
      </c>
      <c r="K2755">
        <v>1.101421</v>
      </c>
      <c r="L2755">
        <v>-56.853789999999996</v>
      </c>
      <c r="M2755">
        <v>0.99614009999999997</v>
      </c>
      <c r="N2755">
        <v>0</v>
      </c>
      <c r="O2755">
        <v>-8.7030339999999998E-2</v>
      </c>
      <c r="P2755">
        <v>0.99202880000000004</v>
      </c>
      <c r="Q2755">
        <v>0.12373199999999999</v>
      </c>
      <c r="R2755">
        <v>-2.3860780000000002E-2</v>
      </c>
      <c r="S2755">
        <v>3.037201</v>
      </c>
      <c r="T2755">
        <v>-8.7524409999999997E-2</v>
      </c>
      <c r="U2755">
        <v>8.9874270000000006E-2</v>
      </c>
      <c r="V2755">
        <v>-6.1724260000000003E-2</v>
      </c>
      <c r="W2755">
        <v>0.135438</v>
      </c>
      <c r="X2755">
        <v>0.98886130000000005</v>
      </c>
      <c r="Y2755">
        <v>-0.1163795</v>
      </c>
      <c r="Z2755">
        <v>4.1816780000000003E-3</v>
      </c>
      <c r="AA2755">
        <v>0.99319599999999997</v>
      </c>
      <c r="AB2755">
        <v>34</v>
      </c>
      <c r="AC2755">
        <v>38.0459999999999</v>
      </c>
      <c r="AD2755">
        <v>-1.1014231177560001</v>
      </c>
      <c r="AE2755">
        <v>1.1475500000000001</v>
      </c>
      <c r="AF2755">
        <v>-4.4508410147938804</v>
      </c>
      <c r="AG2755">
        <v>-1.1014231177560001</v>
      </c>
      <c r="AH2755">
        <v>37.770117546354598</v>
      </c>
      <c r="AI2755">
        <v>91.6588704661158</v>
      </c>
      <c r="AJ2755">
        <v>96.720755866151194</v>
      </c>
      <c r="AK2755">
        <v>38.047403302837097</v>
      </c>
      <c r="AL2755">
        <v>82.216051965591603</v>
      </c>
      <c r="AM2755">
        <v>93.571741840270406</v>
      </c>
      <c r="AN2755">
        <v>1.0000000033771099</v>
      </c>
    </row>
    <row r="2756" spans="1:40" x14ac:dyDescent="0.3">
      <c r="A2756" t="str">
        <f>"20200111150410019"</f>
        <v>20200111150410019</v>
      </c>
      <c r="B2756" t="str">
        <f>"1578726250011150"</f>
        <v>1578726250011150</v>
      </c>
      <c r="C2756" t="s">
        <v>40</v>
      </c>
      <c r="D2756">
        <v>5.2496289999999997</v>
      </c>
      <c r="E2756">
        <v>0.479269</v>
      </c>
      <c r="F2756" t="s">
        <v>83</v>
      </c>
      <c r="G2756">
        <v>-237.6584</v>
      </c>
      <c r="H2756" s="1">
        <v>-3.079081E-6</v>
      </c>
      <c r="I2756">
        <v>-55.836979999999997</v>
      </c>
      <c r="J2756">
        <v>-273.23779999999999</v>
      </c>
      <c r="K2756">
        <v>1.1014029999999999</v>
      </c>
      <c r="L2756">
        <v>-56.870240000000003</v>
      </c>
      <c r="M2756">
        <v>0.99600089999999997</v>
      </c>
      <c r="N2756">
        <v>0</v>
      </c>
      <c r="O2756">
        <v>-8.8610659999999994E-2</v>
      </c>
      <c r="P2756">
        <v>0.99204340000000002</v>
      </c>
      <c r="Q2756">
        <v>0.1233515</v>
      </c>
      <c r="R2756">
        <v>-2.5190730000000001E-2</v>
      </c>
      <c r="S2756">
        <v>3.0378720000000001</v>
      </c>
      <c r="T2756">
        <v>-9.3591209999999994E-2</v>
      </c>
      <c r="U2756">
        <v>8.6395260000000001E-2</v>
      </c>
      <c r="V2756">
        <v>-6.1968460000000003E-2</v>
      </c>
      <c r="W2756">
        <v>0.1350577</v>
      </c>
      <c r="X2756">
        <v>0.98889800000000005</v>
      </c>
      <c r="Y2756">
        <v>-0.11679929999999999</v>
      </c>
      <c r="Z2756">
        <v>4.5254750000000002E-3</v>
      </c>
      <c r="AA2756">
        <v>0.99314519999999995</v>
      </c>
      <c r="AB2756">
        <v>34</v>
      </c>
      <c r="AC2756">
        <v>35.5793999999999</v>
      </c>
      <c r="AD2756">
        <v>-1.1014060790809901</v>
      </c>
      <c r="AE2756">
        <v>1.0332599999999901</v>
      </c>
      <c r="AF2756">
        <v>-4.17811412363604</v>
      </c>
      <c r="AG2756">
        <v>-1.1014060790809901</v>
      </c>
      <c r="AH2756">
        <v>35.314047946543297</v>
      </c>
      <c r="AI2756">
        <v>91.774047463509703</v>
      </c>
      <c r="AJ2756">
        <v>96.747473687797793</v>
      </c>
      <c r="AK2756">
        <v>35.577404561770997</v>
      </c>
      <c r="AL2756">
        <v>82.238043301979701</v>
      </c>
      <c r="AM2756">
        <v>93.585703212337407</v>
      </c>
      <c r="AN2756">
        <v>0.99999996338402997</v>
      </c>
    </row>
    <row r="2757" spans="1:40" x14ac:dyDescent="0.3">
      <c r="A2757" t="str">
        <f>"20200111150410030"</f>
        <v>20200111150410030</v>
      </c>
      <c r="B2757" t="str">
        <f>"1578726250020910"</f>
        <v>1578726250020910</v>
      </c>
      <c r="C2757" t="s">
        <v>40</v>
      </c>
      <c r="D2757">
        <v>5.2766739999999999</v>
      </c>
      <c r="E2757">
        <v>0.4786839</v>
      </c>
      <c r="F2757" t="s">
        <v>83</v>
      </c>
      <c r="G2757">
        <v>-239.2585</v>
      </c>
      <c r="H2757" s="1">
        <v>-3.75348E-6</v>
      </c>
      <c r="I2757">
        <v>-55.904710000000001</v>
      </c>
      <c r="J2757">
        <v>-273.06700000000001</v>
      </c>
      <c r="K2757">
        <v>1.101394</v>
      </c>
      <c r="L2757">
        <v>-56.886719999999997</v>
      </c>
      <c r="M2757">
        <v>0.99586079999999999</v>
      </c>
      <c r="N2757">
        <v>0</v>
      </c>
      <c r="O2757">
        <v>-9.0172520000000006E-2</v>
      </c>
      <c r="P2757">
        <v>0.992035</v>
      </c>
      <c r="Q2757">
        <v>0.1232055</v>
      </c>
      <c r="R2757">
        <v>-2.6210959999999998E-2</v>
      </c>
      <c r="S2757">
        <v>3.038513</v>
      </c>
      <c r="T2757">
        <v>-9.8490480000000005E-2</v>
      </c>
      <c r="U2757">
        <v>8.6334229999999998E-2</v>
      </c>
      <c r="V2757">
        <v>-6.2501130000000002E-2</v>
      </c>
      <c r="W2757">
        <v>0.13491259999999999</v>
      </c>
      <c r="X2757">
        <v>0.98888430000000005</v>
      </c>
      <c r="Y2757">
        <v>-0.1183188</v>
      </c>
      <c r="Z2757">
        <v>4.8363479999999999E-3</v>
      </c>
      <c r="AA2757">
        <v>0.99296390000000001</v>
      </c>
      <c r="AB2757">
        <v>34</v>
      </c>
      <c r="AC2757">
        <v>33.808500000000002</v>
      </c>
      <c r="AD2757">
        <v>-1.1013977534799999</v>
      </c>
      <c r="AE2757">
        <v>0.98201000000000205</v>
      </c>
      <c r="AF2757">
        <v>-4.0225395205131003</v>
      </c>
      <c r="AG2757">
        <v>-1.1013977534799999</v>
      </c>
      <c r="AH2757">
        <v>33.546622650725702</v>
      </c>
      <c r="AI2757">
        <v>91.867085939181905</v>
      </c>
      <c r="AJ2757">
        <v>96.837629322532507</v>
      </c>
      <c r="AK2757">
        <v>33.804878234888598</v>
      </c>
      <c r="AL2757">
        <v>82.246433840476698</v>
      </c>
      <c r="AM2757">
        <v>93.616493805792004</v>
      </c>
      <c r="AN2757">
        <v>0.99999997983826305</v>
      </c>
    </row>
    <row r="2758" spans="1:40" x14ac:dyDescent="0.3">
      <c r="A2758" t="str">
        <f>"20200111150410041"</f>
        <v>20200111150410041</v>
      </c>
      <c r="B2758" t="str">
        <f>"1578726250031647"</f>
        <v>1578726250031647</v>
      </c>
      <c r="C2758" t="s">
        <v>40</v>
      </c>
      <c r="D2758">
        <v>5.2321660000000003</v>
      </c>
      <c r="E2758">
        <v>0.47844619999999999</v>
      </c>
      <c r="F2758" t="s">
        <v>82</v>
      </c>
      <c r="G2758">
        <v>-240.07380000000001</v>
      </c>
      <c r="H2758" s="1">
        <v>-1.974978E-7</v>
      </c>
      <c r="I2758">
        <v>-55.929160000000003</v>
      </c>
      <c r="J2758">
        <v>-272.8981</v>
      </c>
      <c r="K2758">
        <v>1.101399</v>
      </c>
      <c r="L2758">
        <v>-56.903410000000001</v>
      </c>
      <c r="M2758">
        <v>0.99572309999999997</v>
      </c>
      <c r="N2758">
        <v>0</v>
      </c>
      <c r="O2758">
        <v>-9.1680620000000004E-2</v>
      </c>
      <c r="P2758">
        <v>0.99199280000000001</v>
      </c>
      <c r="Q2758">
        <v>0.123312</v>
      </c>
      <c r="R2758">
        <v>-2.7292690000000001E-2</v>
      </c>
      <c r="S2758">
        <v>3.0390320000000002</v>
      </c>
      <c r="T2758">
        <v>-0.10145029999999999</v>
      </c>
      <c r="U2758">
        <v>8.8195800000000005E-2</v>
      </c>
      <c r="V2758">
        <v>-6.292035E-2</v>
      </c>
      <c r="W2758">
        <v>0.13501659999999999</v>
      </c>
      <c r="X2758">
        <v>0.98884360000000004</v>
      </c>
      <c r="Y2758">
        <v>-0.1204166</v>
      </c>
      <c r="Z2758">
        <v>5.0659329999999999E-3</v>
      </c>
      <c r="AA2758">
        <v>0.99271050000000005</v>
      </c>
      <c r="AB2758">
        <v>34</v>
      </c>
      <c r="AC2758">
        <v>32.824299999999901</v>
      </c>
      <c r="AD2758">
        <v>-1.1013991974977999</v>
      </c>
      <c r="AE2758">
        <v>0.97425000000000495</v>
      </c>
      <c r="AF2758">
        <v>-3.9752226852287</v>
      </c>
      <c r="AG2758">
        <v>-1.1013991974977999</v>
      </c>
      <c r="AH2758">
        <v>32.5600885355366</v>
      </c>
      <c r="AI2758">
        <v>91.923117571100406</v>
      </c>
      <c r="AJ2758">
        <v>96.960725555663998</v>
      </c>
      <c r="AK2758">
        <v>32.820341878648797</v>
      </c>
      <c r="AL2758">
        <v>82.240420673652295</v>
      </c>
      <c r="AM2758">
        <v>93.640835491730599</v>
      </c>
      <c r="AN2758">
        <v>1.00000005899031</v>
      </c>
    </row>
    <row r="2759" spans="1:40" x14ac:dyDescent="0.3">
      <c r="A2759" t="str">
        <f>"20200111150410053"</f>
        <v>20200111150410053</v>
      </c>
      <c r="B2759" t="str">
        <f>"1578726250041406"</f>
        <v>1578726250041406</v>
      </c>
      <c r="C2759" t="s">
        <v>40</v>
      </c>
      <c r="D2759">
        <v>5.2028910000000002</v>
      </c>
      <c r="E2759">
        <v>0.47818349999999998</v>
      </c>
      <c r="F2759" t="s">
        <v>82</v>
      </c>
      <c r="G2759">
        <v>-240.36770000000001</v>
      </c>
      <c r="H2759" s="1">
        <v>-2.8538160000000001E-7</v>
      </c>
      <c r="I2759">
        <v>-55.97475</v>
      </c>
      <c r="J2759">
        <v>-272.73570000000001</v>
      </c>
      <c r="K2759">
        <v>1.101405</v>
      </c>
      <c r="L2759">
        <v>-56.919589999999999</v>
      </c>
      <c r="M2759">
        <v>0.99558999999999997</v>
      </c>
      <c r="N2759">
        <v>0</v>
      </c>
      <c r="O2759">
        <v>-9.3114459999999996E-2</v>
      </c>
      <c r="P2759">
        <v>0.99195319999999998</v>
      </c>
      <c r="Q2759">
        <v>0.12339799999999999</v>
      </c>
      <c r="R2759">
        <v>-2.8322569999999998E-2</v>
      </c>
      <c r="S2759">
        <v>3.0393979999999998</v>
      </c>
      <c r="T2759">
        <v>-0.10290630000000001</v>
      </c>
      <c r="U2759">
        <v>8.6761469999999993E-2</v>
      </c>
      <c r="V2759">
        <v>-6.3319470000000003E-2</v>
      </c>
      <c r="W2759">
        <v>0.13509969999999999</v>
      </c>
      <c r="X2759">
        <v>0.98880670000000004</v>
      </c>
      <c r="Y2759">
        <v>-0.1213698</v>
      </c>
      <c r="Z2759">
        <v>5.202529E-3</v>
      </c>
      <c r="AA2759">
        <v>0.99259370000000002</v>
      </c>
      <c r="AB2759">
        <v>34</v>
      </c>
      <c r="AC2759">
        <v>32.367999999999903</v>
      </c>
      <c r="AD2759">
        <v>-1.1014052853816001</v>
      </c>
      <c r="AE2759">
        <v>0.94483999999999901</v>
      </c>
      <c r="AF2759">
        <v>-3.9502896069866398</v>
      </c>
      <c r="AG2759">
        <v>-1.1014052853816001</v>
      </c>
      <c r="AH2759">
        <v>32.102233181037398</v>
      </c>
      <c r="AI2759">
        <v>91.950308591291702</v>
      </c>
      <c r="AJ2759">
        <v>97.015175250994702</v>
      </c>
      <c r="AK2759">
        <v>32.363115684238899</v>
      </c>
      <c r="AL2759">
        <v>82.235614805191204</v>
      </c>
      <c r="AM2759">
        <v>93.664003894575799</v>
      </c>
      <c r="AN2759">
        <v>0.99999998709302995</v>
      </c>
    </row>
    <row r="2760" spans="1:40" x14ac:dyDescent="0.3">
      <c r="A2760" t="str">
        <f>"20200111150410062"</f>
        <v>20200111150410062</v>
      </c>
      <c r="B2760" t="str">
        <f>"1578726250051167"</f>
        <v>1578726250051167</v>
      </c>
      <c r="C2760" t="s">
        <v>40</v>
      </c>
      <c r="D2760">
        <v>5.1896430000000002</v>
      </c>
      <c r="E2760">
        <v>0.47777039999999998</v>
      </c>
      <c r="F2760" t="s">
        <v>82</v>
      </c>
      <c r="G2760">
        <v>-240.85169999999999</v>
      </c>
      <c r="H2760" s="1">
        <v>-4.3753109999999999E-7</v>
      </c>
      <c r="I2760">
        <v>-56.021990000000002</v>
      </c>
      <c r="J2760">
        <v>-272.57459999999998</v>
      </c>
      <c r="K2760">
        <v>1.1014200000000001</v>
      </c>
      <c r="L2760">
        <v>-56.935879999999997</v>
      </c>
      <c r="M2760">
        <v>0.99545890000000004</v>
      </c>
      <c r="N2760">
        <v>0</v>
      </c>
      <c r="O2760">
        <v>-9.4505339999999993E-2</v>
      </c>
      <c r="P2760">
        <v>0.99191359999999995</v>
      </c>
      <c r="Q2760">
        <v>0.1235137</v>
      </c>
      <c r="R2760">
        <v>-2.9179960000000001E-2</v>
      </c>
      <c r="S2760">
        <v>3.039825</v>
      </c>
      <c r="T2760">
        <v>-0.1050083</v>
      </c>
      <c r="U2760">
        <v>8.5571289999999994E-2</v>
      </c>
      <c r="V2760">
        <v>-6.3849859999999994E-2</v>
      </c>
      <c r="W2760">
        <v>0.1352122</v>
      </c>
      <c r="X2760">
        <v>0.98875729999999995</v>
      </c>
      <c r="Y2760">
        <v>-0.1223578</v>
      </c>
      <c r="Z2760">
        <v>5.3729569999999898E-3</v>
      </c>
      <c r="AA2760">
        <v>0.99247149999999995</v>
      </c>
      <c r="AB2760">
        <v>34</v>
      </c>
      <c r="AC2760">
        <v>31.7228999999999</v>
      </c>
      <c r="AD2760">
        <v>-1.1014204375311001</v>
      </c>
      <c r="AE2760">
        <v>0.91389000000000198</v>
      </c>
      <c r="AF2760">
        <v>-3.9032766095243701</v>
      </c>
      <c r="AG2760">
        <v>-1.1014204375311001</v>
      </c>
      <c r="AH2760">
        <v>31.4566389436268</v>
      </c>
      <c r="AI2760">
        <v>91.990081341990802</v>
      </c>
      <c r="AJ2760">
        <v>97.073354804962605</v>
      </c>
      <c r="AK2760">
        <v>31.717011664095502</v>
      </c>
      <c r="AL2760">
        <v>82.229109993820501</v>
      </c>
      <c r="AM2760">
        <v>93.694794525063301</v>
      </c>
      <c r="AN2760">
        <v>1.00000007097707</v>
      </c>
    </row>
    <row r="2761" spans="1:40" x14ac:dyDescent="0.3">
      <c r="A2761" t="str">
        <f>"20200111150410075"</f>
        <v>20200111150410075</v>
      </c>
      <c r="B2761" t="str">
        <f>"1578726250071663"</f>
        <v>1578726250071663</v>
      </c>
      <c r="C2761" t="s">
        <v>40</v>
      </c>
      <c r="D2761">
        <v>5.4248289999999999</v>
      </c>
      <c r="E2761">
        <v>0.47767039999999999</v>
      </c>
      <c r="F2761" t="s">
        <v>82</v>
      </c>
      <c r="G2761">
        <v>-240.66900000000001</v>
      </c>
      <c r="H2761" s="1">
        <v>-3.7236300000000001E-7</v>
      </c>
      <c r="I2761">
        <v>-56.033250000000002</v>
      </c>
      <c r="J2761">
        <v>-272.40609999999998</v>
      </c>
      <c r="K2761">
        <v>1.10144</v>
      </c>
      <c r="L2761">
        <v>-56.953159999999997</v>
      </c>
      <c r="M2761">
        <v>0.99532259999999995</v>
      </c>
      <c r="N2761">
        <v>0</v>
      </c>
      <c r="O2761">
        <v>-9.5931379999999997E-2</v>
      </c>
      <c r="P2761">
        <v>0.99189269999999996</v>
      </c>
      <c r="Q2761">
        <v>0.12347</v>
      </c>
      <c r="R2761">
        <v>-3.0073679999999998E-2</v>
      </c>
      <c r="S2761">
        <v>3.0400390000000002</v>
      </c>
      <c r="T2761">
        <v>-0.10494580000000001</v>
      </c>
      <c r="U2761">
        <v>8.5998539999999998E-2</v>
      </c>
      <c r="V2761">
        <v>-6.4384449999999996E-2</v>
      </c>
      <c r="W2761">
        <v>0.13516489999999901</v>
      </c>
      <c r="X2761">
        <v>0.98872899999999997</v>
      </c>
      <c r="Y2761">
        <v>-0.12391530000000001</v>
      </c>
      <c r="Z2761">
        <v>5.4453169999999999E-3</v>
      </c>
      <c r="AA2761">
        <v>0.99227790000000005</v>
      </c>
      <c r="AB2761">
        <v>34</v>
      </c>
      <c r="AC2761">
        <v>31.737099999999899</v>
      </c>
      <c r="AD2761">
        <v>-1.101440372363</v>
      </c>
      <c r="AE2761">
        <v>0.91990999999999401</v>
      </c>
      <c r="AF2761">
        <v>-3.95568821816215</v>
      </c>
      <c r="AG2761">
        <v>-1.101440372363</v>
      </c>
      <c r="AH2761">
        <v>31.4645882326795</v>
      </c>
      <c r="AI2761">
        <v>91.989215394366994</v>
      </c>
      <c r="AJ2761">
        <v>97.165559670836004</v>
      </c>
      <c r="AK2761">
        <v>31.731387502365099</v>
      </c>
      <c r="AL2761">
        <v>82.231844416039706</v>
      </c>
      <c r="AM2761">
        <v>93.725749170959901</v>
      </c>
      <c r="AN2761">
        <v>0.99999997151740505</v>
      </c>
    </row>
    <row r="2762" spans="1:40" x14ac:dyDescent="0.3">
      <c r="A2762" t="str">
        <f>"20200111150410098"</f>
        <v>20200111150410098</v>
      </c>
      <c r="B2762" t="str">
        <f>"1578726250091182"</f>
        <v>1578726250091182</v>
      </c>
      <c r="C2762" t="s">
        <v>40</v>
      </c>
      <c r="D2762">
        <v>5.2273110000000003</v>
      </c>
      <c r="E2762">
        <v>0.47768820000000001</v>
      </c>
      <c r="F2762" t="s">
        <v>83</v>
      </c>
      <c r="G2762">
        <v>-238.70849999999999</v>
      </c>
      <c r="H2762" s="1">
        <v>-3.4971610000000001E-6</v>
      </c>
      <c r="I2762">
        <v>-56.019590000000001</v>
      </c>
      <c r="J2762">
        <v>-272.0652</v>
      </c>
      <c r="K2762">
        <v>1.101488</v>
      </c>
      <c r="L2762">
        <v>-56.988770000000002</v>
      </c>
      <c r="M2762">
        <v>0.99505060000000001</v>
      </c>
      <c r="N2762">
        <v>0</v>
      </c>
      <c r="O2762">
        <v>-9.8713289999999995E-2</v>
      </c>
      <c r="P2762">
        <v>0.99183940000000004</v>
      </c>
      <c r="Q2762">
        <v>0.12326429999999999</v>
      </c>
      <c r="R2762">
        <v>-3.2571219999999998E-2</v>
      </c>
      <c r="S2762">
        <v>3.0393979999999998</v>
      </c>
      <c r="T2762">
        <v>-9.9345920000000004E-2</v>
      </c>
      <c r="U2762">
        <v>8.4197999999999995E-2</v>
      </c>
      <c r="V2762">
        <v>-6.4681530000000001E-2</v>
      </c>
      <c r="W2762">
        <v>0.13494619999999999</v>
      </c>
      <c r="X2762">
        <v>0.98873949999999999</v>
      </c>
      <c r="Y2762">
        <v>-0.12611820000000001</v>
      </c>
      <c r="Z2762">
        <v>5.2826399999999999E-3</v>
      </c>
      <c r="AA2762">
        <v>0.99200120000000003</v>
      </c>
      <c r="AB2762">
        <v>34</v>
      </c>
      <c r="AC2762">
        <v>33.356699999999996</v>
      </c>
      <c r="AD2762">
        <v>-1.1014914971609999</v>
      </c>
      <c r="AE2762">
        <v>0.96917999999999405</v>
      </c>
      <c r="AF2762">
        <v>-4.25277603455877</v>
      </c>
      <c r="AG2762">
        <v>-1.1014914971609999</v>
      </c>
      <c r="AH2762">
        <v>33.062063359870201</v>
      </c>
      <c r="AI2762">
        <v>91.892571878745102</v>
      </c>
      <c r="AJ2762">
        <v>97.329712773736702</v>
      </c>
      <c r="AK2762">
        <v>33.352652385237803</v>
      </c>
      <c r="AL2762">
        <v>82.244490998782098</v>
      </c>
      <c r="AM2762">
        <v>93.742851974870604</v>
      </c>
      <c r="AN2762">
        <v>0.99999998803891499</v>
      </c>
    </row>
    <row r="2763" spans="1:40" x14ac:dyDescent="0.3">
      <c r="A2763" t="str">
        <f>"20200111150410107"</f>
        <v>20200111150410107</v>
      </c>
      <c r="B2763" t="str">
        <f>"1578726250100942"</f>
        <v>1578726250100942</v>
      </c>
      <c r="C2763" t="s">
        <v>40</v>
      </c>
      <c r="D2763">
        <v>5.352436</v>
      </c>
      <c r="E2763">
        <v>0.47767369999999998</v>
      </c>
      <c r="F2763" t="s">
        <v>83</v>
      </c>
      <c r="G2763">
        <v>-237.00749999999999</v>
      </c>
      <c r="H2763" s="1">
        <v>-2.7531080000000002E-6</v>
      </c>
      <c r="I2763">
        <v>-56.10051</v>
      </c>
      <c r="J2763">
        <v>-271.89580000000001</v>
      </c>
      <c r="K2763">
        <v>1.1015200000000001</v>
      </c>
      <c r="L2763">
        <v>-57.006680000000003</v>
      </c>
      <c r="M2763">
        <v>0.99491660000000004</v>
      </c>
      <c r="N2763">
        <v>0</v>
      </c>
      <c r="O2763">
        <v>-0.10005559999999999</v>
      </c>
      <c r="P2763">
        <v>0.99183880000000002</v>
      </c>
      <c r="Q2763">
        <v>0.12293560000000001</v>
      </c>
      <c r="R2763">
        <v>-3.3810119999999999E-2</v>
      </c>
      <c r="S2763">
        <v>3.0390929999999998</v>
      </c>
      <c r="T2763">
        <v>-9.5486280000000007E-2</v>
      </c>
      <c r="U2763">
        <v>7.6995850000000005E-2</v>
      </c>
      <c r="V2763">
        <v>-6.4798149999999999E-2</v>
      </c>
      <c r="W2763">
        <v>0.13461020000000001</v>
      </c>
      <c r="X2763">
        <v>0.98877769999999998</v>
      </c>
      <c r="Y2763">
        <v>-0.12511900000000001</v>
      </c>
      <c r="Z2763">
        <v>5.1044259999999996E-3</v>
      </c>
      <c r="AA2763">
        <v>0.99212860000000003</v>
      </c>
      <c r="AB2763">
        <v>34</v>
      </c>
      <c r="AC2763">
        <v>34.888300000000001</v>
      </c>
      <c r="AD2763">
        <v>-1.1015227531080001</v>
      </c>
      <c r="AE2763">
        <v>0.90617000000000303</v>
      </c>
      <c r="AF2763">
        <v>-4.3882470840577996</v>
      </c>
      <c r="AG2763">
        <v>-1.1015227531080001</v>
      </c>
      <c r="AH2763">
        <v>34.588073450981902</v>
      </c>
      <c r="AI2763">
        <v>91.8095801975835</v>
      </c>
      <c r="AJ2763">
        <v>97.230581598340393</v>
      </c>
      <c r="AK2763">
        <v>34.882730539579001</v>
      </c>
      <c r="AL2763">
        <v>82.263919925002497</v>
      </c>
      <c r="AM2763">
        <v>93.749436610618702</v>
      </c>
      <c r="AN2763">
        <v>1.00000002310237</v>
      </c>
    </row>
    <row r="2764" spans="1:40" x14ac:dyDescent="0.3">
      <c r="A2764" t="str">
        <f>"20200111150410120"</f>
        <v>20200111150410120</v>
      </c>
      <c r="B2764" t="str">
        <f>"1578726250111678"</f>
        <v>1578726250111678</v>
      </c>
      <c r="C2764" t="s">
        <v>40</v>
      </c>
      <c r="D2764">
        <v>5.2051800000000004</v>
      </c>
      <c r="E2764">
        <v>0.47768300000000002</v>
      </c>
      <c r="F2764" t="s">
        <v>83</v>
      </c>
      <c r="G2764">
        <v>-236.5488</v>
      </c>
      <c r="H2764" s="1">
        <v>-2.5475070000000002E-6</v>
      </c>
      <c r="I2764">
        <v>-56.150089999999999</v>
      </c>
      <c r="J2764">
        <v>-271.7251</v>
      </c>
      <c r="K2764">
        <v>1.101561</v>
      </c>
      <c r="L2764">
        <v>-57.025089999999999</v>
      </c>
      <c r="M2764">
        <v>0.99478619999999995</v>
      </c>
      <c r="N2764">
        <v>0</v>
      </c>
      <c r="O2764">
        <v>-0.10134319999999999</v>
      </c>
      <c r="P2764">
        <v>0.99178509999999998</v>
      </c>
      <c r="Q2764">
        <v>0.1231064</v>
      </c>
      <c r="R2764">
        <v>-3.4741139999999997E-2</v>
      </c>
      <c r="S2764">
        <v>3.03891</v>
      </c>
      <c r="T2764">
        <v>-9.4701649999999998E-2</v>
      </c>
      <c r="U2764">
        <v>7.3638919999999997E-2</v>
      </c>
      <c r="V2764">
        <v>-6.5159729999999999E-2</v>
      </c>
      <c r="W2764">
        <v>0.1347737</v>
      </c>
      <c r="X2764">
        <v>0.98873160000000004</v>
      </c>
      <c r="Y2764">
        <v>-0.12531030000000001</v>
      </c>
      <c r="Z2764">
        <v>5.1057969999999996E-3</v>
      </c>
      <c r="AA2764">
        <v>0.99210449999999994</v>
      </c>
      <c r="AB2764">
        <v>34</v>
      </c>
      <c r="AC2764">
        <v>35.176299999999998</v>
      </c>
      <c r="AD2764">
        <v>-1.101563547507</v>
      </c>
      <c r="AE2764">
        <v>0.875</v>
      </c>
      <c r="AF2764">
        <v>-4.4312621152561702</v>
      </c>
      <c r="AG2764">
        <v>-1.101563547507</v>
      </c>
      <c r="AH2764">
        <v>34.872314252415201</v>
      </c>
      <c r="AI2764">
        <v>91.794861913342203</v>
      </c>
      <c r="AJ2764">
        <v>97.241824114089496</v>
      </c>
      <c r="AK2764">
        <v>35.169984752662401</v>
      </c>
      <c r="AL2764">
        <v>82.254465414154893</v>
      </c>
      <c r="AM2764">
        <v>93.770473938283402</v>
      </c>
      <c r="AN2764">
        <v>0.99999995873196001</v>
      </c>
    </row>
    <row r="2765" spans="1:40" x14ac:dyDescent="0.3">
      <c r="A2765" t="str">
        <f>"20200111150410132"</f>
        <v>20200111150410132</v>
      </c>
      <c r="B2765" t="str">
        <f>"1578726250121438"</f>
        <v>1578726250121438</v>
      </c>
      <c r="C2765" t="s">
        <v>40</v>
      </c>
      <c r="D2765">
        <v>5.117769</v>
      </c>
      <c r="E2765">
        <v>0.47761550000000003</v>
      </c>
      <c r="F2765" t="s">
        <v>83</v>
      </c>
      <c r="G2765">
        <v>-235.56190000000001</v>
      </c>
      <c r="H2765" s="1">
        <v>-2.11871E-6</v>
      </c>
      <c r="I2765">
        <v>-56.180660000000003</v>
      </c>
      <c r="J2765">
        <v>-271.55090000000001</v>
      </c>
      <c r="K2765">
        <v>1.1016010000000001</v>
      </c>
      <c r="L2765">
        <v>-57.043979999999998</v>
      </c>
      <c r="M2765">
        <v>0.99465349999999997</v>
      </c>
      <c r="N2765">
        <v>0</v>
      </c>
      <c r="O2765">
        <v>-0.1026384</v>
      </c>
      <c r="P2765">
        <v>0.99172780000000005</v>
      </c>
      <c r="Q2765">
        <v>0.1232505</v>
      </c>
      <c r="R2765">
        <v>-3.5854030000000002E-2</v>
      </c>
      <c r="S2765">
        <v>3.038818</v>
      </c>
      <c r="T2765">
        <v>-9.2564939999999998E-2</v>
      </c>
      <c r="U2765">
        <v>7.0953370000000002E-2</v>
      </c>
      <c r="V2765">
        <v>-6.5349439999999995E-2</v>
      </c>
      <c r="W2765">
        <v>0.1349098</v>
      </c>
      <c r="X2765">
        <v>0.98870060000000004</v>
      </c>
      <c r="Y2765">
        <v>-0.1257307</v>
      </c>
      <c r="Z2765">
        <v>5.0365280000000002E-3</v>
      </c>
      <c r="AA2765">
        <v>0.99205160000000003</v>
      </c>
      <c r="AB2765">
        <v>34</v>
      </c>
      <c r="AC2765">
        <v>35.988999999999997</v>
      </c>
      <c r="AD2765">
        <v>-1.1016031187099999</v>
      </c>
      <c r="AE2765">
        <v>0.86332000000000797</v>
      </c>
      <c r="AF2765">
        <v>-4.5485937688999902</v>
      </c>
      <c r="AG2765">
        <v>-1.1016031187099999</v>
      </c>
      <c r="AH2765">
        <v>35.676884436246901</v>
      </c>
      <c r="AI2765">
        <v>91.754380597056695</v>
      </c>
      <c r="AJ2765">
        <v>97.2656781746024</v>
      </c>
      <c r="AK2765">
        <v>35.982541847164498</v>
      </c>
      <c r="AL2765">
        <v>82.246596217755794</v>
      </c>
      <c r="AM2765">
        <v>93.781537941652999</v>
      </c>
      <c r="AN2765">
        <v>1.0000000399423501</v>
      </c>
    </row>
    <row r="2766" spans="1:40" x14ac:dyDescent="0.3">
      <c r="A2766" t="str">
        <f>"20200111150410143"</f>
        <v>20200111150410143</v>
      </c>
      <c r="B2766" t="str">
        <f>"1578726250131199"</f>
        <v>1578726250131199</v>
      </c>
      <c r="C2766" t="s">
        <v>40</v>
      </c>
      <c r="D2766">
        <v>5.0677399999999997</v>
      </c>
      <c r="E2766">
        <v>0.4774967</v>
      </c>
      <c r="F2766" t="s">
        <v>83</v>
      </c>
      <c r="G2766">
        <v>-235.54140000000001</v>
      </c>
      <c r="H2766" s="1">
        <v>-2.1000260000000001E-6</v>
      </c>
      <c r="I2766">
        <v>-56.236460000000001</v>
      </c>
      <c r="J2766">
        <v>-271.3664</v>
      </c>
      <c r="K2766">
        <v>1.101648</v>
      </c>
      <c r="L2766">
        <v>-57.064239999999998</v>
      </c>
      <c r="M2766">
        <v>0.99451699999999998</v>
      </c>
      <c r="N2766">
        <v>0</v>
      </c>
      <c r="O2766">
        <v>-0.1039525</v>
      </c>
      <c r="P2766">
        <v>0.99170769999999997</v>
      </c>
      <c r="Q2766">
        <v>0.1231973</v>
      </c>
      <c r="R2766">
        <v>-3.6585680000000002E-2</v>
      </c>
      <c r="S2766">
        <v>3.0390630000000001</v>
      </c>
      <c r="T2766">
        <v>-9.2970849999999994E-2</v>
      </c>
      <c r="U2766">
        <v>6.8145750000000005E-2</v>
      </c>
      <c r="V2766">
        <v>-6.5944950000000002E-2</v>
      </c>
      <c r="W2766">
        <v>0.13484879999999999</v>
      </c>
      <c r="X2766">
        <v>0.98866929999999997</v>
      </c>
      <c r="Y2766">
        <v>-0.12612180000000001</v>
      </c>
      <c r="Z2766">
        <v>5.1042450000000003E-3</v>
      </c>
      <c r="AA2766">
        <v>0.99200169999999999</v>
      </c>
      <c r="AB2766">
        <v>34</v>
      </c>
      <c r="AC2766">
        <v>35.824999999999903</v>
      </c>
      <c r="AD2766">
        <v>-1.1016501000259999</v>
      </c>
      <c r="AE2766">
        <v>0.82778000000000396</v>
      </c>
      <c r="AF2766">
        <v>-4.5433408140243996</v>
      </c>
      <c r="AG2766">
        <v>-1.1016501000259999</v>
      </c>
      <c r="AH2766">
        <v>35.511266801049103</v>
      </c>
      <c r="AI2766">
        <v>91.762533781997305</v>
      </c>
      <c r="AJ2766">
        <v>97.290860527856097</v>
      </c>
      <c r="AK2766">
        <v>35.817672293304597</v>
      </c>
      <c r="AL2766">
        <v>82.2501228691346</v>
      </c>
      <c r="AM2766">
        <v>93.816017069390696</v>
      </c>
      <c r="AN2766">
        <v>0.99999996002721503</v>
      </c>
    </row>
    <row r="2767" spans="1:40" x14ac:dyDescent="0.3">
      <c r="A2767" t="str">
        <f>"20200111150410154"</f>
        <v>20200111150410154</v>
      </c>
      <c r="B2767" t="str">
        <f>"1578726250151695"</f>
        <v>1578726250151695</v>
      </c>
      <c r="C2767" t="s">
        <v>40</v>
      </c>
      <c r="D2767">
        <v>5.1588830000000003</v>
      </c>
      <c r="E2767">
        <v>0.47702670000000003</v>
      </c>
      <c r="F2767" t="s">
        <v>83</v>
      </c>
      <c r="G2767">
        <v>-235.8254</v>
      </c>
      <c r="H2767" s="1">
        <v>-2.2139850000000001E-6</v>
      </c>
      <c r="I2767">
        <v>-56.280830000000002</v>
      </c>
      <c r="J2767">
        <v>-271.20139999999998</v>
      </c>
      <c r="K2767">
        <v>1.101693</v>
      </c>
      <c r="L2767">
        <v>-57.082549999999998</v>
      </c>
      <c r="M2767">
        <v>0.99439679999999997</v>
      </c>
      <c r="N2767">
        <v>0</v>
      </c>
      <c r="O2767">
        <v>-0.10509599999999999</v>
      </c>
      <c r="P2767">
        <v>0.99169419999999997</v>
      </c>
      <c r="Q2767">
        <v>0.123095</v>
      </c>
      <c r="R2767">
        <v>-3.7289589999999997E-2</v>
      </c>
      <c r="S2767">
        <v>3.039215</v>
      </c>
      <c r="T2767">
        <v>-9.4205259999999999E-2</v>
      </c>
      <c r="U2767">
        <v>6.6986080000000003E-2</v>
      </c>
      <c r="V2767">
        <v>-6.6397570000000003E-2</v>
      </c>
      <c r="W2767">
        <v>0.1347392</v>
      </c>
      <c r="X2767">
        <v>0.98865400000000003</v>
      </c>
      <c r="Y2767">
        <v>-0.1268792</v>
      </c>
      <c r="Z2767">
        <v>5.2187709999999997E-3</v>
      </c>
      <c r="AA2767">
        <v>0.99190440000000002</v>
      </c>
      <c r="AB2767">
        <v>34</v>
      </c>
      <c r="AC2767">
        <v>35.375999999999898</v>
      </c>
      <c r="AD2767">
        <v>-1.101695213985</v>
      </c>
      <c r="AE2767">
        <v>0.80171999999999599</v>
      </c>
      <c r="AF2767">
        <v>-4.5110242560331697</v>
      </c>
      <c r="AG2767">
        <v>-1.101695213985</v>
      </c>
      <c r="AH2767">
        <v>35.061814720346703</v>
      </c>
      <c r="AI2767">
        <v>91.785024210172594</v>
      </c>
      <c r="AJ2767">
        <v>97.331352510049797</v>
      </c>
      <c r="AK2767">
        <v>35.367978789675803</v>
      </c>
      <c r="AL2767">
        <v>82.256460718076298</v>
      </c>
      <c r="AM2767">
        <v>93.842189797750507</v>
      </c>
      <c r="AN2767">
        <v>1.0000000105172699</v>
      </c>
    </row>
    <row r="2768" spans="1:40" x14ac:dyDescent="0.3">
      <c r="A2768" t="str">
        <f>"20200111150410165"</f>
        <v>20200111150410165</v>
      </c>
      <c r="B2768" t="str">
        <f>"1578726250161454"</f>
        <v>1578726250161454</v>
      </c>
      <c r="C2768" t="s">
        <v>40</v>
      </c>
      <c r="D2768">
        <v>5.0399599999999998</v>
      </c>
      <c r="E2768">
        <v>0.47687590000000002</v>
      </c>
      <c r="F2768" t="s">
        <v>83</v>
      </c>
      <c r="G2768">
        <v>-236.23740000000001</v>
      </c>
      <c r="H2768" s="1">
        <v>-2.3889090000000002E-6</v>
      </c>
      <c r="I2768">
        <v>-56.291240000000002</v>
      </c>
      <c r="J2768">
        <v>-271.03300000000002</v>
      </c>
      <c r="K2768">
        <v>1.1017399999999999</v>
      </c>
      <c r="L2768">
        <v>-57.101379999999999</v>
      </c>
      <c r="M2768">
        <v>0.99427619999999906</v>
      </c>
      <c r="N2768">
        <v>0</v>
      </c>
      <c r="O2768">
        <v>-0.1062323</v>
      </c>
      <c r="P2768">
        <v>0.9917359</v>
      </c>
      <c r="Q2768">
        <v>0.122666899999999</v>
      </c>
      <c r="R2768">
        <v>-3.7589490000000003E-2</v>
      </c>
      <c r="S2768">
        <v>3.0395509999999999</v>
      </c>
      <c r="T2768">
        <v>-9.5774650000000003E-2</v>
      </c>
      <c r="U2768">
        <v>6.8786620000000007E-2</v>
      </c>
      <c r="V2768">
        <v>-6.7253889999999997E-2</v>
      </c>
      <c r="W2768">
        <v>0.13430539999999999</v>
      </c>
      <c r="X2768">
        <v>0.98865510000000001</v>
      </c>
      <c r="Y2768">
        <v>-0.12859219999999999</v>
      </c>
      <c r="Z2768">
        <v>5.367714E-3</v>
      </c>
      <c r="AA2768">
        <v>0.99168299999999998</v>
      </c>
      <c r="AB2768">
        <v>34</v>
      </c>
      <c r="AC2768">
        <v>34.7956</v>
      </c>
      <c r="AD2768">
        <v>-1.1017423889089999</v>
      </c>
      <c r="AE2768">
        <v>0.81014000000000397</v>
      </c>
      <c r="AF2768">
        <v>-4.4977043617721097</v>
      </c>
      <c r="AG2768">
        <v>-1.1017423889089999</v>
      </c>
      <c r="AH2768">
        <v>34.478061619876897</v>
      </c>
      <c r="AI2768">
        <v>91.814890172679696</v>
      </c>
      <c r="AJ2768">
        <v>97.432332635272402</v>
      </c>
      <c r="AK2768">
        <v>34.787640245947301</v>
      </c>
      <c r="AL2768">
        <v>82.281543274481606</v>
      </c>
      <c r="AM2768">
        <v>93.891586362309198</v>
      </c>
      <c r="AN2768">
        <v>0.99999996647264999</v>
      </c>
    </row>
    <row r="2769" spans="1:40" x14ac:dyDescent="0.3">
      <c r="A2769" t="str">
        <f>"20200111150410176"</f>
        <v>20200111150410176</v>
      </c>
      <c r="B2769" t="str">
        <f>"1578726250171215"</f>
        <v>1578726250171215</v>
      </c>
      <c r="C2769" t="s">
        <v>40</v>
      </c>
      <c r="D2769">
        <v>4.9721710000000003</v>
      </c>
      <c r="E2769">
        <v>0.47671079999999999</v>
      </c>
      <c r="F2769" t="s">
        <v>83</v>
      </c>
      <c r="G2769">
        <v>-236.8186</v>
      </c>
      <c r="H2769" s="1">
        <v>-2.6327249999999999E-6</v>
      </c>
      <c r="I2769">
        <v>-56.322270000000003</v>
      </c>
      <c r="J2769">
        <v>-270.87299999999999</v>
      </c>
      <c r="K2769">
        <v>1.1017859999999999</v>
      </c>
      <c r="L2769">
        <v>-57.119450000000001</v>
      </c>
      <c r="M2769">
        <v>0.99416519999999997</v>
      </c>
      <c r="N2769">
        <v>0</v>
      </c>
      <c r="O2769">
        <v>-0.10726719999999999</v>
      </c>
      <c r="P2769">
        <v>0.99177939999999998</v>
      </c>
      <c r="Q2769">
        <v>0.12217069999999999</v>
      </c>
      <c r="R2769">
        <v>-3.805766E-2</v>
      </c>
      <c r="S2769">
        <v>3.0397340000000002</v>
      </c>
      <c r="T2769">
        <v>-9.7882750000000004E-2</v>
      </c>
      <c r="U2769">
        <v>6.9213869999999997E-2</v>
      </c>
      <c r="V2769">
        <v>-6.7842159999999999E-2</v>
      </c>
      <c r="W2769">
        <v>0.13380220000000001</v>
      </c>
      <c r="X2769">
        <v>0.98868319999999998</v>
      </c>
      <c r="Y2769">
        <v>-0.12975610000000001</v>
      </c>
      <c r="Z2769">
        <v>5.5373940000000002E-3</v>
      </c>
      <c r="AA2769">
        <v>0.99153049999999998</v>
      </c>
      <c r="AB2769">
        <v>34</v>
      </c>
      <c r="AC2769">
        <v>34.054399999999902</v>
      </c>
      <c r="AD2769">
        <v>-1.1017886327249999</v>
      </c>
      <c r="AE2769">
        <v>0.797180000000004</v>
      </c>
      <c r="AF2769">
        <v>-4.4410899411670099</v>
      </c>
      <c r="AG2769">
        <v>-1.1017886327249999</v>
      </c>
      <c r="AH2769">
        <v>33.737076100351501</v>
      </c>
      <c r="AI2769">
        <v>91.854518393878493</v>
      </c>
      <c r="AJ2769">
        <v>97.499198052489007</v>
      </c>
      <c r="AK2769">
        <v>34.045961902370202</v>
      </c>
      <c r="AL2769">
        <v>82.310637592630002</v>
      </c>
      <c r="AM2769">
        <v>93.925408896231104</v>
      </c>
      <c r="AN2769">
        <v>1.0000000286802699</v>
      </c>
    </row>
    <row r="2770" spans="1:40" x14ac:dyDescent="0.3">
      <c r="A2770" t="str">
        <f>"20200111150410186"</f>
        <v>20200111150410186</v>
      </c>
      <c r="B2770" t="str">
        <f>"1578726250180974"</f>
        <v>1578726250180974</v>
      </c>
      <c r="C2770" t="s">
        <v>40</v>
      </c>
      <c r="D2770">
        <v>5.0356730000000001</v>
      </c>
      <c r="E2770">
        <v>0.47653479999999998</v>
      </c>
      <c r="F2770" t="s">
        <v>83</v>
      </c>
      <c r="G2770">
        <v>-237.21780000000001</v>
      </c>
      <c r="H2770" s="1">
        <v>-2.798891E-6</v>
      </c>
      <c r="I2770">
        <v>-56.351059999999997</v>
      </c>
      <c r="J2770">
        <v>-270.71839999999997</v>
      </c>
      <c r="K2770">
        <v>1.101842</v>
      </c>
      <c r="L2770">
        <v>-57.136960000000002</v>
      </c>
      <c r="M2770">
        <v>0.99405869999999996</v>
      </c>
      <c r="N2770">
        <v>0</v>
      </c>
      <c r="O2770">
        <v>-0.1082491</v>
      </c>
      <c r="P2770">
        <v>0.99182459999999995</v>
      </c>
      <c r="Q2770">
        <v>0.12165049999999999</v>
      </c>
      <c r="R2770">
        <v>-3.8540020000000001E-2</v>
      </c>
      <c r="S2770">
        <v>3.0397949999999998</v>
      </c>
      <c r="T2770">
        <v>-9.9515560000000003E-2</v>
      </c>
      <c r="U2770">
        <v>6.9396970000000002E-2</v>
      </c>
      <c r="V2770">
        <v>-6.8364229999999998E-2</v>
      </c>
      <c r="W2770">
        <v>0.13327530000000001</v>
      </c>
      <c r="X2770">
        <v>0.9887184</v>
      </c>
      <c r="Y2770">
        <v>-0.1307894</v>
      </c>
      <c r="Z2770">
        <v>5.6785179999999996E-3</v>
      </c>
      <c r="AA2770">
        <v>0.99139390000000005</v>
      </c>
      <c r="AB2770">
        <v>34</v>
      </c>
      <c r="AC2770">
        <v>33.500599999999899</v>
      </c>
      <c r="AD2770">
        <v>-1.1018447988910001</v>
      </c>
      <c r="AE2770">
        <v>0.78589999999999705</v>
      </c>
      <c r="AF2770">
        <v>-4.4031652069305096</v>
      </c>
      <c r="AG2770">
        <v>-1.1018447988910001</v>
      </c>
      <c r="AH2770">
        <v>33.182763350673902</v>
      </c>
      <c r="AI2770">
        <v>91.885313231963906</v>
      </c>
      <c r="AJ2770">
        <v>97.5586687959822</v>
      </c>
      <c r="AK2770">
        <v>33.491755842105299</v>
      </c>
      <c r="AL2770">
        <v>82.341099532278307</v>
      </c>
      <c r="AM2770">
        <v>93.955380438641299</v>
      </c>
      <c r="AN2770">
        <v>1.00000002401607</v>
      </c>
    </row>
    <row r="2771" spans="1:40" x14ac:dyDescent="0.3">
      <c r="A2771" t="str">
        <f>"20200111150410198"</f>
        <v>20200111150410198</v>
      </c>
      <c r="B2771" t="str">
        <f>"1578726250191710"</f>
        <v>1578726250191710</v>
      </c>
      <c r="C2771" t="s">
        <v>40</v>
      </c>
      <c r="D2771">
        <v>5.0196779999999999</v>
      </c>
      <c r="E2771">
        <v>0.47627199999999997</v>
      </c>
      <c r="F2771" t="s">
        <v>83</v>
      </c>
      <c r="G2771">
        <v>-237.756</v>
      </c>
      <c r="H2771" s="1">
        <v>-3.024438E-6</v>
      </c>
      <c r="I2771">
        <v>-56.38111</v>
      </c>
      <c r="J2771">
        <v>-270.5428</v>
      </c>
      <c r="K2771">
        <v>1.1019019999999999</v>
      </c>
      <c r="L2771">
        <v>-57.157170000000001</v>
      </c>
      <c r="M2771">
        <v>0.99394340000000003</v>
      </c>
      <c r="N2771">
        <v>0</v>
      </c>
      <c r="O2771">
        <v>-0.10930230000000001</v>
      </c>
      <c r="P2771">
        <v>0.9918517</v>
      </c>
      <c r="Q2771">
        <v>0.12119580000000001</v>
      </c>
      <c r="R2771">
        <v>-3.9267900000000001E-2</v>
      </c>
      <c r="S2771">
        <v>3.039917</v>
      </c>
      <c r="T2771">
        <v>-0.1016161</v>
      </c>
      <c r="U2771">
        <v>6.9702150000000004E-2</v>
      </c>
      <c r="V2771">
        <v>-6.8715070000000003E-2</v>
      </c>
      <c r="W2771">
        <v>0.1328107</v>
      </c>
      <c r="X2771">
        <v>0.98875659999999999</v>
      </c>
      <c r="Y2771">
        <v>-0.13193170000000001</v>
      </c>
      <c r="Z2771">
        <v>5.8522230000000001E-3</v>
      </c>
      <c r="AA2771">
        <v>0.9912415</v>
      </c>
      <c r="AB2771">
        <v>34</v>
      </c>
      <c r="AC2771">
        <v>32.786799999999999</v>
      </c>
      <c r="AD2771">
        <v>-1.101905024438</v>
      </c>
      <c r="AE2771">
        <v>0.77605999999999398</v>
      </c>
      <c r="AF2771">
        <v>-4.3504033597401897</v>
      </c>
      <c r="AG2771">
        <v>-1.101905024438</v>
      </c>
      <c r="AH2771">
        <v>32.468850156077799</v>
      </c>
      <c r="AI2771">
        <v>91.926515097667803</v>
      </c>
      <c r="AJ2771">
        <v>97.631437556471298</v>
      </c>
      <c r="AK2771">
        <v>32.777529414724803</v>
      </c>
      <c r="AL2771">
        <v>82.367957949043301</v>
      </c>
      <c r="AM2771">
        <v>93.975461119791504</v>
      </c>
      <c r="AN2771">
        <v>1.00000002846157</v>
      </c>
    </row>
    <row r="2772" spans="1:40" x14ac:dyDescent="0.3">
      <c r="A2772" t="str">
        <f>"20200111150410211"</f>
        <v>20200111150410211</v>
      </c>
      <c r="B2772" t="str">
        <f>"1578726250201471"</f>
        <v>1578726250201471</v>
      </c>
      <c r="C2772" t="s">
        <v>40</v>
      </c>
      <c r="D2772">
        <v>5.1127989999999999</v>
      </c>
      <c r="E2772">
        <v>0.47648200000000002</v>
      </c>
      <c r="F2772" t="s">
        <v>83</v>
      </c>
      <c r="G2772">
        <v>-238.09289999999999</v>
      </c>
      <c r="H2772" s="1">
        <v>-3.1638009999999999E-6</v>
      </c>
      <c r="I2772">
        <v>-56.410159999999998</v>
      </c>
      <c r="J2772">
        <v>-270.3571</v>
      </c>
      <c r="K2772">
        <v>1.1019699999999999</v>
      </c>
      <c r="L2772">
        <v>-57.178559999999997</v>
      </c>
      <c r="M2772">
        <v>0.99382340000000002</v>
      </c>
      <c r="N2772">
        <v>0</v>
      </c>
      <c r="O2772">
        <v>-0.1103874</v>
      </c>
      <c r="P2772">
        <v>0.99181739999999996</v>
      </c>
      <c r="Q2772">
        <v>0.1212762</v>
      </c>
      <c r="R2772">
        <v>-3.9883399999999999E-2</v>
      </c>
      <c r="S2772">
        <v>3.0400390000000002</v>
      </c>
      <c r="T2772">
        <v>-0.1032308</v>
      </c>
      <c r="U2772">
        <v>6.997681E-2</v>
      </c>
      <c r="V2772">
        <v>-6.9202379999999994E-2</v>
      </c>
      <c r="W2772">
        <v>0.1328802</v>
      </c>
      <c r="X2772">
        <v>0.98871330000000002</v>
      </c>
      <c r="Y2772">
        <v>-0.13309679999999999</v>
      </c>
      <c r="Z2772">
        <v>6.0013849999999997E-3</v>
      </c>
      <c r="AA2772">
        <v>0.99108490000000005</v>
      </c>
      <c r="AB2772">
        <v>34</v>
      </c>
      <c r="AC2772">
        <v>32.264200000000002</v>
      </c>
      <c r="AD2772">
        <v>-1.101973163801</v>
      </c>
      <c r="AE2772">
        <v>0.76839999999999897</v>
      </c>
      <c r="AF2772">
        <v>-4.3204583701306101</v>
      </c>
      <c r="AG2772">
        <v>-1.101973163801</v>
      </c>
      <c r="AH2772">
        <v>31.944924960217101</v>
      </c>
      <c r="AI2772">
        <v>91.957882269179805</v>
      </c>
      <c r="AJ2772">
        <v>97.702351534587095</v>
      </c>
      <c r="AK2772">
        <v>32.254595581027999</v>
      </c>
      <c r="AL2772">
        <v>82.363940473555502</v>
      </c>
      <c r="AM2772">
        <v>94.003737494904101</v>
      </c>
      <c r="AN2772">
        <v>1.00000005327329</v>
      </c>
    </row>
    <row r="2773" spans="1:40" x14ac:dyDescent="0.3">
      <c r="A2773" t="str">
        <f>"20200111150410222"</f>
        <v>20200111150410222</v>
      </c>
      <c r="B2773" t="str">
        <f>"1578726250211231"</f>
        <v>1578726250211231</v>
      </c>
      <c r="C2773" t="s">
        <v>40</v>
      </c>
      <c r="D2773">
        <v>5.1556879999999996</v>
      </c>
      <c r="E2773">
        <v>0.47673599999999999</v>
      </c>
      <c r="F2773" t="s">
        <v>83</v>
      </c>
      <c r="G2773">
        <v>-237.81549999999999</v>
      </c>
      <c r="H2773" s="1">
        <v>-3.0351360000000001E-6</v>
      </c>
      <c r="I2773">
        <v>-56.4647199999999</v>
      </c>
      <c r="J2773">
        <v>-270.16890000000001</v>
      </c>
      <c r="K2773">
        <v>1.1020509999999999</v>
      </c>
      <c r="L2773">
        <v>-57.200499999999998</v>
      </c>
      <c r="M2773">
        <v>0.99370950000000002</v>
      </c>
      <c r="N2773">
        <v>0</v>
      </c>
      <c r="O2773">
        <v>-0.1114097</v>
      </c>
      <c r="P2773">
        <v>0.99178840000000001</v>
      </c>
      <c r="Q2773">
        <v>0.1211974</v>
      </c>
      <c r="R2773">
        <v>-4.0829829999999998E-2</v>
      </c>
      <c r="S2773">
        <v>3.0400390000000002</v>
      </c>
      <c r="T2773">
        <v>-0.1029463</v>
      </c>
      <c r="U2773">
        <v>6.6680909999999996E-2</v>
      </c>
      <c r="V2773">
        <v>-6.9302249999999996E-2</v>
      </c>
      <c r="W2773">
        <v>0.1327866</v>
      </c>
      <c r="X2773">
        <v>0.98871880000000001</v>
      </c>
      <c r="Y2773">
        <v>-0.13304260000000001</v>
      </c>
      <c r="Z2773">
        <v>6.0184180000000002E-3</v>
      </c>
      <c r="AA2773">
        <v>0.99109199999999997</v>
      </c>
      <c r="AB2773">
        <v>34</v>
      </c>
      <c r="AC2773">
        <v>32.353400000000001</v>
      </c>
      <c r="AD2773">
        <v>-1.102054035136</v>
      </c>
      <c r="AE2773">
        <v>0.73578000000000499</v>
      </c>
      <c r="AF2773">
        <v>-4.3308920220887899</v>
      </c>
      <c r="AG2773">
        <v>-1.102054035136</v>
      </c>
      <c r="AH2773">
        <v>32.032833323797</v>
      </c>
      <c r="AI2773">
        <v>91.952668331557405</v>
      </c>
      <c r="AJ2773">
        <v>97.699794543253603</v>
      </c>
      <c r="AK2773">
        <v>32.343060454346499</v>
      </c>
      <c r="AL2773">
        <v>82.369350700267901</v>
      </c>
      <c r="AM2773">
        <v>94.009474459881702</v>
      </c>
      <c r="AN2773">
        <v>0.99999997423403097</v>
      </c>
    </row>
    <row r="2774" spans="1:40" x14ac:dyDescent="0.3">
      <c r="A2774" t="str">
        <f>"20200111150410235"</f>
        <v>20200111150410235</v>
      </c>
      <c r="B2774" t="str">
        <f>"1578726250231727"</f>
        <v>1578726250231727</v>
      </c>
      <c r="C2774" t="s">
        <v>40</v>
      </c>
      <c r="D2774">
        <v>5.6696650000000002</v>
      </c>
      <c r="E2774">
        <v>0.47707159999999899</v>
      </c>
      <c r="F2774" t="s">
        <v>83</v>
      </c>
      <c r="G2774">
        <v>-238.20599999999999</v>
      </c>
      <c r="H2774" s="1">
        <v>-3.187792E-6</v>
      </c>
      <c r="I2774">
        <v>-56.548479999999998</v>
      </c>
      <c r="J2774">
        <v>-269.99200000000002</v>
      </c>
      <c r="K2774">
        <v>1.102128</v>
      </c>
      <c r="L2774">
        <v>-57.221220000000002</v>
      </c>
      <c r="M2774">
        <v>0.99360619999999999</v>
      </c>
      <c r="N2774">
        <v>0</v>
      </c>
      <c r="O2774">
        <v>-0.1123271</v>
      </c>
      <c r="P2774">
        <v>0.99168750000000006</v>
      </c>
      <c r="Q2774">
        <v>0.1217879</v>
      </c>
      <c r="R2774">
        <v>-4.1522249999999997E-2</v>
      </c>
      <c r="S2774">
        <v>3.0401919999999998</v>
      </c>
      <c r="T2774">
        <v>-0.1048234</v>
      </c>
      <c r="U2774">
        <v>6.2011719999999999E-2</v>
      </c>
      <c r="V2774">
        <v>-6.953964E-2</v>
      </c>
      <c r="W2774">
        <v>0.1333627</v>
      </c>
      <c r="X2774">
        <v>0.98862459999999996</v>
      </c>
      <c r="Y2774">
        <v>-0.13242970000000001</v>
      </c>
      <c r="Z2774">
        <v>6.1487290000000003E-3</v>
      </c>
      <c r="AA2774">
        <v>0.99117330000000003</v>
      </c>
      <c r="AB2774">
        <v>34</v>
      </c>
      <c r="AC2774">
        <v>31.786000000000001</v>
      </c>
      <c r="AD2774">
        <v>-1.1021311877919999</v>
      </c>
      <c r="AE2774">
        <v>0.67273999999999001</v>
      </c>
      <c r="AF2774">
        <v>-4.2340538812834003</v>
      </c>
      <c r="AG2774">
        <v>-1.1021311877919999</v>
      </c>
      <c r="AH2774">
        <v>31.471417963845202</v>
      </c>
      <c r="AI2774">
        <v>91.987788108126296</v>
      </c>
      <c r="AJ2774">
        <v>97.662363937551106</v>
      </c>
      <c r="AK2774">
        <v>31.7740783356458</v>
      </c>
      <c r="AL2774">
        <v>82.336046479287205</v>
      </c>
      <c r="AM2774">
        <v>94.023545694257507</v>
      </c>
      <c r="AN2774">
        <v>0.99999998550388902</v>
      </c>
    </row>
    <row r="2775" spans="1:40" x14ac:dyDescent="0.3">
      <c r="A2775" t="str">
        <f>"20200111150410250"</f>
        <v>20200111150410250</v>
      </c>
      <c r="B2775" t="str">
        <f>"1578726250241487"</f>
        <v>1578726250241487</v>
      </c>
      <c r="C2775" t="s">
        <v>40</v>
      </c>
      <c r="D2775">
        <v>4.8891980000000004</v>
      </c>
      <c r="E2775">
        <v>0.47767739999999997</v>
      </c>
      <c r="F2775" t="s">
        <v>83</v>
      </c>
      <c r="G2775">
        <v>-238.07089999999999</v>
      </c>
      <c r="H2775" s="1">
        <v>-3.1174E-6</v>
      </c>
      <c r="I2775">
        <v>-56.618490000000001</v>
      </c>
      <c r="J2775">
        <v>-269.76319999999998</v>
      </c>
      <c r="K2775">
        <v>1.1022350000000001</v>
      </c>
      <c r="L2775">
        <v>-57.248139999999999</v>
      </c>
      <c r="M2775">
        <v>0.99347870000000005</v>
      </c>
      <c r="N2775">
        <v>0</v>
      </c>
      <c r="O2775">
        <v>-0.11345</v>
      </c>
      <c r="P2775">
        <v>0.99158440000000003</v>
      </c>
      <c r="Q2775">
        <v>0.1223101</v>
      </c>
      <c r="R2775">
        <v>-4.243533E-2</v>
      </c>
      <c r="S2775">
        <v>3.0404659999999999</v>
      </c>
      <c r="T2775">
        <v>-0.1049773</v>
      </c>
      <c r="U2775">
        <v>5.7403559999999999E-2</v>
      </c>
      <c r="V2775">
        <v>-6.9770559999999995E-2</v>
      </c>
      <c r="W2775">
        <v>0.13386500000000001</v>
      </c>
      <c r="X2775">
        <v>0.98854050000000004</v>
      </c>
      <c r="Y2775">
        <v>-0.13204569999999999</v>
      </c>
      <c r="Z2775">
        <v>6.1891689999999996E-3</v>
      </c>
      <c r="AA2775">
        <v>0.99122429999999995</v>
      </c>
      <c r="AB2775">
        <v>34</v>
      </c>
      <c r="AC2775">
        <v>31.6922999999999</v>
      </c>
      <c r="AD2775">
        <v>-1.1022381174</v>
      </c>
      <c r="AE2775">
        <v>0.62964999999999705</v>
      </c>
      <c r="AF2775">
        <v>-4.2162100071036903</v>
      </c>
      <c r="AG2775">
        <v>-1.1022381174</v>
      </c>
      <c r="AH2775">
        <v>31.3782799683093</v>
      </c>
      <c r="AI2775">
        <v>91.9939213949866</v>
      </c>
      <c r="AJ2775">
        <v>97.652834076811999</v>
      </c>
      <c r="AK2775">
        <v>31.6794540587595</v>
      </c>
      <c r="AL2775">
        <v>82.307006878113597</v>
      </c>
      <c r="AM2775">
        <v>94.037204865827405</v>
      </c>
      <c r="AN2775">
        <v>1.0000000447039801</v>
      </c>
    </row>
    <row r="2776" spans="1:40" x14ac:dyDescent="0.3">
      <c r="A2776" t="str">
        <f>"20200111150410264"</f>
        <v>20200111150410264</v>
      </c>
      <c r="B2776" t="str">
        <f>"1578726250251247"</f>
        <v>1578726250251247</v>
      </c>
      <c r="C2776" t="s">
        <v>40</v>
      </c>
      <c r="D2776">
        <v>4.8773039999999996</v>
      </c>
      <c r="E2776">
        <v>0.47796270000000002</v>
      </c>
      <c r="F2776" t="s">
        <v>83</v>
      </c>
      <c r="G2776">
        <v>-237.3098</v>
      </c>
      <c r="H2776" s="1">
        <v>-2.7738360000000002E-6</v>
      </c>
      <c r="I2776">
        <v>-56.714820000000003</v>
      </c>
      <c r="J2776">
        <v>-269.54289999999997</v>
      </c>
      <c r="K2776">
        <v>1.1023499999999999</v>
      </c>
      <c r="L2776">
        <v>-57.274320000000003</v>
      </c>
      <c r="M2776">
        <v>0.99336809999999998</v>
      </c>
      <c r="N2776">
        <v>0</v>
      </c>
      <c r="O2776">
        <v>-0.11441510000000001</v>
      </c>
      <c r="P2776">
        <v>0.99138150000000003</v>
      </c>
      <c r="Q2776">
        <v>0.12377440000000001</v>
      </c>
      <c r="R2776">
        <v>-4.292613E-2</v>
      </c>
      <c r="S2776">
        <v>3.040314</v>
      </c>
      <c r="T2776">
        <v>-0.1032603</v>
      </c>
      <c r="U2776">
        <v>4.995728E-2</v>
      </c>
      <c r="V2776">
        <v>-7.0252079999999995E-2</v>
      </c>
      <c r="W2776">
        <v>0.1353076</v>
      </c>
      <c r="X2776">
        <v>0.98830989999999996</v>
      </c>
      <c r="Y2776">
        <v>-0.13058739999999999</v>
      </c>
      <c r="Z2776">
        <v>6.0961679999999999E-3</v>
      </c>
      <c r="AA2776">
        <v>0.99141809999999997</v>
      </c>
      <c r="AB2776">
        <v>34</v>
      </c>
      <c r="AC2776">
        <v>32.233099999999901</v>
      </c>
      <c r="AD2776">
        <v>-1.1023527738359999</v>
      </c>
      <c r="AE2776">
        <v>0.559499999999999</v>
      </c>
      <c r="AF2776">
        <v>-4.2390600578928703</v>
      </c>
      <c r="AG2776">
        <v>-1.1023527738359999</v>
      </c>
      <c r="AH2776">
        <v>31.9200569911144</v>
      </c>
      <c r="AI2776">
        <v>91.960711359764105</v>
      </c>
      <c r="AJ2776">
        <v>97.564752201629503</v>
      </c>
      <c r="AK2776">
        <v>32.219168985689201</v>
      </c>
      <c r="AL2776">
        <v>82.223592566450804</v>
      </c>
      <c r="AM2776">
        <v>94.065919751976196</v>
      </c>
      <c r="AN2776">
        <v>0.99999997990004796</v>
      </c>
    </row>
    <row r="2777" spans="1:40" x14ac:dyDescent="0.3">
      <c r="A2777" t="str">
        <f>"20200111150410277"</f>
        <v>20200111150410277</v>
      </c>
      <c r="B2777" t="str">
        <f>"1578726250271743"</f>
        <v>1578726250271743</v>
      </c>
      <c r="C2777" t="s">
        <v>40</v>
      </c>
      <c r="D2777">
        <v>4.9480409999999999</v>
      </c>
      <c r="E2777">
        <v>0.4783114</v>
      </c>
      <c r="F2777" t="s">
        <v>83</v>
      </c>
      <c r="G2777">
        <v>-237.39150000000001</v>
      </c>
      <c r="H2777" s="1">
        <v>-2.7973509999999998E-6</v>
      </c>
      <c r="I2777">
        <v>-56.77966</v>
      </c>
      <c r="J2777">
        <v>-269.35070000000002</v>
      </c>
      <c r="K2777">
        <v>1.102454</v>
      </c>
      <c r="L2777">
        <v>-57.297240000000002</v>
      </c>
      <c r="M2777">
        <v>0.99327949999999998</v>
      </c>
      <c r="N2777">
        <v>0</v>
      </c>
      <c r="O2777">
        <v>-0.115181199999999</v>
      </c>
      <c r="P2777">
        <v>0.99135989999999996</v>
      </c>
      <c r="Q2777">
        <v>0.1238274</v>
      </c>
      <c r="R2777">
        <v>-4.3273180000000001E-2</v>
      </c>
      <c r="S2777">
        <v>3.0411380000000001</v>
      </c>
      <c r="T2777">
        <v>-0.1042691</v>
      </c>
      <c r="U2777">
        <v>4.6783449999999997E-2</v>
      </c>
      <c r="V2777">
        <v>-7.0702260000000003E-2</v>
      </c>
      <c r="W2777">
        <v>0.1353425</v>
      </c>
      <c r="X2777">
        <v>0.98827299999999996</v>
      </c>
      <c r="Y2777">
        <v>-0.13031029999999999</v>
      </c>
      <c r="Z2777">
        <v>6.1754100000000001E-3</v>
      </c>
      <c r="AA2777">
        <v>0.99145399999999995</v>
      </c>
      <c r="AB2777">
        <v>34</v>
      </c>
      <c r="AC2777">
        <v>31.959199999999999</v>
      </c>
      <c r="AD2777">
        <v>-1.102456797351</v>
      </c>
      <c r="AE2777">
        <v>0.51758000000000204</v>
      </c>
      <c r="AF2777">
        <v>-4.1904862996682803</v>
      </c>
      <c r="AG2777">
        <v>-1.102456797351</v>
      </c>
      <c r="AH2777">
        <v>31.649197259046801</v>
      </c>
      <c r="AI2777">
        <v>91.977767228372997</v>
      </c>
      <c r="AJ2777">
        <v>97.542330861266095</v>
      </c>
      <c r="AK2777">
        <v>31.944440417070901</v>
      </c>
      <c r="AL2777">
        <v>82.221574240402703</v>
      </c>
      <c r="AM2777">
        <v>94.092038477570597</v>
      </c>
      <c r="AN2777">
        <v>0.99999996220217802</v>
      </c>
    </row>
    <row r="2778" spans="1:40" x14ac:dyDescent="0.3">
      <c r="A2778" t="str">
        <f>"20200111150410291"</f>
        <v>20200111150410291</v>
      </c>
      <c r="B2778" t="str">
        <f>"1578726250281502"</f>
        <v>1578726250281502</v>
      </c>
      <c r="C2778" t="s">
        <v>40</v>
      </c>
      <c r="D2778">
        <v>4.932175</v>
      </c>
      <c r="E2778">
        <v>0.47844959999999997</v>
      </c>
      <c r="F2778" t="s">
        <v>83</v>
      </c>
      <c r="G2778">
        <v>-239.9665</v>
      </c>
      <c r="H2778" s="1">
        <v>-3.884943E-6</v>
      </c>
      <c r="I2778">
        <v>-56.875979999999998</v>
      </c>
      <c r="J2778">
        <v>-269.1404</v>
      </c>
      <c r="K2778">
        <v>1.102576</v>
      </c>
      <c r="L2778">
        <v>-57.322360000000003</v>
      </c>
      <c r="M2778">
        <v>0.99319020000000002</v>
      </c>
      <c r="N2778">
        <v>0</v>
      </c>
      <c r="O2778">
        <v>-0.11594790000000001</v>
      </c>
      <c r="P2778">
        <v>0.99136139999999995</v>
      </c>
      <c r="Q2778">
        <v>0.1237888</v>
      </c>
      <c r="R2778">
        <v>-4.334441E-2</v>
      </c>
      <c r="S2778">
        <v>3.042297</v>
      </c>
      <c r="T2778">
        <v>-0.11414290000000001</v>
      </c>
      <c r="U2778">
        <v>4.3609620000000002E-2</v>
      </c>
      <c r="V2778">
        <v>-7.1435620000000005E-2</v>
      </c>
      <c r="W2778">
        <v>0.13528299999999999</v>
      </c>
      <c r="X2778">
        <v>0.98822840000000001</v>
      </c>
      <c r="Y2778">
        <v>-0.13000699999999901</v>
      </c>
      <c r="Z2778">
        <v>6.7801399999999996E-3</v>
      </c>
      <c r="AA2778">
        <v>0.99148990000000004</v>
      </c>
      <c r="AB2778">
        <v>34</v>
      </c>
      <c r="AC2778">
        <v>29.1739</v>
      </c>
      <c r="AD2778">
        <v>-1.102579884943</v>
      </c>
      <c r="AE2778">
        <v>0.44637999999999001</v>
      </c>
      <c r="AF2778">
        <v>-3.8207839813287201</v>
      </c>
      <c r="AG2778">
        <v>-1.102579884943</v>
      </c>
      <c r="AH2778">
        <v>28.8840983826301</v>
      </c>
      <c r="AI2778">
        <v>92.167204640633599</v>
      </c>
      <c r="AJ2778">
        <v>97.535328951642001</v>
      </c>
      <c r="AK2778">
        <v>29.156563789515999</v>
      </c>
      <c r="AL2778">
        <v>82.225014921787505</v>
      </c>
      <c r="AM2778">
        <v>94.134522706355895</v>
      </c>
      <c r="AN2778">
        <v>0.99999995423017096</v>
      </c>
    </row>
    <row r="2779" spans="1:40" x14ac:dyDescent="0.3">
      <c r="A2779" t="str">
        <f>"20200111150410304"</f>
        <v>20200111150410304</v>
      </c>
      <c r="B2779" t="str">
        <f>"1578726250301023"</f>
        <v>1578726250301023</v>
      </c>
      <c r="C2779" t="s">
        <v>40</v>
      </c>
      <c r="D2779">
        <v>4.9531349999999996</v>
      </c>
      <c r="E2779">
        <v>0.47886840000000003</v>
      </c>
      <c r="F2779" t="s">
        <v>82</v>
      </c>
      <c r="G2779">
        <v>-240.84639999999999</v>
      </c>
      <c r="H2779" s="1">
        <v>-1.9575110000000001E-7</v>
      </c>
      <c r="I2779">
        <v>-56.92389</v>
      </c>
      <c r="J2779">
        <v>-268.92739999999998</v>
      </c>
      <c r="K2779">
        <v>1.102722</v>
      </c>
      <c r="L2779">
        <v>-57.347929999999998</v>
      </c>
      <c r="M2779">
        <v>0.99311640000000001</v>
      </c>
      <c r="N2779">
        <v>0</v>
      </c>
      <c r="O2779">
        <v>-0.1165788</v>
      </c>
      <c r="P2779">
        <v>0.99143320000000001</v>
      </c>
      <c r="Q2779">
        <v>0.1233045</v>
      </c>
      <c r="R2779">
        <v>-4.3084030000000002E-2</v>
      </c>
      <c r="S2779">
        <v>3.0428470000000001</v>
      </c>
      <c r="T2779">
        <v>-0.1185755</v>
      </c>
      <c r="U2779">
        <v>4.2846679999999998E-2</v>
      </c>
      <c r="V2779">
        <v>-7.2379789999999999E-2</v>
      </c>
      <c r="W2779">
        <v>0.13477510000000001</v>
      </c>
      <c r="X2779">
        <v>0.98822920000000003</v>
      </c>
      <c r="Y2779">
        <v>-0.1303713</v>
      </c>
      <c r="Z2779">
        <v>7.0735240000000003E-3</v>
      </c>
      <c r="AA2779">
        <v>0.99143999999999999</v>
      </c>
      <c r="AB2779">
        <v>34</v>
      </c>
      <c r="AC2779">
        <v>28.0809999999999</v>
      </c>
      <c r="AD2779">
        <v>-1.1027221957511</v>
      </c>
      <c r="AE2779">
        <v>0.42404000000000502</v>
      </c>
      <c r="AF2779">
        <v>-3.6893211315261598</v>
      </c>
      <c r="AG2779">
        <v>-1.1027221957511</v>
      </c>
      <c r="AH2779">
        <v>27.797210304262101</v>
      </c>
      <c r="AI2779">
        <v>92.252018692117801</v>
      </c>
      <c r="AJ2779">
        <v>97.560265694703702</v>
      </c>
      <c r="AK2779">
        <v>28.062643983628899</v>
      </c>
      <c r="AL2779">
        <v>82.254385224613799</v>
      </c>
      <c r="AM2779">
        <v>94.188972363623606</v>
      </c>
      <c r="AN2779">
        <v>1.0000000566565399</v>
      </c>
    </row>
    <row r="2780" spans="1:40" x14ac:dyDescent="0.3">
      <c r="A2780" t="str">
        <f>"20200111150410320"</f>
        <v>20200111150410320</v>
      </c>
      <c r="B2780" t="str">
        <f>"1578726250311758"</f>
        <v>1578726250311758</v>
      </c>
      <c r="C2780" t="s">
        <v>40</v>
      </c>
      <c r="D2780">
        <v>4.8338749999999999</v>
      </c>
      <c r="E2780">
        <v>0.47903259999999998</v>
      </c>
      <c r="F2780" t="s">
        <v>82</v>
      </c>
      <c r="G2780">
        <v>-241.9325</v>
      </c>
      <c r="H2780" s="1">
        <v>-5.4864109999999898E-7</v>
      </c>
      <c r="I2780">
        <v>-56.986739999999998</v>
      </c>
      <c r="J2780">
        <v>-268.69529999999997</v>
      </c>
      <c r="K2780">
        <v>1.1029009999999999</v>
      </c>
      <c r="L2780">
        <v>-57.375790000000002</v>
      </c>
      <c r="M2780">
        <v>0.99305359999999998</v>
      </c>
      <c r="N2780">
        <v>0</v>
      </c>
      <c r="O2780">
        <v>-0.1171126</v>
      </c>
      <c r="P2780">
        <v>0.99148539999999996</v>
      </c>
      <c r="Q2780">
        <v>0.1233906</v>
      </c>
      <c r="R2780">
        <v>-4.1614230000000002E-2</v>
      </c>
      <c r="S2780">
        <v>3.0431520000000001</v>
      </c>
      <c r="T2780">
        <v>-0.12431059999999999</v>
      </c>
      <c r="U2780">
        <v>4.0710450000000002E-2</v>
      </c>
      <c r="V2780">
        <v>-7.4434979999999998E-2</v>
      </c>
      <c r="W2780">
        <v>0.13483229999999999</v>
      </c>
      <c r="X2780">
        <v>0.98806859999999996</v>
      </c>
      <c r="Y2780">
        <v>-0.1301882</v>
      </c>
      <c r="Z2780">
        <v>7.432564E-3</v>
      </c>
      <c r="AA2780">
        <v>0.9914615</v>
      </c>
      <c r="AB2780">
        <v>34</v>
      </c>
      <c r="AC2780">
        <v>26.762799999999899</v>
      </c>
      <c r="AD2780">
        <v>-1.1029015486411</v>
      </c>
      <c r="AE2780">
        <v>0.38904999999999701</v>
      </c>
      <c r="AF2780">
        <v>-3.5148680398065202</v>
      </c>
      <c r="AG2780">
        <v>-1.1029015486411</v>
      </c>
      <c r="AH2780">
        <v>26.488071367765599</v>
      </c>
      <c r="AI2780">
        <v>92.363590674670704</v>
      </c>
      <c r="AJ2780">
        <v>97.558776423101094</v>
      </c>
      <c r="AK2780">
        <v>26.743010562520698</v>
      </c>
      <c r="AL2780">
        <v>82.251076782186502</v>
      </c>
      <c r="AM2780">
        <v>94.308172228302695</v>
      </c>
      <c r="AN2780">
        <v>0.99999993683842303</v>
      </c>
    </row>
    <row r="2781" spans="1:40" x14ac:dyDescent="0.3">
      <c r="A2781" t="str">
        <f>"20200111150410332"</f>
        <v>20200111150410332</v>
      </c>
      <c r="B2781" t="str">
        <f>"1578726250321519"</f>
        <v>1578726250321519</v>
      </c>
      <c r="C2781" t="s">
        <v>40</v>
      </c>
      <c r="D2781">
        <v>5.0969810000000004</v>
      </c>
      <c r="E2781">
        <v>0.47919460000000003</v>
      </c>
      <c r="F2781" t="s">
        <v>82</v>
      </c>
      <c r="G2781">
        <v>-242.50059999999999</v>
      </c>
      <c r="H2781" s="1">
        <v>-7.392196E-7</v>
      </c>
      <c r="I2781">
        <v>-56.996989999999997</v>
      </c>
      <c r="J2781">
        <v>-268.52699999999999</v>
      </c>
      <c r="K2781">
        <v>1.1030390000000001</v>
      </c>
      <c r="L2781">
        <v>-57.396000000000001</v>
      </c>
      <c r="M2781">
        <v>0.99301729999999999</v>
      </c>
      <c r="N2781">
        <v>0</v>
      </c>
      <c r="O2781">
        <v>-0.11742030000000001</v>
      </c>
      <c r="P2781">
        <v>0.99145879999999997</v>
      </c>
      <c r="Q2781">
        <v>0.1237737</v>
      </c>
      <c r="R2781">
        <v>-4.1108079999999998E-2</v>
      </c>
      <c r="S2781">
        <v>3.0435789999999998</v>
      </c>
      <c r="T2781">
        <v>-0.12814690000000001</v>
      </c>
      <c r="U2781">
        <v>4.400635E-2</v>
      </c>
      <c r="V2781">
        <v>-7.5284970000000007E-2</v>
      </c>
      <c r="W2781">
        <v>0.135190899999999</v>
      </c>
      <c r="X2781">
        <v>0.98795529999999998</v>
      </c>
      <c r="Y2781">
        <v>-0.13155259999999999</v>
      </c>
      <c r="Z2781">
        <v>7.7022829999999999E-3</v>
      </c>
      <c r="AA2781">
        <v>0.99127920000000003</v>
      </c>
      <c r="AB2781">
        <v>34</v>
      </c>
      <c r="AC2781">
        <v>26.026399999999899</v>
      </c>
      <c r="AD2781">
        <v>-1.1030397392196001</v>
      </c>
      <c r="AE2781">
        <v>0.39900999999999598</v>
      </c>
      <c r="AF2781">
        <v>-3.44628566366287</v>
      </c>
      <c r="AG2781">
        <v>-1.1030397392196001</v>
      </c>
      <c r="AH2781">
        <v>25.753232162487802</v>
      </c>
      <c r="AI2781">
        <v>92.430900366716898</v>
      </c>
      <c r="AJ2781">
        <v>97.622012578752901</v>
      </c>
      <c r="AK2781">
        <v>26.006202113281699</v>
      </c>
      <c r="AL2781">
        <v>82.230341464789007</v>
      </c>
      <c r="AM2781">
        <v>94.357677601025301</v>
      </c>
      <c r="AN2781">
        <v>1.0000000404743901</v>
      </c>
    </row>
    <row r="2782" spans="1:40" x14ac:dyDescent="0.3">
      <c r="A2782" t="str">
        <f>"20200111150410342"</f>
        <v>20200111150410342</v>
      </c>
      <c r="B2782" t="str">
        <f>"1578726250331278"</f>
        <v>1578726250331278</v>
      </c>
      <c r="C2782" t="s">
        <v>40</v>
      </c>
      <c r="D2782">
        <v>4.9297760000000004</v>
      </c>
      <c r="E2782">
        <v>0.47937459999999998</v>
      </c>
      <c r="F2782" t="s">
        <v>82</v>
      </c>
      <c r="G2782">
        <v>-242.54990000000001</v>
      </c>
      <c r="H2782" s="1">
        <v>-7.5033469999999897E-7</v>
      </c>
      <c r="I2782">
        <v>-57.018279999999997</v>
      </c>
      <c r="J2782">
        <v>-268.3587</v>
      </c>
      <c r="K2782">
        <v>1.103194</v>
      </c>
      <c r="L2782">
        <v>-57.416139999999999</v>
      </c>
      <c r="M2782">
        <v>0.99299570000000004</v>
      </c>
      <c r="N2782">
        <v>0</v>
      </c>
      <c r="O2782">
        <v>-0.1176029</v>
      </c>
      <c r="P2782">
        <v>0.99135430000000002</v>
      </c>
      <c r="Q2782">
        <v>0.12453450000000001</v>
      </c>
      <c r="R2782">
        <v>-4.1326500000000002E-2</v>
      </c>
      <c r="S2782">
        <v>3.0438230000000002</v>
      </c>
      <c r="T2782">
        <v>-0.1292469</v>
      </c>
      <c r="U2782">
        <v>4.4250490000000003E-2</v>
      </c>
      <c r="V2782">
        <v>-7.5285859999999996E-2</v>
      </c>
      <c r="W2782">
        <v>0.13592170000000001</v>
      </c>
      <c r="X2782">
        <v>0.98785489999999998</v>
      </c>
      <c r="Y2782">
        <v>-0.13180899999999901</v>
      </c>
      <c r="Z2782">
        <v>7.7808719999999899E-3</v>
      </c>
      <c r="AA2782">
        <v>0.99124460000000003</v>
      </c>
      <c r="AB2782">
        <v>34</v>
      </c>
      <c r="AC2782">
        <v>25.808799999999898</v>
      </c>
      <c r="AD2782">
        <v>-1.1031947503346999</v>
      </c>
      <c r="AE2782">
        <v>0.39786000000000099</v>
      </c>
      <c r="AF2782">
        <v>-3.4242294199224799</v>
      </c>
      <c r="AG2782">
        <v>-1.1031947503346999</v>
      </c>
      <c r="AH2782">
        <v>25.536242457451401</v>
      </c>
      <c r="AI2782">
        <v>92.451787412972607</v>
      </c>
      <c r="AJ2782">
        <v>97.637400249048994</v>
      </c>
      <c r="AK2782">
        <v>25.788409501618599</v>
      </c>
      <c r="AL2782">
        <v>82.1880791925458</v>
      </c>
      <c r="AM2782">
        <v>94.358170106677093</v>
      </c>
      <c r="AN2782">
        <v>0.99999998635041898</v>
      </c>
    </row>
    <row r="2783" spans="1:40" x14ac:dyDescent="0.3">
      <c r="A2783" t="str">
        <f>"20200111150410353"</f>
        <v>20200111150410353</v>
      </c>
      <c r="B2783" t="str">
        <f>"1578726250351774"</f>
        <v>1578726250351774</v>
      </c>
      <c r="C2783" t="s">
        <v>40</v>
      </c>
      <c r="D2783">
        <v>4.8956689999999998</v>
      </c>
      <c r="E2783">
        <v>0.47945450000000001</v>
      </c>
      <c r="F2783" t="s">
        <v>82</v>
      </c>
      <c r="G2783">
        <v>-242.31809999999999</v>
      </c>
      <c r="H2783" s="1">
        <v>-6.6208429999999999E-7</v>
      </c>
      <c r="I2783">
        <v>-57.053469999999997</v>
      </c>
      <c r="J2783">
        <v>-268.19779999999997</v>
      </c>
      <c r="K2783">
        <v>1.103348</v>
      </c>
      <c r="L2783">
        <v>-57.435389999999998</v>
      </c>
      <c r="M2783">
        <v>0.9929846</v>
      </c>
      <c r="N2783">
        <v>0</v>
      </c>
      <c r="O2783">
        <v>-0.1176962</v>
      </c>
      <c r="P2783">
        <v>0.99117529999999998</v>
      </c>
      <c r="Q2783">
        <v>0.1256632</v>
      </c>
      <c r="R2783">
        <v>-4.2196259999999999E-2</v>
      </c>
      <c r="S2783">
        <v>3.0441280000000002</v>
      </c>
      <c r="T2783">
        <v>-0.12896250000000001</v>
      </c>
      <c r="U2783">
        <v>4.2388919999999997E-2</v>
      </c>
      <c r="V2783">
        <v>-7.4542910000000004E-2</v>
      </c>
      <c r="W2783">
        <v>0.13702049999999999</v>
      </c>
      <c r="X2783">
        <v>0.98775950000000001</v>
      </c>
      <c r="Y2783">
        <v>-0.131296</v>
      </c>
      <c r="Z2783">
        <v>7.7560479999999998E-3</v>
      </c>
      <c r="AA2783">
        <v>0.99131290000000005</v>
      </c>
      <c r="AB2783">
        <v>34</v>
      </c>
      <c r="AC2783">
        <v>25.8796999999999</v>
      </c>
      <c r="AD2783">
        <v>-1.1033486620843</v>
      </c>
      <c r="AE2783">
        <v>0.38192000000000798</v>
      </c>
      <c r="AF2783">
        <v>-3.4191908011279302</v>
      </c>
      <c r="AG2783">
        <v>-1.1033486620843</v>
      </c>
      <c r="AH2783">
        <v>25.6083137567832</v>
      </c>
      <c r="AI2783">
        <v>92.445420574057806</v>
      </c>
      <c r="AJ2783">
        <v>97.605082810263497</v>
      </c>
      <c r="AK2783">
        <v>25.859117878815798</v>
      </c>
      <c r="AL2783">
        <v>82.124528479642393</v>
      </c>
      <c r="AM2783">
        <v>94.315740471949596</v>
      </c>
      <c r="AN2783">
        <v>1.00000004634588</v>
      </c>
    </row>
    <row r="2784" spans="1:40" x14ac:dyDescent="0.3">
      <c r="A2784" t="str">
        <f>"20200111150410364"</f>
        <v>20200111150410364</v>
      </c>
      <c r="B2784" t="str">
        <f>"1578726250361534"</f>
        <v>1578726250361534</v>
      </c>
      <c r="C2784" t="s">
        <v>40</v>
      </c>
      <c r="D2784">
        <v>4.8799479999999997</v>
      </c>
      <c r="E2784">
        <v>0.47955160000000002</v>
      </c>
      <c r="F2784" t="s">
        <v>82</v>
      </c>
      <c r="G2784">
        <v>-242.21770000000001</v>
      </c>
      <c r="H2784" s="1">
        <v>-6.1606259999999998E-7</v>
      </c>
      <c r="I2784">
        <v>-57.098120000000002</v>
      </c>
      <c r="J2784">
        <v>-268.02539999999999</v>
      </c>
      <c r="K2784">
        <v>1.103523</v>
      </c>
      <c r="L2784">
        <v>-57.4559</v>
      </c>
      <c r="M2784">
        <v>0.99298540000000002</v>
      </c>
      <c r="N2784">
        <v>0</v>
      </c>
      <c r="O2784">
        <v>-0.1176891</v>
      </c>
      <c r="P2784">
        <v>0.99097710000000006</v>
      </c>
      <c r="Q2784">
        <v>0.12668699999999999</v>
      </c>
      <c r="R2784">
        <v>-4.3759939999999997E-2</v>
      </c>
      <c r="S2784">
        <v>3.0448</v>
      </c>
      <c r="T2784">
        <v>-0.12930999999999901</v>
      </c>
      <c r="U2784">
        <v>3.9520260000000001E-2</v>
      </c>
      <c r="V2784">
        <v>-7.3017020000000002E-2</v>
      </c>
      <c r="W2784">
        <v>0.13800999999999999</v>
      </c>
      <c r="X2784">
        <v>0.98773569999999999</v>
      </c>
      <c r="Y2784">
        <v>-0.13035189999999999</v>
      </c>
      <c r="Z2784">
        <v>7.7548579999999999E-3</v>
      </c>
      <c r="AA2784">
        <v>0.99143749999999997</v>
      </c>
      <c r="AB2784">
        <v>34</v>
      </c>
      <c r="AC2784">
        <v>25.807699999999901</v>
      </c>
      <c r="AD2784">
        <v>-1.1035236160626001</v>
      </c>
      <c r="AE2784">
        <v>0.35778000000000498</v>
      </c>
      <c r="AF2784">
        <v>-3.38658385677416</v>
      </c>
      <c r="AG2784">
        <v>-1.1035236160626001</v>
      </c>
      <c r="AH2784">
        <v>25.539529535869399</v>
      </c>
      <c r="AI2784">
        <v>92.452680717973493</v>
      </c>
      <c r="AJ2784">
        <v>97.553449549237797</v>
      </c>
      <c r="AK2784">
        <v>25.7867074963773</v>
      </c>
      <c r="AL2784">
        <v>82.067290388349406</v>
      </c>
      <c r="AM2784">
        <v>94.2278225999478</v>
      </c>
      <c r="AN2784">
        <v>1.0000000291820801</v>
      </c>
    </row>
    <row r="2785" spans="1:40" x14ac:dyDescent="0.3">
      <c r="A2785" t="str">
        <f>"20200111150410376"</f>
        <v>20200111150410376</v>
      </c>
      <c r="B2785" t="str">
        <f>"1578726250371296"</f>
        <v>1578726250371296</v>
      </c>
      <c r="C2785" t="s">
        <v>40</v>
      </c>
      <c r="D2785">
        <v>4.8782759999999996</v>
      </c>
      <c r="E2785">
        <v>0.47967389999999999</v>
      </c>
      <c r="F2785" t="s">
        <v>82</v>
      </c>
      <c r="G2785">
        <v>-242.14410000000001</v>
      </c>
      <c r="H2785" s="1">
        <v>-5.7364630000000003E-7</v>
      </c>
      <c r="I2785">
        <v>-57.163290000000003</v>
      </c>
      <c r="J2785">
        <v>-267.86340000000001</v>
      </c>
      <c r="K2785">
        <v>1.1037030000000001</v>
      </c>
      <c r="L2785">
        <v>-57.475070000000002</v>
      </c>
      <c r="M2785">
        <v>0.99300259999999996</v>
      </c>
      <c r="N2785">
        <v>0</v>
      </c>
      <c r="O2785">
        <v>-0.1175448</v>
      </c>
      <c r="P2785">
        <v>0.99082820000000005</v>
      </c>
      <c r="Q2785">
        <v>0.1273725</v>
      </c>
      <c r="R2785">
        <v>-4.5122839999999997E-2</v>
      </c>
      <c r="S2785">
        <v>3.0454409999999998</v>
      </c>
      <c r="T2785">
        <v>-0.12985089999999999</v>
      </c>
      <c r="U2785">
        <v>3.4423830000000002E-2</v>
      </c>
      <c r="V2785">
        <v>-7.1562059999999997E-2</v>
      </c>
      <c r="W2785">
        <v>0.1386636</v>
      </c>
      <c r="X2785">
        <v>0.98775060000000003</v>
      </c>
      <c r="Y2785">
        <v>-0.12854589999999999</v>
      </c>
      <c r="Z2785">
        <v>7.7409779999999999E-3</v>
      </c>
      <c r="AA2785">
        <v>0.99167340000000004</v>
      </c>
      <c r="AB2785">
        <v>34</v>
      </c>
      <c r="AC2785">
        <v>25.7193</v>
      </c>
      <c r="AD2785">
        <v>-1.1037035736462999</v>
      </c>
      <c r="AE2785">
        <v>0.31177999999999101</v>
      </c>
      <c r="AF2785">
        <v>-3.3268576853777798</v>
      </c>
      <c r="AG2785">
        <v>-1.1037035736462999</v>
      </c>
      <c r="AH2785">
        <v>25.457454832250502</v>
      </c>
      <c r="AI2785">
        <v>92.461589517330495</v>
      </c>
      <c r="AJ2785">
        <v>97.445393891878496</v>
      </c>
      <c r="AK2785">
        <v>25.6976292714583</v>
      </c>
      <c r="AL2785">
        <v>82.029477959691405</v>
      </c>
      <c r="AM2785">
        <v>94.143811829439599</v>
      </c>
      <c r="AN2785">
        <v>0.99999998509838095</v>
      </c>
    </row>
    <row r="2786" spans="1:40" x14ac:dyDescent="0.3">
      <c r="A2786" t="str">
        <f>"20200111150410387"</f>
        <v>20200111150410387</v>
      </c>
      <c r="B2786" t="str">
        <f>"1578726250381054"</f>
        <v>1578726250381054</v>
      </c>
      <c r="C2786" t="s">
        <v>40</v>
      </c>
      <c r="D2786">
        <v>4.8788390000000001</v>
      </c>
      <c r="E2786">
        <v>0.47983170000000003</v>
      </c>
      <c r="F2786" t="s">
        <v>82</v>
      </c>
      <c r="G2786">
        <v>-242.23050000000001</v>
      </c>
      <c r="H2786" s="1">
        <v>-5.8640919999999897E-7</v>
      </c>
      <c r="I2786">
        <v>-57.22589</v>
      </c>
      <c r="J2786">
        <v>-267.68060000000003</v>
      </c>
      <c r="K2786">
        <v>1.1039190000000001</v>
      </c>
      <c r="L2786">
        <v>-57.496580000000002</v>
      </c>
      <c r="M2786">
        <v>0.99303169999999996</v>
      </c>
      <c r="N2786">
        <v>0</v>
      </c>
      <c r="O2786">
        <v>-0.1172974</v>
      </c>
      <c r="P2786">
        <v>0.99064700000000006</v>
      </c>
      <c r="Q2786">
        <v>0.1280203</v>
      </c>
      <c r="R2786">
        <v>-4.7217830000000002E-2</v>
      </c>
      <c r="S2786">
        <v>3.0459589999999999</v>
      </c>
      <c r="T2786">
        <v>-0.1311533</v>
      </c>
      <c r="U2786">
        <v>2.9602050000000001E-2</v>
      </c>
      <c r="V2786">
        <v>-6.9285169999999993E-2</v>
      </c>
      <c r="W2786">
        <v>0.1392765</v>
      </c>
      <c r="X2786">
        <v>0.98782669999999995</v>
      </c>
      <c r="Y2786">
        <v>-0.12672459999999999</v>
      </c>
      <c r="Z2786">
        <v>7.7673809999999899E-3</v>
      </c>
      <c r="AA2786">
        <v>0.99190750000000005</v>
      </c>
      <c r="AB2786">
        <v>34</v>
      </c>
      <c r="AC2786">
        <v>25.450099999999999</v>
      </c>
      <c r="AD2786">
        <v>-1.1039195864092</v>
      </c>
      <c r="AE2786">
        <v>0.27069000000000099</v>
      </c>
      <c r="AF2786">
        <v>-3.2481342503553798</v>
      </c>
      <c r="AG2786">
        <v>-1.1039195864092</v>
      </c>
      <c r="AH2786">
        <v>25.195239045401301</v>
      </c>
      <c r="AI2786">
        <v>92.488221982824996</v>
      </c>
      <c r="AJ2786">
        <v>97.345972234528205</v>
      </c>
      <c r="AK2786">
        <v>25.4277227670215</v>
      </c>
      <c r="AL2786">
        <v>81.994017274646595</v>
      </c>
      <c r="AM2786">
        <v>94.012097744499599</v>
      </c>
      <c r="AN2786">
        <v>0.99999998373353405</v>
      </c>
    </row>
    <row r="2787" spans="1:40" x14ac:dyDescent="0.3">
      <c r="A2787" t="str">
        <f>"20200111150410399"</f>
        <v>20200111150410399</v>
      </c>
      <c r="B2787" t="str">
        <f>"1578726250391790"</f>
        <v>1578726250391790</v>
      </c>
      <c r="C2787" t="s">
        <v>40</v>
      </c>
      <c r="D2787">
        <v>4.7838529999999997</v>
      </c>
      <c r="E2787">
        <v>0.48000199999999998</v>
      </c>
      <c r="F2787" t="s">
        <v>82</v>
      </c>
      <c r="G2787">
        <v>-242.31530000000001</v>
      </c>
      <c r="H2787" s="1">
        <v>-5.9185359999999897E-7</v>
      </c>
      <c r="I2787">
        <v>-57.313830000000003</v>
      </c>
      <c r="J2787">
        <v>-267.5111</v>
      </c>
      <c r="K2787">
        <v>1.104139</v>
      </c>
      <c r="L2787">
        <v>-57.516300000000001</v>
      </c>
      <c r="M2787">
        <v>0.99308600000000002</v>
      </c>
      <c r="N2787">
        <v>0</v>
      </c>
      <c r="O2787">
        <v>-0.11683689999999999</v>
      </c>
      <c r="P2787">
        <v>0.99045680000000003</v>
      </c>
      <c r="Q2787">
        <v>0.1287671</v>
      </c>
      <c r="R2787">
        <v>-4.9139009999999997E-2</v>
      </c>
      <c r="S2787">
        <v>3.0465089999999999</v>
      </c>
      <c r="T2787">
        <v>-0.13258639999999999</v>
      </c>
      <c r="U2787">
        <v>2.1942139999999999E-2</v>
      </c>
      <c r="V2787">
        <v>-6.6971050000000004E-2</v>
      </c>
      <c r="W2787">
        <v>0.13999039999999999</v>
      </c>
      <c r="X2787">
        <v>0.98788540000000002</v>
      </c>
      <c r="Y2787">
        <v>-0.1237669</v>
      </c>
      <c r="Z2787">
        <v>7.7663890000000003E-3</v>
      </c>
      <c r="AA2787">
        <v>0.99228099999999997</v>
      </c>
      <c r="AB2787">
        <v>34</v>
      </c>
      <c r="AC2787">
        <v>25.195799999999899</v>
      </c>
      <c r="AD2787">
        <v>-1.1041395918536001</v>
      </c>
      <c r="AE2787">
        <v>0.20246999999999801</v>
      </c>
      <c r="AF2787">
        <v>-3.13904484666207</v>
      </c>
      <c r="AG2787">
        <v>-1.1041395918536001</v>
      </c>
      <c r="AH2787">
        <v>24.951642950727301</v>
      </c>
      <c r="AI2787">
        <v>92.513962426340399</v>
      </c>
      <c r="AJ2787">
        <v>97.170433054269296</v>
      </c>
      <c r="AK2787">
        <v>25.172548792846399</v>
      </c>
      <c r="AL2787">
        <v>81.9527092512444</v>
      </c>
      <c r="AM2787">
        <v>93.878280213718895</v>
      </c>
      <c r="AN2787">
        <v>0.99999999858171096</v>
      </c>
    </row>
    <row r="2788" spans="1:40" x14ac:dyDescent="0.3">
      <c r="A2788" t="str">
        <f>"20200111150410410"</f>
        <v>20200111150410410</v>
      </c>
      <c r="B2788" t="str">
        <f>"1578726250401551"</f>
        <v>1578726250401551</v>
      </c>
      <c r="C2788" t="s">
        <v>40</v>
      </c>
      <c r="D2788">
        <v>5.0389860000000004</v>
      </c>
      <c r="E2788">
        <v>0.48013869999999997</v>
      </c>
      <c r="F2788" t="s">
        <v>82</v>
      </c>
      <c r="G2788">
        <v>-242.34059999999999</v>
      </c>
      <c r="H2788" s="1">
        <v>-5.7894249999999998E-7</v>
      </c>
      <c r="I2788">
        <v>-57.3947199999999</v>
      </c>
      <c r="J2788">
        <v>-267.34199999999998</v>
      </c>
      <c r="K2788">
        <v>1.1043689999999999</v>
      </c>
      <c r="L2788">
        <v>-57.53586</v>
      </c>
      <c r="M2788">
        <v>0.99314669999999905</v>
      </c>
      <c r="N2788">
        <v>0</v>
      </c>
      <c r="O2788">
        <v>-0.1163202</v>
      </c>
      <c r="P2788">
        <v>0.99030580000000001</v>
      </c>
      <c r="Q2788">
        <v>0.12914429999999999</v>
      </c>
      <c r="R2788">
        <v>-5.1152290000000003E-2</v>
      </c>
      <c r="S2788">
        <v>3.0470280000000001</v>
      </c>
      <c r="T2788">
        <v>-0.13366210000000001</v>
      </c>
      <c r="U2788">
        <v>1.4709470000000001E-2</v>
      </c>
      <c r="V2788">
        <v>-6.4515779999999995E-2</v>
      </c>
      <c r="W2788">
        <v>0.1403375</v>
      </c>
      <c r="X2788">
        <v>0.98799959999999998</v>
      </c>
      <c r="Y2788">
        <v>-0.1208933</v>
      </c>
      <c r="Z2788">
        <v>7.7423500000000003E-3</v>
      </c>
      <c r="AA2788">
        <v>0.9926353</v>
      </c>
      <c r="AB2788">
        <v>34</v>
      </c>
      <c r="AC2788">
        <v>25.001399999999901</v>
      </c>
      <c r="AD2788">
        <v>-1.1043695789425001</v>
      </c>
      <c r="AE2788">
        <v>0.14114000000000701</v>
      </c>
      <c r="AF2788">
        <v>-3.0426010689958001</v>
      </c>
      <c r="AG2788">
        <v>-1.1043695789425001</v>
      </c>
      <c r="AH2788">
        <v>24.766920626498599</v>
      </c>
      <c r="AI2788">
        <v>92.534130876389199</v>
      </c>
      <c r="AJ2788">
        <v>97.003659187200896</v>
      </c>
      <c r="AK2788">
        <v>24.977538124307401</v>
      </c>
      <c r="AL2788">
        <v>81.932624062394197</v>
      </c>
      <c r="AM2788">
        <v>93.736075763399697</v>
      </c>
      <c r="AN2788">
        <v>1.0000000546876999</v>
      </c>
    </row>
    <row r="2789" spans="1:40" x14ac:dyDescent="0.3">
      <c r="A2789" t="str">
        <f>"20200111150410421"</f>
        <v>20200111150410421</v>
      </c>
      <c r="B2789" t="str">
        <f>"1578726250411311"</f>
        <v>1578726250411311</v>
      </c>
      <c r="C2789" t="s">
        <v>40</v>
      </c>
      <c r="D2789">
        <v>4.8981479999999999</v>
      </c>
      <c r="E2789">
        <v>0.48022700000000001</v>
      </c>
      <c r="F2789" t="s">
        <v>82</v>
      </c>
      <c r="G2789">
        <v>-242.28020000000001</v>
      </c>
      <c r="H2789" s="1">
        <v>-5.3669590000000004E-7</v>
      </c>
      <c r="I2789">
        <v>-57.476309999999998</v>
      </c>
      <c r="J2789">
        <v>-267.17770000000002</v>
      </c>
      <c r="K2789">
        <v>1.104603</v>
      </c>
      <c r="L2789">
        <v>-57.55453</v>
      </c>
      <c r="M2789">
        <v>0.99323209999999995</v>
      </c>
      <c r="N2789">
        <v>0</v>
      </c>
      <c r="O2789">
        <v>-0.1155883</v>
      </c>
      <c r="P2789">
        <v>0.99012520000000004</v>
      </c>
      <c r="Q2789">
        <v>0.1297864</v>
      </c>
      <c r="R2789">
        <v>-5.2992940000000002E-2</v>
      </c>
      <c r="S2789">
        <v>3.0472410000000001</v>
      </c>
      <c r="T2789">
        <v>-0.13427910000000001</v>
      </c>
      <c r="U2789">
        <v>7.2326659999999996E-3</v>
      </c>
      <c r="V2789">
        <v>-6.20198E-2</v>
      </c>
      <c r="W2789">
        <v>0.1409521</v>
      </c>
      <c r="X2789">
        <v>0.9880719</v>
      </c>
      <c r="Y2789">
        <v>-0.117727</v>
      </c>
      <c r="Z2789">
        <v>7.6755579999999999E-3</v>
      </c>
      <c r="AA2789">
        <v>0.99301640000000002</v>
      </c>
      <c r="AB2789">
        <v>34</v>
      </c>
      <c r="AC2789">
        <v>24.897500000000001</v>
      </c>
      <c r="AD2789">
        <v>-1.1046035366958999</v>
      </c>
      <c r="AE2789">
        <v>7.8220000000008796E-2</v>
      </c>
      <c r="AF2789">
        <v>-2.9499350340920798</v>
      </c>
      <c r="AG2789">
        <v>-1.1046035366958999</v>
      </c>
      <c r="AH2789">
        <v>24.672989199888399</v>
      </c>
      <c r="AI2789">
        <v>92.545302171216804</v>
      </c>
      <c r="AJ2789">
        <v>96.817994133215393</v>
      </c>
      <c r="AK2789">
        <v>24.873251933280699</v>
      </c>
      <c r="AL2789">
        <v>81.897056215604493</v>
      </c>
      <c r="AM2789">
        <v>93.591658692334406</v>
      </c>
      <c r="AN2789">
        <v>1.0000000148280299</v>
      </c>
    </row>
    <row r="2790" spans="1:40" x14ac:dyDescent="0.3">
      <c r="A2790" t="str">
        <f>"20200111150410431"</f>
        <v>20200111150410431</v>
      </c>
      <c r="B2790" t="str">
        <f>"1578726250421071"</f>
        <v>1578726250421071</v>
      </c>
      <c r="C2790" t="s">
        <v>40</v>
      </c>
      <c r="D2790">
        <v>4.9175579999999997</v>
      </c>
      <c r="E2790">
        <v>0.48031079999999998</v>
      </c>
      <c r="F2790" t="s">
        <v>82</v>
      </c>
      <c r="G2790">
        <v>-241.95959999999999</v>
      </c>
      <c r="H2790" s="1">
        <v>-4.0874170000000002E-7</v>
      </c>
      <c r="I2790">
        <v>-57.547150000000002</v>
      </c>
      <c r="J2790">
        <v>-267.02080000000001</v>
      </c>
      <c r="K2790">
        <v>1.104833</v>
      </c>
      <c r="L2790">
        <v>-57.572240000000001</v>
      </c>
      <c r="M2790">
        <v>0.99332039999999999</v>
      </c>
      <c r="N2790">
        <v>0</v>
      </c>
      <c r="O2790">
        <v>-0.1148262</v>
      </c>
      <c r="P2790">
        <v>0.98993209999999998</v>
      </c>
      <c r="Q2790">
        <v>0.13033699999999901</v>
      </c>
      <c r="R2790">
        <v>-5.5199819999999997E-2</v>
      </c>
      <c r="S2790">
        <v>3.0474549999999998</v>
      </c>
      <c r="T2790">
        <v>-0.13348470000000001</v>
      </c>
      <c r="U2790">
        <v>8.8500979999999905E-4</v>
      </c>
      <c r="V2790">
        <v>-5.9125480000000001E-2</v>
      </c>
      <c r="W2790">
        <v>0.141480299999999</v>
      </c>
      <c r="X2790">
        <v>0.98817379999999999</v>
      </c>
      <c r="Y2790">
        <v>-0.1149022</v>
      </c>
      <c r="Z2790">
        <v>7.5344819999999899E-3</v>
      </c>
      <c r="AA2790">
        <v>0.99334820000000001</v>
      </c>
      <c r="AB2790">
        <v>34</v>
      </c>
      <c r="AC2790">
        <v>25.061199999999999</v>
      </c>
      <c r="AD2790">
        <v>-1.1048334087417</v>
      </c>
      <c r="AE2790">
        <v>2.50899999999987E-2</v>
      </c>
      <c r="AF2790">
        <v>-2.89716207509063</v>
      </c>
      <c r="AG2790">
        <v>-1.1048334087417</v>
      </c>
      <c r="AH2790">
        <v>24.8442470575838</v>
      </c>
      <c r="AI2790">
        <v>92.529172101087099</v>
      </c>
      <c r="AJ2790">
        <v>96.651391200673103</v>
      </c>
      <c r="AK2790">
        <v>25.036988972491802</v>
      </c>
      <c r="AL2790">
        <v>81.866485937669793</v>
      </c>
      <c r="AM2790">
        <v>93.424100644900307</v>
      </c>
      <c r="AN2790">
        <v>0.99999997833987997</v>
      </c>
    </row>
    <row r="2791" spans="1:40" x14ac:dyDescent="0.3">
      <c r="A2791" t="str">
        <f>"20200111150410443"</f>
        <v>20200111150410443</v>
      </c>
      <c r="B2791" t="str">
        <f>"1578726250431807"</f>
        <v>1578726250431807</v>
      </c>
      <c r="C2791" t="s">
        <v>40</v>
      </c>
      <c r="D2791">
        <v>4.856903</v>
      </c>
      <c r="E2791">
        <v>0.48033369999999997</v>
      </c>
      <c r="F2791" t="s">
        <v>82</v>
      </c>
      <c r="G2791">
        <v>-241.77850000000001</v>
      </c>
      <c r="H2791" s="1">
        <v>-3.25796099999999E-7</v>
      </c>
      <c r="I2791">
        <v>-57.627270000000003</v>
      </c>
      <c r="J2791">
        <v>-266.84449999999998</v>
      </c>
      <c r="K2791">
        <v>1.105097</v>
      </c>
      <c r="L2791">
        <v>-57.591769999999997</v>
      </c>
      <c r="M2791">
        <v>0.99344089999999996</v>
      </c>
      <c r="N2791">
        <v>0</v>
      </c>
      <c r="O2791">
        <v>-0.1137788</v>
      </c>
      <c r="P2791">
        <v>0.98981019999999997</v>
      </c>
      <c r="Q2791">
        <v>0.13050539999999999</v>
      </c>
      <c r="R2791">
        <v>-5.6961329999999998E-2</v>
      </c>
      <c r="S2791">
        <v>3.0476990000000002</v>
      </c>
      <c r="T2791">
        <v>-0.1333954</v>
      </c>
      <c r="U2791">
        <v>-6.6528319999999896E-3</v>
      </c>
      <c r="V2791">
        <v>-5.640713E-2</v>
      </c>
      <c r="W2791">
        <v>0.14162810000000001</v>
      </c>
      <c r="X2791">
        <v>0.98831150000000001</v>
      </c>
      <c r="Y2791">
        <v>-0.111402</v>
      </c>
      <c r="Z2791">
        <v>7.4064969999999997E-3</v>
      </c>
      <c r="AA2791">
        <v>0.99374779999999996</v>
      </c>
      <c r="AB2791">
        <v>34</v>
      </c>
      <c r="AC2791">
        <v>25.065999999999899</v>
      </c>
      <c r="AD2791">
        <v>-1.1050973257961001</v>
      </c>
      <c r="AE2791">
        <v>-3.54999999999989E-2</v>
      </c>
      <c r="AF2791">
        <v>-2.8114301494074199</v>
      </c>
      <c r="AG2791">
        <v>-1.1050973257961001</v>
      </c>
      <c r="AH2791">
        <v>24.858923937753801</v>
      </c>
      <c r="AI2791">
        <v>92.5292908549619</v>
      </c>
      <c r="AJ2791">
        <v>96.452472509504602</v>
      </c>
      <c r="AK2791">
        <v>25.041794642707</v>
      </c>
      <c r="AL2791">
        <v>81.857931266547993</v>
      </c>
      <c r="AM2791">
        <v>93.266569361128205</v>
      </c>
      <c r="AN2791">
        <v>0.99999995202834702</v>
      </c>
    </row>
    <row r="2792" spans="1:40" x14ac:dyDescent="0.3">
      <c r="A2792" t="str">
        <f>"20200111150410454"</f>
        <v>20200111150410454</v>
      </c>
      <c r="B2792" t="str">
        <f>"1578726250451197"</f>
        <v>1578726250451197</v>
      </c>
      <c r="C2792" t="s">
        <v>40</v>
      </c>
      <c r="D2792">
        <v>4.8003150000000003</v>
      </c>
      <c r="E2792">
        <v>0.48037950000000001</v>
      </c>
      <c r="F2792" t="s">
        <v>82</v>
      </c>
      <c r="G2792">
        <v>-241.9693</v>
      </c>
      <c r="H2792" s="1">
        <v>-3.7275780000000002E-7</v>
      </c>
      <c r="I2792">
        <v>-57.694819999999901</v>
      </c>
      <c r="J2792">
        <v>-266.68279999999999</v>
      </c>
      <c r="K2792">
        <v>1.1053379999999999</v>
      </c>
      <c r="L2792">
        <v>-57.609409999999997</v>
      </c>
      <c r="M2792">
        <v>0.99356330000000004</v>
      </c>
      <c r="N2792">
        <v>0</v>
      </c>
      <c r="O2792">
        <v>-0.1127035</v>
      </c>
      <c r="P2792">
        <v>0.98968990000000001</v>
      </c>
      <c r="Q2792">
        <v>0.13078580000000001</v>
      </c>
      <c r="R2792">
        <v>-5.8386090000000002E-2</v>
      </c>
      <c r="S2792">
        <v>3.0480040000000002</v>
      </c>
      <c r="T2792">
        <v>-0.1354098</v>
      </c>
      <c r="U2792">
        <v>-1.2634279999999999E-2</v>
      </c>
      <c r="V2792">
        <v>-5.3988729999999999E-2</v>
      </c>
      <c r="W2792">
        <v>0.14189199999999999</v>
      </c>
      <c r="X2792">
        <v>0.98840870000000003</v>
      </c>
      <c r="Y2792">
        <v>-0.1083736</v>
      </c>
      <c r="Z2792">
        <v>7.4025669999999997E-3</v>
      </c>
      <c r="AA2792">
        <v>0.99408269999999999</v>
      </c>
      <c r="AB2792">
        <v>34</v>
      </c>
      <c r="AC2792">
        <v>24.7134999999999</v>
      </c>
      <c r="AD2792">
        <v>-1.1053383727577999</v>
      </c>
      <c r="AE2792">
        <v>-8.5409999999995906E-2</v>
      </c>
      <c r="AF2792">
        <v>-2.6952215821572101</v>
      </c>
      <c r="AG2792">
        <v>-1.1053383727577999</v>
      </c>
      <c r="AH2792">
        <v>24.516605076967299</v>
      </c>
      <c r="AI2792">
        <v>92.566010507509205</v>
      </c>
      <c r="AJ2792">
        <v>96.273592445420803</v>
      </c>
      <c r="AK2792">
        <v>24.6890647209487</v>
      </c>
      <c r="AL2792">
        <v>81.842656556744799</v>
      </c>
      <c r="AM2792">
        <v>93.126495651596798</v>
      </c>
      <c r="AN2792">
        <v>0.99999994043334905</v>
      </c>
    </row>
    <row r="2793" spans="1:40" x14ac:dyDescent="0.3">
      <c r="A2793" t="str">
        <f>"20200111150410465"</f>
        <v>20200111150410465</v>
      </c>
      <c r="B2793" t="str">
        <f>"1578726250460957"</f>
        <v>1578726250460957</v>
      </c>
      <c r="C2793" t="s">
        <v>40</v>
      </c>
      <c r="D2793">
        <v>5.0342449999999896</v>
      </c>
      <c r="E2793">
        <v>0.4804216</v>
      </c>
      <c r="F2793" t="s">
        <v>82</v>
      </c>
      <c r="G2793">
        <v>-242.542</v>
      </c>
      <c r="H2793" s="1">
        <v>-5.5314539999999999E-7</v>
      </c>
      <c r="I2793">
        <v>-57.74926</v>
      </c>
      <c r="J2793">
        <v>-266.5068</v>
      </c>
      <c r="K2793">
        <v>1.105593</v>
      </c>
      <c r="L2793">
        <v>-57.628329999999998</v>
      </c>
      <c r="M2793">
        <v>0.99371030000000005</v>
      </c>
      <c r="N2793">
        <v>0</v>
      </c>
      <c r="O2793">
        <v>-0.11140029999999999</v>
      </c>
      <c r="P2793">
        <v>0.98960440000000005</v>
      </c>
      <c r="Q2793">
        <v>0.1309158</v>
      </c>
      <c r="R2793">
        <v>-5.9536800000000001E-2</v>
      </c>
      <c r="S2793">
        <v>3.0486759999999999</v>
      </c>
      <c r="T2793">
        <v>-0.13958970000000001</v>
      </c>
      <c r="U2793">
        <v>-1.766968E-2</v>
      </c>
      <c r="V2793">
        <v>-5.1625499999999998E-2</v>
      </c>
      <c r="W2793">
        <v>0.14200760000000001</v>
      </c>
      <c r="X2793">
        <v>0.98851840000000002</v>
      </c>
      <c r="Y2793">
        <v>-0.1054192</v>
      </c>
      <c r="Z2793">
        <v>7.5020579999999998E-3</v>
      </c>
      <c r="AA2793">
        <v>0.99439949999999999</v>
      </c>
      <c r="AB2793">
        <v>34</v>
      </c>
      <c r="AC2793">
        <v>23.9648</v>
      </c>
      <c r="AD2793">
        <v>-1.10559355314539</v>
      </c>
      <c r="AE2793">
        <v>-0.120929999999994</v>
      </c>
      <c r="AF2793">
        <v>-2.5442670619291401</v>
      </c>
      <c r="AG2793">
        <v>-1.10559355314539</v>
      </c>
      <c r="AH2793">
        <v>23.778479270454302</v>
      </c>
      <c r="AI2793">
        <v>92.646994190757596</v>
      </c>
      <c r="AJ2793">
        <v>96.107339235034701</v>
      </c>
      <c r="AK2793">
        <v>23.939751636192799</v>
      </c>
      <c r="AL2793">
        <v>81.835965807284296</v>
      </c>
      <c r="AM2793">
        <v>92.989563419145995</v>
      </c>
      <c r="AN2793">
        <v>0.99999998892328401</v>
      </c>
    </row>
    <row r="2794" spans="1:40" x14ac:dyDescent="0.3">
      <c r="A2794" t="str">
        <f>"20200111150410476"</f>
        <v>20200111150410476</v>
      </c>
      <c r="B2794" t="str">
        <f>"1578726250471693"</f>
        <v>1578726250471693</v>
      </c>
      <c r="C2794" t="s">
        <v>40</v>
      </c>
      <c r="D2794">
        <v>4.778022</v>
      </c>
      <c r="E2794">
        <v>0.48045290000000002</v>
      </c>
      <c r="F2794" t="s">
        <v>82</v>
      </c>
      <c r="G2794">
        <v>-242.5754</v>
      </c>
      <c r="H2794" s="1">
        <v>-5.5147539999999995E-7</v>
      </c>
      <c r="I2794">
        <v>-57.798340000000003</v>
      </c>
      <c r="J2794">
        <v>-266.34129999999999</v>
      </c>
      <c r="K2794">
        <v>1.105828</v>
      </c>
      <c r="L2794">
        <v>-57.645659999999999</v>
      </c>
      <c r="M2794">
        <v>0.99386529999999995</v>
      </c>
      <c r="N2794">
        <v>0</v>
      </c>
      <c r="O2794">
        <v>-0.1100071</v>
      </c>
      <c r="P2794">
        <v>0.98962930000000005</v>
      </c>
      <c r="Q2794">
        <v>0.1305588</v>
      </c>
      <c r="R2794">
        <v>-5.990214E-2</v>
      </c>
      <c r="S2794">
        <v>3.0488590000000002</v>
      </c>
      <c r="T2794">
        <v>-0.14085249999999999</v>
      </c>
      <c r="U2794">
        <v>-2.1667479999999999E-2</v>
      </c>
      <c r="V2794">
        <v>-4.9954770000000003E-2</v>
      </c>
      <c r="W2794">
        <v>0.1416385</v>
      </c>
      <c r="X2794">
        <v>0.98865720000000001</v>
      </c>
      <c r="Y2794">
        <v>-0.1027216</v>
      </c>
      <c r="Z2794">
        <v>7.4429739999999998E-3</v>
      </c>
      <c r="AA2794">
        <v>0.99468230000000002</v>
      </c>
      <c r="AB2794">
        <v>34</v>
      </c>
      <c r="AC2794">
        <v>23.765899999999899</v>
      </c>
      <c r="AD2794">
        <v>-1.1058285514753901</v>
      </c>
      <c r="AE2794">
        <v>-0.15268000000000301</v>
      </c>
      <c r="AF2794">
        <v>-2.4575143126414298</v>
      </c>
      <c r="AG2794">
        <v>-1.1058285514753901</v>
      </c>
      <c r="AH2794">
        <v>23.5873725381885</v>
      </c>
      <c r="AI2794">
        <v>92.6697582937406</v>
      </c>
      <c r="AJ2794">
        <v>95.948055762464705</v>
      </c>
      <c r="AK2794">
        <v>23.740816680084698</v>
      </c>
      <c r="AL2794">
        <v>81.8573297272372</v>
      </c>
      <c r="AM2794">
        <v>92.892575319969197</v>
      </c>
      <c r="AN2794">
        <v>1.00000000141992</v>
      </c>
    </row>
    <row r="2795" spans="1:40" x14ac:dyDescent="0.3">
      <c r="A2795" t="str">
        <f>"20200111150410488"</f>
        <v>20200111150410488</v>
      </c>
      <c r="B2795" t="str">
        <f>"1578726250481452"</f>
        <v>1578726250481452</v>
      </c>
      <c r="C2795" t="s">
        <v>40</v>
      </c>
      <c r="D2795">
        <v>4.7856350000000001</v>
      </c>
      <c r="E2795">
        <v>0.48049910000000001</v>
      </c>
      <c r="F2795" t="s">
        <v>82</v>
      </c>
      <c r="G2795">
        <v>-242.7801</v>
      </c>
      <c r="H2795" s="1">
        <v>-6.3365600000000002E-7</v>
      </c>
      <c r="I2795">
        <v>-57.825069999999997</v>
      </c>
      <c r="J2795">
        <v>-266.1617</v>
      </c>
      <c r="K2795">
        <v>1.1060779999999999</v>
      </c>
      <c r="L2795">
        <v>-57.66431</v>
      </c>
      <c r="M2795">
        <v>0.99403949999999996</v>
      </c>
      <c r="N2795">
        <v>0</v>
      </c>
      <c r="O2795">
        <v>-0.10842209999999999</v>
      </c>
      <c r="P2795">
        <v>0.98958999999999997</v>
      </c>
      <c r="Q2795">
        <v>0.1308752</v>
      </c>
      <c r="R2795">
        <v>-5.9863430000000002E-2</v>
      </c>
      <c r="S2795">
        <v>3.0489199999999999</v>
      </c>
      <c r="T2795">
        <v>-0.143098799999999</v>
      </c>
      <c r="U2795">
        <v>-2.3223879999999999E-2</v>
      </c>
      <c r="V2795">
        <v>-4.8496820000000003E-2</v>
      </c>
      <c r="W2795">
        <v>0.1419405</v>
      </c>
      <c r="X2795">
        <v>0.98868650000000002</v>
      </c>
      <c r="Y2795">
        <v>-0.1006243</v>
      </c>
      <c r="Z2795">
        <v>7.4381550000000001E-3</v>
      </c>
      <c r="AA2795">
        <v>0.99489669999999997</v>
      </c>
      <c r="AB2795">
        <v>34</v>
      </c>
      <c r="AC2795">
        <v>23.381599999999899</v>
      </c>
      <c r="AD2795">
        <v>-1.106078633656</v>
      </c>
      <c r="AE2795">
        <v>-0.16075999999999599</v>
      </c>
      <c r="AF2795">
        <v>-2.3701312780172801</v>
      </c>
      <c r="AG2795">
        <v>-1.106078633656</v>
      </c>
      <c r="AH2795">
        <v>23.209241879787001</v>
      </c>
      <c r="AI2795">
        <v>92.714374743819604</v>
      </c>
      <c r="AJ2795">
        <v>95.830840675583204</v>
      </c>
      <c r="AK2795">
        <v>23.356152098608302</v>
      </c>
      <c r="AL2795">
        <v>81.839849961521196</v>
      </c>
      <c r="AM2795">
        <v>92.808208425480103</v>
      </c>
      <c r="AN2795">
        <v>1.0000000211863</v>
      </c>
    </row>
    <row r="2796" spans="1:40" x14ac:dyDescent="0.3">
      <c r="A2796" t="str">
        <f>"20200111150410499"</f>
        <v>20200111150410499</v>
      </c>
      <c r="B2796" t="str">
        <f>"1578726250491213"</f>
        <v>1578726250491213</v>
      </c>
      <c r="C2796" t="s">
        <v>40</v>
      </c>
      <c r="D2796">
        <v>4.7575050000000001</v>
      </c>
      <c r="E2796">
        <v>0.480522</v>
      </c>
      <c r="F2796" t="s">
        <v>82</v>
      </c>
      <c r="G2796">
        <v>-242.65309999999999</v>
      </c>
      <c r="H2796" s="1">
        <v>-5.7548269999999996E-7</v>
      </c>
      <c r="I2796">
        <v>-57.845889999999997</v>
      </c>
      <c r="J2796">
        <v>-265.98590000000002</v>
      </c>
      <c r="K2796">
        <v>1.1063069999999999</v>
      </c>
      <c r="L2796">
        <v>-57.681849999999997</v>
      </c>
      <c r="M2796">
        <v>0.99423119999999998</v>
      </c>
      <c r="N2796">
        <v>0</v>
      </c>
      <c r="O2796">
        <v>-0.1066473</v>
      </c>
      <c r="P2796">
        <v>0.98961140000000003</v>
      </c>
      <c r="Q2796">
        <v>0.13098460000000001</v>
      </c>
      <c r="R2796">
        <v>-5.9265320000000003E-2</v>
      </c>
      <c r="S2796">
        <v>3.0491030000000001</v>
      </c>
      <c r="T2796">
        <v>-0.14346049999999999</v>
      </c>
      <c r="U2796">
        <v>-2.3559569999999998E-2</v>
      </c>
      <c r="V2796">
        <v>-4.7405200000000002E-2</v>
      </c>
      <c r="W2796">
        <v>0.14203869999999999</v>
      </c>
      <c r="X2796">
        <v>0.98872530000000003</v>
      </c>
      <c r="Y2796">
        <v>-9.8741819999999994E-2</v>
      </c>
      <c r="Z2796">
        <v>7.3291319999999899E-3</v>
      </c>
      <c r="AA2796">
        <v>0.99508609999999997</v>
      </c>
      <c r="AB2796">
        <v>34</v>
      </c>
      <c r="AC2796">
        <v>23.332799999999999</v>
      </c>
      <c r="AD2796">
        <v>-1.1063075754827001</v>
      </c>
      <c r="AE2796">
        <v>-0.16404000000000701</v>
      </c>
      <c r="AF2796">
        <v>-2.3202225143149202</v>
      </c>
      <c r="AG2796">
        <v>-1.1063075754827001</v>
      </c>
      <c r="AH2796">
        <v>23.1651339078688</v>
      </c>
      <c r="AI2796">
        <v>92.720630418882195</v>
      </c>
      <c r="AJ2796">
        <v>95.7196761696691</v>
      </c>
      <c r="AK2796">
        <v>23.307311684040201</v>
      </c>
      <c r="AL2796">
        <v>81.834165604719502</v>
      </c>
      <c r="AM2796">
        <v>92.744988405568805</v>
      </c>
      <c r="AN2796">
        <v>0.99999998207240903</v>
      </c>
    </row>
    <row r="2797" spans="1:40" x14ac:dyDescent="0.3">
      <c r="A2797" t="str">
        <f>"20200111150410510"</f>
        <v>20200111150410510</v>
      </c>
      <c r="B2797" t="str">
        <f>"1578726250500973"</f>
        <v>1578726250500973</v>
      </c>
      <c r="C2797" t="s">
        <v>40</v>
      </c>
      <c r="D2797">
        <v>4.778931</v>
      </c>
      <c r="E2797">
        <v>0.4805527</v>
      </c>
      <c r="F2797" t="s">
        <v>82</v>
      </c>
      <c r="G2797">
        <v>-242.59460000000001</v>
      </c>
      <c r="H2797" s="1">
        <v>-5.4950100000000002E-7</v>
      </c>
      <c r="I2797">
        <v>-57.850810000000003</v>
      </c>
      <c r="J2797">
        <v>-265.82420000000002</v>
      </c>
      <c r="K2797">
        <v>1.106514</v>
      </c>
      <c r="L2797">
        <v>-57.697879999999998</v>
      </c>
      <c r="M2797">
        <v>0.99440910000000005</v>
      </c>
      <c r="N2797">
        <v>0</v>
      </c>
      <c r="O2797">
        <v>-0.1049746</v>
      </c>
      <c r="P2797">
        <v>0.98960840000000005</v>
      </c>
      <c r="Q2797">
        <v>0.13148840000000001</v>
      </c>
      <c r="R2797">
        <v>-5.8189860000000003E-2</v>
      </c>
      <c r="S2797">
        <v>3.049255</v>
      </c>
      <c r="T2797">
        <v>-0.1442165</v>
      </c>
      <c r="U2797">
        <v>-2.2033690000000002E-2</v>
      </c>
      <c r="V2797">
        <v>-4.6882779999999999E-2</v>
      </c>
      <c r="W2797">
        <v>0.14252909999999999</v>
      </c>
      <c r="X2797">
        <v>0.98867959999999999</v>
      </c>
      <c r="Y2797">
        <v>-9.7566929999999996E-2</v>
      </c>
      <c r="Z2797">
        <v>7.2609079999999999E-3</v>
      </c>
      <c r="AA2797">
        <v>0.99520249999999999</v>
      </c>
      <c r="AB2797">
        <v>34</v>
      </c>
      <c r="AC2797">
        <v>23.229600000000001</v>
      </c>
      <c r="AD2797">
        <v>-1.106514549501</v>
      </c>
      <c r="AE2797">
        <v>-0.15292999999998999</v>
      </c>
      <c r="AF2797">
        <v>-2.2814163532757399</v>
      </c>
      <c r="AG2797">
        <v>-1.106514549501</v>
      </c>
      <c r="AH2797">
        <v>23.064960503236598</v>
      </c>
      <c r="AI2797">
        <v>92.733274466147506</v>
      </c>
      <c r="AJ2797">
        <v>95.648902761160599</v>
      </c>
      <c r="AK2797">
        <v>23.203914282747899</v>
      </c>
      <c r="AL2797">
        <v>81.805778642308695</v>
      </c>
      <c r="AM2797">
        <v>92.714908587995296</v>
      </c>
      <c r="AN2797">
        <v>0.99999994543174697</v>
      </c>
    </row>
    <row r="2798" spans="1:40" x14ac:dyDescent="0.3">
      <c r="A2798" t="str">
        <f>"20200111150410521"</f>
        <v>20200111150410521</v>
      </c>
      <c r="B2798" t="str">
        <f>"1578726250511709"</f>
        <v>1578726250511709</v>
      </c>
      <c r="C2798" t="s">
        <v>40</v>
      </c>
      <c r="D2798">
        <v>4.6769049999999996</v>
      </c>
      <c r="E2798">
        <v>0.48051640000000001</v>
      </c>
      <c r="F2798" t="s">
        <v>82</v>
      </c>
      <c r="G2798">
        <v>-242.32509999999999</v>
      </c>
      <c r="H2798" s="1">
        <v>-4.5425220000000002E-7</v>
      </c>
      <c r="I2798">
        <v>-57.843620000000001</v>
      </c>
      <c r="J2798">
        <v>-265.6551</v>
      </c>
      <c r="K2798">
        <v>1.1067089999999999</v>
      </c>
      <c r="L2798">
        <v>-57.71405</v>
      </c>
      <c r="M2798">
        <v>0.99460820000000005</v>
      </c>
      <c r="N2798">
        <v>0</v>
      </c>
      <c r="O2798">
        <v>-0.10307040000000001</v>
      </c>
      <c r="P2798">
        <v>0.98960020000000004</v>
      </c>
      <c r="Q2798">
        <v>0.13227809999999901</v>
      </c>
      <c r="R2798">
        <v>-5.6517129999999999E-2</v>
      </c>
      <c r="S2798">
        <v>3.0494690000000002</v>
      </c>
      <c r="T2798">
        <v>-0.14359179999999999</v>
      </c>
      <c r="U2798">
        <v>-1.8920900000000001E-2</v>
      </c>
      <c r="V2798">
        <v>-4.672428E-2</v>
      </c>
      <c r="W2798">
        <v>0.14330409999999999</v>
      </c>
      <c r="X2798">
        <v>0.98857510000000004</v>
      </c>
      <c r="Y2798">
        <v>-9.6682729999999995E-2</v>
      </c>
      <c r="Z2798">
        <v>7.1190339999999998E-3</v>
      </c>
      <c r="AA2798">
        <v>0.9952898</v>
      </c>
      <c r="AB2798">
        <v>34</v>
      </c>
      <c r="AC2798">
        <v>23.33</v>
      </c>
      <c r="AD2798">
        <v>-1.1067094542522</v>
      </c>
      <c r="AE2798">
        <v>-0.129569999999993</v>
      </c>
      <c r="AF2798">
        <v>-2.2708003554188401</v>
      </c>
      <c r="AG2798">
        <v>-1.1067094542522</v>
      </c>
      <c r="AH2798">
        <v>23.166954612052699</v>
      </c>
      <c r="AI2798">
        <v>92.721974641497297</v>
      </c>
      <c r="AJ2798">
        <v>95.598188734928002</v>
      </c>
      <c r="AK2798">
        <v>23.304272699812199</v>
      </c>
      <c r="AL2798">
        <v>81.760914113231394</v>
      </c>
      <c r="AM2798">
        <v>92.706029356385301</v>
      </c>
      <c r="AN2798">
        <v>0.999999975879169</v>
      </c>
    </row>
    <row r="2799" spans="1:40" x14ac:dyDescent="0.3">
      <c r="A2799" t="str">
        <f>"20200111150410532"</f>
        <v>20200111150410532</v>
      </c>
      <c r="B2799" t="str">
        <f>"1578726250521469"</f>
        <v>1578726250521469</v>
      </c>
      <c r="C2799" t="s">
        <v>40</v>
      </c>
      <c r="D2799">
        <v>4.7288329999999998</v>
      </c>
      <c r="E2799">
        <v>0.48050999999999999</v>
      </c>
      <c r="F2799" t="s">
        <v>82</v>
      </c>
      <c r="G2799">
        <v>-242.0427</v>
      </c>
      <c r="H2799" s="1">
        <v>-3.6540830000000002E-7</v>
      </c>
      <c r="I2799">
        <v>-57.816299999999998</v>
      </c>
      <c r="J2799">
        <v>-265.49950000000001</v>
      </c>
      <c r="K2799">
        <v>1.106881</v>
      </c>
      <c r="L2799">
        <v>-57.728700000000003</v>
      </c>
      <c r="M2799">
        <v>0.99479309999999999</v>
      </c>
      <c r="N2799">
        <v>0</v>
      </c>
      <c r="O2799">
        <v>-0.10126979999999999</v>
      </c>
      <c r="P2799">
        <v>0.98961690000000002</v>
      </c>
      <c r="Q2799">
        <v>0.13284899999999999</v>
      </c>
      <c r="R2799">
        <v>-5.4861229999999997E-2</v>
      </c>
      <c r="S2799">
        <v>3.0498959999999999</v>
      </c>
      <c r="T2799">
        <v>-0.1429483</v>
      </c>
      <c r="U2799">
        <v>-1.3214109999999999E-2</v>
      </c>
      <c r="V2799">
        <v>-4.6646920000000001E-2</v>
      </c>
      <c r="W2799">
        <v>0.14386179999999901</v>
      </c>
      <c r="X2799">
        <v>0.98849779999999998</v>
      </c>
      <c r="Y2799">
        <v>-9.6748109999999998E-2</v>
      </c>
      <c r="Z2799">
        <v>7.0038440000000004E-3</v>
      </c>
      <c r="AA2799">
        <v>0.99528430000000001</v>
      </c>
      <c r="AB2799">
        <v>34</v>
      </c>
      <c r="AC2799">
        <v>23.456800000000001</v>
      </c>
      <c r="AD2799">
        <v>-1.1068813654083001</v>
      </c>
      <c r="AE2799">
        <v>-8.7599999999994793E-2</v>
      </c>
      <c r="AF2799">
        <v>-2.2833872198734801</v>
      </c>
      <c r="AG2799">
        <v>-1.1068813654083001</v>
      </c>
      <c r="AH2799">
        <v>23.293197937746601</v>
      </c>
      <c r="AI2799">
        <v>92.707661733767196</v>
      </c>
      <c r="AJ2799">
        <v>95.598706770570899</v>
      </c>
      <c r="AK2799">
        <v>23.431007526779801</v>
      </c>
      <c r="AL2799">
        <v>81.728626115043696</v>
      </c>
      <c r="AM2799">
        <v>92.701766654292996</v>
      </c>
      <c r="AN2799">
        <v>1.0000000266247799</v>
      </c>
    </row>
    <row r="2800" spans="1:40" x14ac:dyDescent="0.3">
      <c r="A2800" t="str">
        <f>"20200111150410542"</f>
        <v>20200111150410542</v>
      </c>
      <c r="B2800" t="str">
        <f>"1578726250531230"</f>
        <v>1578726250531230</v>
      </c>
      <c r="C2800" t="s">
        <v>40</v>
      </c>
      <c r="D2800">
        <v>4.5890789999999999</v>
      </c>
      <c r="E2800">
        <v>0.48044170000000003</v>
      </c>
      <c r="F2800" t="s">
        <v>82</v>
      </c>
      <c r="G2800">
        <v>-241.6917</v>
      </c>
      <c r="H2800" s="1">
        <v>-2.5348880000000002E-7</v>
      </c>
      <c r="I2800">
        <v>-57.787950000000002</v>
      </c>
      <c r="J2800">
        <v>-265.3399</v>
      </c>
      <c r="K2800">
        <v>1.107046</v>
      </c>
      <c r="L2800">
        <v>-57.743290000000002</v>
      </c>
      <c r="M2800">
        <v>0.99498869999999895</v>
      </c>
      <c r="N2800">
        <v>0</v>
      </c>
      <c r="O2800">
        <v>-9.9329360000000005E-2</v>
      </c>
      <c r="P2800">
        <v>0.98966100000000001</v>
      </c>
      <c r="Q2800">
        <v>0.13325919999999999</v>
      </c>
      <c r="R2800">
        <v>-5.3039019999999999E-2</v>
      </c>
      <c r="S2800">
        <v>3.0501100000000001</v>
      </c>
      <c r="T2800">
        <v>-0.1418066</v>
      </c>
      <c r="U2800">
        <v>-7.59887699999999E-3</v>
      </c>
      <c r="V2800">
        <v>-4.659377E-2</v>
      </c>
      <c r="W2800">
        <v>0.14425959999999999</v>
      </c>
      <c r="X2800">
        <v>0.9884423</v>
      </c>
      <c r="Y2800">
        <v>-9.6645140000000004E-2</v>
      </c>
      <c r="Z2800">
        <v>6.8553969999999896E-3</v>
      </c>
      <c r="AA2800">
        <v>0.99529529999999999</v>
      </c>
      <c r="AB2800">
        <v>34</v>
      </c>
      <c r="AC2800">
        <v>23.648199999999999</v>
      </c>
      <c r="AD2800">
        <v>-1.1070462534887999</v>
      </c>
      <c r="AE2800">
        <v>-4.4660000000000297E-2</v>
      </c>
      <c r="AF2800">
        <v>-2.2996359640724102</v>
      </c>
      <c r="AG2800">
        <v>-1.1070462534887999</v>
      </c>
      <c r="AH2800">
        <v>23.4842066747103</v>
      </c>
      <c r="AI2800">
        <v>92.6860982753022</v>
      </c>
      <c r="AJ2800">
        <v>95.592724638011603</v>
      </c>
      <c r="AK2800">
        <v>23.622485900411199</v>
      </c>
      <c r="AL2800">
        <v>81.705593343143804</v>
      </c>
      <c r="AM2800">
        <v>92.698844090765803</v>
      </c>
      <c r="AN2800">
        <v>0.99999999601213097</v>
      </c>
    </row>
    <row r="2801" spans="1:40" x14ac:dyDescent="0.3">
      <c r="A2801" t="str">
        <f>"20200111150410555"</f>
        <v>20200111150410555</v>
      </c>
      <c r="B2801" t="str">
        <f>"1578726250551390"</f>
        <v>1578726250551390</v>
      </c>
      <c r="C2801" t="s">
        <v>40</v>
      </c>
      <c r="D2801">
        <v>4.6451599999999997</v>
      </c>
      <c r="E2801">
        <v>0.48016560000000003</v>
      </c>
      <c r="F2801" t="s">
        <v>82</v>
      </c>
      <c r="G2801">
        <v>-241.5686</v>
      </c>
      <c r="H2801" s="1">
        <v>-2.2180769999999999E-7</v>
      </c>
      <c r="I2801">
        <v>-57.749650000000003</v>
      </c>
      <c r="J2801">
        <v>-265.16399999999999</v>
      </c>
      <c r="K2801">
        <v>1.107218</v>
      </c>
      <c r="L2801">
        <v>-57.758969999999998</v>
      </c>
      <c r="M2801">
        <v>0.99520580000000003</v>
      </c>
      <c r="N2801">
        <v>0</v>
      </c>
      <c r="O2801">
        <v>-9.71278E-2</v>
      </c>
      <c r="P2801">
        <v>0.98968009999999995</v>
      </c>
      <c r="Q2801">
        <v>0.13402349999999999</v>
      </c>
      <c r="R2801">
        <v>-5.0706979999999999E-2</v>
      </c>
      <c r="S2801">
        <v>3.0504150000000001</v>
      </c>
      <c r="T2801">
        <v>-0.14205999999999999</v>
      </c>
      <c r="U2801">
        <v>-8.2397459999999998E-4</v>
      </c>
      <c r="V2801">
        <v>-4.6792199999999999E-2</v>
      </c>
      <c r="W2801">
        <v>0.1450089</v>
      </c>
      <c r="X2801">
        <v>0.98832330000000002</v>
      </c>
      <c r="Y2801">
        <v>-9.6655560000000001E-2</v>
      </c>
      <c r="Z2801">
        <v>6.7652229999999999E-3</v>
      </c>
      <c r="AA2801">
        <v>0.99529489999999998</v>
      </c>
      <c r="AB2801">
        <v>34</v>
      </c>
      <c r="AC2801">
        <v>23.595399999999898</v>
      </c>
      <c r="AD2801">
        <v>-1.1072182218077</v>
      </c>
      <c r="AE2801">
        <v>9.3199999999953303E-3</v>
      </c>
      <c r="AF2801">
        <v>-2.2961400060460302</v>
      </c>
      <c r="AG2801">
        <v>-1.1072182218077</v>
      </c>
      <c r="AH2801">
        <v>23.431323893572799</v>
      </c>
      <c r="AI2801">
        <v>92.692550544906794</v>
      </c>
      <c r="AJ2801">
        <v>95.596799605522506</v>
      </c>
      <c r="AK2801">
        <v>23.569580618322099</v>
      </c>
      <c r="AL2801">
        <v>81.662205584368905</v>
      </c>
      <c r="AM2801">
        <v>92.710646472458606</v>
      </c>
      <c r="AN2801">
        <v>1.0000000181914599</v>
      </c>
    </row>
    <row r="2802" spans="1:40" x14ac:dyDescent="0.3">
      <c r="A2802" t="str">
        <f>"20200111150410567"</f>
        <v>20200111150410567</v>
      </c>
      <c r="B2802" t="str">
        <f>"1578726250561150"</f>
        <v>1578726250561150</v>
      </c>
      <c r="C2802" t="s">
        <v>40</v>
      </c>
      <c r="D2802">
        <v>4.7636820000000002</v>
      </c>
      <c r="E2802">
        <v>0.48013479999999997</v>
      </c>
      <c r="F2802" t="s">
        <v>82</v>
      </c>
      <c r="G2802">
        <v>-241.47069999999999</v>
      </c>
      <c r="H2802" s="1">
        <v>-2.051896E-7</v>
      </c>
      <c r="I2802">
        <v>-57.6868699999999</v>
      </c>
      <c r="J2802">
        <v>-264.98079999999999</v>
      </c>
      <c r="K2802">
        <v>1.107378</v>
      </c>
      <c r="L2802">
        <v>-57.774900000000002</v>
      </c>
      <c r="M2802">
        <v>0.99543309999999996</v>
      </c>
      <c r="N2802">
        <v>0</v>
      </c>
      <c r="O2802">
        <v>-9.4770300000000002E-2</v>
      </c>
      <c r="P2802">
        <v>0.98979099999999998</v>
      </c>
      <c r="Q2802">
        <v>0.13416449999999999</v>
      </c>
      <c r="R2802">
        <v>-4.8101409999999997E-2</v>
      </c>
      <c r="S2802">
        <v>3.051056</v>
      </c>
      <c r="T2802">
        <v>-0.1425797</v>
      </c>
      <c r="U2802">
        <v>9.2773439999999999E-3</v>
      </c>
      <c r="V2802">
        <v>-4.7110359999999997E-2</v>
      </c>
      <c r="W2802">
        <v>0.14513489999999901</v>
      </c>
      <c r="X2802">
        <v>0.98828970000000005</v>
      </c>
      <c r="Y2802">
        <v>-9.7593399999999997E-2</v>
      </c>
      <c r="Z2802">
        <v>6.7008479999999997E-3</v>
      </c>
      <c r="AA2802">
        <v>0.99520379999999997</v>
      </c>
      <c r="AB2802">
        <v>34</v>
      </c>
      <c r="AC2802">
        <v>23.510099999999898</v>
      </c>
      <c r="AD2802">
        <v>-1.1073782051896</v>
      </c>
      <c r="AE2802">
        <v>8.8030000000010405E-2</v>
      </c>
      <c r="AF2802">
        <v>-2.3107129932810002</v>
      </c>
      <c r="AG2802">
        <v>-1.1073782051896</v>
      </c>
      <c r="AH2802">
        <v>23.344136770844901</v>
      </c>
      <c r="AI2802">
        <v>92.702721197603594</v>
      </c>
      <c r="AJ2802">
        <v>95.652992428653604</v>
      </c>
      <c r="AK2802">
        <v>23.4843437762813</v>
      </c>
      <c r="AL2802">
        <v>81.654909211789203</v>
      </c>
      <c r="AM2802">
        <v>92.729142179448402</v>
      </c>
      <c r="AN2802">
        <v>1.0000000281717101</v>
      </c>
    </row>
    <row r="2803" spans="1:40" x14ac:dyDescent="0.3">
      <c r="A2803" t="str">
        <f>"20200111150410577"</f>
        <v>20200111150410577</v>
      </c>
      <c r="B2803" t="str">
        <f>"1578726250570910"</f>
        <v>1578726250570910</v>
      </c>
      <c r="C2803" t="s">
        <v>40</v>
      </c>
      <c r="D2803">
        <v>4.6034899999999999</v>
      </c>
      <c r="E2803">
        <v>0.48009249999999998</v>
      </c>
      <c r="F2803" t="s">
        <v>82</v>
      </c>
      <c r="G2803">
        <v>-241.2045</v>
      </c>
      <c r="H2803" s="1">
        <v>-1.2903899999999999E-7</v>
      </c>
      <c r="I2803">
        <v>-57.632629999999999</v>
      </c>
      <c r="J2803">
        <v>-264.82499999999999</v>
      </c>
      <c r="K2803">
        <v>1.1074930000000001</v>
      </c>
      <c r="L2803">
        <v>-57.787869999999998</v>
      </c>
      <c r="M2803">
        <v>0.99562790000000001</v>
      </c>
      <c r="N2803">
        <v>0</v>
      </c>
      <c r="O2803">
        <v>-9.2700030000000003E-2</v>
      </c>
      <c r="P2803">
        <v>0.98989369999999999</v>
      </c>
      <c r="Q2803">
        <v>0.13417470000000001</v>
      </c>
      <c r="R2803">
        <v>-4.5908940000000002E-2</v>
      </c>
      <c r="S2803">
        <v>3.0510860000000002</v>
      </c>
      <c r="T2803">
        <v>-0.14210429999999999</v>
      </c>
      <c r="U2803">
        <v>1.824951E-2</v>
      </c>
      <c r="V2803">
        <v>-4.7286149999999999E-2</v>
      </c>
      <c r="W2803">
        <v>0.14513480000000001</v>
      </c>
      <c r="X2803">
        <v>0.98828130000000003</v>
      </c>
      <c r="Y2803">
        <v>-9.8452910000000005E-2</v>
      </c>
      <c r="Z2803">
        <v>6.6025069999999996E-3</v>
      </c>
      <c r="AA2803">
        <v>0.9951198</v>
      </c>
      <c r="AB2803">
        <v>34</v>
      </c>
      <c r="AC2803">
        <v>23.6205</v>
      </c>
      <c r="AD2803">
        <v>-1.107493129039</v>
      </c>
      <c r="AE2803">
        <v>0.155239999999992</v>
      </c>
      <c r="AF2803">
        <v>-2.3391945879909599</v>
      </c>
      <c r="AG2803">
        <v>-1.107493129039</v>
      </c>
      <c r="AH2803">
        <v>23.452830779313601</v>
      </c>
      <c r="AI2803">
        <v>92.6902927067745</v>
      </c>
      <c r="AJ2803">
        <v>95.695865715375305</v>
      </c>
      <c r="AK2803">
        <v>23.595203832865501</v>
      </c>
      <c r="AL2803">
        <v>81.654914841898005</v>
      </c>
      <c r="AM2803">
        <v>92.739333604707795</v>
      </c>
      <c r="AN2803">
        <v>1.00000000904127</v>
      </c>
    </row>
    <row r="2804" spans="1:40" x14ac:dyDescent="0.3">
      <c r="A2804" t="str">
        <f>"20200111150410588"</f>
        <v>20200111150410588</v>
      </c>
      <c r="B2804" t="str">
        <f>"1578726250581646"</f>
        <v>1578726250581646</v>
      </c>
      <c r="C2804" t="s">
        <v>40</v>
      </c>
      <c r="D2804">
        <v>4.5660860000000003</v>
      </c>
      <c r="E2804">
        <v>0.48002590000000001</v>
      </c>
      <c r="F2804" t="s">
        <v>82</v>
      </c>
      <c r="G2804">
        <v>-241.06020000000001</v>
      </c>
      <c r="H2804" s="1">
        <v>-9.2516299999999996E-8</v>
      </c>
      <c r="I2804">
        <v>-57.585299999999997</v>
      </c>
      <c r="J2804">
        <v>-264.65410000000003</v>
      </c>
      <c r="K2804">
        <v>1.1076090000000001</v>
      </c>
      <c r="L2804">
        <v>-57.801969999999997</v>
      </c>
      <c r="M2804">
        <v>0.99583849999999996</v>
      </c>
      <c r="N2804">
        <v>0</v>
      </c>
      <c r="O2804">
        <v>-9.0409139999999999E-2</v>
      </c>
      <c r="P2804">
        <v>0.9900641</v>
      </c>
      <c r="Q2804">
        <v>0.13374159999999999</v>
      </c>
      <c r="R2804">
        <v>-4.3429179999999998E-2</v>
      </c>
      <c r="S2804">
        <v>3.0511170000000001</v>
      </c>
      <c r="T2804">
        <v>-0.1421887</v>
      </c>
      <c r="U2804">
        <v>2.600098E-2</v>
      </c>
      <c r="V2804">
        <v>-4.7533850000000002E-2</v>
      </c>
      <c r="W2804">
        <v>0.1446904</v>
      </c>
      <c r="X2804">
        <v>0.9883345</v>
      </c>
      <c r="Y2804">
        <v>-9.8693340000000004E-2</v>
      </c>
      <c r="Z2804">
        <v>6.5056369999999999E-3</v>
      </c>
      <c r="AA2804">
        <v>0.9950966</v>
      </c>
      <c r="AB2804">
        <v>34</v>
      </c>
      <c r="AC2804">
        <v>23.593900000000001</v>
      </c>
      <c r="AD2804">
        <v>-1.1076090925163</v>
      </c>
      <c r="AE2804">
        <v>0.21667</v>
      </c>
      <c r="AF2804">
        <v>-2.3438624386329798</v>
      </c>
      <c r="AG2804">
        <v>-1.1076090925163</v>
      </c>
      <c r="AH2804">
        <v>23.426050938940399</v>
      </c>
      <c r="AI2804">
        <v>92.693561888500398</v>
      </c>
      <c r="AJ2804">
        <v>95.713637905705298</v>
      </c>
      <c r="AK2804">
        <v>23.5690549582899</v>
      </c>
      <c r="AL2804">
        <v>81.680648070132804</v>
      </c>
      <c r="AM2804">
        <v>92.753513087031394</v>
      </c>
      <c r="AN2804">
        <v>0.99999993131911302</v>
      </c>
    </row>
    <row r="2805" spans="1:40" x14ac:dyDescent="0.3">
      <c r="A2805" t="str">
        <f>"20200111150410599"</f>
        <v>20200111150410599</v>
      </c>
      <c r="B2805" t="str">
        <f>"1578726250591406"</f>
        <v>1578726250591406</v>
      </c>
      <c r="C2805" t="s">
        <v>40</v>
      </c>
      <c r="D2805">
        <v>4.6463700000000001</v>
      </c>
      <c r="E2805">
        <v>0.47990169999999999</v>
      </c>
      <c r="F2805" t="s">
        <v>82</v>
      </c>
      <c r="G2805">
        <v>-241.32069999999999</v>
      </c>
      <c r="H2805" s="1">
        <v>-1.9420969999999999E-7</v>
      </c>
      <c r="I2805">
        <v>-57.53633</v>
      </c>
      <c r="J2805">
        <v>-264.4853</v>
      </c>
      <c r="K2805">
        <v>1.107699</v>
      </c>
      <c r="L2805">
        <v>-57.815159999999999</v>
      </c>
      <c r="M2805">
        <v>0.9960464</v>
      </c>
      <c r="N2805">
        <v>0</v>
      </c>
      <c r="O2805">
        <v>-8.8090100000000005E-2</v>
      </c>
      <c r="P2805">
        <v>0.99027109999999996</v>
      </c>
      <c r="Q2805">
        <v>0.13302079999999999</v>
      </c>
      <c r="R2805">
        <v>-4.0854500000000002E-2</v>
      </c>
      <c r="S2805">
        <v>3.0512389999999998</v>
      </c>
      <c r="T2805">
        <v>-0.1448392</v>
      </c>
      <c r="U2805">
        <v>3.4729000000000003E-2</v>
      </c>
      <c r="V2805">
        <v>-4.7840140000000003E-2</v>
      </c>
      <c r="W2805">
        <v>0.14396</v>
      </c>
      <c r="X2805">
        <v>0.98842640000000004</v>
      </c>
      <c r="Y2805">
        <v>-9.9216380000000007E-2</v>
      </c>
      <c r="Z2805">
        <v>6.5292340000000001E-3</v>
      </c>
      <c r="AA2805">
        <v>0.9950445</v>
      </c>
      <c r="AB2805">
        <v>34</v>
      </c>
      <c r="AC2805">
        <v>23.1646</v>
      </c>
      <c r="AD2805">
        <v>-1.1076991942096901</v>
      </c>
      <c r="AE2805">
        <v>0.27882999999999197</v>
      </c>
      <c r="AF2805">
        <v>-2.31316366621183</v>
      </c>
      <c r="AG2805">
        <v>-1.1076991942096901</v>
      </c>
      <c r="AH2805">
        <v>22.997393513268499</v>
      </c>
      <c r="AI2805">
        <v>92.743770850056293</v>
      </c>
      <c r="AJ2805">
        <v>95.743705458593197</v>
      </c>
      <c r="AK2805">
        <v>23.139961798923999</v>
      </c>
      <c r="AL2805">
        <v>81.722939883986101</v>
      </c>
      <c r="AM2805">
        <v>92.770970849130904</v>
      </c>
      <c r="AN2805">
        <v>0.99999995440608802</v>
      </c>
    </row>
    <row r="2806" spans="1:40" x14ac:dyDescent="0.3">
      <c r="A2806" t="str">
        <f>"20200111150410609"</f>
        <v>20200111150410609</v>
      </c>
      <c r="B2806" t="str">
        <f>"1578726250601166"</f>
        <v>1578726250601166</v>
      </c>
      <c r="C2806" t="s">
        <v>40</v>
      </c>
      <c r="D2806">
        <v>4.5919679999999996</v>
      </c>
      <c r="E2806">
        <v>0.47986259999999997</v>
      </c>
      <c r="F2806" t="s">
        <v>82</v>
      </c>
      <c r="G2806">
        <v>-241.7139</v>
      </c>
      <c r="H2806" s="1">
        <v>-3.4152569999999998E-7</v>
      </c>
      <c r="I2806">
        <v>-57.48554</v>
      </c>
      <c r="J2806">
        <v>-264.32420000000002</v>
      </c>
      <c r="K2806">
        <v>1.1077809999999999</v>
      </c>
      <c r="L2806">
        <v>-57.827640000000002</v>
      </c>
      <c r="M2806">
        <v>0.99624020000000002</v>
      </c>
      <c r="N2806">
        <v>0</v>
      </c>
      <c r="O2806">
        <v>-8.5867879999999994E-2</v>
      </c>
      <c r="P2806">
        <v>0.99048320000000001</v>
      </c>
      <c r="Q2806">
        <v>0.13225689999999901</v>
      </c>
      <c r="R2806">
        <v>-3.8092260000000003E-2</v>
      </c>
      <c r="S2806">
        <v>3.0512389999999998</v>
      </c>
      <c r="T2806">
        <v>-0.14842549999999999</v>
      </c>
      <c r="U2806">
        <v>4.4158940000000001E-2</v>
      </c>
      <c r="V2806">
        <v>-4.8425830000000003E-2</v>
      </c>
      <c r="W2806">
        <v>0.1431847</v>
      </c>
      <c r="X2806">
        <v>0.98851049999999996</v>
      </c>
      <c r="Y2806">
        <v>-0.1000624</v>
      </c>
      <c r="Z2806">
        <v>6.6035269999999997E-3</v>
      </c>
      <c r="AA2806">
        <v>0.99495919999999904</v>
      </c>
      <c r="AB2806">
        <v>34</v>
      </c>
      <c r="AC2806">
        <v>22.610299999999999</v>
      </c>
      <c r="AD2806">
        <v>-1.1077813415256901</v>
      </c>
      <c r="AE2806">
        <v>0.34210000000000201</v>
      </c>
      <c r="AF2806">
        <v>-2.2769985372679198</v>
      </c>
      <c r="AG2806">
        <v>-1.1077813415256901</v>
      </c>
      <c r="AH2806">
        <v>22.443538588095599</v>
      </c>
      <c r="AI2806">
        <v>92.811337215930095</v>
      </c>
      <c r="AJ2806">
        <v>95.793094188836307</v>
      </c>
      <c r="AK2806">
        <v>22.5859320417531</v>
      </c>
      <c r="AL2806">
        <v>81.767826415948903</v>
      </c>
      <c r="AM2806">
        <v>92.804602776579102</v>
      </c>
      <c r="AN2806">
        <v>0.99999996396776303</v>
      </c>
    </row>
    <row r="2807" spans="1:40" x14ac:dyDescent="0.3">
      <c r="A2807" t="str">
        <f>"20200111150410621"</f>
        <v>20200111150410621</v>
      </c>
      <c r="B2807" t="str">
        <f>"1578726250610926"</f>
        <v>1578726250610926</v>
      </c>
      <c r="C2807" t="s">
        <v>40</v>
      </c>
      <c r="D2807">
        <v>4.5906070000000003</v>
      </c>
      <c r="E2807">
        <v>0.4797979</v>
      </c>
      <c r="F2807" t="s">
        <v>82</v>
      </c>
      <c r="G2807">
        <v>-242.1808</v>
      </c>
      <c r="H2807" s="1">
        <v>-5.1215700000000002E-7</v>
      </c>
      <c r="I2807">
        <v>-57.441330000000001</v>
      </c>
      <c r="J2807">
        <v>-264.1463</v>
      </c>
      <c r="K2807">
        <v>1.1078509999999999</v>
      </c>
      <c r="L2807">
        <v>-57.840730000000001</v>
      </c>
      <c r="M2807">
        <v>0.99645159999999999</v>
      </c>
      <c r="N2807">
        <v>0</v>
      </c>
      <c r="O2807">
        <v>-8.3379519999999999E-2</v>
      </c>
      <c r="P2807">
        <v>0.99069090000000004</v>
      </c>
      <c r="Q2807">
        <v>0.13152359999999999</v>
      </c>
      <c r="R2807">
        <v>-3.5115269999999997E-2</v>
      </c>
      <c r="S2807">
        <v>3.0512700000000001</v>
      </c>
      <c r="T2807">
        <v>-0.15264730000000001</v>
      </c>
      <c r="U2807">
        <v>5.3222659999999998E-2</v>
      </c>
      <c r="V2807">
        <v>-4.8957630000000002E-2</v>
      </c>
      <c r="W2807">
        <v>0.14244089999999901</v>
      </c>
      <c r="X2807">
        <v>0.98859180000000002</v>
      </c>
      <c r="Y2807">
        <v>-0.1005219</v>
      </c>
      <c r="Z2807">
        <v>6.6784039999999998E-3</v>
      </c>
      <c r="AA2807">
        <v>0.99491240000000003</v>
      </c>
      <c r="AB2807">
        <v>34</v>
      </c>
      <c r="AC2807">
        <v>21.965499999999899</v>
      </c>
      <c r="AD2807">
        <v>-1.1078515121569901</v>
      </c>
      <c r="AE2807">
        <v>0.39939999999999998</v>
      </c>
      <c r="AF2807">
        <v>-2.2239474649767299</v>
      </c>
      <c r="AG2807">
        <v>-1.1078515121569901</v>
      </c>
      <c r="AH2807">
        <v>21.800262150612699</v>
      </c>
      <c r="AI2807">
        <v>92.894174434373198</v>
      </c>
      <c r="AJ2807">
        <v>95.824861771225301</v>
      </c>
      <c r="AK2807">
        <v>21.941392552329098</v>
      </c>
      <c r="AL2807">
        <v>81.810884699738494</v>
      </c>
      <c r="AM2807">
        <v>92.835119422566706</v>
      </c>
      <c r="AN2807">
        <v>1.0000000032776299</v>
      </c>
    </row>
    <row r="2808" spans="1:40" x14ac:dyDescent="0.3">
      <c r="A2808" t="str">
        <f>"20200111150410633"</f>
        <v>20200111150410633</v>
      </c>
      <c r="B2808" t="str">
        <f>"1578726250631422"</f>
        <v>1578726250631422</v>
      </c>
      <c r="C2808" t="s">
        <v>40</v>
      </c>
      <c r="D2808">
        <v>4.5645470000000001</v>
      </c>
      <c r="E2808">
        <v>0.47964950000000001</v>
      </c>
      <c r="F2808" t="s">
        <v>82</v>
      </c>
      <c r="G2808">
        <v>-242.58580000000001</v>
      </c>
      <c r="H2808" s="1">
        <v>-6.6200199999999897E-7</v>
      </c>
      <c r="I2808">
        <v>-57.396230000000003</v>
      </c>
      <c r="J2808">
        <v>-263.97449999999998</v>
      </c>
      <c r="K2808">
        <v>1.1079129999999999</v>
      </c>
      <c r="L2808">
        <v>-57.853059999999999</v>
      </c>
      <c r="M2808">
        <v>0.99665029999999999</v>
      </c>
      <c r="N2808">
        <v>0</v>
      </c>
      <c r="O2808">
        <v>-8.0970329999999993E-2</v>
      </c>
      <c r="P2808">
        <v>0.99093350000000002</v>
      </c>
      <c r="Q2808">
        <v>0.13035379999999999</v>
      </c>
      <c r="R2808">
        <v>-3.2546070000000003E-2</v>
      </c>
      <c r="S2808">
        <v>3.0512079999999999</v>
      </c>
      <c r="T2808">
        <v>-0.1567818</v>
      </c>
      <c r="U2808">
        <v>6.2896729999999998E-2</v>
      </c>
      <c r="V2808">
        <v>-4.9156440000000003E-2</v>
      </c>
      <c r="W2808">
        <v>0.14126559999999999</v>
      </c>
      <c r="X2808">
        <v>0.98875060000000004</v>
      </c>
      <c r="Y2808">
        <v>-0.1012599</v>
      </c>
      <c r="Z2808">
        <v>6.7546319999999896E-3</v>
      </c>
      <c r="AA2808">
        <v>0.99483699999999997</v>
      </c>
      <c r="AB2808">
        <v>34</v>
      </c>
      <c r="AC2808">
        <v>21.388699999999901</v>
      </c>
      <c r="AD2808">
        <v>-1.107913662002</v>
      </c>
      <c r="AE2808">
        <v>0.45682999999999602</v>
      </c>
      <c r="AF2808">
        <v>-2.1814437573835899</v>
      </c>
      <c r="AG2808">
        <v>-1.107913662002</v>
      </c>
      <c r="AH2808">
        <v>21.2245466345408</v>
      </c>
      <c r="AI2808">
        <v>92.972476496984001</v>
      </c>
      <c r="AJ2808">
        <v>95.868214099888704</v>
      </c>
      <c r="AK2808">
        <v>21.365101202448699</v>
      </c>
      <c r="AL2808">
        <v>81.878912626574206</v>
      </c>
      <c r="AM2808">
        <v>92.846157109293799</v>
      </c>
      <c r="AN2808">
        <v>1.00000003716859</v>
      </c>
    </row>
    <row r="2809" spans="1:40" x14ac:dyDescent="0.3">
      <c r="A2809" t="str">
        <f>"20200111150410644"</f>
        <v>20200111150410644</v>
      </c>
      <c r="B2809" t="str">
        <f>"1578726250631422"</f>
        <v>1578726250631422</v>
      </c>
      <c r="C2809" t="s">
        <v>40</v>
      </c>
      <c r="D2809">
        <v>4.5645470000000001</v>
      </c>
      <c r="E2809">
        <v>0.47964950000000001</v>
      </c>
      <c r="F2809" t="s">
        <v>82</v>
      </c>
      <c r="G2809">
        <v>-243.2766</v>
      </c>
      <c r="H2809" s="1">
        <v>-9.2847089999999998E-7</v>
      </c>
      <c r="I2809">
        <v>-57.363840000000003</v>
      </c>
      <c r="J2809">
        <v>-263.81360000000001</v>
      </c>
      <c r="K2809">
        <v>1.1079589999999999</v>
      </c>
      <c r="L2809">
        <v>-57.864199999999997</v>
      </c>
      <c r="M2809">
        <v>0.99683189999999999</v>
      </c>
      <c r="N2809">
        <v>0</v>
      </c>
      <c r="O2809">
        <v>-7.8703519999999999E-2</v>
      </c>
      <c r="P2809">
        <v>0.99107869999999998</v>
      </c>
      <c r="Q2809">
        <v>0.12974910000000001</v>
      </c>
      <c r="R2809">
        <v>-3.0474040000000001E-2</v>
      </c>
      <c r="S2809">
        <v>3.0513309999999998</v>
      </c>
      <c r="T2809">
        <v>-0.16333149999999999</v>
      </c>
      <c r="U2809">
        <v>7.2113040000000003E-2</v>
      </c>
      <c r="V2809">
        <v>-4.899382E-2</v>
      </c>
      <c r="W2809">
        <v>0.14065939999999999</v>
      </c>
      <c r="X2809">
        <v>0.98884510000000003</v>
      </c>
      <c r="Y2809">
        <v>-0.10198169999999999</v>
      </c>
      <c r="Z2809">
        <v>6.9343259999999898E-3</v>
      </c>
      <c r="AA2809">
        <v>0.99476209999999998</v>
      </c>
      <c r="AB2809">
        <v>34</v>
      </c>
      <c r="AC2809">
        <v>20.536999999999999</v>
      </c>
      <c r="AD2809">
        <v>-1.1079599284709001</v>
      </c>
      <c r="AE2809">
        <v>0.50035999999999303</v>
      </c>
      <c r="AF2809">
        <v>-2.10911350019563</v>
      </c>
      <c r="AG2809">
        <v>-1.1079599284709001</v>
      </c>
      <c r="AH2809">
        <v>20.374638400338299</v>
      </c>
      <c r="AI2809">
        <v>93.096130523825593</v>
      </c>
      <c r="AJ2809">
        <v>95.910014897094499</v>
      </c>
      <c r="AK2809">
        <v>20.5134547286493</v>
      </c>
      <c r="AL2809">
        <v>81.913995709401803</v>
      </c>
      <c r="AM2809">
        <v>92.836486164126697</v>
      </c>
      <c r="AN2809">
        <v>1.0000000465002801</v>
      </c>
    </row>
    <row r="2810" spans="1:40" x14ac:dyDescent="0.3">
      <c r="A2810" t="str">
        <f>"20200111150410655"</f>
        <v>20200111150410655</v>
      </c>
      <c r="B2810" t="str">
        <f>"1578726250651610"</f>
        <v>1578726250651610</v>
      </c>
      <c r="C2810" t="s">
        <v>40</v>
      </c>
      <c r="D2810">
        <v>4.4540959999999998</v>
      </c>
      <c r="E2810">
        <v>0.47956850000000001</v>
      </c>
      <c r="F2810" t="s">
        <v>82</v>
      </c>
      <c r="G2810">
        <v>-243.34379999999999</v>
      </c>
      <c r="H2810" s="1">
        <v>-9.621298999999999E-7</v>
      </c>
      <c r="I2810">
        <v>-57.336500000000001</v>
      </c>
      <c r="J2810">
        <v>-263.6456</v>
      </c>
      <c r="K2810">
        <v>1.1080030000000001</v>
      </c>
      <c r="L2810">
        <v>-57.875430000000001</v>
      </c>
      <c r="M2810">
        <v>0.99701600000000001</v>
      </c>
      <c r="N2810">
        <v>0</v>
      </c>
      <c r="O2810">
        <v>-7.6335390000000003E-2</v>
      </c>
      <c r="P2810">
        <v>0.99122200000000005</v>
      </c>
      <c r="Q2810">
        <v>0.12901309999999999</v>
      </c>
      <c r="R2810">
        <v>-2.8891139999999999E-2</v>
      </c>
      <c r="S2810">
        <v>3.0510250000000001</v>
      </c>
      <c r="T2810">
        <v>-0.16514100000000001</v>
      </c>
      <c r="U2810">
        <v>7.86438E-2</v>
      </c>
      <c r="V2810">
        <v>-4.8238280000000001E-2</v>
      </c>
      <c r="W2810">
        <v>0.139929</v>
      </c>
      <c r="X2810">
        <v>0.98898580000000003</v>
      </c>
      <c r="Y2810">
        <v>-0.101747</v>
      </c>
      <c r="Z2810">
        <v>6.8774530000000004E-3</v>
      </c>
      <c r="AA2810">
        <v>0.99478650000000002</v>
      </c>
      <c r="AB2810">
        <v>34</v>
      </c>
      <c r="AC2810">
        <v>20.3018</v>
      </c>
      <c r="AD2810">
        <v>-1.1080039621298901</v>
      </c>
      <c r="AE2810">
        <v>0.53893000000000002</v>
      </c>
      <c r="AF2810">
        <v>-2.0810112633329299</v>
      </c>
      <c r="AG2810">
        <v>-1.1080039621298901</v>
      </c>
      <c r="AH2810">
        <v>20.141462075739</v>
      </c>
      <c r="AI2810">
        <v>93.132090446505501</v>
      </c>
      <c r="AJ2810">
        <v>95.898856230242302</v>
      </c>
      <c r="AK2810">
        <v>20.278973721730701</v>
      </c>
      <c r="AL2810">
        <v>81.956262070099896</v>
      </c>
      <c r="AM2810">
        <v>92.792417443753493</v>
      </c>
      <c r="AN2810">
        <v>0.99999998464999895</v>
      </c>
    </row>
    <row r="2811" spans="1:40" x14ac:dyDescent="0.3">
      <c r="A2811" t="str">
        <f>"20200111150410666"</f>
        <v>20200111150410666</v>
      </c>
      <c r="B2811" t="str">
        <f>"1578726250661372"</f>
        <v>1578726250661372</v>
      </c>
      <c r="C2811" t="s">
        <v>40</v>
      </c>
      <c r="D2811">
        <v>4.6205540000000003</v>
      </c>
      <c r="E2811">
        <v>0.47947020000000001</v>
      </c>
      <c r="F2811" t="s">
        <v>82</v>
      </c>
      <c r="G2811">
        <v>-243.61019999999999</v>
      </c>
      <c r="H2811" s="1">
        <v>-1.0801250000000001E-6</v>
      </c>
      <c r="I2811">
        <v>-57.315640000000002</v>
      </c>
      <c r="J2811">
        <v>-263.47059999999999</v>
      </c>
      <c r="K2811">
        <v>1.108044</v>
      </c>
      <c r="L2811">
        <v>-57.886809999999997</v>
      </c>
      <c r="M2811">
        <v>0.99720160000000002</v>
      </c>
      <c r="N2811">
        <v>0</v>
      </c>
      <c r="O2811">
        <v>-7.3869270000000001E-2</v>
      </c>
      <c r="P2811">
        <v>0.99137819999999999</v>
      </c>
      <c r="Q2811">
        <v>0.12814010000000001</v>
      </c>
      <c r="R2811">
        <v>-2.7371050000000001E-2</v>
      </c>
      <c r="S2811">
        <v>3.0510250000000001</v>
      </c>
      <c r="T2811">
        <v>-0.1687284</v>
      </c>
      <c r="U2811">
        <v>8.5235599999999995E-2</v>
      </c>
      <c r="V2811">
        <v>-4.7321189999999999E-2</v>
      </c>
      <c r="W2811">
        <v>0.13906399999999999</v>
      </c>
      <c r="X2811">
        <v>0.98915209999999998</v>
      </c>
      <c r="Y2811">
        <v>-0.1014272</v>
      </c>
      <c r="Z2811">
        <v>6.8816370000000003E-3</v>
      </c>
      <c r="AA2811">
        <v>0.99481920000000001</v>
      </c>
      <c r="AB2811">
        <v>34</v>
      </c>
      <c r="AC2811">
        <v>19.860399999999998</v>
      </c>
      <c r="AD2811">
        <v>-1.1080450801249999</v>
      </c>
      <c r="AE2811">
        <v>0.57116999999999496</v>
      </c>
      <c r="AF2811">
        <v>-2.0304645976304001</v>
      </c>
      <c r="AG2811">
        <v>-1.1080450801249999</v>
      </c>
      <c r="AH2811">
        <v>19.702660157369799</v>
      </c>
      <c r="AI2811">
        <v>93.201907148218694</v>
      </c>
      <c r="AJ2811">
        <v>95.883865768643403</v>
      </c>
      <c r="AK2811">
        <v>19.837977912545099</v>
      </c>
      <c r="AL2811">
        <v>82.006312279572199</v>
      </c>
      <c r="AM2811">
        <v>92.738950731423301</v>
      </c>
      <c r="AN2811">
        <v>0.99999998402671297</v>
      </c>
    </row>
    <row r="2812" spans="1:40" x14ac:dyDescent="0.3">
      <c r="A2812" t="str">
        <f>"20200111150410677"</f>
        <v>20200111150410677</v>
      </c>
      <c r="B2812" t="str">
        <f>"1578726250671130"</f>
        <v>1578726250671130</v>
      </c>
      <c r="C2812" t="s">
        <v>40</v>
      </c>
      <c r="D2812">
        <v>3.859985</v>
      </c>
      <c r="E2812">
        <v>0.47941119999999998</v>
      </c>
      <c r="F2812" t="s">
        <v>82</v>
      </c>
      <c r="G2812">
        <v>-243.87020000000001</v>
      </c>
      <c r="H2812" s="1">
        <v>-1.1949730000000001E-6</v>
      </c>
      <c r="I2812">
        <v>-57.296999999999997</v>
      </c>
      <c r="J2812">
        <v>-263.29559999999998</v>
      </c>
      <c r="K2812">
        <v>1.108069</v>
      </c>
      <c r="L2812">
        <v>-57.897550000000003</v>
      </c>
      <c r="M2812">
        <v>0.99738059999999995</v>
      </c>
      <c r="N2812">
        <v>0</v>
      </c>
      <c r="O2812">
        <v>-7.1413539999999998E-2</v>
      </c>
      <c r="P2812">
        <v>0.99146599999999996</v>
      </c>
      <c r="Q2812">
        <v>0.12771260000000001</v>
      </c>
      <c r="R2812">
        <v>-2.617278E-2</v>
      </c>
      <c r="S2812">
        <v>3.0509029999999999</v>
      </c>
      <c r="T2812">
        <v>-0.1724725</v>
      </c>
      <c r="U2812">
        <v>9.1796879999999997E-2</v>
      </c>
      <c r="V2812">
        <v>-4.6088570000000002E-2</v>
      </c>
      <c r="W2812">
        <v>0.13864889999999999</v>
      </c>
      <c r="X2812">
        <v>0.98926860000000005</v>
      </c>
      <c r="Y2812">
        <v>-0.1011087</v>
      </c>
      <c r="Z2812">
        <v>6.886756E-3</v>
      </c>
      <c r="AA2812">
        <v>0.9948515</v>
      </c>
      <c r="AB2812">
        <v>34</v>
      </c>
      <c r="AC2812">
        <v>19.4253999999999</v>
      </c>
      <c r="AD2812">
        <v>-1.1080701949730001</v>
      </c>
      <c r="AE2812">
        <v>0.60055000000000502</v>
      </c>
      <c r="AF2812">
        <v>-1.9799085166202901</v>
      </c>
      <c r="AG2812">
        <v>-1.1080701949730001</v>
      </c>
      <c r="AH2812">
        <v>19.270263901226699</v>
      </c>
      <c r="AI2812">
        <v>93.273776187716507</v>
      </c>
      <c r="AJ2812">
        <v>95.8662267701216</v>
      </c>
      <c r="AK2812">
        <v>19.4033741425066</v>
      </c>
      <c r="AL2812">
        <v>82.030328689384703</v>
      </c>
      <c r="AM2812">
        <v>92.667397413029605</v>
      </c>
      <c r="AN2812">
        <v>1.0000000183508999</v>
      </c>
    </row>
    <row r="2813" spans="1:40" x14ac:dyDescent="0.3">
      <c r="A2813" t="str">
        <f>"20200111150410689"</f>
        <v>20200111150410689</v>
      </c>
      <c r="B2813" t="str">
        <f>"1578726250680891"</f>
        <v>1578726250680891</v>
      </c>
      <c r="C2813" t="s">
        <v>40</v>
      </c>
      <c r="D2813">
        <v>4.4762659999999999</v>
      </c>
      <c r="E2813">
        <v>0.47936869999999998</v>
      </c>
      <c r="F2813" t="s">
        <v>82</v>
      </c>
      <c r="G2813">
        <v>-243.70349999999999</v>
      </c>
      <c r="H2813" s="1">
        <v>-1.1267740000000001E-6</v>
      </c>
      <c r="I2813">
        <v>-57.27834</v>
      </c>
      <c r="J2813">
        <v>-263.12450000000001</v>
      </c>
      <c r="K2813">
        <v>1.108088</v>
      </c>
      <c r="L2813">
        <v>-57.90793</v>
      </c>
      <c r="M2813">
        <v>0.99754900000000002</v>
      </c>
      <c r="N2813">
        <v>0</v>
      </c>
      <c r="O2813">
        <v>-6.9018620000000003E-2</v>
      </c>
      <c r="P2813">
        <v>0.99155070000000001</v>
      </c>
      <c r="Q2813">
        <v>0.12737989999999999</v>
      </c>
      <c r="R2813">
        <v>-2.4525209999999999E-2</v>
      </c>
      <c r="S2813">
        <v>3.0505979999999999</v>
      </c>
      <c r="T2813">
        <v>-0.17253299999999999</v>
      </c>
      <c r="U2813">
        <v>9.6405030000000003E-2</v>
      </c>
      <c r="V2813">
        <v>-4.5363250000000001E-2</v>
      </c>
      <c r="W2813">
        <v>0.1383231</v>
      </c>
      <c r="X2813">
        <v>0.98934770000000005</v>
      </c>
      <c r="Y2813">
        <v>-0.1002294</v>
      </c>
      <c r="Z2813">
        <v>6.7297729999999997E-3</v>
      </c>
      <c r="AA2813">
        <v>0.99494159999999998</v>
      </c>
      <c r="AB2813">
        <v>34</v>
      </c>
      <c r="AC2813">
        <v>19.420999999999999</v>
      </c>
      <c r="AD2813">
        <v>-1.1080891267739901</v>
      </c>
      <c r="AE2813">
        <v>0.62959000000000698</v>
      </c>
      <c r="AF2813">
        <v>-1.96220675206742</v>
      </c>
      <c r="AG2813">
        <v>-1.1080891267739901</v>
      </c>
      <c r="AH2813">
        <v>19.268564385471802</v>
      </c>
      <c r="AI2813">
        <v>93.274420971943698</v>
      </c>
      <c r="AJ2813">
        <v>95.814648822474297</v>
      </c>
      <c r="AK2813">
        <v>19.399888925656398</v>
      </c>
      <c r="AL2813">
        <v>82.049177028532895</v>
      </c>
      <c r="AM2813">
        <v>92.625268770093598</v>
      </c>
      <c r="AN2813">
        <v>0.999999987969731</v>
      </c>
    </row>
    <row r="2814" spans="1:40" x14ac:dyDescent="0.3">
      <c r="A2814" t="str">
        <f>"20200111150410701"</f>
        <v>20200111150410701</v>
      </c>
      <c r="B2814" t="str">
        <f>"1578726250691627"</f>
        <v>1578726250691627</v>
      </c>
      <c r="C2814" t="s">
        <v>40</v>
      </c>
      <c r="D2814">
        <v>4.5027660000000003</v>
      </c>
      <c r="E2814">
        <v>0.47928270000000001</v>
      </c>
      <c r="F2814" t="s">
        <v>82</v>
      </c>
      <c r="G2814">
        <v>-243.7704</v>
      </c>
      <c r="H2814" s="1">
        <v>-1.158514E-6</v>
      </c>
      <c r="I2814">
        <v>-57.2611699999999</v>
      </c>
      <c r="J2814">
        <v>-262.94459999999998</v>
      </c>
      <c r="K2814">
        <v>1.108098</v>
      </c>
      <c r="L2814">
        <v>-57.918059999999997</v>
      </c>
      <c r="M2814">
        <v>0.9977182</v>
      </c>
      <c r="N2814">
        <v>0</v>
      </c>
      <c r="O2814">
        <v>-6.6528569999999995E-2</v>
      </c>
      <c r="P2814">
        <v>0.99164750000000002</v>
      </c>
      <c r="Q2814">
        <v>0.1268968</v>
      </c>
      <c r="R2814">
        <v>-2.307644E-2</v>
      </c>
      <c r="S2814">
        <v>3.0505070000000001</v>
      </c>
      <c r="T2814">
        <v>-0.1746519</v>
      </c>
      <c r="U2814">
        <v>0.1019287</v>
      </c>
      <c r="V2814">
        <v>-4.4341520000000002E-2</v>
      </c>
      <c r="W2814">
        <v>0.13785129999999901</v>
      </c>
      <c r="X2814">
        <v>0.98945989999999995</v>
      </c>
      <c r="Y2814">
        <v>-9.9545239999999993E-2</v>
      </c>
      <c r="Z2814">
        <v>6.6505369999999998E-3</v>
      </c>
      <c r="AA2814">
        <v>0.99501079999999997</v>
      </c>
      <c r="AB2814">
        <v>34</v>
      </c>
      <c r="AC2814">
        <v>19.1741999999999</v>
      </c>
      <c r="AD2814">
        <v>-1.1080991585140001</v>
      </c>
      <c r="AE2814">
        <v>0.65689000000000397</v>
      </c>
      <c r="AF2814">
        <v>-1.9247302942911899</v>
      </c>
      <c r="AG2814">
        <v>-1.1080991585140001</v>
      </c>
      <c r="AH2814">
        <v>19.024545455460899</v>
      </c>
      <c r="AI2814">
        <v>93.316577896738295</v>
      </c>
      <c r="AJ2814">
        <v>95.777008529561996</v>
      </c>
      <c r="AK2814">
        <v>19.153741155131002</v>
      </c>
      <c r="AL2814">
        <v>82.076470924161995</v>
      </c>
      <c r="AM2814">
        <v>92.565928406349798</v>
      </c>
      <c r="AN2814">
        <v>1.0000000225078001</v>
      </c>
    </row>
    <row r="2815" spans="1:40" x14ac:dyDescent="0.3">
      <c r="A2815" t="str">
        <f>"20200111150410712"</f>
        <v>20200111150410712</v>
      </c>
      <c r="B2815" t="str">
        <f>"1578726250701387"</f>
        <v>1578726250701387</v>
      </c>
      <c r="C2815" t="s">
        <v>40</v>
      </c>
      <c r="D2815">
        <v>4.5206169999999997</v>
      </c>
      <c r="E2815">
        <v>0.47918369999999999</v>
      </c>
      <c r="F2815" t="s">
        <v>82</v>
      </c>
      <c r="G2815">
        <v>-243.89269999999999</v>
      </c>
      <c r="H2815" s="1">
        <v>-1.2130549999999999E-6</v>
      </c>
      <c r="I2815">
        <v>-57.249560000000002</v>
      </c>
      <c r="J2815">
        <v>-262.78269999999998</v>
      </c>
      <c r="K2815">
        <v>1.1081030000000001</v>
      </c>
      <c r="L2815">
        <v>-57.927</v>
      </c>
      <c r="M2815">
        <v>0.9978648</v>
      </c>
      <c r="N2815">
        <v>0</v>
      </c>
      <c r="O2815">
        <v>-6.4294710000000005E-2</v>
      </c>
      <c r="P2815">
        <v>0.99174430000000002</v>
      </c>
      <c r="Q2815">
        <v>0.12643450000000001</v>
      </c>
      <c r="R2815">
        <v>-2.1402310000000001E-2</v>
      </c>
      <c r="S2815">
        <v>3.050446</v>
      </c>
      <c r="T2815">
        <v>-0.1774203</v>
      </c>
      <c r="U2815">
        <v>0.1070251</v>
      </c>
      <c r="V2815">
        <v>-4.379748E-2</v>
      </c>
      <c r="W2815">
        <v>0.1373955</v>
      </c>
      <c r="X2815">
        <v>0.98954750000000002</v>
      </c>
      <c r="Y2815">
        <v>-9.8974740000000005E-2</v>
      </c>
      <c r="Z2815">
        <v>6.609551E-3</v>
      </c>
      <c r="AA2815">
        <v>0.99506799999999995</v>
      </c>
      <c r="AB2815">
        <v>34</v>
      </c>
      <c r="AC2815">
        <v>18.889999999999901</v>
      </c>
      <c r="AD2815">
        <v>-1.1081042130550001</v>
      </c>
      <c r="AE2815">
        <v>0.67744000000000404</v>
      </c>
      <c r="AF2815">
        <v>-1.8841701282707299</v>
      </c>
      <c r="AG2815">
        <v>-1.1081042130550001</v>
      </c>
      <c r="AH2815">
        <v>18.7429384001626</v>
      </c>
      <c r="AI2815">
        <v>93.366525985857194</v>
      </c>
      <c r="AJ2815">
        <v>95.740483738069699</v>
      </c>
      <c r="AK2815">
        <v>18.8699690485053</v>
      </c>
      <c r="AL2815">
        <v>82.102837036161105</v>
      </c>
      <c r="AM2815">
        <v>92.534263459963995</v>
      </c>
      <c r="AN2815">
        <v>0.999999998715425</v>
      </c>
    </row>
    <row r="2816" spans="1:40" x14ac:dyDescent="0.3">
      <c r="A2816" t="str">
        <f>"20200111150410721"</f>
        <v>20200111150410721</v>
      </c>
      <c r="B2816" t="str">
        <f>"1578726250711147"</f>
        <v>1578726250711147</v>
      </c>
      <c r="C2816" t="s">
        <v>40</v>
      </c>
      <c r="D2816">
        <v>4.5237889999999998</v>
      </c>
      <c r="E2816">
        <v>0.47907620000000001</v>
      </c>
      <c r="F2816" t="s">
        <v>82</v>
      </c>
      <c r="G2816">
        <v>-243.96</v>
      </c>
      <c r="H2816" s="1">
        <v>-1.2454270000000001E-6</v>
      </c>
      <c r="I2816">
        <v>-57.229790000000001</v>
      </c>
      <c r="J2816">
        <v>-262.62549999999999</v>
      </c>
      <c r="K2816">
        <v>1.1080989999999999</v>
      </c>
      <c r="L2816">
        <v>-57.93524</v>
      </c>
      <c r="M2816">
        <v>0.99800060000000002</v>
      </c>
      <c r="N2816">
        <v>0</v>
      </c>
      <c r="O2816">
        <v>-6.2149790000000003E-2</v>
      </c>
      <c r="P2816">
        <v>0.99183319999999997</v>
      </c>
      <c r="Q2816">
        <v>0.12596650000000001</v>
      </c>
      <c r="R2816">
        <v>-1.999716E-2</v>
      </c>
      <c r="S2816">
        <v>3.0502929999999999</v>
      </c>
      <c r="T2816">
        <v>-0.17957319999999999</v>
      </c>
      <c r="U2816">
        <v>0.1129761</v>
      </c>
      <c r="V2816">
        <v>-4.3070280000000002E-2</v>
      </c>
      <c r="W2816">
        <v>0.13693640000000001</v>
      </c>
      <c r="X2816">
        <v>0.98964300000000005</v>
      </c>
      <c r="Y2816">
        <v>-9.8773860000000005E-2</v>
      </c>
      <c r="Z2816">
        <v>6.5578590000000001E-3</v>
      </c>
      <c r="AA2816">
        <v>0.99508830000000004</v>
      </c>
      <c r="AB2816">
        <v>34</v>
      </c>
      <c r="AC2816">
        <v>18.665499999999899</v>
      </c>
      <c r="AD2816">
        <v>-1.1081002454269999</v>
      </c>
      <c r="AE2816">
        <v>0.70544999999999802</v>
      </c>
      <c r="AF2816">
        <v>-1.8576818833865401</v>
      </c>
      <c r="AG2816">
        <v>-1.1081002454269999</v>
      </c>
      <c r="AH2816">
        <v>18.5203860401726</v>
      </c>
      <c r="AI2816">
        <v>93.406948430459593</v>
      </c>
      <c r="AJ2816">
        <v>95.727878148449193</v>
      </c>
      <c r="AK2816">
        <v>18.6462748883201</v>
      </c>
      <c r="AL2816">
        <v>82.129392120006202</v>
      </c>
      <c r="AM2816">
        <v>92.491998628981605</v>
      </c>
      <c r="AN2816">
        <v>0.99999994705661699</v>
      </c>
    </row>
    <row r="2817" spans="1:40" x14ac:dyDescent="0.3">
      <c r="A2817" t="str">
        <f>"20200111150410733"</f>
        <v>20200111150410733</v>
      </c>
      <c r="B2817" t="str">
        <f>"1578726250720906"</f>
        <v>1578726250720906</v>
      </c>
      <c r="C2817" t="s">
        <v>40</v>
      </c>
      <c r="D2817">
        <v>4.5151430000000001</v>
      </c>
      <c r="E2817">
        <v>0.47896470000000002</v>
      </c>
      <c r="F2817" t="s">
        <v>82</v>
      </c>
      <c r="G2817">
        <v>-244.05160000000001</v>
      </c>
      <c r="H2817" s="1">
        <v>-1.2875120000000001E-6</v>
      </c>
      <c r="I2817">
        <v>-57.213949999999997</v>
      </c>
      <c r="J2817">
        <v>-262.4581</v>
      </c>
      <c r="K2817">
        <v>1.1080909999999999</v>
      </c>
      <c r="L2817">
        <v>-57.943759999999997</v>
      </c>
      <c r="M2817">
        <v>0.99813929999999995</v>
      </c>
      <c r="N2817">
        <v>0</v>
      </c>
      <c r="O2817">
        <v>-5.9879219999999997E-2</v>
      </c>
      <c r="P2817">
        <v>0.99186110000000005</v>
      </c>
      <c r="Q2817">
        <v>0.12596599999999999</v>
      </c>
      <c r="R2817">
        <v>-1.8556920000000001E-2</v>
      </c>
      <c r="S2817">
        <v>3.0502009999999999</v>
      </c>
      <c r="T2817">
        <v>-0.1819711</v>
      </c>
      <c r="U2817">
        <v>0.11843869999999999</v>
      </c>
      <c r="V2817">
        <v>-4.2253819999999997E-2</v>
      </c>
      <c r="W2817">
        <v>0.13694539999999999</v>
      </c>
      <c r="X2817">
        <v>0.98967700000000003</v>
      </c>
      <c r="Y2817">
        <v>-9.8288159999999999E-2</v>
      </c>
      <c r="Z2817">
        <v>6.4956409999999999E-3</v>
      </c>
      <c r="AA2817">
        <v>0.99513680000000004</v>
      </c>
      <c r="AB2817">
        <v>34</v>
      </c>
      <c r="AC2817">
        <v>18.406499999999902</v>
      </c>
      <c r="AD2817">
        <v>-1.1080922875119901</v>
      </c>
      <c r="AE2817">
        <v>0.72980999999999996</v>
      </c>
      <c r="AF2817">
        <v>-1.8241394917243601</v>
      </c>
      <c r="AG2817">
        <v>-1.1080922875119901</v>
      </c>
      <c r="AH2817">
        <v>18.263677286680899</v>
      </c>
      <c r="AI2817">
        <v>93.454841276592802</v>
      </c>
      <c r="AJ2817">
        <v>95.703671965399906</v>
      </c>
      <c r="AK2817">
        <v>18.387965124910799</v>
      </c>
      <c r="AL2817">
        <v>82.128871942355005</v>
      </c>
      <c r="AM2817">
        <v>92.444733142337199</v>
      </c>
      <c r="AN2817">
        <v>0.999999996107376</v>
      </c>
    </row>
    <row r="2818" spans="1:40" x14ac:dyDescent="0.3">
      <c r="A2818" t="str">
        <f>"20200111150410744"</f>
        <v>20200111150410744</v>
      </c>
      <c r="B2818" t="str">
        <f>"1578726250741402"</f>
        <v>1578726250741402</v>
      </c>
      <c r="C2818" t="s">
        <v>40</v>
      </c>
      <c r="D2818">
        <v>4.5195679999999996</v>
      </c>
      <c r="E2818">
        <v>0.47886859999999998</v>
      </c>
      <c r="F2818" t="s">
        <v>82</v>
      </c>
      <c r="G2818">
        <v>-243.96379999999999</v>
      </c>
      <c r="H2818" s="1">
        <v>-1.2538960000000001E-6</v>
      </c>
      <c r="I2818">
        <v>-57.191310000000001</v>
      </c>
      <c r="J2818">
        <v>-262.29329999999999</v>
      </c>
      <c r="K2818">
        <v>1.1080810000000001</v>
      </c>
      <c r="L2818">
        <v>-57.951720000000002</v>
      </c>
      <c r="M2818">
        <v>0.99826959999999998</v>
      </c>
      <c r="N2818">
        <v>0</v>
      </c>
      <c r="O2818">
        <v>-5.7667910000000003E-2</v>
      </c>
      <c r="P2818">
        <v>0.99189729999999998</v>
      </c>
      <c r="Q2818">
        <v>0.12588469999999999</v>
      </c>
      <c r="R2818">
        <v>-1.7110440000000001E-2</v>
      </c>
      <c r="S2818">
        <v>3.0501399999999999</v>
      </c>
      <c r="T2818">
        <v>-0.18275060000000001</v>
      </c>
      <c r="U2818">
        <v>0.1240845</v>
      </c>
      <c r="V2818">
        <v>-4.150011E-2</v>
      </c>
      <c r="W2818">
        <v>0.13687360000000001</v>
      </c>
      <c r="X2818">
        <v>0.98971889999999996</v>
      </c>
      <c r="Y2818">
        <v>-9.7925689999999996E-2</v>
      </c>
      <c r="Z2818">
        <v>6.3802800000000003E-3</v>
      </c>
      <c r="AA2818">
        <v>0.99517330000000004</v>
      </c>
      <c r="AB2818">
        <v>34</v>
      </c>
      <c r="AC2818">
        <v>18.329499999999999</v>
      </c>
      <c r="AD2818">
        <v>-1.10808225389599</v>
      </c>
      <c r="AE2818">
        <v>0.76041000000000003</v>
      </c>
      <c r="AF2818">
        <v>-1.80963603890188</v>
      </c>
      <c r="AG2818">
        <v>-1.10808225389599</v>
      </c>
      <c r="AH2818">
        <v>18.1887792940766</v>
      </c>
      <c r="AI2818">
        <v>93.469133545048706</v>
      </c>
      <c r="AJ2818">
        <v>95.681767406025401</v>
      </c>
      <c r="AK2818">
        <v>18.312135896266199</v>
      </c>
      <c r="AL2818">
        <v>82.133025480264195</v>
      </c>
      <c r="AM2818">
        <v>92.401074751117207</v>
      </c>
      <c r="AN2818">
        <v>1.00000007126208</v>
      </c>
    </row>
    <row r="2819" spans="1:40" x14ac:dyDescent="0.3">
      <c r="A2819" t="str">
        <f>"20200111150410756"</f>
        <v>20200111150410756</v>
      </c>
      <c r="B2819" t="str">
        <f>"1578726250751163"</f>
        <v>1578726250751163</v>
      </c>
      <c r="C2819" t="s">
        <v>40</v>
      </c>
      <c r="D2819">
        <v>4.4836839999999896</v>
      </c>
      <c r="E2819">
        <v>0.47883799999999999</v>
      </c>
      <c r="F2819" t="s">
        <v>82</v>
      </c>
      <c r="G2819">
        <v>-243.93620000000001</v>
      </c>
      <c r="H2819" s="1">
        <v>-1.2456279999999999E-6</v>
      </c>
      <c r="I2819">
        <v>-57.171059999999997</v>
      </c>
      <c r="J2819">
        <v>-262.11399999999998</v>
      </c>
      <c r="K2819">
        <v>1.1080650000000001</v>
      </c>
      <c r="L2819">
        <v>-57.959989999999998</v>
      </c>
      <c r="M2819">
        <v>0.99840379999999995</v>
      </c>
      <c r="N2819">
        <v>0</v>
      </c>
      <c r="O2819">
        <v>-5.5293410000000001E-2</v>
      </c>
      <c r="P2819">
        <v>0.99191110000000005</v>
      </c>
      <c r="Q2819">
        <v>0.12600449999999999</v>
      </c>
      <c r="R2819">
        <v>-1.5343249999999999E-2</v>
      </c>
      <c r="S2819">
        <v>3.0501100000000001</v>
      </c>
      <c r="T2819">
        <v>-0.18411269999999999</v>
      </c>
      <c r="U2819">
        <v>0.1296997</v>
      </c>
      <c r="V2819">
        <v>-4.0902849999999998E-2</v>
      </c>
      <c r="W2819">
        <v>0.13700109999999999</v>
      </c>
      <c r="X2819">
        <v>0.98972610000000005</v>
      </c>
      <c r="Y2819">
        <v>-9.7389210000000004E-2</v>
      </c>
      <c r="Z2819">
        <v>6.268381E-3</v>
      </c>
      <c r="AA2819">
        <v>0.99522659999999996</v>
      </c>
      <c r="AB2819">
        <v>34</v>
      </c>
      <c r="AC2819">
        <v>18.177800000000001</v>
      </c>
      <c r="AD2819">
        <v>-1.1080662456279999</v>
      </c>
      <c r="AE2819">
        <v>0.78893000000000701</v>
      </c>
      <c r="AF2819">
        <v>-1.78627711797177</v>
      </c>
      <c r="AG2819">
        <v>-1.1080662456279999</v>
      </c>
      <c r="AH2819">
        <v>18.039457021913599</v>
      </c>
      <c r="AI2819">
        <v>93.497889656262501</v>
      </c>
      <c r="AJ2819">
        <v>95.655025551600403</v>
      </c>
      <c r="AK2819">
        <v>18.1615144300346</v>
      </c>
      <c r="AL2819">
        <v>82.1256506190973</v>
      </c>
      <c r="AM2819">
        <v>92.366541416426202</v>
      </c>
      <c r="AN2819">
        <v>1.00000004878027</v>
      </c>
    </row>
    <row r="2820" spans="1:40" x14ac:dyDescent="0.3">
      <c r="A2820" t="str">
        <f>"20200111150410767"</f>
        <v>20200111150410767</v>
      </c>
      <c r="B2820" t="str">
        <f>"1578726250760922"</f>
        <v>1578726250760922</v>
      </c>
      <c r="C2820" t="s">
        <v>40</v>
      </c>
      <c r="D2820">
        <v>4.5521349999999998</v>
      </c>
      <c r="E2820">
        <v>0.4787612</v>
      </c>
      <c r="F2820" t="s">
        <v>82</v>
      </c>
      <c r="G2820">
        <v>-243.7662</v>
      </c>
      <c r="H2820" s="1">
        <v>-1.17731E-6</v>
      </c>
      <c r="I2820">
        <v>-57.144979999999997</v>
      </c>
      <c r="J2820">
        <v>-261.93819999999999</v>
      </c>
      <c r="K2820">
        <v>1.108044</v>
      </c>
      <c r="L2820">
        <v>-57.967799999999997</v>
      </c>
      <c r="M2820">
        <v>0.99852920000000001</v>
      </c>
      <c r="N2820">
        <v>0</v>
      </c>
      <c r="O2820">
        <v>-5.2983759999999998E-2</v>
      </c>
      <c r="P2820">
        <v>0.99193600000000004</v>
      </c>
      <c r="Q2820">
        <v>0.12603619999999999</v>
      </c>
      <c r="R2820">
        <v>-1.334252E-2</v>
      </c>
      <c r="S2820">
        <v>3.049957</v>
      </c>
      <c r="T2820">
        <v>-0.1841931</v>
      </c>
      <c r="U2820">
        <v>0.13546749999999999</v>
      </c>
      <c r="V2820">
        <v>-4.0602939999999997E-2</v>
      </c>
      <c r="W2820">
        <v>0.1370384</v>
      </c>
      <c r="X2820">
        <v>0.98973319999999998</v>
      </c>
      <c r="Y2820">
        <v>-9.6972439999999993E-2</v>
      </c>
      <c r="Z2820">
        <v>6.1194209999999999E-3</v>
      </c>
      <c r="AA2820">
        <v>0.99526820000000005</v>
      </c>
      <c r="AB2820">
        <v>34</v>
      </c>
      <c r="AC2820">
        <v>18.172000000000001</v>
      </c>
      <c r="AD2820">
        <v>-1.10804517731</v>
      </c>
      <c r="AE2820">
        <v>0.822819999999992</v>
      </c>
      <c r="AF2820">
        <v>-1.77795170741584</v>
      </c>
      <c r="AG2820">
        <v>-1.10804517731</v>
      </c>
      <c r="AH2820">
        <v>18.035952301293801</v>
      </c>
      <c r="AI2820">
        <v>93.498652368430697</v>
      </c>
      <c r="AJ2820">
        <v>95.629925243384093</v>
      </c>
      <c r="AK2820">
        <v>18.157214869120502</v>
      </c>
      <c r="AL2820">
        <v>82.123492469872801</v>
      </c>
      <c r="AM2820">
        <v>92.349192017467701</v>
      </c>
      <c r="AN2820">
        <v>0.99999996449672102</v>
      </c>
    </row>
    <row r="2821" spans="1:40" x14ac:dyDescent="0.3">
      <c r="A2821" t="str">
        <f>"20200111150410778"</f>
        <v>20200111150410778</v>
      </c>
      <c r="B2821" t="str">
        <f>"1578726250771658"</f>
        <v>1578726250771658</v>
      </c>
      <c r="C2821" t="s">
        <v>40</v>
      </c>
      <c r="D2821">
        <v>4.7120189999999997</v>
      </c>
      <c r="E2821">
        <v>0.47877779999999998</v>
      </c>
      <c r="F2821" t="s">
        <v>82</v>
      </c>
      <c r="G2821">
        <v>-243.6455</v>
      </c>
      <c r="H2821" s="1">
        <v>-1.130738E-6</v>
      </c>
      <c r="I2821">
        <v>-57.115659999999998</v>
      </c>
      <c r="J2821">
        <v>-261.77050000000003</v>
      </c>
      <c r="K2821">
        <v>1.1080159999999999</v>
      </c>
      <c r="L2821">
        <v>-57.974730000000001</v>
      </c>
      <c r="M2821">
        <v>0.998641</v>
      </c>
      <c r="N2821">
        <v>0</v>
      </c>
      <c r="O2821">
        <v>-5.0830409999999999E-2</v>
      </c>
      <c r="P2821">
        <v>0.99196549999999994</v>
      </c>
      <c r="Q2821">
        <v>0.12601010000000001</v>
      </c>
      <c r="R2821">
        <v>-1.123622E-2</v>
      </c>
      <c r="S2821">
        <v>3.0497740000000002</v>
      </c>
      <c r="T2821">
        <v>-0.18473419999999999</v>
      </c>
      <c r="U2821">
        <v>0.142059299999999</v>
      </c>
      <c r="V2821">
        <v>-4.0560619999999999E-2</v>
      </c>
      <c r="W2821">
        <v>0.13701479999999999</v>
      </c>
      <c r="X2821">
        <v>0.98973820000000001</v>
      </c>
      <c r="Y2821">
        <v>-9.6977969999999997E-2</v>
      </c>
      <c r="Z2821">
        <v>6.0074450000000001E-3</v>
      </c>
      <c r="AA2821">
        <v>0.99526840000000005</v>
      </c>
      <c r="AB2821">
        <v>34</v>
      </c>
      <c r="AC2821">
        <v>18.125</v>
      </c>
      <c r="AD2821">
        <v>-1.10801713073799</v>
      </c>
      <c r="AE2821">
        <v>0.85907000000000899</v>
      </c>
      <c r="AF2821">
        <v>-1.7727115354621701</v>
      </c>
      <c r="AG2821">
        <v>-1.10801713073799</v>
      </c>
      <c r="AH2821">
        <v>17.990813809980001</v>
      </c>
      <c r="AI2821">
        <v>93.507334959353201</v>
      </c>
      <c r="AJ2821">
        <v>95.627431934892201</v>
      </c>
      <c r="AK2821">
        <v>18.111863230914</v>
      </c>
      <c r="AL2821">
        <v>82.124857506024796</v>
      </c>
      <c r="AM2821">
        <v>92.346734377145197</v>
      </c>
      <c r="AN2821">
        <v>0.99999996192653096</v>
      </c>
    </row>
    <row r="2822" spans="1:40" x14ac:dyDescent="0.3">
      <c r="A2822" t="str">
        <f>"20200111150410789"</f>
        <v>20200111150410789</v>
      </c>
      <c r="B2822" t="str">
        <f>"1578726250781419"</f>
        <v>1578726250781419</v>
      </c>
      <c r="C2822" t="s">
        <v>40</v>
      </c>
      <c r="D2822">
        <v>4.566522</v>
      </c>
      <c r="E2822">
        <v>0.4787343</v>
      </c>
      <c r="F2822" t="s">
        <v>82</v>
      </c>
      <c r="G2822">
        <v>-243.2379</v>
      </c>
      <c r="H2822" s="1">
        <v>-9.6927470000000011E-7</v>
      </c>
      <c r="I2822">
        <v>-57.075449999999996</v>
      </c>
      <c r="J2822">
        <v>-261.60489999999999</v>
      </c>
      <c r="K2822">
        <v>1.1079870000000001</v>
      </c>
      <c r="L2822">
        <v>-57.981450000000002</v>
      </c>
      <c r="M2822">
        <v>0.99874660000000004</v>
      </c>
      <c r="N2822">
        <v>0</v>
      </c>
      <c r="O2822">
        <v>-4.8711879999999999E-2</v>
      </c>
      <c r="P2822">
        <v>0.99200650000000001</v>
      </c>
      <c r="Q2822">
        <v>0.12586559999999999</v>
      </c>
      <c r="R2822">
        <v>-9.0025360000000002E-3</v>
      </c>
      <c r="S2822">
        <v>3.0491640000000002</v>
      </c>
      <c r="T2822">
        <v>-0.1823022</v>
      </c>
      <c r="U2822">
        <v>0.1479492</v>
      </c>
      <c r="V2822">
        <v>-4.0679880000000002E-2</v>
      </c>
      <c r="W2822">
        <v>0.13687270000000001</v>
      </c>
      <c r="X2822">
        <v>0.98975299999999999</v>
      </c>
      <c r="Y2822">
        <v>-9.6805219999999997E-2</v>
      </c>
      <c r="Z2822">
        <v>5.7978489999999999E-3</v>
      </c>
      <c r="AA2822">
        <v>0.99528649999999996</v>
      </c>
      <c r="AB2822">
        <v>34</v>
      </c>
      <c r="AC2822">
        <v>18.366999999999901</v>
      </c>
      <c r="AD2822">
        <v>-1.1079879692746999</v>
      </c>
      <c r="AE2822">
        <v>0.90600000000000602</v>
      </c>
      <c r="AF2822">
        <v>-1.7931649835185199</v>
      </c>
      <c r="AG2822">
        <v>-1.1079879692746999</v>
      </c>
      <c r="AH2822">
        <v>18.234859889269501</v>
      </c>
      <c r="AI2822">
        <v>93.460484881829004</v>
      </c>
      <c r="AJ2822">
        <v>95.616249299696094</v>
      </c>
      <c r="AK2822">
        <v>18.3562848414233</v>
      </c>
      <c r="AL2822">
        <v>82.133076931256099</v>
      </c>
      <c r="AM2822">
        <v>92.353591554510501</v>
      </c>
      <c r="AN2822">
        <v>0.99999999482555202</v>
      </c>
    </row>
    <row r="2823" spans="1:40" x14ac:dyDescent="0.3">
      <c r="A2823" t="str">
        <f>"20200111150410799"</f>
        <v>20200111150410799</v>
      </c>
      <c r="B2823" t="str">
        <f>"1578726250791179"</f>
        <v>1578726250791179</v>
      </c>
      <c r="C2823" t="s">
        <v>40</v>
      </c>
      <c r="D2823">
        <v>4.5742640000000003</v>
      </c>
      <c r="E2823">
        <v>0.47874699999999998</v>
      </c>
      <c r="F2823" t="s">
        <v>82</v>
      </c>
      <c r="G2823">
        <v>-243.2244</v>
      </c>
      <c r="H2823" s="1">
        <v>-9.722810000000001E-7</v>
      </c>
      <c r="I2823">
        <v>-57.046779999999998</v>
      </c>
      <c r="J2823">
        <v>-261.4359</v>
      </c>
      <c r="K2823">
        <v>1.1079460000000001</v>
      </c>
      <c r="L2823">
        <v>-57.987729999999999</v>
      </c>
      <c r="M2823">
        <v>0.99884689999999998</v>
      </c>
      <c r="N2823">
        <v>0</v>
      </c>
      <c r="O2823">
        <v>-4.661125E-2</v>
      </c>
      <c r="P2823">
        <v>0.99204619999999999</v>
      </c>
      <c r="Q2823">
        <v>0.125695</v>
      </c>
      <c r="R2823">
        <v>-6.7259019999999997E-3</v>
      </c>
      <c r="S2823">
        <v>3.048889</v>
      </c>
      <c r="T2823">
        <v>-0.18378900000000001</v>
      </c>
      <c r="U2823">
        <v>0.15502929999999901</v>
      </c>
      <c r="V2823">
        <v>-4.0855469999999998E-2</v>
      </c>
      <c r="W2823">
        <v>0.13670309999999999</v>
      </c>
      <c r="X2823">
        <v>0.98976920000000002</v>
      </c>
      <c r="Y2823">
        <v>-9.7021010000000005E-2</v>
      </c>
      <c r="Z2823">
        <v>5.7253640000000001E-3</v>
      </c>
      <c r="AA2823">
        <v>0.99526579999999998</v>
      </c>
      <c r="AB2823">
        <v>34</v>
      </c>
      <c r="AC2823">
        <v>18.211500000000001</v>
      </c>
      <c r="AD2823">
        <v>-1.10794697228099</v>
      </c>
      <c r="AE2823">
        <v>0.94094999999999995</v>
      </c>
      <c r="AF2823">
        <v>-1.78226505523538</v>
      </c>
      <c r="AG2823">
        <v>-1.10794697228099</v>
      </c>
      <c r="AH2823">
        <v>18.081097446165199</v>
      </c>
      <c r="AI2823">
        <v>93.489632529083707</v>
      </c>
      <c r="AJ2823">
        <v>95.629495357570903</v>
      </c>
      <c r="AK2823">
        <v>18.202475108573001</v>
      </c>
      <c r="AL2823">
        <v>82.142886448981898</v>
      </c>
      <c r="AM2823">
        <v>92.363700417617196</v>
      </c>
      <c r="AN2823">
        <v>0.99999998812358504</v>
      </c>
    </row>
    <row r="2824" spans="1:40" x14ac:dyDescent="0.3">
      <c r="A2824" t="str">
        <f>"20200111150410811"</f>
        <v>20200111150410811</v>
      </c>
      <c r="B2824" t="str">
        <f>"1578726250800938"</f>
        <v>1578726250800938</v>
      </c>
      <c r="C2824" t="s">
        <v>40</v>
      </c>
      <c r="D2824">
        <v>4.5666779999999996</v>
      </c>
      <c r="E2824">
        <v>0.47874090000000002</v>
      </c>
      <c r="F2824" t="s">
        <v>82</v>
      </c>
      <c r="G2824">
        <v>-243.0737</v>
      </c>
      <c r="H2824" s="1">
        <v>-9.2983989999999997E-7</v>
      </c>
      <c r="I2824">
        <v>-57.013620000000003</v>
      </c>
      <c r="J2824">
        <v>-261.27080000000001</v>
      </c>
      <c r="K2824">
        <v>1.107907</v>
      </c>
      <c r="L2824">
        <v>-57.99371</v>
      </c>
      <c r="M2824">
        <v>0.99893989999999999</v>
      </c>
      <c r="N2824">
        <v>0</v>
      </c>
      <c r="O2824">
        <v>-4.4572260000000002E-2</v>
      </c>
      <c r="P2824">
        <v>0.99210200000000004</v>
      </c>
      <c r="Q2824">
        <v>0.1253531</v>
      </c>
      <c r="R2824">
        <v>-4.4860739999999996E-3</v>
      </c>
      <c r="S2824">
        <v>3.048492</v>
      </c>
      <c r="T2824">
        <v>-0.18394170000000001</v>
      </c>
      <c r="U2824">
        <v>0.16171259999999901</v>
      </c>
      <c r="V2824">
        <v>-4.1055620000000001E-2</v>
      </c>
      <c r="W2824">
        <v>0.1363634</v>
      </c>
      <c r="X2824">
        <v>0.98980780000000002</v>
      </c>
      <c r="Y2824">
        <v>-9.7175059999999994E-2</v>
      </c>
      <c r="Z2824">
        <v>5.6123910000000004E-3</v>
      </c>
      <c r="AA2824">
        <v>0.99525149999999996</v>
      </c>
      <c r="AB2824">
        <v>34</v>
      </c>
      <c r="AC2824">
        <v>18.197099999999999</v>
      </c>
      <c r="AD2824">
        <v>-1.1079079298398999</v>
      </c>
      <c r="AE2824">
        <v>0.98009000000000401</v>
      </c>
      <c r="AF2824">
        <v>-1.7836627736625801</v>
      </c>
      <c r="AG2824">
        <v>-1.1079079298398999</v>
      </c>
      <c r="AH2824">
        <v>18.068541603681599</v>
      </c>
      <c r="AI2824">
        <v>93.491879095791603</v>
      </c>
      <c r="AJ2824">
        <v>95.637771601244793</v>
      </c>
      <c r="AK2824">
        <v>18.190137672792002</v>
      </c>
      <c r="AL2824">
        <v>82.162533992955801</v>
      </c>
      <c r="AM2824">
        <v>92.375174377251099</v>
      </c>
      <c r="AN2824">
        <v>1.00000001086699</v>
      </c>
    </row>
    <row r="2825" spans="1:40" x14ac:dyDescent="0.3">
      <c r="A2825" t="str">
        <f>"20200111150410822"</f>
        <v>20200111150410822</v>
      </c>
      <c r="B2825" t="str">
        <f>"1578726250811675"</f>
        <v>1578726250811675</v>
      </c>
      <c r="C2825" t="s">
        <v>40</v>
      </c>
      <c r="D2825">
        <v>4.5966019999999999</v>
      </c>
      <c r="E2825">
        <v>0.4787381</v>
      </c>
      <c r="F2825" t="s">
        <v>82</v>
      </c>
      <c r="G2825">
        <v>-243.0984</v>
      </c>
      <c r="H2825" s="1">
        <v>-9.4479970000000001E-7</v>
      </c>
      <c r="I2825">
        <v>-56.988970000000002</v>
      </c>
      <c r="J2825">
        <v>-261.10239999999999</v>
      </c>
      <c r="K2825">
        <v>1.1078629999999901</v>
      </c>
      <c r="L2825">
        <v>-57.999389999999998</v>
      </c>
      <c r="M2825">
        <v>0.99902860000000004</v>
      </c>
      <c r="N2825">
        <v>0</v>
      </c>
      <c r="O2825">
        <v>-4.253697E-2</v>
      </c>
      <c r="P2825">
        <v>0.99210909999999997</v>
      </c>
      <c r="Q2825">
        <v>0.12536030000000001</v>
      </c>
      <c r="R2825">
        <v>-2.0794310000000001E-3</v>
      </c>
      <c r="S2825">
        <v>3.0481259999999999</v>
      </c>
      <c r="T2825">
        <v>-0.18583330000000001</v>
      </c>
      <c r="U2825">
        <v>0.1685181</v>
      </c>
      <c r="V2825">
        <v>-4.1426549999999999E-2</v>
      </c>
      <c r="W2825">
        <v>0.13637009999999999</v>
      </c>
      <c r="X2825">
        <v>0.98979139999999999</v>
      </c>
      <c r="Y2825">
        <v>-9.7367350000000005E-2</v>
      </c>
      <c r="Z2825">
        <v>5.5523559999999996E-3</v>
      </c>
      <c r="AA2825">
        <v>0.99523300000000003</v>
      </c>
      <c r="AB2825">
        <v>34</v>
      </c>
      <c r="AC2825">
        <v>18.003999999999898</v>
      </c>
      <c r="AD2825">
        <v>-1.1078639447997001</v>
      </c>
      <c r="AE2825">
        <v>1.0104200000000101</v>
      </c>
      <c r="AF2825">
        <v>-1.76871551072818</v>
      </c>
      <c r="AG2825">
        <v>-1.1078639447997001</v>
      </c>
      <c r="AH2825">
        <v>17.8772401032342</v>
      </c>
      <c r="AI2825">
        <v>93.528935564131203</v>
      </c>
      <c r="AJ2825">
        <v>95.650268574313998</v>
      </c>
      <c r="AK2825">
        <v>17.9986508046232</v>
      </c>
      <c r="AL2825">
        <v>82.162146321783695</v>
      </c>
      <c r="AM2825">
        <v>92.396648395666801</v>
      </c>
      <c r="AN2825">
        <v>0.99999998936643597</v>
      </c>
    </row>
    <row r="2826" spans="1:40" x14ac:dyDescent="0.3">
      <c r="A2826" t="str">
        <f>"20200111150410834"</f>
        <v>20200111150410834</v>
      </c>
      <c r="B2826" t="str">
        <f>"1578726250831196"</f>
        <v>1578726250831196</v>
      </c>
      <c r="C2826" t="s">
        <v>40</v>
      </c>
      <c r="D2826">
        <v>4.5694860000000004</v>
      </c>
      <c r="E2826">
        <v>0.47872419999999999</v>
      </c>
      <c r="F2826" t="s">
        <v>82</v>
      </c>
      <c r="G2826">
        <v>-243.02549999999999</v>
      </c>
      <c r="H2826" s="1">
        <v>-9.2845860000000005E-7</v>
      </c>
      <c r="I2826">
        <v>-56.95711</v>
      </c>
      <c r="J2826">
        <v>-260.9246</v>
      </c>
      <c r="K2826">
        <v>1.107818</v>
      </c>
      <c r="L2826">
        <v>-58.005099999999999</v>
      </c>
      <c r="M2826">
        <v>0.99911669999999997</v>
      </c>
      <c r="N2826">
        <v>0</v>
      </c>
      <c r="O2826">
        <v>-4.0416590000000002E-2</v>
      </c>
      <c r="P2826">
        <v>0.99213859999999998</v>
      </c>
      <c r="Q2826">
        <v>0.12514400000000001</v>
      </c>
      <c r="R2826">
        <v>3.763358E-4</v>
      </c>
      <c r="S2826">
        <v>3.0478209999999999</v>
      </c>
      <c r="T2826">
        <v>-0.1867886</v>
      </c>
      <c r="U2826">
        <v>0.17572019999999999</v>
      </c>
      <c r="V2826">
        <v>-4.1759129999999998E-2</v>
      </c>
      <c r="W2826">
        <v>0.13615459999999999</v>
      </c>
      <c r="X2826">
        <v>0.98980710000000005</v>
      </c>
      <c r="Y2826">
        <v>-9.7605780000000003E-2</v>
      </c>
      <c r="Z2826">
        <v>5.4586340000000004E-3</v>
      </c>
      <c r="AA2826">
        <v>0.99521020000000004</v>
      </c>
      <c r="AB2826">
        <v>34</v>
      </c>
      <c r="AC2826">
        <v>17.899100000000001</v>
      </c>
      <c r="AD2826">
        <v>-1.1078189284586</v>
      </c>
      <c r="AE2826">
        <v>1.04798999999999</v>
      </c>
      <c r="AF2826">
        <v>-1.76386832212753</v>
      </c>
      <c r="AG2826">
        <v>-1.1078189284586</v>
      </c>
      <c r="AH2826">
        <v>17.774259230073</v>
      </c>
      <c r="AI2826">
        <v>93.549081226706093</v>
      </c>
      <c r="AJ2826">
        <v>95.667319309898403</v>
      </c>
      <c r="AK2826">
        <v>17.895887388277</v>
      </c>
      <c r="AL2826">
        <v>82.174609877080997</v>
      </c>
      <c r="AM2826">
        <v>92.415828151322202</v>
      </c>
      <c r="AN2826">
        <v>0.99999999762496306</v>
      </c>
    </row>
    <row r="2827" spans="1:40" x14ac:dyDescent="0.3">
      <c r="A2827" t="str">
        <f>"20200111150410843"</f>
        <v>20200111150410843</v>
      </c>
      <c r="B2827" t="str">
        <f>"1578726250840955"</f>
        <v>1578726250840955</v>
      </c>
      <c r="C2827" t="s">
        <v>40</v>
      </c>
      <c r="D2827">
        <v>4.547669</v>
      </c>
      <c r="E2827">
        <v>0.47874280000000002</v>
      </c>
      <c r="F2827" t="s">
        <v>82</v>
      </c>
      <c r="G2827">
        <v>-243.12190000000001</v>
      </c>
      <c r="H2827" s="1">
        <v>-9.6683739999999993E-7</v>
      </c>
      <c r="I2827">
        <v>-56.936140000000002</v>
      </c>
      <c r="J2827">
        <v>-260.76350000000002</v>
      </c>
      <c r="K2827">
        <v>1.107775</v>
      </c>
      <c r="L2827">
        <v>-58.009979999999999</v>
      </c>
      <c r="M2827">
        <v>0.9991913</v>
      </c>
      <c r="N2827">
        <v>0</v>
      </c>
      <c r="O2827">
        <v>-3.8527720000000001E-2</v>
      </c>
      <c r="P2827">
        <v>0.99208229999999997</v>
      </c>
      <c r="Q2827">
        <v>0.12556099999999901</v>
      </c>
      <c r="R2827">
        <v>2.6538130000000001E-3</v>
      </c>
      <c r="S2827">
        <v>3.0476380000000001</v>
      </c>
      <c r="T2827">
        <v>-0.1896465</v>
      </c>
      <c r="U2827">
        <v>0.18298339999999999</v>
      </c>
      <c r="V2827">
        <v>-4.214702E-2</v>
      </c>
      <c r="W2827">
        <v>0.13657079999999999</v>
      </c>
      <c r="X2827">
        <v>0.98973330000000004</v>
      </c>
      <c r="Y2827">
        <v>-9.8086199999999998E-2</v>
      </c>
      <c r="Z2827">
        <v>5.4395579999999997E-3</v>
      </c>
      <c r="AA2827">
        <v>0.99516309999999997</v>
      </c>
      <c r="AB2827">
        <v>34</v>
      </c>
      <c r="AC2827">
        <v>17.6416</v>
      </c>
      <c r="AD2827">
        <v>-1.1077759668374001</v>
      </c>
      <c r="AE2827">
        <v>1.0738399999999999</v>
      </c>
      <c r="AF2827">
        <v>-1.7459194479912701</v>
      </c>
      <c r="AG2827">
        <v>-1.1077759668374001</v>
      </c>
      <c r="AH2827">
        <v>17.518304719224101</v>
      </c>
      <c r="AI2827">
        <v>93.600510608564704</v>
      </c>
      <c r="AJ2827">
        <v>95.691451178006702</v>
      </c>
      <c r="AK2827">
        <v>17.6399093690179</v>
      </c>
      <c r="AL2827">
        <v>82.150538382527003</v>
      </c>
      <c r="AM2827">
        <v>92.438422799786295</v>
      </c>
      <c r="AN2827">
        <v>0.999999979918205</v>
      </c>
    </row>
    <row r="2828" spans="1:40" x14ac:dyDescent="0.3">
      <c r="A2828" t="str">
        <f>"20200111150410856"</f>
        <v>20200111150410856</v>
      </c>
      <c r="B2828" t="str">
        <f>"1578726250851691"</f>
        <v>1578726250851691</v>
      </c>
      <c r="C2828" t="s">
        <v>40</v>
      </c>
      <c r="D2828">
        <v>4.5550369999999996</v>
      </c>
      <c r="E2828">
        <v>0.47878939999999998</v>
      </c>
      <c r="F2828" t="s">
        <v>82</v>
      </c>
      <c r="G2828">
        <v>-242.92529999999999</v>
      </c>
      <c r="H2828" s="1">
        <v>-9.0955470000000004E-7</v>
      </c>
      <c r="I2828">
        <v>-56.900030000000001</v>
      </c>
      <c r="J2828">
        <v>-260.58640000000003</v>
      </c>
      <c r="K2828">
        <v>1.107723</v>
      </c>
      <c r="L2828">
        <v>-58.014980000000001</v>
      </c>
      <c r="M2828">
        <v>0.99926760000000003</v>
      </c>
      <c r="N2828">
        <v>0</v>
      </c>
      <c r="O2828">
        <v>-3.6494270000000002E-2</v>
      </c>
      <c r="P2828">
        <v>0.99202679999999999</v>
      </c>
      <c r="Q2828">
        <v>0.12593089999999901</v>
      </c>
      <c r="R2828">
        <v>4.9388339999999996E-3</v>
      </c>
      <c r="S2828">
        <v>3.0473629999999998</v>
      </c>
      <c r="T2828">
        <v>-0.1892451</v>
      </c>
      <c r="U2828">
        <v>0.18960569999999999</v>
      </c>
      <c r="V2828">
        <v>-4.2397299999999999E-2</v>
      </c>
      <c r="W2828">
        <v>0.1369416</v>
      </c>
      <c r="X2828">
        <v>0.98967139999999998</v>
      </c>
      <c r="Y2828">
        <v>-9.8225740000000006E-2</v>
      </c>
      <c r="Z2828">
        <v>5.3064940000000001E-3</v>
      </c>
      <c r="AA2828">
        <v>0.99514999999999998</v>
      </c>
      <c r="AB2828">
        <v>34</v>
      </c>
      <c r="AC2828">
        <v>17.661100000000001</v>
      </c>
      <c r="AD2828">
        <v>-1.1077239095547</v>
      </c>
      <c r="AE2828">
        <v>1.1149499999999899</v>
      </c>
      <c r="AF2828">
        <v>-1.75191426091783</v>
      </c>
      <c r="AG2828">
        <v>-1.1077239095547</v>
      </c>
      <c r="AH2828">
        <v>17.5399146971756</v>
      </c>
      <c r="AI2828">
        <v>93.595840127258398</v>
      </c>
      <c r="AJ2828">
        <v>95.703874843179605</v>
      </c>
      <c r="AK2828">
        <v>17.6619609166594</v>
      </c>
      <c r="AL2828">
        <v>82.129091818702094</v>
      </c>
      <c r="AM2828">
        <v>92.453038387493507</v>
      </c>
      <c r="AN2828">
        <v>1.0000000064179</v>
      </c>
    </row>
    <row r="2829" spans="1:40" x14ac:dyDescent="0.3">
      <c r="A2829" t="str">
        <f>"20200111150410868"</f>
        <v>20200111150410868</v>
      </c>
      <c r="B2829" t="str">
        <f>"1578726250861450"</f>
        <v>1578726250861450</v>
      </c>
      <c r="C2829" t="s">
        <v>40</v>
      </c>
      <c r="D2829">
        <v>4.6137389999999998</v>
      </c>
      <c r="E2829">
        <v>0.47879139999999998</v>
      </c>
      <c r="F2829" t="s">
        <v>82</v>
      </c>
      <c r="G2829">
        <v>-242.71770000000001</v>
      </c>
      <c r="H2829" s="1">
        <v>-8.4814949999999997E-7</v>
      </c>
      <c r="I2829">
        <v>-56.865270000000002</v>
      </c>
      <c r="J2829">
        <v>-260.40069999999997</v>
      </c>
      <c r="K2829">
        <v>1.107669</v>
      </c>
      <c r="L2829">
        <v>-58.01999</v>
      </c>
      <c r="M2829">
        <v>0.99934239999999996</v>
      </c>
      <c r="N2829">
        <v>0</v>
      </c>
      <c r="O2829">
        <v>-3.4387170000000002E-2</v>
      </c>
      <c r="P2829">
        <v>0.99196519999999999</v>
      </c>
      <c r="Q2829">
        <v>0.12630839999999999</v>
      </c>
      <c r="R2829">
        <v>7.1722319999999997E-3</v>
      </c>
      <c r="S2829">
        <v>3.0470890000000002</v>
      </c>
      <c r="T2829">
        <v>-0.18889590000000001</v>
      </c>
      <c r="U2829">
        <v>0.19604489999999999</v>
      </c>
      <c r="V2829">
        <v>-4.2521509999999998E-2</v>
      </c>
      <c r="W2829">
        <v>0.13732230000000001</v>
      </c>
      <c r="X2829">
        <v>0.98961330000000003</v>
      </c>
      <c r="Y2829">
        <v>-9.8232539999999993E-2</v>
      </c>
      <c r="Z2829">
        <v>5.1666919999999996E-3</v>
      </c>
      <c r="AA2829">
        <v>0.99515010000000004</v>
      </c>
      <c r="AB2829">
        <v>34</v>
      </c>
      <c r="AC2829">
        <v>17.6829999999999</v>
      </c>
      <c r="AD2829">
        <v>-1.1076698481495</v>
      </c>
      <c r="AE2829">
        <v>1.15472</v>
      </c>
      <c r="AF2829">
        <v>-1.75528736236088</v>
      </c>
      <c r="AG2829">
        <v>-1.1076698481495</v>
      </c>
      <c r="AH2829">
        <v>17.5642043788819</v>
      </c>
      <c r="AI2829">
        <v>93.590686538794301</v>
      </c>
      <c r="AJ2829">
        <v>95.706933530837205</v>
      </c>
      <c r="AK2829">
        <v>17.686414042425302</v>
      </c>
      <c r="AL2829">
        <v>82.107071138196204</v>
      </c>
      <c r="AM2829">
        <v>92.460360418744898</v>
      </c>
      <c r="AN2829">
        <v>0.99999998821342995</v>
      </c>
    </row>
    <row r="2830" spans="1:40" x14ac:dyDescent="0.3">
      <c r="A2830" t="str">
        <f>"20200111150410879"</f>
        <v>20200111150410879</v>
      </c>
      <c r="B2830" t="str">
        <f>"1578726250871211"</f>
        <v>1578726250871211</v>
      </c>
      <c r="C2830" t="s">
        <v>40</v>
      </c>
      <c r="D2830">
        <v>4.6310269999999996</v>
      </c>
      <c r="E2830">
        <v>0.47879620000000001</v>
      </c>
      <c r="F2830" t="s">
        <v>82</v>
      </c>
      <c r="G2830">
        <v>-242.52449999999999</v>
      </c>
      <c r="H2830" s="1">
        <v>-7.9166359999999997E-7</v>
      </c>
      <c r="I2830">
        <v>-56.830509999999997</v>
      </c>
      <c r="J2830">
        <v>-260.23970000000003</v>
      </c>
      <c r="K2830">
        <v>1.10762</v>
      </c>
      <c r="L2830">
        <v>-58.023859999999999</v>
      </c>
      <c r="M2830">
        <v>0.9994016</v>
      </c>
      <c r="N2830">
        <v>0</v>
      </c>
      <c r="O2830">
        <v>-3.2620530000000002E-2</v>
      </c>
      <c r="P2830">
        <v>0.99188030000000005</v>
      </c>
      <c r="Q2830">
        <v>0.12686040000000001</v>
      </c>
      <c r="R2830">
        <v>8.9361409999999999E-3</v>
      </c>
      <c r="S2830">
        <v>3.046875</v>
      </c>
      <c r="T2830">
        <v>-0.1887952</v>
      </c>
      <c r="U2830">
        <v>0.2027283</v>
      </c>
      <c r="V2830">
        <v>-4.2517260000000001E-2</v>
      </c>
      <c r="W2830">
        <v>0.13787769999999999</v>
      </c>
      <c r="X2830">
        <v>0.98953630000000004</v>
      </c>
      <c r="Y2830">
        <v>-9.8654240000000004E-2</v>
      </c>
      <c r="Z2830">
        <v>5.0677279999999996E-3</v>
      </c>
      <c r="AA2830">
        <v>0.99510880000000002</v>
      </c>
      <c r="AB2830">
        <v>34</v>
      </c>
      <c r="AC2830">
        <v>17.715199999999999</v>
      </c>
      <c r="AD2830">
        <v>-1.1076207916636001</v>
      </c>
      <c r="AE2830">
        <v>1.1933499999999999</v>
      </c>
      <c r="AF2830">
        <v>-1.7637684696507701</v>
      </c>
      <c r="AG2830">
        <v>-1.1076207916636001</v>
      </c>
      <c r="AH2830">
        <v>17.598355526360301</v>
      </c>
      <c r="AI2830">
        <v>93.583476377650996</v>
      </c>
      <c r="AJ2830">
        <v>95.723270658472003</v>
      </c>
      <c r="AK2830">
        <v>17.721168704824098</v>
      </c>
      <c r="AL2830">
        <v>82.074943818587002</v>
      </c>
      <c r="AM2830">
        <v>92.460306006011706</v>
      </c>
      <c r="AN2830">
        <v>1.00000003328644</v>
      </c>
    </row>
    <row r="2831" spans="1:40" x14ac:dyDescent="0.3">
      <c r="A2831" t="str">
        <f>"20200111150410890"</f>
        <v>20200111150410890</v>
      </c>
      <c r="B2831" t="str">
        <f>"1578726250880971"</f>
        <v>1578726250880971</v>
      </c>
      <c r="C2831" t="s">
        <v>40</v>
      </c>
      <c r="D2831">
        <v>4.5432819999999996</v>
      </c>
      <c r="E2831">
        <v>0.47884100000000002</v>
      </c>
      <c r="F2831" t="s">
        <v>82</v>
      </c>
      <c r="G2831">
        <v>-242.30350000000001</v>
      </c>
      <c r="H2831" s="1">
        <v>-7.2458529999999995E-7</v>
      </c>
      <c r="I2831">
        <v>-56.8</v>
      </c>
      <c r="J2831">
        <v>-260.06479999999999</v>
      </c>
      <c r="K2831">
        <v>1.107569</v>
      </c>
      <c r="L2831">
        <v>-58.027979999999999</v>
      </c>
      <c r="M2831">
        <v>0.99946210000000002</v>
      </c>
      <c r="N2831">
        <v>0</v>
      </c>
      <c r="O2831">
        <v>-3.0713250000000001E-2</v>
      </c>
      <c r="P2831">
        <v>0.99181680000000005</v>
      </c>
      <c r="Q2831">
        <v>0.12724340000000001</v>
      </c>
      <c r="R2831">
        <v>1.0424869999999999E-2</v>
      </c>
      <c r="S2831">
        <v>3.046783</v>
      </c>
      <c r="T2831">
        <v>-0.18814980000000001</v>
      </c>
      <c r="U2831">
        <v>0.20788570000000001</v>
      </c>
      <c r="V2831">
        <v>-4.2096889999999998E-2</v>
      </c>
      <c r="W2831">
        <v>0.13826830000000001</v>
      </c>
      <c r="X2831">
        <v>0.98949969999999998</v>
      </c>
      <c r="Y2831">
        <v>-9.8439860000000004E-2</v>
      </c>
      <c r="Z2831">
        <v>4.9261510000000001E-3</v>
      </c>
      <c r="AA2831">
        <v>0.99513079999999998</v>
      </c>
      <c r="AB2831">
        <v>34</v>
      </c>
      <c r="AC2831">
        <v>17.761299999999899</v>
      </c>
      <c r="AD2831">
        <v>-1.1075697245853</v>
      </c>
      <c r="AE2831">
        <v>1.2279800000000001</v>
      </c>
      <c r="AF2831">
        <v>-1.7661089088370201</v>
      </c>
      <c r="AG2831">
        <v>-1.1075697245853</v>
      </c>
      <c r="AH2831">
        <v>17.646906806159599</v>
      </c>
      <c r="AI2831">
        <v>93.573529120109995</v>
      </c>
      <c r="AJ2831">
        <v>95.715152197762706</v>
      </c>
      <c r="AK2831">
        <v>17.769613704241699</v>
      </c>
      <c r="AL2831">
        <v>82.0523471056826</v>
      </c>
      <c r="AM2831">
        <v>92.436100298579902</v>
      </c>
      <c r="AN2831">
        <v>0.99999996361632504</v>
      </c>
    </row>
    <row r="2832" spans="1:40" x14ac:dyDescent="0.3">
      <c r="A2832" t="str">
        <f>"20200111150410902"</f>
        <v>20200111150410902</v>
      </c>
      <c r="B2832" t="str">
        <f>"1578726250891706"</f>
        <v>1578726250891706</v>
      </c>
      <c r="C2832" t="s">
        <v>40</v>
      </c>
      <c r="D2832">
        <v>4.5913760000000003</v>
      </c>
      <c r="E2832">
        <v>0.47886570000000001</v>
      </c>
      <c r="F2832" t="s">
        <v>82</v>
      </c>
      <c r="G2832">
        <v>-242.089</v>
      </c>
      <c r="H2832" s="1">
        <v>-6.577341E-7</v>
      </c>
      <c r="I2832">
        <v>-56.77684</v>
      </c>
      <c r="J2832">
        <v>-259.87709999999998</v>
      </c>
      <c r="K2832">
        <v>1.1075079999999999</v>
      </c>
      <c r="L2832">
        <v>-58.031889999999997</v>
      </c>
      <c r="M2832">
        <v>0.99952110000000005</v>
      </c>
      <c r="N2832">
        <v>0</v>
      </c>
      <c r="O2832">
        <v>-2.8730180000000001E-2</v>
      </c>
      <c r="P2832">
        <v>0.99171860000000001</v>
      </c>
      <c r="Q2832">
        <v>0.1278956</v>
      </c>
      <c r="R2832">
        <v>1.170888E-2</v>
      </c>
      <c r="S2832">
        <v>3.04657</v>
      </c>
      <c r="T2832">
        <v>-0.18771309999999999</v>
      </c>
      <c r="U2832">
        <v>0.21203610000000001</v>
      </c>
      <c r="V2832">
        <v>-4.1395630000000003E-2</v>
      </c>
      <c r="W2832">
        <v>0.13893079999999999</v>
      </c>
      <c r="X2832">
        <v>0.98943650000000005</v>
      </c>
      <c r="Y2832">
        <v>-9.7825499999999996E-2</v>
      </c>
      <c r="Z2832">
        <v>4.7740229999999996E-3</v>
      </c>
      <c r="AA2832">
        <v>0.99519210000000002</v>
      </c>
      <c r="AB2832">
        <v>34</v>
      </c>
      <c r="AC2832">
        <v>17.788099999999901</v>
      </c>
      <c r="AD2832">
        <v>-1.1075086577341</v>
      </c>
      <c r="AE2832">
        <v>1.25505</v>
      </c>
      <c r="AF2832">
        <v>-1.7588366519465199</v>
      </c>
      <c r="AG2832">
        <v>-1.1075086577341</v>
      </c>
      <c r="AH2832">
        <v>17.676513114623098</v>
      </c>
      <c r="AI2832">
        <v>93.567566687349199</v>
      </c>
      <c r="AJ2832">
        <v>95.682303224761995</v>
      </c>
      <c r="AK2832">
        <v>17.798291987902399</v>
      </c>
      <c r="AL2832">
        <v>82.014018826648297</v>
      </c>
      <c r="AM2832">
        <v>92.395719675642297</v>
      </c>
      <c r="AN2832">
        <v>0.99999997645199301</v>
      </c>
    </row>
    <row r="2833" spans="1:40" x14ac:dyDescent="0.3">
      <c r="A2833" t="str">
        <f>"20200111150410914"</f>
        <v>20200111150410914</v>
      </c>
      <c r="B2833" t="str">
        <f>"1578726250901467"</f>
        <v>1578726250901467</v>
      </c>
      <c r="C2833" t="s">
        <v>40</v>
      </c>
      <c r="D2833">
        <v>4.5640489999999998</v>
      </c>
      <c r="E2833">
        <v>0.47889730000000003</v>
      </c>
      <c r="F2833" t="s">
        <v>82</v>
      </c>
      <c r="G2833">
        <v>-241.78829999999999</v>
      </c>
      <c r="H2833" s="1">
        <v>-5.6267609999999899E-7</v>
      </c>
      <c r="I2833">
        <v>-56.749499999999998</v>
      </c>
      <c r="J2833">
        <v>-259.71100000000001</v>
      </c>
      <c r="K2833">
        <v>1.1074569999999999</v>
      </c>
      <c r="L2833">
        <v>-58.035130000000002</v>
      </c>
      <c r="M2833">
        <v>0.99956940000000005</v>
      </c>
      <c r="N2833">
        <v>0</v>
      </c>
      <c r="O2833">
        <v>-2.699899E-2</v>
      </c>
      <c r="P2833">
        <v>0.99166270000000001</v>
      </c>
      <c r="Q2833">
        <v>0.12823780000000001</v>
      </c>
      <c r="R2833">
        <v>1.265548E-2</v>
      </c>
      <c r="S2833">
        <v>3.04657</v>
      </c>
      <c r="T2833">
        <v>-0.1865298</v>
      </c>
      <c r="U2833">
        <v>0.2159729</v>
      </c>
      <c r="V2833">
        <v>-4.060851E-2</v>
      </c>
      <c r="W2833">
        <v>0.13928399999999999</v>
      </c>
      <c r="X2833">
        <v>0.98941950000000001</v>
      </c>
      <c r="Y2833">
        <v>-9.738861E-2</v>
      </c>
      <c r="Z2833">
        <v>4.6246409999999996E-3</v>
      </c>
      <c r="AA2833">
        <v>0.99523569999999995</v>
      </c>
      <c r="AB2833">
        <v>34</v>
      </c>
      <c r="AC2833">
        <v>17.922699999999999</v>
      </c>
      <c r="AD2833">
        <v>-1.1074575626760901</v>
      </c>
      <c r="AE2833">
        <v>1.2856300000000001</v>
      </c>
      <c r="AF2833">
        <v>-1.7623934823912999</v>
      </c>
      <c r="AG2833">
        <v>-1.1074575626760901</v>
      </c>
      <c r="AH2833">
        <v>17.813785964642101</v>
      </c>
      <c r="AI2833">
        <v>93.5401790721872</v>
      </c>
      <c r="AJ2833">
        <v>95.650128158311205</v>
      </c>
      <c r="AK2833">
        <v>17.934978768707399</v>
      </c>
      <c r="AL2833">
        <v>81.993583581481701</v>
      </c>
      <c r="AM2833">
        <v>92.350258012618795</v>
      </c>
      <c r="AN2833">
        <v>1.0000000153603299</v>
      </c>
    </row>
    <row r="2834" spans="1:40" x14ac:dyDescent="0.3">
      <c r="A2834" t="str">
        <f>"20200111150410924"</f>
        <v>20200111150410924</v>
      </c>
      <c r="B2834" t="str">
        <f>"1578726250920987"</f>
        <v>1578726250920987</v>
      </c>
      <c r="C2834" t="s">
        <v>40</v>
      </c>
      <c r="D2834">
        <v>4.7086889999999997</v>
      </c>
      <c r="E2834">
        <v>0.47898479999999999</v>
      </c>
      <c r="F2834" t="s">
        <v>82</v>
      </c>
      <c r="G2834">
        <v>-241.57650000000001</v>
      </c>
      <c r="H2834" s="1">
        <v>-4.9530309999999996E-7</v>
      </c>
      <c r="I2834">
        <v>-56.731830000000002</v>
      </c>
      <c r="J2834">
        <v>-259.52659999999997</v>
      </c>
      <c r="K2834">
        <v>1.1074040000000001</v>
      </c>
      <c r="L2834">
        <v>-58.038449999999997</v>
      </c>
      <c r="M2834">
        <v>0.99961860000000002</v>
      </c>
      <c r="N2834">
        <v>0</v>
      </c>
      <c r="O2834">
        <v>-2.5112369999999998E-2</v>
      </c>
      <c r="P2834">
        <v>0.99160539999999997</v>
      </c>
      <c r="Q2834">
        <v>0.1285704</v>
      </c>
      <c r="R2834">
        <v>1.373021E-2</v>
      </c>
      <c r="S2834">
        <v>3.046478</v>
      </c>
      <c r="T2834">
        <v>-0.18604560000000001</v>
      </c>
      <c r="U2834">
        <v>0.21893309999999999</v>
      </c>
      <c r="V2834">
        <v>-3.9793189999999999E-2</v>
      </c>
      <c r="W2834">
        <v>0.13962739999999901</v>
      </c>
      <c r="X2834">
        <v>0.98940419999999996</v>
      </c>
      <c r="Y2834">
        <v>-9.6480830000000004E-2</v>
      </c>
      <c r="Z2834">
        <v>4.469995E-3</v>
      </c>
      <c r="AA2834">
        <v>0.99532480000000001</v>
      </c>
      <c r="AB2834">
        <v>34</v>
      </c>
      <c r="AC2834">
        <v>17.9500999999999</v>
      </c>
      <c r="AD2834">
        <v>-1.1074044953030999</v>
      </c>
      <c r="AE2834">
        <v>1.3066199999999899</v>
      </c>
      <c r="AF2834">
        <v>-1.75038020777487</v>
      </c>
      <c r="AG2834">
        <v>-1.1074044953030999</v>
      </c>
      <c r="AH2834">
        <v>17.8440658054955</v>
      </c>
      <c r="AI2834">
        <v>93.534307307247204</v>
      </c>
      <c r="AJ2834">
        <v>95.602398787013001</v>
      </c>
      <c r="AK2834">
        <v>17.9638765320529</v>
      </c>
      <c r="AL2834">
        <v>81.973713846352695</v>
      </c>
      <c r="AM2834">
        <v>92.303157465000595</v>
      </c>
      <c r="AN2834">
        <v>0.99999998988938799</v>
      </c>
    </row>
    <row r="2835" spans="1:40" x14ac:dyDescent="0.3">
      <c r="A2835" t="str">
        <f>"20200111150410937"</f>
        <v>20200111150410937</v>
      </c>
      <c r="B2835" t="str">
        <f>"1578726250931723"</f>
        <v>1578726250931723</v>
      </c>
      <c r="C2835" t="s">
        <v>40</v>
      </c>
      <c r="D2835">
        <v>4.6666780000000001</v>
      </c>
      <c r="E2835">
        <v>0.4790373</v>
      </c>
      <c r="F2835" t="s">
        <v>82</v>
      </c>
      <c r="G2835">
        <v>-241.46129999999999</v>
      </c>
      <c r="H2835" s="1">
        <v>-4.5801849999999998E-7</v>
      </c>
      <c r="I2835">
        <v>-56.724589999999999</v>
      </c>
      <c r="J2835">
        <v>-259.34399999999999</v>
      </c>
      <c r="K2835">
        <v>1.107348</v>
      </c>
      <c r="L2835">
        <v>-58.041350000000001</v>
      </c>
      <c r="M2835">
        <v>0.99966279999999996</v>
      </c>
      <c r="N2835">
        <v>0</v>
      </c>
      <c r="O2835">
        <v>-2.3287639999999998E-2</v>
      </c>
      <c r="P2835">
        <v>0.99153939999999996</v>
      </c>
      <c r="Q2835">
        <v>0.12894630000000001</v>
      </c>
      <c r="R2835">
        <v>1.491731E-2</v>
      </c>
      <c r="S2835">
        <v>3.0465390000000001</v>
      </c>
      <c r="T2835">
        <v>-0.18675240000000001</v>
      </c>
      <c r="U2835">
        <v>0.22155759999999999</v>
      </c>
      <c r="V2835">
        <v>-3.9153170000000001E-2</v>
      </c>
      <c r="W2835">
        <v>0.1400121</v>
      </c>
      <c r="X2835">
        <v>0.98937540000000002</v>
      </c>
      <c r="Y2835">
        <v>-9.5519060000000003E-2</v>
      </c>
      <c r="Z2835">
        <v>4.3456730000000004E-3</v>
      </c>
      <c r="AA2835">
        <v>0.99541809999999997</v>
      </c>
      <c r="AB2835">
        <v>34</v>
      </c>
      <c r="AC2835">
        <v>17.8827</v>
      </c>
      <c r="AD2835">
        <v>-1.1073484580185</v>
      </c>
      <c r="AE2835">
        <v>1.3167599999999999</v>
      </c>
      <c r="AF2835">
        <v>-1.72629254095485</v>
      </c>
      <c r="AG2835">
        <v>-1.1073484580185</v>
      </c>
      <c r="AH2835">
        <v>17.779377030459901</v>
      </c>
      <c r="AI2835">
        <v>93.547296101061306</v>
      </c>
      <c r="AJ2835">
        <v>95.545762443372396</v>
      </c>
      <c r="AK2835">
        <v>17.8972778414952</v>
      </c>
      <c r="AL2835">
        <v>81.951453743543595</v>
      </c>
      <c r="AM2835">
        <v>92.266219104030398</v>
      </c>
      <c r="AN2835">
        <v>1.0000000204963</v>
      </c>
    </row>
    <row r="2836" spans="1:40" x14ac:dyDescent="0.3">
      <c r="A2836" t="str">
        <f>"20200111150410948"</f>
        <v>20200111150410948</v>
      </c>
      <c r="B2836" t="str">
        <f>"1578726250941483"</f>
        <v>1578726250941483</v>
      </c>
      <c r="C2836" t="s">
        <v>40</v>
      </c>
      <c r="D2836">
        <v>4.6641079999999997</v>
      </c>
      <c r="E2836">
        <v>0.47910789999999998</v>
      </c>
      <c r="F2836" t="s">
        <v>82</v>
      </c>
      <c r="G2836">
        <v>-241.26169999999999</v>
      </c>
      <c r="H2836" s="1">
        <v>-3.944783E-7</v>
      </c>
      <c r="I2836">
        <v>-56.708129999999997</v>
      </c>
      <c r="J2836">
        <v>-259.17689999999999</v>
      </c>
      <c r="K2836">
        <v>1.107299</v>
      </c>
      <c r="L2836">
        <v>-58.043880000000001</v>
      </c>
      <c r="M2836">
        <v>0.99969989999999997</v>
      </c>
      <c r="N2836">
        <v>0</v>
      </c>
      <c r="O2836">
        <v>-2.1633719999999999E-2</v>
      </c>
      <c r="P2836">
        <v>0.99151920000000004</v>
      </c>
      <c r="Q2836">
        <v>0.12898670000000001</v>
      </c>
      <c r="R2836">
        <v>1.5885179999999999E-2</v>
      </c>
      <c r="S2836">
        <v>3.046478</v>
      </c>
      <c r="T2836">
        <v>-0.1865646</v>
      </c>
      <c r="U2836">
        <v>0.22460939999999999</v>
      </c>
      <c r="V2836">
        <v>-3.8463629999999999E-2</v>
      </c>
      <c r="W2836">
        <v>0.1400622</v>
      </c>
      <c r="X2836">
        <v>0.98939529999999998</v>
      </c>
      <c r="Y2836">
        <v>-9.4870200000000002E-2</v>
      </c>
      <c r="Z2836">
        <v>4.220339E-3</v>
      </c>
      <c r="AA2836">
        <v>0.9954807</v>
      </c>
      <c r="AB2836">
        <v>34</v>
      </c>
      <c r="AC2836">
        <v>17.915199999999999</v>
      </c>
      <c r="AD2836">
        <v>-1.1072993944783001</v>
      </c>
      <c r="AE2836">
        <v>1.33574999999999</v>
      </c>
      <c r="AF2836">
        <v>-1.71651417946345</v>
      </c>
      <c r="AG2836">
        <v>-1.1072993944783001</v>
      </c>
      <c r="AH2836">
        <v>17.814428931090799</v>
      </c>
      <c r="AI2836">
        <v>93.540428099634894</v>
      </c>
      <c r="AJ2836">
        <v>95.503759573480096</v>
      </c>
      <c r="AK2836">
        <v>17.931157548195198</v>
      </c>
      <c r="AL2836">
        <v>81.948554209871503</v>
      </c>
      <c r="AM2836">
        <v>92.226303723703097</v>
      </c>
      <c r="AN2836">
        <v>0.99999996518185197</v>
      </c>
    </row>
    <row r="2837" spans="1:40" x14ac:dyDescent="0.3">
      <c r="A2837" t="str">
        <f>"20200111150410959"</f>
        <v>20200111150410959</v>
      </c>
      <c r="B2837" t="str">
        <f>"1578726250951243"</f>
        <v>1578726250951243</v>
      </c>
      <c r="C2837" t="s">
        <v>40</v>
      </c>
      <c r="D2837">
        <v>4.6974070000000001</v>
      </c>
      <c r="E2837">
        <v>0.47918290000000002</v>
      </c>
      <c r="F2837" t="s">
        <v>82</v>
      </c>
      <c r="G2837">
        <v>-241.178</v>
      </c>
      <c r="H2837" s="1">
        <v>-3.6696079999999999E-7</v>
      </c>
      <c r="I2837">
        <v>-56.704520000000002</v>
      </c>
      <c r="J2837">
        <v>-259.01420000000002</v>
      </c>
      <c r="K2837">
        <v>1.107248</v>
      </c>
      <c r="L2837">
        <v>-58.045929999999998</v>
      </c>
      <c r="M2837">
        <v>0.99973239999999997</v>
      </c>
      <c r="N2837">
        <v>0</v>
      </c>
      <c r="O2837">
        <v>-2.0079110000000001E-2</v>
      </c>
      <c r="P2837">
        <v>0.99144529999999997</v>
      </c>
      <c r="Q2837">
        <v>0.1294225</v>
      </c>
      <c r="R2837">
        <v>1.6921439999999999E-2</v>
      </c>
      <c r="S2837">
        <v>3.0464169999999999</v>
      </c>
      <c r="T2837">
        <v>-0.187417</v>
      </c>
      <c r="U2837">
        <v>0.22668460000000001</v>
      </c>
      <c r="V2837">
        <v>-3.7941790000000003E-2</v>
      </c>
      <c r="W2837">
        <v>0.14050499999999999</v>
      </c>
      <c r="X2837">
        <v>0.98935269999999997</v>
      </c>
      <c r="Y2837">
        <v>-9.4000619999999993E-2</v>
      </c>
      <c r="Z2837">
        <v>4.1174319999999999E-3</v>
      </c>
      <c r="AA2837">
        <v>0.99556359999999999</v>
      </c>
      <c r="AB2837">
        <v>34</v>
      </c>
      <c r="AC2837">
        <v>17.836200000000002</v>
      </c>
      <c r="AD2837">
        <v>-1.1072483669608</v>
      </c>
      <c r="AE2837">
        <v>1.34141000000001</v>
      </c>
      <c r="AF2837">
        <v>-1.69281117372891</v>
      </c>
      <c r="AG2837">
        <v>-1.1072483669608</v>
      </c>
      <c r="AH2837">
        <v>17.737695070578699</v>
      </c>
      <c r="AI2837">
        <v>93.555851326376398</v>
      </c>
      <c r="AJ2837">
        <v>95.451557822776394</v>
      </c>
      <c r="AK2837">
        <v>17.852659046564199</v>
      </c>
      <c r="AL2837">
        <v>81.922930532434407</v>
      </c>
      <c r="AM2837">
        <v>92.196223480781697</v>
      </c>
      <c r="AN2837">
        <v>0.99999999972534703</v>
      </c>
    </row>
    <row r="2838" spans="1:40" x14ac:dyDescent="0.3">
      <c r="A2838" t="str">
        <f>"20200111150410969"</f>
        <v>20200111150410969</v>
      </c>
      <c r="B2838" t="str">
        <f>"1578726250961003"</f>
        <v>1578726250961003</v>
      </c>
      <c r="C2838" t="s">
        <v>40</v>
      </c>
      <c r="D2838">
        <v>4.7345800000000002</v>
      </c>
      <c r="E2838">
        <v>0.47924519999999998</v>
      </c>
      <c r="F2838" t="s">
        <v>82</v>
      </c>
      <c r="G2838">
        <v>-240.96459999999999</v>
      </c>
      <c r="H2838" s="1">
        <v>-2.9901199999999998E-7</v>
      </c>
      <c r="I2838">
        <v>-56.68703</v>
      </c>
      <c r="J2838">
        <v>-258.8442</v>
      </c>
      <c r="K2838">
        <v>1.107194</v>
      </c>
      <c r="L2838">
        <v>-58.047939999999997</v>
      </c>
      <c r="M2838">
        <v>0.99976350000000003</v>
      </c>
      <c r="N2838">
        <v>0</v>
      </c>
      <c r="O2838">
        <v>-1.8464319999999999E-2</v>
      </c>
      <c r="P2838">
        <v>0.99141029999999997</v>
      </c>
      <c r="Q2838">
        <v>0.12954689999999999</v>
      </c>
      <c r="R2838">
        <v>1.7986419999999999E-2</v>
      </c>
      <c r="S2838">
        <v>3.046341</v>
      </c>
      <c r="T2838">
        <v>-0.1868773</v>
      </c>
      <c r="U2838">
        <v>0.2293396</v>
      </c>
      <c r="V2838">
        <v>-3.738723E-2</v>
      </c>
      <c r="W2838">
        <v>0.14063719999999999</v>
      </c>
      <c r="X2838">
        <v>0.98935499999999998</v>
      </c>
      <c r="Y2838">
        <v>-9.3262929999999994E-2</v>
      </c>
      <c r="Z2838">
        <v>3.9841429999999999E-3</v>
      </c>
      <c r="AA2838">
        <v>0.99563349999999995</v>
      </c>
      <c r="AB2838">
        <v>34</v>
      </c>
      <c r="AC2838">
        <v>17.8796</v>
      </c>
      <c r="AD2838">
        <v>-1.1071942990120001</v>
      </c>
      <c r="AE2838">
        <v>1.3609099999999901</v>
      </c>
      <c r="AF2838">
        <v>-1.6844123900549299</v>
      </c>
      <c r="AG2838">
        <v>-1.1071942990120001</v>
      </c>
      <c r="AH2838">
        <v>17.783619405035399</v>
      </c>
      <c r="AI2838">
        <v>93.546759008657105</v>
      </c>
      <c r="AJ2838">
        <v>95.410746579884901</v>
      </c>
      <c r="AK2838">
        <v>17.897492658433698</v>
      </c>
      <c r="AL2838">
        <v>81.9152798360698</v>
      </c>
      <c r="AM2838">
        <v>92.164149038872594</v>
      </c>
      <c r="AN2838">
        <v>0.99999997150795505</v>
      </c>
    </row>
    <row r="2839" spans="1:40" x14ac:dyDescent="0.3">
      <c r="A2839" t="str">
        <f>"20200111150410981"</f>
        <v>20200111150410981</v>
      </c>
      <c r="B2839" t="str">
        <f>"1578726250971739"</f>
        <v>1578726250971739</v>
      </c>
      <c r="C2839" t="s">
        <v>40</v>
      </c>
      <c r="D2839">
        <v>4.6946879999999904</v>
      </c>
      <c r="E2839">
        <v>0.47934009999999999</v>
      </c>
      <c r="F2839" t="s">
        <v>82</v>
      </c>
      <c r="G2839">
        <v>-240.84559999999999</v>
      </c>
      <c r="H2839" s="1">
        <v>-2.61471E-7</v>
      </c>
      <c r="I2839">
        <v>-56.675910000000002</v>
      </c>
      <c r="J2839">
        <v>-258.67070000000001</v>
      </c>
      <c r="K2839">
        <v>1.107135</v>
      </c>
      <c r="L2839">
        <v>-58.04965</v>
      </c>
      <c r="M2839">
        <v>0.9997916</v>
      </c>
      <c r="N2839">
        <v>0</v>
      </c>
      <c r="O2839">
        <v>-1.6875560000000001E-2</v>
      </c>
      <c r="P2839">
        <v>0.99135359999999995</v>
      </c>
      <c r="Q2839">
        <v>0.12980519999999901</v>
      </c>
      <c r="R2839">
        <v>1.9201969999999999E-2</v>
      </c>
      <c r="S2839">
        <v>3.0462950000000002</v>
      </c>
      <c r="T2839">
        <v>-0.18739529999999999</v>
      </c>
      <c r="U2839">
        <v>0.23220830000000001</v>
      </c>
      <c r="V2839">
        <v>-3.7007940000000003E-2</v>
      </c>
      <c r="W2839">
        <v>0.1409021</v>
      </c>
      <c r="X2839">
        <v>0.98933159999999998</v>
      </c>
      <c r="Y2839">
        <v>-9.2617140000000001E-2</v>
      </c>
      <c r="Z2839">
        <v>3.877742E-3</v>
      </c>
      <c r="AA2839">
        <v>0.99569419999999997</v>
      </c>
      <c r="AB2839">
        <v>34</v>
      </c>
      <c r="AC2839">
        <v>17.825099999999999</v>
      </c>
      <c r="AD2839">
        <v>-1.1071352614709999</v>
      </c>
      <c r="AE2839">
        <v>1.37374</v>
      </c>
      <c r="AF2839">
        <v>-1.6679760546617399</v>
      </c>
      <c r="AG2839">
        <v>-1.1071352614709999</v>
      </c>
      <c r="AH2839">
        <v>17.731377300767299</v>
      </c>
      <c r="AI2839">
        <v>93.557207940413093</v>
      </c>
      <c r="AJ2839">
        <v>95.373952621626302</v>
      </c>
      <c r="AK2839">
        <v>17.8440363591953</v>
      </c>
      <c r="AL2839">
        <v>81.899949779483194</v>
      </c>
      <c r="AM2839">
        <v>92.142265127481593</v>
      </c>
      <c r="AN2839">
        <v>1.000000002083</v>
      </c>
    </row>
    <row r="2840" spans="1:40" x14ac:dyDescent="0.3">
      <c r="A2840" t="str">
        <f>"20200111150410991"</f>
        <v>20200111150410991</v>
      </c>
      <c r="B2840" t="str">
        <f>"1578726250981499"</f>
        <v>1578726250981499</v>
      </c>
      <c r="C2840" t="s">
        <v>40</v>
      </c>
      <c r="D2840">
        <v>4.6924720000000004</v>
      </c>
      <c r="E2840">
        <v>0.47940749999999999</v>
      </c>
      <c r="F2840" t="s">
        <v>82</v>
      </c>
      <c r="G2840">
        <v>-240.65690000000001</v>
      </c>
      <c r="H2840" s="1">
        <v>-2.0225130000000001E-7</v>
      </c>
      <c r="I2840">
        <v>-56.657069999999997</v>
      </c>
      <c r="J2840">
        <v>-258.51299999999998</v>
      </c>
      <c r="K2840">
        <v>1.1070799999999901</v>
      </c>
      <c r="L2840">
        <v>-58.051090000000002</v>
      </c>
      <c r="M2840">
        <v>0.99981469999999995</v>
      </c>
      <c r="N2840">
        <v>0</v>
      </c>
      <c r="O2840">
        <v>-1.5447229999999999E-2</v>
      </c>
      <c r="P2840">
        <v>0.9913303</v>
      </c>
      <c r="Q2840">
        <v>0.1298231</v>
      </c>
      <c r="R2840">
        <v>2.0261210000000002E-2</v>
      </c>
      <c r="S2840">
        <v>3.0461119999999999</v>
      </c>
      <c r="T2840">
        <v>-0.18721560000000001</v>
      </c>
      <c r="U2840">
        <v>0.23547360000000001</v>
      </c>
      <c r="V2840">
        <v>-3.6632770000000002E-2</v>
      </c>
      <c r="W2840">
        <v>0.1409261</v>
      </c>
      <c r="X2840">
        <v>0.98934219999999895</v>
      </c>
      <c r="Y2840">
        <v>-9.2264059999999995E-2</v>
      </c>
      <c r="Z2840">
        <v>3.775685E-3</v>
      </c>
      <c r="AA2840">
        <v>0.99572740000000004</v>
      </c>
      <c r="AB2840">
        <v>34</v>
      </c>
      <c r="AC2840">
        <v>17.856099999999898</v>
      </c>
      <c r="AD2840">
        <v>-1.10708020225129</v>
      </c>
      <c r="AE2840">
        <v>1.39402</v>
      </c>
      <c r="AF2840">
        <v>-1.6633439494636799</v>
      </c>
      <c r="AG2840">
        <v>-1.10708020225129</v>
      </c>
      <c r="AH2840">
        <v>17.764560502732301</v>
      </c>
      <c r="AI2840">
        <v>93.550547965043606</v>
      </c>
      <c r="AJ2840">
        <v>95.3491633225524</v>
      </c>
      <c r="AK2840">
        <v>17.876575441724501</v>
      </c>
      <c r="AL2840">
        <v>81.898561270224704</v>
      </c>
      <c r="AM2840">
        <v>92.120545027373396</v>
      </c>
      <c r="AN2840">
        <v>1.0000000570999501</v>
      </c>
    </row>
    <row r="2841" spans="1:40" x14ac:dyDescent="0.3">
      <c r="A2841" t="str">
        <f>"20200111150411001"</f>
        <v>20200111150411001</v>
      </c>
      <c r="B2841" t="str">
        <f>"1578726250991258"</f>
        <v>1578726250991258</v>
      </c>
      <c r="C2841" t="s">
        <v>40</v>
      </c>
      <c r="D2841">
        <v>4.6694899999999997</v>
      </c>
      <c r="E2841">
        <v>0.47948869999999999</v>
      </c>
      <c r="F2841" t="s">
        <v>82</v>
      </c>
      <c r="G2841">
        <v>-240.53399999999999</v>
      </c>
      <c r="H2841" s="1">
        <v>-1.6363550000000001E-7</v>
      </c>
      <c r="I2841">
        <v>-56.645049999999998</v>
      </c>
      <c r="J2841">
        <v>-258.34410000000003</v>
      </c>
      <c r="K2841">
        <v>1.107019</v>
      </c>
      <c r="L2841">
        <v>-58.052309999999999</v>
      </c>
      <c r="M2841">
        <v>0.99983659999999996</v>
      </c>
      <c r="N2841">
        <v>0</v>
      </c>
      <c r="O2841">
        <v>-1.3959930000000001E-2</v>
      </c>
      <c r="P2841">
        <v>0.99135359999999995</v>
      </c>
      <c r="Q2841">
        <v>0.12944169999999999</v>
      </c>
      <c r="R2841">
        <v>2.1522619999999999E-2</v>
      </c>
      <c r="S2841">
        <v>3.045868</v>
      </c>
      <c r="T2841">
        <v>-0.18755340000000001</v>
      </c>
      <c r="U2841">
        <v>0.2381897</v>
      </c>
      <c r="V2841">
        <v>-3.6396489999999997E-2</v>
      </c>
      <c r="W2841">
        <v>0.140550799999999</v>
      </c>
      <c r="X2841">
        <v>0.98940430000000001</v>
      </c>
      <c r="Y2841">
        <v>-9.1674770000000003E-2</v>
      </c>
      <c r="Z2841">
        <v>3.673178E-3</v>
      </c>
      <c r="AA2841">
        <v>0.99578230000000001</v>
      </c>
      <c r="AB2841">
        <v>34</v>
      </c>
      <c r="AC2841">
        <v>17.810099999999998</v>
      </c>
      <c r="AD2841">
        <v>-1.1070191636355</v>
      </c>
      <c r="AE2841">
        <v>1.40726</v>
      </c>
      <c r="AF2841">
        <v>-1.64943399913526</v>
      </c>
      <c r="AG2841">
        <v>-1.1070191636355</v>
      </c>
      <c r="AH2841">
        <v>17.7206791981428</v>
      </c>
      <c r="AI2841">
        <v>93.559303514967795</v>
      </c>
      <c r="AJ2841">
        <v>95.317747099568393</v>
      </c>
      <c r="AK2841">
        <v>17.831673931228401</v>
      </c>
      <c r="AL2841">
        <v>81.920280496454197</v>
      </c>
      <c r="AM2841">
        <v>92.106747837991406</v>
      </c>
      <c r="AN2841">
        <v>1.0000000503617199</v>
      </c>
    </row>
    <row r="2842" spans="1:40" x14ac:dyDescent="0.3">
      <c r="A2842" t="str">
        <f>"20200111150411012"</f>
        <v>20200111150411012</v>
      </c>
      <c r="B2842" t="str">
        <f>"1578726251001019"</f>
        <v>1578726251001019</v>
      </c>
      <c r="C2842" t="s">
        <v>40</v>
      </c>
      <c r="D2842">
        <v>4.7379619999999996</v>
      </c>
      <c r="E2842">
        <v>0.47957159999999899</v>
      </c>
      <c r="F2842" t="s">
        <v>82</v>
      </c>
      <c r="G2842">
        <v>-240.52330000000001</v>
      </c>
      <c r="H2842" s="1">
        <v>-1.61637999999999E-7</v>
      </c>
      <c r="I2842">
        <v>-56.6389</v>
      </c>
      <c r="J2842">
        <v>-258.1943</v>
      </c>
      <c r="K2842">
        <v>1.1069610000000001</v>
      </c>
      <c r="L2842">
        <v>-58.053249999999998</v>
      </c>
      <c r="M2842">
        <v>0.99985389999999996</v>
      </c>
      <c r="N2842">
        <v>0</v>
      </c>
      <c r="O2842">
        <v>-1.2665020000000001E-2</v>
      </c>
      <c r="P2842">
        <v>0.99137730000000002</v>
      </c>
      <c r="Q2842">
        <v>0.12899530000000001</v>
      </c>
      <c r="R2842">
        <v>2.305374E-2</v>
      </c>
      <c r="S2842">
        <v>3.0456240000000001</v>
      </c>
      <c r="T2842">
        <v>-0.18919349999999999</v>
      </c>
      <c r="U2842">
        <v>0.2415466</v>
      </c>
      <c r="V2842">
        <v>-3.6622450000000001E-2</v>
      </c>
      <c r="W2842">
        <v>0.1401066</v>
      </c>
      <c r="X2842">
        <v>0.98945890000000003</v>
      </c>
      <c r="Y2842">
        <v>-9.1481460000000001E-2</v>
      </c>
      <c r="Z2842">
        <v>3.6191280000000001E-3</v>
      </c>
      <c r="AA2842">
        <v>0.99580020000000002</v>
      </c>
      <c r="AB2842">
        <v>34</v>
      </c>
      <c r="AC2842">
        <v>17.6709999999999</v>
      </c>
      <c r="AD2842">
        <v>-1.106961161638</v>
      </c>
      <c r="AE2842">
        <v>1.41434999999999</v>
      </c>
      <c r="AF2842">
        <v>-1.63169265900511</v>
      </c>
      <c r="AG2842">
        <v>-1.106961161638</v>
      </c>
      <c r="AH2842">
        <v>17.5831094919448</v>
      </c>
      <c r="AI2842">
        <v>93.586984061098804</v>
      </c>
      <c r="AJ2842">
        <v>95.301799235710604</v>
      </c>
      <c r="AK2842">
        <v>17.693318607670701</v>
      </c>
      <c r="AL2842">
        <v>81.945985136178095</v>
      </c>
      <c r="AM2842">
        <v>92.119698377737805</v>
      </c>
      <c r="AN2842">
        <v>0.99999998899838605</v>
      </c>
    </row>
    <row r="2843" spans="1:40" x14ac:dyDescent="0.3">
      <c r="A2843" t="str">
        <f>"20200111150411023"</f>
        <v>20200111150411023</v>
      </c>
      <c r="B2843" t="str">
        <f>"1578726251011756"</f>
        <v>1578726251011756</v>
      </c>
      <c r="C2843" t="s">
        <v>40</v>
      </c>
      <c r="D2843">
        <v>4.723554</v>
      </c>
      <c r="E2843">
        <v>0.47964190000000001</v>
      </c>
      <c r="F2843" t="s">
        <v>82</v>
      </c>
      <c r="G2843">
        <v>-240.5772</v>
      </c>
      <c r="H2843" s="1">
        <v>-1.8144029999999999E-7</v>
      </c>
      <c r="I2843">
        <v>-56.633420000000001</v>
      </c>
      <c r="J2843">
        <v>-258.02780000000001</v>
      </c>
      <c r="K2843">
        <v>1.106886</v>
      </c>
      <c r="L2843">
        <v>-58.054079999999999</v>
      </c>
      <c r="M2843">
        <v>0.9998705</v>
      </c>
      <c r="N2843">
        <v>0</v>
      </c>
      <c r="O2843">
        <v>-1.1266099999999999E-2</v>
      </c>
      <c r="P2843">
        <v>0.99148320000000001</v>
      </c>
      <c r="Q2843">
        <v>0.12789690000000001</v>
      </c>
      <c r="R2843">
        <v>2.4567720000000001E-2</v>
      </c>
      <c r="S2843">
        <v>3.0452880000000002</v>
      </c>
      <c r="T2843">
        <v>-0.19134950000000001</v>
      </c>
      <c r="U2843">
        <v>0.24542240000000001</v>
      </c>
      <c r="V2843">
        <v>-3.6720639999999999E-2</v>
      </c>
      <c r="W2843">
        <v>0.139013</v>
      </c>
      <c r="X2843">
        <v>0.98960950000000003</v>
      </c>
      <c r="Y2843">
        <v>-9.1354619999999997E-2</v>
      </c>
      <c r="Z2843">
        <v>3.5688400000000002E-3</v>
      </c>
      <c r="AA2843">
        <v>0.99581209999999998</v>
      </c>
      <c r="AB2843">
        <v>34</v>
      </c>
      <c r="AC2843">
        <v>17.450600000000001</v>
      </c>
      <c r="AD2843">
        <v>-1.1068861814402999</v>
      </c>
      <c r="AE2843">
        <v>1.42066000000001</v>
      </c>
      <c r="AF2843">
        <v>-1.6107451294573201</v>
      </c>
      <c r="AG2843">
        <v>-1.1068861814402999</v>
      </c>
      <c r="AH2843">
        <v>17.364084603634399</v>
      </c>
      <c r="AI2843">
        <v>93.631875318138498</v>
      </c>
      <c r="AJ2843">
        <v>95.299763480558696</v>
      </c>
      <c r="AK2843">
        <v>17.473726878170801</v>
      </c>
      <c r="AL2843">
        <v>82.009263081368005</v>
      </c>
      <c r="AM2843">
        <v>92.125053239776406</v>
      </c>
      <c r="AN2843">
        <v>0.99999999103062898</v>
      </c>
    </row>
    <row r="2844" spans="1:40" x14ac:dyDescent="0.3">
      <c r="A2844" t="str">
        <f>"20200111150411035"</f>
        <v>20200111150411035</v>
      </c>
      <c r="B2844" t="str">
        <f>"1578726251031275"</f>
        <v>1578726251031275</v>
      </c>
      <c r="C2844" t="s">
        <v>40</v>
      </c>
      <c r="D2844">
        <v>4.7826500000000003</v>
      </c>
      <c r="E2844">
        <v>0.47983140000000002</v>
      </c>
      <c r="F2844" t="s">
        <v>82</v>
      </c>
      <c r="G2844">
        <v>-240.77260000000001</v>
      </c>
      <c r="H2844" s="1">
        <v>-2.455131E-7</v>
      </c>
      <c r="I2844">
        <v>-56.642429999999997</v>
      </c>
      <c r="J2844">
        <v>-257.84879999999998</v>
      </c>
      <c r="K2844">
        <v>1.106808</v>
      </c>
      <c r="L2844">
        <v>-58.054749999999999</v>
      </c>
      <c r="M2844">
        <v>0.9998861</v>
      </c>
      <c r="N2844">
        <v>0</v>
      </c>
      <c r="O2844">
        <v>-9.8075160000000005E-3</v>
      </c>
      <c r="P2844">
        <v>0.99154319999999896</v>
      </c>
      <c r="Q2844">
        <v>0.12706319999999999</v>
      </c>
      <c r="R2844">
        <v>2.641249E-2</v>
      </c>
      <c r="S2844">
        <v>3.0448</v>
      </c>
      <c r="T2844">
        <v>-0.19531770000000001</v>
      </c>
      <c r="U2844">
        <v>0.24908449999999999</v>
      </c>
      <c r="V2844">
        <v>-3.7089759999999999E-2</v>
      </c>
      <c r="W2844">
        <v>0.1381819</v>
      </c>
      <c r="X2844">
        <v>0.98971209999999998</v>
      </c>
      <c r="Y2844">
        <v>-9.1099680000000002E-2</v>
      </c>
      <c r="Z2844">
        <v>3.5416169999999999E-3</v>
      </c>
      <c r="AA2844">
        <v>0.99583549999999998</v>
      </c>
      <c r="AB2844">
        <v>34</v>
      </c>
      <c r="AC2844">
        <v>17.076199999999901</v>
      </c>
      <c r="AD2844">
        <v>-1.1068082455131001</v>
      </c>
      <c r="AE2844">
        <v>1.41231999999999</v>
      </c>
      <c r="AF2844">
        <v>-1.57317404241063</v>
      </c>
      <c r="AG2844">
        <v>-1.1068082455131001</v>
      </c>
      <c r="AH2844">
        <v>16.9906320727866</v>
      </c>
      <c r="AI2844">
        <v>93.711280884424596</v>
      </c>
      <c r="AJ2844">
        <v>95.289972102547097</v>
      </c>
      <c r="AK2844">
        <v>17.099166040858599</v>
      </c>
      <c r="AL2844">
        <v>82.057345446792596</v>
      </c>
      <c r="AM2844">
        <v>92.146172332224495</v>
      </c>
      <c r="AN2844">
        <v>0.99999996433543803</v>
      </c>
    </row>
    <row r="2845" spans="1:40" x14ac:dyDescent="0.3">
      <c r="A2845" t="str">
        <f>"20200111150411045"</f>
        <v>20200111150411045</v>
      </c>
      <c r="B2845" t="str">
        <f>"1578726251041034"</f>
        <v>1578726251041034</v>
      </c>
      <c r="C2845" t="s">
        <v>40</v>
      </c>
      <c r="D2845">
        <v>4.7390980000000003</v>
      </c>
      <c r="E2845">
        <v>0.4799252</v>
      </c>
      <c r="F2845" t="s">
        <v>82</v>
      </c>
      <c r="G2845">
        <v>-240.9639</v>
      </c>
      <c r="H2845" s="1">
        <v>-3.0806249999999998E-7</v>
      </c>
      <c r="I2845">
        <v>-56.652059999999999</v>
      </c>
      <c r="J2845">
        <v>-257.68259999999998</v>
      </c>
      <c r="K2845">
        <v>1.1067359999999999</v>
      </c>
      <c r="L2845">
        <v>-58.055210000000002</v>
      </c>
      <c r="M2845">
        <v>0.99989810000000001</v>
      </c>
      <c r="N2845">
        <v>0</v>
      </c>
      <c r="O2845">
        <v>-8.4875769999999996E-3</v>
      </c>
      <c r="P2845">
        <v>0.99159730000000001</v>
      </c>
      <c r="Q2845">
        <v>0.1261369</v>
      </c>
      <c r="R2845">
        <v>2.871597E-2</v>
      </c>
      <c r="S2845">
        <v>3.0444179999999998</v>
      </c>
      <c r="T2845">
        <v>-0.19956170000000001</v>
      </c>
      <c r="U2845">
        <v>0.25289919999999999</v>
      </c>
      <c r="V2845">
        <v>-3.8055539999999999E-2</v>
      </c>
      <c r="W2845">
        <v>0.13725479999999901</v>
      </c>
      <c r="X2845">
        <v>0.98980449999999998</v>
      </c>
      <c r="Y2845">
        <v>-9.1028510000000007E-2</v>
      </c>
      <c r="Z2845">
        <v>3.530048E-3</v>
      </c>
      <c r="AA2845">
        <v>0.995842</v>
      </c>
      <c r="AB2845">
        <v>34</v>
      </c>
      <c r="AC2845">
        <v>16.718699999999899</v>
      </c>
      <c r="AD2845">
        <v>-1.1067363080624999</v>
      </c>
      <c r="AE2845">
        <v>1.4031499999999899</v>
      </c>
      <c r="AF2845">
        <v>-1.5383161332334501</v>
      </c>
      <c r="AG2845">
        <v>-1.1067363080624999</v>
      </c>
      <c r="AH2845">
        <v>16.633806243939599</v>
      </c>
      <c r="AI2845">
        <v>93.790457283351103</v>
      </c>
      <c r="AJ2845">
        <v>95.283759117597697</v>
      </c>
      <c r="AK2845">
        <v>16.741409496881499</v>
      </c>
      <c r="AL2845">
        <v>82.110975875940497</v>
      </c>
      <c r="AM2845">
        <v>92.201796824758603</v>
      </c>
      <c r="AN2845">
        <v>1.0000000262339901</v>
      </c>
    </row>
    <row r="2846" spans="1:40" x14ac:dyDescent="0.3">
      <c r="A2846" t="str">
        <f>"20200111150411057"</f>
        <v>20200111150411057</v>
      </c>
      <c r="B2846" t="str">
        <f>"1578726251050794"</f>
        <v>1578726251050794</v>
      </c>
      <c r="C2846" t="s">
        <v>40</v>
      </c>
      <c r="D2846">
        <v>4.8573050000000002</v>
      </c>
      <c r="E2846">
        <v>0.4800816</v>
      </c>
      <c r="F2846" t="s">
        <v>82</v>
      </c>
      <c r="G2846">
        <v>-241.10980000000001</v>
      </c>
      <c r="H2846" s="1">
        <v>-3.5912439999999998E-7</v>
      </c>
      <c r="I2846">
        <v>-56.646769999999997</v>
      </c>
      <c r="J2846">
        <v>-257.49930000000001</v>
      </c>
      <c r="K2846">
        <v>1.1066480000000001</v>
      </c>
      <c r="L2846">
        <v>-58.055419999999998</v>
      </c>
      <c r="M2846">
        <v>0.99990889999999999</v>
      </c>
      <c r="N2846">
        <v>0</v>
      </c>
      <c r="O2846">
        <v>-7.1019289999999999E-3</v>
      </c>
      <c r="P2846">
        <v>0.99164890000000006</v>
      </c>
      <c r="Q2846">
        <v>0.12517609999999901</v>
      </c>
      <c r="R2846">
        <v>3.1040769999999999E-2</v>
      </c>
      <c r="S2846">
        <v>3.0438230000000002</v>
      </c>
      <c r="T2846">
        <v>-0.20326749999999999</v>
      </c>
      <c r="U2846">
        <v>0.25866699999999998</v>
      </c>
      <c r="V2846">
        <v>-3.8972130000000001E-2</v>
      </c>
      <c r="W2846">
        <v>0.13629450000000001</v>
      </c>
      <c r="X2846">
        <v>0.98990149999999999</v>
      </c>
      <c r="Y2846">
        <v>-9.1532359999999993E-2</v>
      </c>
      <c r="Z2846">
        <v>3.520362E-3</v>
      </c>
      <c r="AA2846">
        <v>0.99579589999999996</v>
      </c>
      <c r="AB2846">
        <v>34</v>
      </c>
      <c r="AC2846">
        <v>16.389499999999899</v>
      </c>
      <c r="AD2846">
        <v>-1.1066483591243901</v>
      </c>
      <c r="AE2846">
        <v>1.40865</v>
      </c>
      <c r="AF2846">
        <v>-1.5181484296207699</v>
      </c>
      <c r="AG2846">
        <v>-1.1066483591243901</v>
      </c>
      <c r="AH2846">
        <v>16.305288012121999</v>
      </c>
      <c r="AI2846">
        <v>93.866069391611404</v>
      </c>
      <c r="AJ2846">
        <v>95.319344388100106</v>
      </c>
      <c r="AK2846">
        <v>16.413161255631501</v>
      </c>
      <c r="AL2846">
        <v>82.166518780381097</v>
      </c>
      <c r="AM2846">
        <v>92.254553583372797</v>
      </c>
      <c r="AN2846">
        <v>0.99999999867461797</v>
      </c>
    </row>
    <row r="2847" spans="1:40" x14ac:dyDescent="0.3">
      <c r="A2847" t="str">
        <f>"20200111150411069"</f>
        <v>20200111150411069</v>
      </c>
      <c r="B2847" t="str">
        <f>"1578726251061531"</f>
        <v>1578726251061531</v>
      </c>
      <c r="C2847" t="s">
        <v>40</v>
      </c>
      <c r="D2847">
        <v>4.8020620000000003</v>
      </c>
      <c r="E2847">
        <v>0.4800816</v>
      </c>
      <c r="F2847" t="s">
        <v>82</v>
      </c>
      <c r="G2847">
        <v>-241.23249999999999</v>
      </c>
      <c r="H2847" s="1">
        <v>-4.0148519999999998E-7</v>
      </c>
      <c r="I2847">
        <v>-56.644469999999998</v>
      </c>
      <c r="J2847">
        <v>-257.31950000000001</v>
      </c>
      <c r="K2847">
        <v>1.106562</v>
      </c>
      <c r="L2847">
        <v>-58.055540000000001</v>
      </c>
      <c r="M2847">
        <v>0.99991759999999996</v>
      </c>
      <c r="N2847">
        <v>0</v>
      </c>
      <c r="O2847">
        <v>-5.7709069999999996E-3</v>
      </c>
      <c r="P2847">
        <v>0.99164779999999997</v>
      </c>
      <c r="Q2847">
        <v>0.1246739</v>
      </c>
      <c r="R2847">
        <v>3.3036679999999999E-2</v>
      </c>
      <c r="S2847">
        <v>3.043167</v>
      </c>
      <c r="T2847">
        <v>-0.20702980000000001</v>
      </c>
      <c r="U2847">
        <v>0.26394649999999997</v>
      </c>
      <c r="V2847">
        <v>-3.9616350000000002E-2</v>
      </c>
      <c r="W2847">
        <v>0.1357942</v>
      </c>
      <c r="X2847">
        <v>0.98994470000000001</v>
      </c>
      <c r="Y2847">
        <v>-9.1933819999999999E-2</v>
      </c>
      <c r="Z2847">
        <v>3.5091969999999999E-3</v>
      </c>
      <c r="AA2847">
        <v>0.99575899999999995</v>
      </c>
      <c r="AB2847">
        <v>34</v>
      </c>
      <c r="AC2847">
        <v>16.087</v>
      </c>
      <c r="AD2847">
        <v>-1.1065624014852</v>
      </c>
      <c r="AE2847">
        <v>1.41107</v>
      </c>
      <c r="AF2847">
        <v>-1.4968608172253199</v>
      </c>
      <c r="AG2847">
        <v>-1.1065624014852</v>
      </c>
      <c r="AH2847">
        <v>16.0034457377851</v>
      </c>
      <c r="AI2847">
        <v>93.938300560596801</v>
      </c>
      <c r="AJ2847">
        <v>95.3435372964843</v>
      </c>
      <c r="AK2847">
        <v>16.1113422202111</v>
      </c>
      <c r="AL2847">
        <v>82.195452991000806</v>
      </c>
      <c r="AM2847">
        <v>92.291682652596904</v>
      </c>
      <c r="AN2847">
        <v>1.00000001449952</v>
      </c>
    </row>
    <row r="2848" spans="1:40" x14ac:dyDescent="0.3">
      <c r="A2848" t="str">
        <f>"20200111150411080"</f>
        <v>20200111150411080</v>
      </c>
      <c r="B2848" t="str">
        <f>"1578726251071292"</f>
        <v>1578726251071292</v>
      </c>
      <c r="C2848" t="s">
        <v>40</v>
      </c>
      <c r="D2848">
        <v>4.8317709999999998</v>
      </c>
      <c r="E2848">
        <v>0.51041530000000002</v>
      </c>
      <c r="F2848" t="s">
        <v>82</v>
      </c>
      <c r="G2848">
        <v>-241.18440000000001</v>
      </c>
      <c r="H2848" s="1">
        <v>-3.9035310000000002E-7</v>
      </c>
      <c r="I2848">
        <v>-56.624809999999997</v>
      </c>
      <c r="J2848">
        <v>-257.15089999999998</v>
      </c>
      <c r="K2848">
        <v>1.1064750000000001</v>
      </c>
      <c r="L2848">
        <v>-58.055390000000003</v>
      </c>
      <c r="M2848">
        <v>0.99992349999999997</v>
      </c>
      <c r="N2848">
        <v>0</v>
      </c>
      <c r="O2848">
        <v>-4.611581E-3</v>
      </c>
      <c r="P2848">
        <v>0.99157850000000003</v>
      </c>
      <c r="Q2848">
        <v>0.1246529</v>
      </c>
      <c r="R2848">
        <v>3.5128899999999998E-2</v>
      </c>
      <c r="S2848">
        <v>3.0425110000000002</v>
      </c>
      <c r="T2848">
        <v>-0.20865939999999999</v>
      </c>
      <c r="U2848">
        <v>0.2697754</v>
      </c>
      <c r="V2848">
        <v>-4.0529849999999999E-2</v>
      </c>
      <c r="W2848">
        <v>0.13577339999999999</v>
      </c>
      <c r="X2848">
        <v>0.98991050000000003</v>
      </c>
      <c r="Y2848">
        <v>-9.2688279999999998E-2</v>
      </c>
      <c r="Z2848">
        <v>3.4837359999999999E-3</v>
      </c>
      <c r="AA2848">
        <v>0.99568909999999999</v>
      </c>
      <c r="AB2848">
        <v>34</v>
      </c>
      <c r="AC2848">
        <v>15.9664999999999</v>
      </c>
      <c r="AD2848">
        <v>-1.1064753903530999</v>
      </c>
      <c r="AE2848">
        <v>1.43058</v>
      </c>
      <c r="AF2848">
        <v>-1.4970680876556099</v>
      </c>
      <c r="AG2848">
        <v>-1.1064753903530999</v>
      </c>
      <c r="AH2848">
        <v>15.8840574403588</v>
      </c>
      <c r="AI2848">
        <v>93.967232989697806</v>
      </c>
      <c r="AJ2848">
        <v>95.384206549003395</v>
      </c>
      <c r="AK2848">
        <v>15.992772787017</v>
      </c>
      <c r="AL2848">
        <v>82.196655310212293</v>
      </c>
      <c r="AM2848">
        <v>92.344548392764295</v>
      </c>
      <c r="AN2848">
        <v>0.99999994144941395</v>
      </c>
    </row>
    <row r="2849" spans="1:40" x14ac:dyDescent="0.3">
      <c r="A2849" t="str">
        <f>"20200111150411091"</f>
        <v>20200111150411091</v>
      </c>
      <c r="B2849" t="str">
        <f>"1578726251081050"</f>
        <v>1578726251081050</v>
      </c>
      <c r="C2849" t="s">
        <v>40</v>
      </c>
      <c r="D2849">
        <v>4.7888469999999996</v>
      </c>
      <c r="E2849">
        <v>0.51160799999999995</v>
      </c>
      <c r="F2849" t="s">
        <v>42</v>
      </c>
      <c r="G2849">
        <v>-256.303</v>
      </c>
      <c r="H2849">
        <v>1.0321129999999901</v>
      </c>
      <c r="I2849">
        <v>-58.045789999999997</v>
      </c>
      <c r="J2849">
        <v>-256.98719999999997</v>
      </c>
      <c r="K2849">
        <v>1.1063940000000001</v>
      </c>
      <c r="L2849">
        <v>-58.05518</v>
      </c>
      <c r="M2849">
        <v>0.99992820000000004</v>
      </c>
      <c r="N2849">
        <v>0</v>
      </c>
      <c r="O2849">
        <v>-3.5059100000000001E-3</v>
      </c>
      <c r="P2849">
        <v>0.99145950000000005</v>
      </c>
      <c r="Q2849">
        <v>0.1251343</v>
      </c>
      <c r="R2849">
        <v>3.6741759999999998E-2</v>
      </c>
      <c r="S2849">
        <v>3.0579679999999998</v>
      </c>
      <c r="T2849">
        <v>-0.26820189999999999</v>
      </c>
      <c r="U2849">
        <v>3.5369869999999998E-2</v>
      </c>
      <c r="V2849">
        <v>-4.1020359999999999E-2</v>
      </c>
      <c r="W2849">
        <v>0.13625670000000001</v>
      </c>
      <c r="X2849">
        <v>0.98982389999999998</v>
      </c>
      <c r="Y2849">
        <v>-1.500049E-2</v>
      </c>
      <c r="Z2849">
        <v>9.6344490000000002E-4</v>
      </c>
      <c r="AA2849">
        <v>0.99988699999999997</v>
      </c>
      <c r="AB2849">
        <v>34</v>
      </c>
      <c r="AC2849">
        <v>0.68419999999997505</v>
      </c>
      <c r="AD2849">
        <v>-7.4281000000000194E-2</v>
      </c>
      <c r="AE2849">
        <v>9.3900000000033401E-3</v>
      </c>
      <c r="AF2849">
        <v>-1.16515370062694E-2</v>
      </c>
      <c r="AG2849">
        <v>-7.4281000000000194E-2</v>
      </c>
      <c r="AH2849">
        <v>0.67619432606312202</v>
      </c>
      <c r="AI2849">
        <v>96.2679718838844</v>
      </c>
      <c r="AJ2849">
        <v>90.987168644838306</v>
      </c>
      <c r="AK2849">
        <v>0.68036180953634395</v>
      </c>
      <c r="AL2849">
        <v>82.168704616469896</v>
      </c>
      <c r="AM2849">
        <v>92.373098271586301</v>
      </c>
      <c r="AN2849">
        <v>0.99999995562031296</v>
      </c>
    </row>
    <row r="2850" spans="1:40" x14ac:dyDescent="0.3">
      <c r="A2850" t="str">
        <f>"20200111150411102"</f>
        <v>20200111150411102</v>
      </c>
      <c r="B2850" t="str">
        <f>"1578726251091786"</f>
        <v>1578726251091786</v>
      </c>
      <c r="C2850" t="s">
        <v>40</v>
      </c>
      <c r="D2850">
        <v>4.7379920000000002</v>
      </c>
      <c r="E2850">
        <v>0.51142940000000003</v>
      </c>
      <c r="F2850" t="s">
        <v>42</v>
      </c>
      <c r="G2850">
        <v>-256.00130000000001</v>
      </c>
      <c r="H2850">
        <v>1.0228349999999999</v>
      </c>
      <c r="I2850">
        <v>-58.045450000000002</v>
      </c>
      <c r="J2850">
        <v>-256.80599999999998</v>
      </c>
      <c r="K2850">
        <v>1.1062989999999999</v>
      </c>
      <c r="L2850">
        <v>-58.054720000000003</v>
      </c>
      <c r="M2850">
        <v>0.99993149999999997</v>
      </c>
      <c r="N2850">
        <v>0</v>
      </c>
      <c r="O2850">
        <v>-2.3577839999999999E-3</v>
      </c>
      <c r="P2850">
        <v>0.991309</v>
      </c>
      <c r="Q2850">
        <v>0.12580369999999999</v>
      </c>
      <c r="R2850">
        <v>3.8470419999999998E-2</v>
      </c>
      <c r="S2850">
        <v>3.0574189999999999</v>
      </c>
      <c r="T2850">
        <v>-0.25914670000000001</v>
      </c>
      <c r="U2850">
        <v>3.0639650000000001E-2</v>
      </c>
      <c r="V2850">
        <v>-4.158191E-2</v>
      </c>
      <c r="W2850">
        <v>0.13692889999999999</v>
      </c>
      <c r="X2850">
        <v>0.98970780000000003</v>
      </c>
      <c r="Y2850">
        <v>-1.232605E-2</v>
      </c>
      <c r="Z2850">
        <v>7.2092659999999998E-4</v>
      </c>
      <c r="AA2850">
        <v>0.99992380000000003</v>
      </c>
      <c r="AB2850">
        <v>34</v>
      </c>
      <c r="AC2850">
        <v>0.804699999999968</v>
      </c>
      <c r="AD2850">
        <v>-8.3463999999999899E-2</v>
      </c>
      <c r="AE2850">
        <v>9.2699999999936705E-3</v>
      </c>
      <c r="AF2850">
        <v>-1.10485633571066E-2</v>
      </c>
      <c r="AG2850">
        <v>-8.3463999999999899E-2</v>
      </c>
      <c r="AH2850">
        <v>0.79611248593692296</v>
      </c>
      <c r="AI2850">
        <v>95.984422517577102</v>
      </c>
      <c r="AJ2850">
        <v>90.795108008482501</v>
      </c>
      <c r="AK2850">
        <v>0.80055193480056197</v>
      </c>
      <c r="AL2850">
        <v>82.129826772746299</v>
      </c>
      <c r="AM2850">
        <v>92.405828854436905</v>
      </c>
      <c r="AN2850">
        <v>1.0000000541376399</v>
      </c>
    </row>
    <row r="2851" spans="1:40" x14ac:dyDescent="0.3">
      <c r="A2851" t="str">
        <f>"20200111150411113"</f>
        <v>20200111150411113</v>
      </c>
      <c r="B2851" t="str">
        <f>"1578726251101546"</f>
        <v>1578726251101546</v>
      </c>
      <c r="C2851" t="s">
        <v>40</v>
      </c>
      <c r="D2851">
        <v>4.7873109999999999</v>
      </c>
      <c r="E2851">
        <v>0.51130959999999903</v>
      </c>
      <c r="F2851" t="s">
        <v>42</v>
      </c>
      <c r="G2851">
        <v>-255.99109999999999</v>
      </c>
      <c r="H2851">
        <v>1.037598</v>
      </c>
      <c r="I2851">
        <v>-58.044879999999999</v>
      </c>
      <c r="J2851">
        <v>-256.64620000000002</v>
      </c>
      <c r="K2851">
        <v>1.1062149999999999</v>
      </c>
      <c r="L2851">
        <v>-58.054229999999997</v>
      </c>
      <c r="M2851">
        <v>0.99993330000000002</v>
      </c>
      <c r="N2851">
        <v>0</v>
      </c>
      <c r="O2851">
        <v>-1.384124E-3</v>
      </c>
      <c r="P2851">
        <v>0.99117849999999996</v>
      </c>
      <c r="Q2851">
        <v>0.12641069999999999</v>
      </c>
      <c r="R2851">
        <v>3.9818939999999997E-2</v>
      </c>
      <c r="S2851">
        <v>3.0575559999999999</v>
      </c>
      <c r="T2851">
        <v>-0.25776969999999999</v>
      </c>
      <c r="U2851">
        <v>3.7475590000000003E-2</v>
      </c>
      <c r="V2851">
        <v>-4.193935E-2</v>
      </c>
      <c r="W2851">
        <v>0.1375391</v>
      </c>
      <c r="X2851">
        <v>0.98960800000000004</v>
      </c>
      <c r="Y2851">
        <v>-1.358679E-2</v>
      </c>
      <c r="Z2851">
        <v>6.8817369999999995E-4</v>
      </c>
      <c r="AA2851">
        <v>0.9999074</v>
      </c>
      <c r="AB2851">
        <v>34</v>
      </c>
      <c r="AC2851">
        <v>0.65510000000003199</v>
      </c>
      <c r="AD2851">
        <v>-6.86169999999999E-2</v>
      </c>
      <c r="AE2851">
        <v>9.3499999999977403E-3</v>
      </c>
      <c r="AF2851">
        <v>-1.01455060893215E-2</v>
      </c>
      <c r="AG2851">
        <v>-6.86169999999999E-2</v>
      </c>
      <c r="AH2851">
        <v>0.64797886831602003</v>
      </c>
      <c r="AI2851">
        <v>96.044010290563705</v>
      </c>
      <c r="AJ2851">
        <v>90.897015650599499</v>
      </c>
      <c r="AK2851">
        <v>0.65168077903749699</v>
      </c>
      <c r="AL2851">
        <v>82.094530141867693</v>
      </c>
      <c r="AM2851">
        <v>92.426729269334899</v>
      </c>
      <c r="AN2851">
        <v>0.99999995338561498</v>
      </c>
    </row>
    <row r="2852" spans="1:40" x14ac:dyDescent="0.3">
      <c r="A2852" t="str">
        <f>"20200111150411125"</f>
        <v>20200111150411125</v>
      </c>
      <c r="B2852" t="str">
        <f>"1578726251121067"</f>
        <v>1578726251121067</v>
      </c>
      <c r="C2852" t="s">
        <v>40</v>
      </c>
      <c r="D2852">
        <v>4.8237920000000001</v>
      </c>
      <c r="E2852">
        <v>0.51159529999999998</v>
      </c>
      <c r="F2852" t="s">
        <v>42</v>
      </c>
      <c r="G2852">
        <v>-255.6925</v>
      </c>
      <c r="H2852">
        <v>1.0252300000000001</v>
      </c>
      <c r="I2852">
        <v>-58.041159999999998</v>
      </c>
      <c r="J2852">
        <v>-256.4504</v>
      </c>
      <c r="K2852">
        <v>1.106115</v>
      </c>
      <c r="L2852">
        <v>-58.053440000000002</v>
      </c>
      <c r="M2852">
        <v>0.99993430000000005</v>
      </c>
      <c r="N2852">
        <v>0</v>
      </c>
      <c r="O2852">
        <v>-2.5137860000000001E-4</v>
      </c>
      <c r="P2852">
        <v>0.99102659999999998</v>
      </c>
      <c r="Q2852">
        <v>0.1271398</v>
      </c>
      <c r="R2852">
        <v>4.1251950000000003E-2</v>
      </c>
      <c r="S2852">
        <v>3.0581049999999999</v>
      </c>
      <c r="T2852">
        <v>-0.25968059999999998</v>
      </c>
      <c r="U2852">
        <v>4.263306E-2</v>
      </c>
      <c r="V2852">
        <v>-4.2218110000000003E-2</v>
      </c>
      <c r="W2852">
        <v>0.13827400000000001</v>
      </c>
      <c r="X2852">
        <v>0.98949379999999998</v>
      </c>
      <c r="Y2852">
        <v>-1.4139240000000001E-2</v>
      </c>
      <c r="Z2852">
        <v>6.2052129999999996E-4</v>
      </c>
      <c r="AA2852">
        <v>0.99989989999999995</v>
      </c>
      <c r="AB2852">
        <v>34</v>
      </c>
      <c r="AC2852">
        <v>0.75790000000000601</v>
      </c>
      <c r="AD2852">
        <v>-8.0885000000000096E-2</v>
      </c>
      <c r="AE2852">
        <v>1.2280000000004E-2</v>
      </c>
      <c r="AF2852">
        <v>-1.2330132353648399E-2</v>
      </c>
      <c r="AG2852">
        <v>-8.0885000000000096E-2</v>
      </c>
      <c r="AH2852">
        <v>0.74936409907146895</v>
      </c>
      <c r="AI2852">
        <v>96.159724089100393</v>
      </c>
      <c r="AJ2852">
        <v>90.942666989597896</v>
      </c>
      <c r="AK2852">
        <v>0.75381759621678501</v>
      </c>
      <c r="AL2852">
        <v>82.052017835787495</v>
      </c>
      <c r="AM2852">
        <v>92.4431212275137</v>
      </c>
      <c r="AN2852">
        <v>1.0000000240632001</v>
      </c>
    </row>
    <row r="2853" spans="1:40" x14ac:dyDescent="0.3">
      <c r="A2853" t="str">
        <f>"20200111150411138"</f>
        <v>20200111150411138</v>
      </c>
      <c r="B2853" t="str">
        <f>"1578726251130827"</f>
        <v>1578726251130827</v>
      </c>
      <c r="C2853" t="s">
        <v>40</v>
      </c>
      <c r="D2853">
        <v>4.8221930000000004</v>
      </c>
      <c r="E2853">
        <v>0.51200179999999995</v>
      </c>
      <c r="F2853" t="s">
        <v>42</v>
      </c>
      <c r="G2853">
        <v>-255.67169999999999</v>
      </c>
      <c r="H2853">
        <v>1.0401039999999999</v>
      </c>
      <c r="I2853">
        <v>-58.042209999999997</v>
      </c>
      <c r="J2853">
        <v>-256.26510000000002</v>
      </c>
      <c r="K2853">
        <v>1.1060190000000001</v>
      </c>
      <c r="L2853">
        <v>-58.052520000000001</v>
      </c>
      <c r="M2853">
        <v>0.99993410000000005</v>
      </c>
      <c r="N2853">
        <v>0</v>
      </c>
      <c r="O2853">
        <v>7.3976550000000004E-4</v>
      </c>
      <c r="P2853">
        <v>0.99090370000000005</v>
      </c>
      <c r="Q2853">
        <v>0.1277422</v>
      </c>
      <c r="R2853">
        <v>4.2329619999999998E-2</v>
      </c>
      <c r="S2853">
        <v>3.0585629999999999</v>
      </c>
      <c r="T2853">
        <v>-0.2593008</v>
      </c>
      <c r="U2853">
        <v>4.4952390000000002E-2</v>
      </c>
      <c r="V2853">
        <v>-4.2282420000000001E-2</v>
      </c>
      <c r="W2853">
        <v>0.13888220000000001</v>
      </c>
      <c r="X2853">
        <v>0.98940589999999995</v>
      </c>
      <c r="Y2853">
        <v>-1.390867E-2</v>
      </c>
      <c r="Z2853">
        <v>5.2588720000000002E-4</v>
      </c>
      <c r="AA2853">
        <v>0.99990310000000004</v>
      </c>
      <c r="AB2853">
        <v>34</v>
      </c>
      <c r="AC2853">
        <v>0.59340000000003101</v>
      </c>
      <c r="AD2853">
        <v>-6.5914999999999904E-2</v>
      </c>
      <c r="AE2853">
        <v>1.03099999999969E-2</v>
      </c>
      <c r="AF2853">
        <v>-9.7507155596016897E-3</v>
      </c>
      <c r="AG2853">
        <v>-6.5914999999999904E-2</v>
      </c>
      <c r="AH2853">
        <v>0.58617691961728402</v>
      </c>
      <c r="AI2853">
        <v>96.415020265437704</v>
      </c>
      <c r="AJ2853">
        <v>90.952994410824402</v>
      </c>
      <c r="AK2853">
        <v>0.58995190038759304</v>
      </c>
      <c r="AL2853">
        <v>82.016831265853298</v>
      </c>
      <c r="AM2853">
        <v>92.447055381149298</v>
      </c>
      <c r="AN2853">
        <v>1.0000000517363501</v>
      </c>
    </row>
    <row r="2854" spans="1:40" x14ac:dyDescent="0.3">
      <c r="A2854" t="str">
        <f>"20200111150411149"</f>
        <v>20200111150411149</v>
      </c>
      <c r="B2854" t="str">
        <f>"1578726251141562"</f>
        <v>1578726251141562</v>
      </c>
      <c r="C2854" t="s">
        <v>40</v>
      </c>
      <c r="D2854">
        <v>4.7730129999999997</v>
      </c>
      <c r="E2854">
        <v>0.51207829999999999</v>
      </c>
      <c r="F2854" t="s">
        <v>42</v>
      </c>
      <c r="G2854">
        <v>-255.38130000000001</v>
      </c>
      <c r="H2854">
        <v>1.0310809999999999</v>
      </c>
      <c r="I2854">
        <v>-58.039749999999998</v>
      </c>
      <c r="J2854">
        <v>-256.08670000000001</v>
      </c>
      <c r="K2854">
        <v>1.1059239999999999</v>
      </c>
      <c r="L2854">
        <v>-58.051569999999998</v>
      </c>
      <c r="M2854">
        <v>0.99993299999999996</v>
      </c>
      <c r="N2854">
        <v>0</v>
      </c>
      <c r="O2854">
        <v>1.6637990000000001E-3</v>
      </c>
      <c r="P2854">
        <v>0.99078120000000003</v>
      </c>
      <c r="Q2854">
        <v>0.12844549999999999</v>
      </c>
      <c r="R2854">
        <v>4.3063900000000002E-2</v>
      </c>
      <c r="S2854">
        <v>3.0590519999999999</v>
      </c>
      <c r="T2854">
        <v>-0.25940930000000001</v>
      </c>
      <c r="U2854">
        <v>4.5257569999999997E-2</v>
      </c>
      <c r="V2854">
        <v>-4.2072480000000002E-2</v>
      </c>
      <c r="W2854">
        <v>0.13959289999999999</v>
      </c>
      <c r="X2854">
        <v>0.98931480000000005</v>
      </c>
      <c r="Y2854">
        <v>-1.3088280000000001E-2</v>
      </c>
      <c r="Z2854">
        <v>4.1308330000000001E-4</v>
      </c>
      <c r="AA2854">
        <v>0.99991430000000003</v>
      </c>
      <c r="AB2854">
        <v>34</v>
      </c>
      <c r="AC2854">
        <v>0.70539999999999703</v>
      </c>
      <c r="AD2854">
        <v>-7.4842999999999896E-2</v>
      </c>
      <c r="AE2854">
        <v>1.18200000000001E-2</v>
      </c>
      <c r="AF2854">
        <v>-1.0527782427512501E-2</v>
      </c>
      <c r="AG2854">
        <v>-7.4842999999999896E-2</v>
      </c>
      <c r="AH2854">
        <v>0.69756821073100805</v>
      </c>
      <c r="AI2854">
        <v>96.123220030757693</v>
      </c>
      <c r="AJ2854">
        <v>90.864649077365499</v>
      </c>
      <c r="AK2854">
        <v>0.70165070902429805</v>
      </c>
      <c r="AL2854">
        <v>81.975710363597102</v>
      </c>
      <c r="AM2854">
        <v>92.435143907804104</v>
      </c>
      <c r="AN2854">
        <v>1.0000000224014001</v>
      </c>
    </row>
    <row r="2855" spans="1:40" x14ac:dyDescent="0.3">
      <c r="A2855" t="str">
        <f>"20200111150411160"</f>
        <v>20200111150411160</v>
      </c>
      <c r="B2855" t="str">
        <f>"1578726251151322"</f>
        <v>1578726251151322</v>
      </c>
      <c r="C2855" t="s">
        <v>40</v>
      </c>
      <c r="D2855">
        <v>4.8562770000000004</v>
      </c>
      <c r="E2855">
        <v>0.51244449999999997</v>
      </c>
      <c r="F2855" t="s">
        <v>42</v>
      </c>
      <c r="G2855">
        <v>-255.0787</v>
      </c>
      <c r="H2855">
        <v>1.021134</v>
      </c>
      <c r="I2855">
        <v>-58.03613</v>
      </c>
      <c r="J2855">
        <v>-255.92859999999999</v>
      </c>
      <c r="K2855">
        <v>1.1058429999999999</v>
      </c>
      <c r="L2855">
        <v>-58.050569999999901</v>
      </c>
      <c r="M2855">
        <v>0.99993160000000003</v>
      </c>
      <c r="N2855">
        <v>0</v>
      </c>
      <c r="O2855">
        <v>2.403142E-3</v>
      </c>
      <c r="P2855">
        <v>0.99073639999999996</v>
      </c>
      <c r="Q2855">
        <v>0.12865080000000001</v>
      </c>
      <c r="R2855">
        <v>4.3481699999999998E-2</v>
      </c>
      <c r="S2855">
        <v>3.05925</v>
      </c>
      <c r="T2855">
        <v>-0.25737860000000001</v>
      </c>
      <c r="U2855">
        <v>4.6813960000000002E-2</v>
      </c>
      <c r="V2855">
        <v>-4.1730610000000001E-2</v>
      </c>
      <c r="W2855">
        <v>0.13980629999999999</v>
      </c>
      <c r="X2855">
        <v>0.98929909999999999</v>
      </c>
      <c r="Y2855">
        <v>-1.286064E-2</v>
      </c>
      <c r="Z2855">
        <v>3.3818249999999998E-4</v>
      </c>
      <c r="AA2855">
        <v>0.99991730000000001</v>
      </c>
      <c r="AB2855">
        <v>34</v>
      </c>
      <c r="AC2855">
        <v>0.84989999999999</v>
      </c>
      <c r="AD2855">
        <v>-8.4709000000000104E-2</v>
      </c>
      <c r="AE2855">
        <v>1.44399999999862E-2</v>
      </c>
      <c r="AF2855">
        <v>-1.2275484822377E-2</v>
      </c>
      <c r="AG2855">
        <v>-8.4709000000000104E-2</v>
      </c>
      <c r="AH2855">
        <v>0.84157447454579504</v>
      </c>
      <c r="AI2855">
        <v>95.747162278964396</v>
      </c>
      <c r="AJ2855">
        <v>90.835676008211706</v>
      </c>
      <c r="AK2855">
        <v>0.84591601144301298</v>
      </c>
      <c r="AL2855">
        <v>81.963361994230098</v>
      </c>
      <c r="AM2855">
        <v>92.415418380697602</v>
      </c>
      <c r="AN2855">
        <v>0.99999997729573498</v>
      </c>
    </row>
    <row r="2856" spans="1:40" x14ac:dyDescent="0.3">
      <c r="A2856" t="str">
        <f>"20200111150411170"</f>
        <v>20200111150411170</v>
      </c>
      <c r="B2856" t="str">
        <f>"1578726251161083"</f>
        <v>1578726251161083</v>
      </c>
      <c r="C2856" t="s">
        <v>40</v>
      </c>
      <c r="D2856">
        <v>4.8585120000000002</v>
      </c>
      <c r="E2856">
        <v>0.51291109999999995</v>
      </c>
      <c r="F2856" t="s">
        <v>42</v>
      </c>
      <c r="G2856">
        <v>-255.0711</v>
      </c>
      <c r="H2856">
        <v>1.0338689999999999</v>
      </c>
      <c r="I2856">
        <v>-58.0379</v>
      </c>
      <c r="J2856">
        <v>-255.7577</v>
      </c>
      <c r="K2856">
        <v>1.105756</v>
      </c>
      <c r="L2856">
        <v>-58.049439999999997</v>
      </c>
      <c r="M2856">
        <v>0.99992939999999997</v>
      </c>
      <c r="N2856">
        <v>0</v>
      </c>
      <c r="O2856">
        <v>3.185869E-3</v>
      </c>
      <c r="P2856">
        <v>0.99068489999999998</v>
      </c>
      <c r="Q2856">
        <v>0.128911</v>
      </c>
      <c r="R2856">
        <v>4.3881290000000003E-2</v>
      </c>
      <c r="S2856">
        <v>3.059418</v>
      </c>
      <c r="T2856">
        <v>-0.25682060000000001</v>
      </c>
      <c r="U2856">
        <v>4.5135500000000002E-2</v>
      </c>
      <c r="V2856">
        <v>-4.1325689999999998E-2</v>
      </c>
      <c r="W2856">
        <v>0.14007449999999999</v>
      </c>
      <c r="X2856">
        <v>0.9892782</v>
      </c>
      <c r="Y2856">
        <v>-1.15362E-2</v>
      </c>
      <c r="Z2856">
        <v>2.1635550000000001E-4</v>
      </c>
      <c r="AA2856">
        <v>0.99993339999999997</v>
      </c>
      <c r="AB2856">
        <v>34</v>
      </c>
      <c r="AC2856">
        <v>0.68659999999999799</v>
      </c>
      <c r="AD2856">
        <v>-7.1886999999999798E-2</v>
      </c>
      <c r="AE2856">
        <v>1.1540000000003599E-2</v>
      </c>
      <c r="AF2856">
        <v>-9.2509988470399693E-3</v>
      </c>
      <c r="AG2856">
        <v>-7.1886999999999798E-2</v>
      </c>
      <c r="AH2856">
        <v>0.67919004682544704</v>
      </c>
      <c r="AI2856">
        <v>96.041263447786093</v>
      </c>
      <c r="AJ2856">
        <v>90.780356570560102</v>
      </c>
      <c r="AK2856">
        <v>0.68304644165343598</v>
      </c>
      <c r="AL2856">
        <v>81.947842880042401</v>
      </c>
      <c r="AM2856">
        <v>92.392058952147394</v>
      </c>
      <c r="AN2856">
        <v>1.0000000175997299</v>
      </c>
    </row>
    <row r="2857" spans="1:40" x14ac:dyDescent="0.3">
      <c r="A2857" t="str">
        <f>"20200111150411180"</f>
        <v>20200111150411180</v>
      </c>
      <c r="B2857" t="str">
        <f>"1578726251170844"</f>
        <v>1578726251170844</v>
      </c>
      <c r="C2857" t="s">
        <v>40</v>
      </c>
      <c r="D2857">
        <v>4.7899269999999996</v>
      </c>
      <c r="E2857">
        <v>0.51321170000000005</v>
      </c>
      <c r="F2857" t="s">
        <v>42</v>
      </c>
      <c r="G2857">
        <v>-254.76990000000001</v>
      </c>
      <c r="H2857">
        <v>1.022661</v>
      </c>
      <c r="I2857">
        <v>-58.035890000000002</v>
      </c>
      <c r="J2857">
        <v>-255.60169999999999</v>
      </c>
      <c r="K2857">
        <v>1.1056820000000001</v>
      </c>
      <c r="L2857">
        <v>-58.048310000000001</v>
      </c>
      <c r="M2857">
        <v>0.99992720000000002</v>
      </c>
      <c r="N2857">
        <v>0</v>
      </c>
      <c r="O2857">
        <v>3.8428630000000002E-3</v>
      </c>
      <c r="P2857">
        <v>0.99066750000000003</v>
      </c>
      <c r="Q2857">
        <v>0.1290396</v>
      </c>
      <c r="R2857">
        <v>4.389829E-2</v>
      </c>
      <c r="S2857">
        <v>3.0598139999999998</v>
      </c>
      <c r="T2857">
        <v>-0.25742229999999999</v>
      </c>
      <c r="U2857">
        <v>4.2663569999999998E-2</v>
      </c>
      <c r="V2857">
        <v>-4.0666349999999997E-2</v>
      </c>
      <c r="W2857">
        <v>0.1402119</v>
      </c>
      <c r="X2857">
        <v>0.98928609999999995</v>
      </c>
      <c r="Y2857">
        <v>-1.0076979999999999E-2</v>
      </c>
      <c r="Z2857">
        <v>1.0038729999999999E-4</v>
      </c>
      <c r="AA2857">
        <v>0.99994919999999998</v>
      </c>
      <c r="AB2857">
        <v>35</v>
      </c>
      <c r="AC2857">
        <v>0.83179999999998699</v>
      </c>
      <c r="AD2857">
        <v>-8.3020999999999998E-2</v>
      </c>
      <c r="AE2857">
        <v>1.2419999999998699E-2</v>
      </c>
      <c r="AF2857">
        <v>-9.1322522736776695E-3</v>
      </c>
      <c r="AG2857">
        <v>-8.3020999999999998E-2</v>
      </c>
      <c r="AH2857">
        <v>0.82363849066429196</v>
      </c>
      <c r="AI2857">
        <v>95.755499741677497</v>
      </c>
      <c r="AJ2857">
        <v>90.635252089860202</v>
      </c>
      <c r="AK2857">
        <v>0.82786245704002204</v>
      </c>
      <c r="AL2857">
        <v>81.939892304675197</v>
      </c>
      <c r="AM2857">
        <v>92.353918812234696</v>
      </c>
      <c r="AN2857">
        <v>1.00000005828856</v>
      </c>
    </row>
    <row r="2858" spans="1:40" x14ac:dyDescent="0.3">
      <c r="A2858" t="str">
        <f>"20200111150411192"</f>
        <v>20200111150411192</v>
      </c>
      <c r="B2858" t="str">
        <f>"1578726251181580"</f>
        <v>1578726251181580</v>
      </c>
      <c r="C2858" t="s">
        <v>40</v>
      </c>
      <c r="D2858">
        <v>4.8312629999999999</v>
      </c>
      <c r="E2858">
        <v>0.51368340000000001</v>
      </c>
      <c r="F2858" t="s">
        <v>42</v>
      </c>
      <c r="G2858">
        <v>-254.76169999999999</v>
      </c>
      <c r="H2858">
        <v>1.035706</v>
      </c>
      <c r="I2858">
        <v>-58.037460000000003</v>
      </c>
      <c r="J2858">
        <v>-255.4374</v>
      </c>
      <c r="K2858">
        <v>1.1056049999999999</v>
      </c>
      <c r="L2858">
        <v>-58.047089999999997</v>
      </c>
      <c r="M2858">
        <v>0.99992440000000005</v>
      </c>
      <c r="N2858">
        <v>0</v>
      </c>
      <c r="O2858">
        <v>4.5163929999999996E-3</v>
      </c>
      <c r="P2858">
        <v>0.99065709999999996</v>
      </c>
      <c r="Q2858">
        <v>0.1290994</v>
      </c>
      <c r="R2858">
        <v>4.3954769999999997E-2</v>
      </c>
      <c r="S2858">
        <v>3.0596770000000002</v>
      </c>
      <c r="T2858">
        <v>-0.25490000000000002</v>
      </c>
      <c r="U2858">
        <v>4.0344240000000003E-2</v>
      </c>
      <c r="V2858">
        <v>-4.0028649999999999E-2</v>
      </c>
      <c r="W2858">
        <v>0.1402803</v>
      </c>
      <c r="X2858">
        <v>0.98930229999999997</v>
      </c>
      <c r="Y2858">
        <v>-8.6538750000000001E-3</v>
      </c>
      <c r="Z2858" s="1">
        <v>-1.5776339999999999E-5</v>
      </c>
      <c r="AA2858">
        <v>0.99996260000000003</v>
      </c>
      <c r="AB2858">
        <v>35</v>
      </c>
      <c r="AC2858">
        <v>0.67570000000000596</v>
      </c>
      <c r="AD2858">
        <v>-6.9898999999999906E-2</v>
      </c>
      <c r="AE2858">
        <v>9.6300000000084599E-3</v>
      </c>
      <c r="AF2858">
        <v>-6.5083422380304698E-3</v>
      </c>
      <c r="AG2858">
        <v>-6.9898999999999906E-2</v>
      </c>
      <c r="AH2858">
        <v>0.66858338532001305</v>
      </c>
      <c r="AI2858">
        <v>95.968191008915596</v>
      </c>
      <c r="AJ2858">
        <v>90.557729629414098</v>
      </c>
      <c r="AK2858">
        <v>0.67225885776660199</v>
      </c>
      <c r="AL2858">
        <v>81.935933259314098</v>
      </c>
      <c r="AM2858">
        <v>92.317009027077802</v>
      </c>
      <c r="AN2858">
        <v>0.99999994808709902</v>
      </c>
    </row>
    <row r="2859" spans="1:40" x14ac:dyDescent="0.3">
      <c r="A2859" t="str">
        <f>"20200111150411213"</f>
        <v>20200111150411213</v>
      </c>
      <c r="B2859" t="str">
        <f>"1578726251201099"</f>
        <v>1578726251201099</v>
      </c>
      <c r="C2859" t="s">
        <v>40</v>
      </c>
      <c r="D2859">
        <v>4.8007339999999896</v>
      </c>
      <c r="E2859">
        <v>0.51375899999999997</v>
      </c>
      <c r="F2859" t="s">
        <v>42</v>
      </c>
      <c r="G2859">
        <v>-254.46119999999999</v>
      </c>
      <c r="H2859">
        <v>1.0235620000000001</v>
      </c>
      <c r="I2859">
        <v>-58.035269999999997</v>
      </c>
      <c r="J2859">
        <v>-255.11070000000001</v>
      </c>
      <c r="K2859">
        <v>1.1054649999999999</v>
      </c>
      <c r="L2859">
        <v>-58.044310000000003</v>
      </c>
      <c r="M2859">
        <v>0.99991799999999997</v>
      </c>
      <c r="N2859">
        <v>0</v>
      </c>
      <c r="O2859">
        <v>5.7419119999999896E-3</v>
      </c>
      <c r="P2859">
        <v>0.99080330000000005</v>
      </c>
      <c r="Q2859">
        <v>0.12797720000000001</v>
      </c>
      <c r="R2859">
        <v>4.3942189999999999E-2</v>
      </c>
      <c r="S2859">
        <v>3.060181</v>
      </c>
      <c r="T2859">
        <v>-0.25715120000000002</v>
      </c>
      <c r="U2859">
        <v>3.7109379999999997E-2</v>
      </c>
      <c r="V2859">
        <v>-3.874971E-2</v>
      </c>
      <c r="W2859">
        <v>0.13917449999999901</v>
      </c>
      <c r="X2859">
        <v>0.98950939999999998</v>
      </c>
      <c r="Y2859">
        <v>-6.3813209999999997E-3</v>
      </c>
      <c r="Z2859">
        <v>-2.1402570000000001E-4</v>
      </c>
      <c r="AA2859">
        <v>0.99997959999999997</v>
      </c>
      <c r="AB2859">
        <v>35</v>
      </c>
      <c r="AC2859">
        <v>0.64950000000001695</v>
      </c>
      <c r="AD2859">
        <v>-8.1902999999999795E-2</v>
      </c>
      <c r="AE2859">
        <v>9.0399999999988198E-3</v>
      </c>
      <c r="AF2859">
        <v>-5.2271310303690201E-3</v>
      </c>
      <c r="AG2859">
        <v>-8.1902999999999795E-2</v>
      </c>
      <c r="AH2859">
        <v>0.63937605749862902</v>
      </c>
      <c r="AI2859">
        <v>97.299497555508097</v>
      </c>
      <c r="AJ2859">
        <v>90.468403330727696</v>
      </c>
      <c r="AK2859">
        <v>0.64462172412221697</v>
      </c>
      <c r="AL2859">
        <v>81.999918788066395</v>
      </c>
      <c r="AM2859">
        <v>92.242587042809205</v>
      </c>
      <c r="AN2859">
        <v>0.99999996708184602</v>
      </c>
    </row>
    <row r="2860" spans="1:40" x14ac:dyDescent="0.3">
      <c r="A2860" t="str">
        <f>"20200111150411224"</f>
        <v>20200111150411224</v>
      </c>
      <c r="B2860" t="str">
        <f>"1578726251221595"</f>
        <v>1578726251221595</v>
      </c>
      <c r="C2860" t="s">
        <v>40</v>
      </c>
      <c r="D2860">
        <v>4.8190929999999996</v>
      </c>
      <c r="E2860">
        <v>0.51460249999999996</v>
      </c>
      <c r="F2860" t="s">
        <v>42</v>
      </c>
      <c r="G2860">
        <v>-254.1524</v>
      </c>
      <c r="H2860">
        <v>1.024092</v>
      </c>
      <c r="I2860">
        <v>-58.032899999999998</v>
      </c>
      <c r="J2860">
        <v>-254.93199999999999</v>
      </c>
      <c r="K2860">
        <v>1.1053930000000001</v>
      </c>
      <c r="L2860">
        <v>-58.04269</v>
      </c>
      <c r="M2860">
        <v>0.99991430000000003</v>
      </c>
      <c r="N2860">
        <v>0</v>
      </c>
      <c r="O2860">
        <v>6.3665019999999996E-3</v>
      </c>
      <c r="P2860">
        <v>0.99087199999999998</v>
      </c>
      <c r="Q2860">
        <v>0.1274053</v>
      </c>
      <c r="R2860">
        <v>4.4056900000000003E-2</v>
      </c>
      <c r="S2860">
        <v>3.0597530000000002</v>
      </c>
      <c r="T2860">
        <v>-0.25983050000000002</v>
      </c>
      <c r="U2860">
        <v>3.6834720000000001E-2</v>
      </c>
      <c r="V2860">
        <v>-3.8220530000000003E-2</v>
      </c>
      <c r="W2860">
        <v>0.13861019999999999</v>
      </c>
      <c r="X2860">
        <v>0.98960919999999997</v>
      </c>
      <c r="Y2860">
        <v>-5.6733819999999898E-3</v>
      </c>
      <c r="Z2860">
        <v>-2.992254E-4</v>
      </c>
      <c r="AA2860">
        <v>0.99998379999999998</v>
      </c>
      <c r="AB2860">
        <v>35</v>
      </c>
      <c r="AC2860">
        <v>0.77960000000001595</v>
      </c>
      <c r="AD2860">
        <v>-8.1300999999999998E-2</v>
      </c>
      <c r="AE2860">
        <v>9.7900000000023992E-3</v>
      </c>
      <c r="AF2860">
        <v>-4.7742379198793504E-3</v>
      </c>
      <c r="AG2860">
        <v>-8.1300999999999998E-2</v>
      </c>
      <c r="AH2860">
        <v>0.77126003600146098</v>
      </c>
      <c r="AI2860">
        <v>96.017394801775794</v>
      </c>
      <c r="AJ2860">
        <v>90.354666619039904</v>
      </c>
      <c r="AK2860">
        <v>0.77554799276491604</v>
      </c>
      <c r="AL2860">
        <v>82.032567368006497</v>
      </c>
      <c r="AM2860">
        <v>92.211769245142705</v>
      </c>
      <c r="AN2860">
        <v>0.99999998259108003</v>
      </c>
    </row>
    <row r="2861" spans="1:40" x14ac:dyDescent="0.3">
      <c r="A2861" t="str">
        <f>"20200111150411237"</f>
        <v>20200111150411237</v>
      </c>
      <c r="B2861" t="str">
        <f>"1578726251231355"</f>
        <v>1578726251231355</v>
      </c>
      <c r="C2861" t="s">
        <v>40</v>
      </c>
      <c r="D2861">
        <v>4.8039199999999997</v>
      </c>
      <c r="E2861">
        <v>0.51497740000000003</v>
      </c>
      <c r="F2861" t="s">
        <v>42</v>
      </c>
      <c r="G2861">
        <v>-254.1438</v>
      </c>
      <c r="H2861">
        <v>1.037649</v>
      </c>
      <c r="I2861">
        <v>-58.034930000000003</v>
      </c>
      <c r="J2861">
        <v>-254.7475</v>
      </c>
      <c r="K2861">
        <v>1.105329</v>
      </c>
      <c r="L2861">
        <v>-58.0409199999999</v>
      </c>
      <c r="M2861">
        <v>0.99991019999999997</v>
      </c>
      <c r="N2861">
        <v>0</v>
      </c>
      <c r="O2861">
        <v>6.9828540000000001E-3</v>
      </c>
      <c r="P2861">
        <v>0.99096519999999999</v>
      </c>
      <c r="Q2861">
        <v>0.12653800000000001</v>
      </c>
      <c r="R2861">
        <v>4.4454630000000002E-2</v>
      </c>
      <c r="S2861">
        <v>3.0600890000000001</v>
      </c>
      <c r="T2861">
        <v>-0.26305840000000003</v>
      </c>
      <c r="U2861">
        <v>3.0639650000000001E-2</v>
      </c>
      <c r="V2861">
        <v>-3.7983059999999999E-2</v>
      </c>
      <c r="W2861">
        <v>0.13774929999999999</v>
      </c>
      <c r="X2861">
        <v>0.98973860000000002</v>
      </c>
      <c r="Y2861">
        <v>-3.043488E-3</v>
      </c>
      <c r="Z2861">
        <v>-4.6861500000000003E-4</v>
      </c>
      <c r="AA2861">
        <v>0.99999519999999997</v>
      </c>
      <c r="AB2861">
        <v>35</v>
      </c>
      <c r="AC2861">
        <v>0.60370000000000301</v>
      </c>
      <c r="AD2861">
        <v>-6.7679999999999907E-2</v>
      </c>
      <c r="AE2861">
        <v>5.98999999998994E-3</v>
      </c>
      <c r="AF2861">
        <v>-1.7520114618086999E-3</v>
      </c>
      <c r="AG2861">
        <v>-6.7679999999999907E-2</v>
      </c>
      <c r="AH2861">
        <v>0.59623416621927805</v>
      </c>
      <c r="AI2861">
        <v>96.476036564305502</v>
      </c>
      <c r="AJ2861">
        <v>90.168360988330406</v>
      </c>
      <c r="AK2861">
        <v>0.60006569049676595</v>
      </c>
      <c r="AL2861">
        <v>82.082371518442798</v>
      </c>
      <c r="AM2861">
        <v>92.197753612046697</v>
      </c>
      <c r="AN2861">
        <v>1.0000000394137001</v>
      </c>
    </row>
    <row r="2862" spans="1:40" x14ac:dyDescent="0.3">
      <c r="A2862" t="str">
        <f>"20200111150411247"</f>
        <v>20200111150411247</v>
      </c>
      <c r="B2862" t="str">
        <f>"1578726251241114"</f>
        <v>1578726251241114</v>
      </c>
      <c r="C2862" t="s">
        <v>40</v>
      </c>
      <c r="D2862">
        <v>4.833278</v>
      </c>
      <c r="E2862">
        <v>0.5153105</v>
      </c>
      <c r="F2862" t="s">
        <v>42</v>
      </c>
      <c r="G2862">
        <v>-253.8425</v>
      </c>
      <c r="H2862">
        <v>1.026966</v>
      </c>
      <c r="I2862">
        <v>-58.032449999999997</v>
      </c>
      <c r="J2862">
        <v>-254.56540000000001</v>
      </c>
      <c r="K2862">
        <v>1.105264</v>
      </c>
      <c r="L2862">
        <v>-58.039090000000002</v>
      </c>
      <c r="M2862">
        <v>0.99990579999999996</v>
      </c>
      <c r="N2862">
        <v>0</v>
      </c>
      <c r="O2862">
        <v>7.5768959999999996E-3</v>
      </c>
      <c r="P2862">
        <v>0.99103059999999998</v>
      </c>
      <c r="Q2862">
        <v>0.12583939999999999</v>
      </c>
      <c r="R2862">
        <v>4.4975840000000003E-2</v>
      </c>
      <c r="S2862">
        <v>3.0598909999999999</v>
      </c>
      <c r="T2862">
        <v>-0.2649125</v>
      </c>
      <c r="U2862">
        <v>2.8564450000000002E-2</v>
      </c>
      <c r="V2862">
        <v>-3.7894230000000001E-2</v>
      </c>
      <c r="W2862">
        <v>0.13705639999999999</v>
      </c>
      <c r="X2862">
        <v>0.9898382</v>
      </c>
      <c r="Y2862">
        <v>-1.7790729999999999E-3</v>
      </c>
      <c r="Z2862">
        <v>-5.7790269999999995E-4</v>
      </c>
      <c r="AA2862">
        <v>0.99999830000000001</v>
      </c>
      <c r="AB2862">
        <v>35</v>
      </c>
      <c r="AC2862">
        <v>0.72290000000000898</v>
      </c>
      <c r="AD2862">
        <v>-7.8297999999999895E-2</v>
      </c>
      <c r="AE2862">
        <v>6.6400000000044201E-3</v>
      </c>
      <c r="AF2862">
        <v>-1.1486386548616599E-3</v>
      </c>
      <c r="AG2862">
        <v>-7.8297999999999895E-2</v>
      </c>
      <c r="AH2862">
        <v>0.71454771795793603</v>
      </c>
      <c r="AI2862">
        <v>96.253343383914</v>
      </c>
      <c r="AJ2862">
        <v>90.092103142683797</v>
      </c>
      <c r="AK2862">
        <v>0.71882566552235305</v>
      </c>
      <c r="AL2862">
        <v>82.122451966689994</v>
      </c>
      <c r="AM2862">
        <v>92.192398393517095</v>
      </c>
      <c r="AN2862">
        <v>1.0000000458137399</v>
      </c>
    </row>
    <row r="2863" spans="1:40" x14ac:dyDescent="0.3">
      <c r="A2863" t="str">
        <f>"20200111150411260"</f>
        <v>20200111150411260</v>
      </c>
      <c r="B2863" t="str">
        <f>"1578726251251851"</f>
        <v>1578726251251851</v>
      </c>
      <c r="C2863" t="s">
        <v>40</v>
      </c>
      <c r="D2863">
        <v>4.8507259999999999</v>
      </c>
      <c r="E2863">
        <v>0.51573389999999997</v>
      </c>
      <c r="F2863" t="s">
        <v>42</v>
      </c>
      <c r="G2863">
        <v>-253.8322</v>
      </c>
      <c r="H2863">
        <v>1.041312</v>
      </c>
      <c r="I2863">
        <v>-58.032499999999999</v>
      </c>
      <c r="J2863">
        <v>-254.38470000000001</v>
      </c>
      <c r="K2863">
        <v>1.1052150000000001</v>
      </c>
      <c r="L2863">
        <v>-58.037140000000001</v>
      </c>
      <c r="M2863">
        <v>0.9999015</v>
      </c>
      <c r="N2863">
        <v>0</v>
      </c>
      <c r="O2863">
        <v>8.1389849999999996E-3</v>
      </c>
      <c r="P2863">
        <v>0.99106919999999998</v>
      </c>
      <c r="Q2863">
        <v>0.1252093</v>
      </c>
      <c r="R2863">
        <v>4.5878929999999998E-2</v>
      </c>
      <c r="S2863">
        <v>3.0597989999999999</v>
      </c>
      <c r="T2863">
        <v>-0.26687719999999998</v>
      </c>
      <c r="U2863">
        <v>2.7404789999999998E-2</v>
      </c>
      <c r="V2863">
        <v>-3.8223260000000002E-2</v>
      </c>
      <c r="W2863">
        <v>0.1364282</v>
      </c>
      <c r="X2863">
        <v>0.98991229999999997</v>
      </c>
      <c r="Y2863">
        <v>-8.4424599999999999E-4</v>
      </c>
      <c r="Z2863">
        <v>-6.7181399999999996E-4</v>
      </c>
      <c r="AA2863">
        <v>0.99999939999999998</v>
      </c>
      <c r="AB2863">
        <v>35</v>
      </c>
      <c r="AC2863">
        <v>0.55250000000000898</v>
      </c>
      <c r="AD2863">
        <v>-6.3903000000000001E-2</v>
      </c>
      <c r="AE2863">
        <v>4.6400000000019698E-3</v>
      </c>
      <c r="AF2863">
        <v>-1.40878597333564E-4</v>
      </c>
      <c r="AG2863">
        <v>-6.3903000000000001E-2</v>
      </c>
      <c r="AH2863">
        <v>0.54522616648772404</v>
      </c>
      <c r="AI2863">
        <v>96.684828840867596</v>
      </c>
      <c r="AJ2863">
        <v>90.014804404790894</v>
      </c>
      <c r="AK2863">
        <v>0.54895827334933001</v>
      </c>
      <c r="AL2863">
        <v>82.158786245858096</v>
      </c>
      <c r="AM2863">
        <v>92.2112504748047</v>
      </c>
      <c r="AN2863">
        <v>1.0000000165257701</v>
      </c>
    </row>
    <row r="2864" spans="1:40" x14ac:dyDescent="0.3">
      <c r="A2864" t="str">
        <f>"20200111150411272"</f>
        <v>20200111150411272</v>
      </c>
      <c r="B2864" t="str">
        <f>"1578726251261611"</f>
        <v>1578726251261611</v>
      </c>
      <c r="C2864" t="s">
        <v>40</v>
      </c>
      <c r="D2864">
        <v>4.8672170000000001</v>
      </c>
      <c r="E2864">
        <v>0.51573389999999997</v>
      </c>
      <c r="F2864" t="s">
        <v>42</v>
      </c>
      <c r="G2864">
        <v>-253.53210000000001</v>
      </c>
      <c r="H2864">
        <v>1.030268</v>
      </c>
      <c r="I2864">
        <v>-58.03</v>
      </c>
      <c r="J2864">
        <v>-254.19649999999999</v>
      </c>
      <c r="K2864">
        <v>1.1051709999999999</v>
      </c>
      <c r="L2864">
        <v>-58.035029999999999</v>
      </c>
      <c r="M2864">
        <v>0.99989669999999997</v>
      </c>
      <c r="N2864">
        <v>0</v>
      </c>
      <c r="O2864">
        <v>8.7187310000000004E-3</v>
      </c>
      <c r="P2864">
        <v>0.99113910000000005</v>
      </c>
      <c r="Q2864">
        <v>0.1245303</v>
      </c>
      <c r="R2864">
        <v>4.6215699999999998E-2</v>
      </c>
      <c r="S2864">
        <v>3.0598299999999998</v>
      </c>
      <c r="T2864">
        <v>-0.26896819999999999</v>
      </c>
      <c r="U2864">
        <v>2.6367189999999999E-2</v>
      </c>
      <c r="V2864">
        <v>-3.7968139999999997E-2</v>
      </c>
      <c r="W2864">
        <v>0.1357536</v>
      </c>
      <c r="X2864">
        <v>0.99001490000000003</v>
      </c>
      <c r="Y2864" s="1">
        <v>6.8534560000000003E-5</v>
      </c>
      <c r="Z2864">
        <v>-7.6795569999999998E-4</v>
      </c>
      <c r="AA2864">
        <v>0.99999970000000005</v>
      </c>
      <c r="AB2864">
        <v>35</v>
      </c>
      <c r="AC2864">
        <v>0.66439999999997201</v>
      </c>
      <c r="AD2864">
        <v>-7.49029999999999E-2</v>
      </c>
      <c r="AE2864">
        <v>5.0300000000049697E-3</v>
      </c>
      <c r="AF2864">
        <v>7.5371527828945795E-4</v>
      </c>
      <c r="AG2864">
        <v>-7.49029999999999E-2</v>
      </c>
      <c r="AH2864">
        <v>0.65608041984792198</v>
      </c>
      <c r="AI2864">
        <v>96.513106260004903</v>
      </c>
      <c r="AJ2864">
        <v>89.934177756116398</v>
      </c>
      <c r="AK2864">
        <v>0.66034274797528203</v>
      </c>
      <c r="AL2864">
        <v>82.197801306236997</v>
      </c>
      <c r="AM2864">
        <v>92.196278643162501</v>
      </c>
      <c r="AN2864">
        <v>1.0000000608950099</v>
      </c>
    </row>
    <row r="2865" spans="1:40" x14ac:dyDescent="0.3">
      <c r="A2865" t="str">
        <f>"20200111150411284"</f>
        <v>20200111150411284</v>
      </c>
      <c r="B2865" t="str">
        <f>"1578726251281130"</f>
        <v>1578726251281130</v>
      </c>
      <c r="C2865" t="s">
        <v>40</v>
      </c>
      <c r="D2865">
        <v>4.8248300000000004</v>
      </c>
      <c r="E2865">
        <v>0.51602269999999995</v>
      </c>
      <c r="F2865" t="s">
        <v>42</v>
      </c>
      <c r="G2865">
        <v>-253.2285</v>
      </c>
      <c r="H2865">
        <v>1.019415</v>
      </c>
      <c r="I2865">
        <v>-58.026319999999998</v>
      </c>
      <c r="J2865">
        <v>-254.00380000000001</v>
      </c>
      <c r="K2865">
        <v>1.1051340000000001</v>
      </c>
      <c r="L2865">
        <v>-58.032809999999998</v>
      </c>
      <c r="M2865">
        <v>0.99989150000000004</v>
      </c>
      <c r="N2865">
        <v>0</v>
      </c>
      <c r="O2865">
        <v>9.2996820000000001E-3</v>
      </c>
      <c r="P2865">
        <v>0.99118740000000005</v>
      </c>
      <c r="Q2865">
        <v>0.12403690000000001</v>
      </c>
      <c r="R2865">
        <v>4.6505049999999999E-2</v>
      </c>
      <c r="S2865">
        <v>3.0595859999999999</v>
      </c>
      <c r="T2865">
        <v>-0.27107809999999999</v>
      </c>
      <c r="U2865">
        <v>2.7435299999999999E-2</v>
      </c>
      <c r="V2865">
        <v>-3.766808E-2</v>
      </c>
      <c r="W2865">
        <v>0.13526179999999999</v>
      </c>
      <c r="X2865">
        <v>0.99009360000000002</v>
      </c>
      <c r="Y2865">
        <v>2.9607679999999999E-4</v>
      </c>
      <c r="Z2865">
        <v>-8.354476E-4</v>
      </c>
      <c r="AA2865">
        <v>0.99999959999999999</v>
      </c>
      <c r="AB2865">
        <v>35</v>
      </c>
      <c r="AC2865">
        <v>0.77530000000001498</v>
      </c>
      <c r="AD2865">
        <v>-8.5719000000000101E-2</v>
      </c>
      <c r="AE2865">
        <v>6.4899999999994398E-3</v>
      </c>
      <c r="AF2865">
        <v>7.1209064267019004E-4</v>
      </c>
      <c r="AG2865">
        <v>-8.5719000000000101E-2</v>
      </c>
      <c r="AH2865">
        <v>0.76596430891146305</v>
      </c>
      <c r="AI2865">
        <v>96.385394928648097</v>
      </c>
      <c r="AJ2865">
        <v>89.946734102063203</v>
      </c>
      <c r="AK2865">
        <v>0.77074611679871496</v>
      </c>
      <c r="AL2865">
        <v>82.226241123038093</v>
      </c>
      <c r="AM2865">
        <v>92.178765346452806</v>
      </c>
      <c r="AN2865">
        <v>0.999999987775543</v>
      </c>
    </row>
    <row r="2866" spans="1:40" x14ac:dyDescent="0.3">
      <c r="A2866" t="str">
        <f>"20200111150411298"</f>
        <v>20200111150411298</v>
      </c>
      <c r="B2866" t="str">
        <f>"1578726251290893"</f>
        <v>1578726251290893</v>
      </c>
      <c r="C2866" t="s">
        <v>40</v>
      </c>
      <c r="D2866">
        <v>4.926539</v>
      </c>
      <c r="E2866">
        <v>0.51651469999999999</v>
      </c>
      <c r="F2866" t="s">
        <v>42</v>
      </c>
      <c r="G2866">
        <v>-253.2199</v>
      </c>
      <c r="H2866">
        <v>1.035509</v>
      </c>
      <c r="I2866">
        <v>-58.026049999999998</v>
      </c>
      <c r="J2866">
        <v>-253.80500000000001</v>
      </c>
      <c r="K2866">
        <v>1.1051010000000001</v>
      </c>
      <c r="L2866">
        <v>-58.030360000000002</v>
      </c>
      <c r="M2866">
        <v>0.99988580000000005</v>
      </c>
      <c r="N2866">
        <v>0</v>
      </c>
      <c r="O2866">
        <v>9.8926069999999994E-3</v>
      </c>
      <c r="P2866">
        <v>0.99120129999999995</v>
      </c>
      <c r="Q2866">
        <v>0.1238028</v>
      </c>
      <c r="R2866">
        <v>4.6832600000000002E-2</v>
      </c>
      <c r="S2866">
        <v>3.0594329999999998</v>
      </c>
      <c r="T2866">
        <v>-0.27171440000000002</v>
      </c>
      <c r="U2866">
        <v>2.624512E-2</v>
      </c>
      <c r="V2866">
        <v>-3.7396890000000002E-2</v>
      </c>
      <c r="W2866">
        <v>0.13502600000000001</v>
      </c>
      <c r="X2866">
        <v>0.99013609999999996</v>
      </c>
      <c r="Y2866">
        <v>1.27126E-3</v>
      </c>
      <c r="Z2866">
        <v>-9.3321780000000002E-4</v>
      </c>
      <c r="AA2866">
        <v>0.99999870000000002</v>
      </c>
      <c r="AB2866">
        <v>35</v>
      </c>
      <c r="AC2866">
        <v>0.58510000000001094</v>
      </c>
      <c r="AD2866">
        <v>-6.9592000000000098E-2</v>
      </c>
      <c r="AE2866">
        <v>4.3099999999967002E-3</v>
      </c>
      <c r="AF2866">
        <v>1.45812635333408E-3</v>
      </c>
      <c r="AG2866">
        <v>-6.9592000000000098E-2</v>
      </c>
      <c r="AH2866">
        <v>0.576952413678537</v>
      </c>
      <c r="AI2866">
        <v>96.877768180264994</v>
      </c>
      <c r="AJ2866">
        <v>89.8551972291108</v>
      </c>
      <c r="AK2866">
        <v>0.58113618046543203</v>
      </c>
      <c r="AL2866">
        <v>82.239876829283304</v>
      </c>
      <c r="AM2866">
        <v>92.163001598265197</v>
      </c>
      <c r="AN2866">
        <v>1.0000000222904399</v>
      </c>
    </row>
    <row r="2867" spans="1:40" x14ac:dyDescent="0.3">
      <c r="A2867" t="str">
        <f>"20200111150411311"</f>
        <v>20200111150411311</v>
      </c>
      <c r="B2867" t="str">
        <f>"1578726251301626"</f>
        <v>1578726251301626</v>
      </c>
      <c r="C2867" t="s">
        <v>40</v>
      </c>
      <c r="D2867">
        <v>4.9870919999999996</v>
      </c>
      <c r="E2867">
        <v>0.51651469999999999</v>
      </c>
      <c r="F2867" t="s">
        <v>42</v>
      </c>
      <c r="G2867">
        <v>-252.91630000000001</v>
      </c>
      <c r="H2867">
        <v>1.026078</v>
      </c>
      <c r="I2867">
        <v>-58.023699999999998</v>
      </c>
      <c r="J2867">
        <v>-253.6035</v>
      </c>
      <c r="K2867">
        <v>1.105073</v>
      </c>
      <c r="L2867">
        <v>-58.027769999999997</v>
      </c>
      <c r="M2867">
        <v>0.99987979999999999</v>
      </c>
      <c r="N2867">
        <v>0</v>
      </c>
      <c r="O2867">
        <v>1.048992E-2</v>
      </c>
      <c r="P2867">
        <v>0.99121840000000005</v>
      </c>
      <c r="Q2867">
        <v>0.1235272</v>
      </c>
      <c r="R2867">
        <v>4.7195170000000002E-2</v>
      </c>
      <c r="S2867">
        <v>3.0594640000000002</v>
      </c>
      <c r="T2867">
        <v>-0.27203569999999999</v>
      </c>
      <c r="U2867">
        <v>2.3803709999999999E-2</v>
      </c>
      <c r="V2867">
        <v>-3.7156580000000002E-2</v>
      </c>
      <c r="W2867">
        <v>0.13474820000000001</v>
      </c>
      <c r="X2867">
        <v>0.99018300000000004</v>
      </c>
      <c r="Y2867">
        <v>2.6587220000000001E-3</v>
      </c>
      <c r="Z2867">
        <v>-1.048879E-3</v>
      </c>
      <c r="AA2867">
        <v>0.99999590000000005</v>
      </c>
      <c r="AB2867">
        <v>35</v>
      </c>
      <c r="AC2867">
        <v>0.68719999999999004</v>
      </c>
      <c r="AD2867">
        <v>-7.8994999999999899E-2</v>
      </c>
      <c r="AE2867">
        <v>4.0699999999986797E-3</v>
      </c>
      <c r="AF2867">
        <v>3.09842581746085E-3</v>
      </c>
      <c r="AG2867">
        <v>-7.8994999999999899E-2</v>
      </c>
      <c r="AH2867">
        <v>0.67824292279745602</v>
      </c>
      <c r="AI2867">
        <v>96.643243135841701</v>
      </c>
      <c r="AJ2867">
        <v>89.738256778567504</v>
      </c>
      <c r="AK2867">
        <v>0.68283473300087905</v>
      </c>
      <c r="AL2867">
        <v>82.255940471074894</v>
      </c>
      <c r="AM2867">
        <v>92.149013667685907</v>
      </c>
      <c r="AN2867">
        <v>1.0000000311647601</v>
      </c>
    </row>
    <row r="2868" spans="1:40" x14ac:dyDescent="0.3">
      <c r="A2868" t="str">
        <f>"20200111150411337"</f>
        <v>20200111150411337</v>
      </c>
      <c r="B2868" t="str">
        <f>"1578726251330906"</f>
        <v>1578726251330906</v>
      </c>
      <c r="C2868" t="s">
        <v>40</v>
      </c>
      <c r="D2868">
        <v>5.0118169999999997</v>
      </c>
      <c r="E2868">
        <v>0.51719619999999999</v>
      </c>
      <c r="F2868" t="s">
        <v>42</v>
      </c>
      <c r="G2868">
        <v>-252.61179999999999</v>
      </c>
      <c r="H2868">
        <v>1.016621</v>
      </c>
      <c r="I2868">
        <v>-58.019869999999997</v>
      </c>
      <c r="J2868">
        <v>-253.19749999999999</v>
      </c>
      <c r="K2868">
        <v>1.10502099999999</v>
      </c>
      <c r="L2868">
        <v>-58.022190000000002</v>
      </c>
      <c r="M2868">
        <v>0.9998667</v>
      </c>
      <c r="N2868">
        <v>0</v>
      </c>
      <c r="O2868">
        <v>1.1689410000000001E-2</v>
      </c>
      <c r="P2868">
        <v>0.99126789999999998</v>
      </c>
      <c r="Q2868">
        <v>0.1225783</v>
      </c>
      <c r="R2868">
        <v>4.8604639999999998E-2</v>
      </c>
      <c r="S2868">
        <v>3.059402</v>
      </c>
      <c r="T2868">
        <v>-0.27285930000000003</v>
      </c>
      <c r="U2868">
        <v>2.478027E-2</v>
      </c>
      <c r="V2868">
        <v>-3.7359320000000001E-2</v>
      </c>
      <c r="W2868">
        <v>0.13378519999999999</v>
      </c>
      <c r="X2868">
        <v>0.99030589999999996</v>
      </c>
      <c r="Y2868">
        <v>3.5304870000000001E-3</v>
      </c>
      <c r="Z2868">
        <v>-1.1976230000000001E-3</v>
      </c>
      <c r="AA2868">
        <v>0.99999300000000002</v>
      </c>
      <c r="AB2868">
        <v>35</v>
      </c>
      <c r="AC2868">
        <v>0.585700000000002</v>
      </c>
      <c r="AD2868">
        <v>-8.8399999999999798E-2</v>
      </c>
      <c r="AE2868">
        <v>2.3200000000045398E-3</v>
      </c>
      <c r="AF2868">
        <v>4.4262620753105098E-3</v>
      </c>
      <c r="AG2868">
        <v>-8.8399999999999798E-2</v>
      </c>
      <c r="AH2868">
        <v>0.57264249664359801</v>
      </c>
      <c r="AI2868">
        <v>98.775337197247495</v>
      </c>
      <c r="AJ2868">
        <v>89.557138900848202</v>
      </c>
      <c r="AK2868">
        <v>0.57944247407156202</v>
      </c>
      <c r="AL2868">
        <v>82.311620135603803</v>
      </c>
      <c r="AM2868">
        <v>92.160460495476201</v>
      </c>
      <c r="AN2868">
        <v>0.99999998705235604</v>
      </c>
    </row>
    <row r="2869" spans="1:40" x14ac:dyDescent="0.3">
      <c r="A2869" t="str">
        <f>"20200111150411349"</f>
        <v>20200111150411349</v>
      </c>
      <c r="B2869" t="str">
        <f>"1578726251341643"</f>
        <v>1578726251341643</v>
      </c>
      <c r="C2869" t="s">
        <v>40</v>
      </c>
      <c r="D2869">
        <v>5.0672759999999997</v>
      </c>
      <c r="E2869">
        <v>0.51740189999999997</v>
      </c>
      <c r="F2869" t="s">
        <v>42</v>
      </c>
      <c r="G2869">
        <v>-252.2988</v>
      </c>
      <c r="H2869">
        <v>1.0243310000000001</v>
      </c>
      <c r="I2869">
        <v>-58.015940000000001</v>
      </c>
      <c r="J2869">
        <v>-253.00370000000001</v>
      </c>
      <c r="K2869">
        <v>1.1050040000000001</v>
      </c>
      <c r="L2869">
        <v>-58.019379999999998</v>
      </c>
      <c r="M2869">
        <v>0.99985990000000002</v>
      </c>
      <c r="N2869">
        <v>0</v>
      </c>
      <c r="O2869">
        <v>1.2262830000000001E-2</v>
      </c>
      <c r="P2869">
        <v>0.99127730000000003</v>
      </c>
      <c r="Q2869">
        <v>0.1222758</v>
      </c>
      <c r="R2869">
        <v>4.9173359999999999E-2</v>
      </c>
      <c r="S2869">
        <v>3.0593409999999999</v>
      </c>
      <c r="T2869">
        <v>-0.274678599999999</v>
      </c>
      <c r="U2869">
        <v>2.1484380000000001E-2</v>
      </c>
      <c r="V2869">
        <v>-3.7352870000000003E-2</v>
      </c>
      <c r="W2869">
        <v>0.13347419999999999</v>
      </c>
      <c r="X2869">
        <v>0.99034809999999995</v>
      </c>
      <c r="Y2869">
        <v>5.1713499999999999E-3</v>
      </c>
      <c r="Z2869">
        <v>-1.3304979999999901E-3</v>
      </c>
      <c r="AA2869">
        <v>0.99998580000000004</v>
      </c>
      <c r="AB2869">
        <v>35</v>
      </c>
      <c r="AC2869">
        <v>0.70490000000000896</v>
      </c>
      <c r="AD2869">
        <v>-8.0673000000000203E-2</v>
      </c>
      <c r="AE2869">
        <v>3.44000000000477E-3</v>
      </c>
      <c r="AF2869">
        <v>5.1375985217477996E-3</v>
      </c>
      <c r="AG2869">
        <v>-8.0673000000000203E-2</v>
      </c>
      <c r="AH2869">
        <v>0.69577619345811403</v>
      </c>
      <c r="AI2869">
        <v>96.613549638204105</v>
      </c>
      <c r="AJ2869">
        <v>89.576936714409698</v>
      </c>
      <c r="AK2869">
        <v>0.70045630786697399</v>
      </c>
      <c r="AL2869">
        <v>82.329600320576105</v>
      </c>
      <c r="AM2869">
        <v>92.159995893426796</v>
      </c>
      <c r="AN2869">
        <v>0.99999997906824301</v>
      </c>
    </row>
    <row r="2870" spans="1:40" x14ac:dyDescent="0.3">
      <c r="A2870" t="str">
        <f>"20200111150411359"</f>
        <v>20200111150411359</v>
      </c>
      <c r="B2870" t="str">
        <f>"1578726251351403"</f>
        <v>1578726251351403</v>
      </c>
      <c r="C2870" t="s">
        <v>40</v>
      </c>
      <c r="D2870">
        <v>4.9567540000000001</v>
      </c>
      <c r="E2870">
        <v>0.51740529999999996</v>
      </c>
      <c r="F2870" t="s">
        <v>42</v>
      </c>
      <c r="G2870">
        <v>-251.99440000000001</v>
      </c>
      <c r="H2870">
        <v>1.0138720000000001</v>
      </c>
      <c r="I2870">
        <v>-58.012439999999998</v>
      </c>
      <c r="J2870">
        <v>-252.84049999999999</v>
      </c>
      <c r="K2870">
        <v>1.1049880000000001</v>
      </c>
      <c r="L2870">
        <v>-58.01688</v>
      </c>
      <c r="M2870">
        <v>0.99985400000000002</v>
      </c>
      <c r="N2870">
        <v>0</v>
      </c>
      <c r="O2870">
        <v>1.2747380000000001E-2</v>
      </c>
      <c r="P2870">
        <v>0.99128660000000002</v>
      </c>
      <c r="Q2870">
        <v>0.1219663</v>
      </c>
      <c r="R2870">
        <v>4.9751080000000003E-2</v>
      </c>
      <c r="S2870">
        <v>3.059402</v>
      </c>
      <c r="T2870">
        <v>-0.27621669999999998</v>
      </c>
      <c r="U2870">
        <v>2.1423339999999999E-2</v>
      </c>
      <c r="V2870">
        <v>-3.7444699999999997E-2</v>
      </c>
      <c r="W2870">
        <v>0.13315569999999999</v>
      </c>
      <c r="X2870">
        <v>0.99038749999999998</v>
      </c>
      <c r="Y2870">
        <v>5.6712589999999997E-3</v>
      </c>
      <c r="Z2870">
        <v>-1.4040700000000001E-3</v>
      </c>
      <c r="AA2870">
        <v>0.99998299999999996</v>
      </c>
      <c r="AB2870">
        <v>35</v>
      </c>
      <c r="AC2870">
        <v>0.84609999999997798</v>
      </c>
      <c r="AD2870">
        <v>-9.1115999999999905E-2</v>
      </c>
      <c r="AE2870">
        <v>4.4400000000024403E-3</v>
      </c>
      <c r="AF2870">
        <v>6.27386135320616E-3</v>
      </c>
      <c r="AG2870">
        <v>-9.1115999999999905E-2</v>
      </c>
      <c r="AH2870">
        <v>0.83638851060543695</v>
      </c>
      <c r="AI2870">
        <v>96.217099498447993</v>
      </c>
      <c r="AJ2870">
        <v>89.570224805292</v>
      </c>
      <c r="AK2870">
        <v>0.84136034341122901</v>
      </c>
      <c r="AL2870">
        <v>82.348013340847999</v>
      </c>
      <c r="AM2870">
        <v>92.165215018545297</v>
      </c>
      <c r="AN2870">
        <v>0.99999997307841404</v>
      </c>
    </row>
    <row r="2871" spans="1:40" x14ac:dyDescent="0.3">
      <c r="A2871" t="str">
        <f>"20200111150411370"</f>
        <v>20200111150411370</v>
      </c>
      <c r="B2871" t="str">
        <f>"1578726251361163"</f>
        <v>1578726251361163</v>
      </c>
      <c r="C2871" t="s">
        <v>40</v>
      </c>
      <c r="D2871">
        <v>4.9012399999999996</v>
      </c>
      <c r="E2871">
        <v>0.51740429999999904</v>
      </c>
      <c r="F2871" t="s">
        <v>42</v>
      </c>
      <c r="G2871">
        <v>-251.98769999999999</v>
      </c>
      <c r="H2871">
        <v>1.0277350000000001</v>
      </c>
      <c r="I2871">
        <v>-58.010559999999998</v>
      </c>
      <c r="J2871">
        <v>-252.6746</v>
      </c>
      <c r="K2871">
        <v>1.104973</v>
      </c>
      <c r="L2871">
        <v>-58.014339999999997</v>
      </c>
      <c r="M2871">
        <v>0.99984759999999995</v>
      </c>
      <c r="N2871">
        <v>0</v>
      </c>
      <c r="O2871">
        <v>1.3240689999999999E-2</v>
      </c>
      <c r="P2871">
        <v>0.99127370000000004</v>
      </c>
      <c r="Q2871">
        <v>0.1218467</v>
      </c>
      <c r="R2871">
        <v>5.0297590000000003E-2</v>
      </c>
      <c r="S2871">
        <v>3.0592959999999998</v>
      </c>
      <c r="T2871">
        <v>-0.2770705</v>
      </c>
      <c r="U2871">
        <v>2.310181E-2</v>
      </c>
      <c r="V2871">
        <v>-3.7498249999999997E-2</v>
      </c>
      <c r="W2871">
        <v>0.133025799999999</v>
      </c>
      <c r="X2871">
        <v>0.99040289999999997</v>
      </c>
      <c r="Y2871">
        <v>5.6135380000000004E-3</v>
      </c>
      <c r="Z2871">
        <v>-1.4504139999999999E-3</v>
      </c>
      <c r="AA2871">
        <v>0.99998319999999996</v>
      </c>
      <c r="AB2871">
        <v>35</v>
      </c>
      <c r="AC2871">
        <v>0.68690000000000795</v>
      </c>
      <c r="AD2871">
        <v>-7.7237999999999904E-2</v>
      </c>
      <c r="AE2871">
        <v>3.7800000000061101E-3</v>
      </c>
      <c r="AF2871">
        <v>5.2495779433714002E-3</v>
      </c>
      <c r="AG2871">
        <v>-7.7237999999999904E-2</v>
      </c>
      <c r="AH2871">
        <v>0.67831367915213503</v>
      </c>
      <c r="AI2871">
        <v>96.495964557364204</v>
      </c>
      <c r="AJ2871">
        <v>89.556587660200705</v>
      </c>
      <c r="AK2871">
        <v>0.68271715522424703</v>
      </c>
      <c r="AL2871">
        <v>82.355522639457106</v>
      </c>
      <c r="AM2871">
        <v>92.168274875013495</v>
      </c>
      <c r="AN2871">
        <v>0.99999994327355402</v>
      </c>
    </row>
    <row r="2872" spans="1:40" x14ac:dyDescent="0.3">
      <c r="A2872" t="str">
        <f>"20200111150411381"</f>
        <v>20200111150411381</v>
      </c>
      <c r="B2872" t="str">
        <f>"1578726251370924"</f>
        <v>1578726251370924</v>
      </c>
      <c r="C2872" t="s">
        <v>40</v>
      </c>
      <c r="D2872">
        <v>4.9267329999999996</v>
      </c>
      <c r="E2872">
        <v>0.51745920000000001</v>
      </c>
      <c r="F2872" t="s">
        <v>42</v>
      </c>
      <c r="G2872">
        <v>-251.6841</v>
      </c>
      <c r="H2872">
        <v>1.0154510000000001</v>
      </c>
      <c r="I2872">
        <v>-58.006419999999999</v>
      </c>
      <c r="J2872">
        <v>-252.4941</v>
      </c>
      <c r="K2872">
        <v>1.104956</v>
      </c>
      <c r="L2872">
        <v>-58.011409999999998</v>
      </c>
      <c r="M2872">
        <v>0.99984059999999997</v>
      </c>
      <c r="N2872">
        <v>0</v>
      </c>
      <c r="O2872">
        <v>1.377915E-2</v>
      </c>
      <c r="P2872">
        <v>0.99124009999999996</v>
      </c>
      <c r="Q2872">
        <v>0.1219418</v>
      </c>
      <c r="R2872">
        <v>5.0730030000000002E-2</v>
      </c>
      <c r="S2872">
        <v>3.0591279999999998</v>
      </c>
      <c r="T2872">
        <v>-0.27648080000000003</v>
      </c>
      <c r="U2872">
        <v>2.4932860000000001E-2</v>
      </c>
      <c r="V2872">
        <v>-3.7393460000000003E-2</v>
      </c>
      <c r="W2872">
        <v>0.13310849999999999</v>
      </c>
      <c r="X2872">
        <v>0.99039580000000005</v>
      </c>
      <c r="Y2872">
        <v>5.551523E-3</v>
      </c>
      <c r="Z2872">
        <v>-1.4931809999999999E-3</v>
      </c>
      <c r="AA2872">
        <v>0.99998350000000003</v>
      </c>
      <c r="AB2872">
        <v>35</v>
      </c>
      <c r="AC2872">
        <v>0.81000000000000205</v>
      </c>
      <c r="AD2872">
        <v>-8.9504999999999904E-2</v>
      </c>
      <c r="AE2872">
        <v>4.9899999999993803E-3</v>
      </c>
      <c r="AF2872">
        <v>6.0978512904582899E-3</v>
      </c>
      <c r="AG2872">
        <v>-8.9504999999999904E-2</v>
      </c>
      <c r="AH2872">
        <v>0.80022132192302398</v>
      </c>
      <c r="AI2872">
        <v>96.381840856994899</v>
      </c>
      <c r="AJ2872">
        <v>89.563402809775198</v>
      </c>
      <c r="AK2872">
        <v>0.80523443348852997</v>
      </c>
      <c r="AL2872">
        <v>82.350742138020394</v>
      </c>
      <c r="AM2872">
        <v>92.162236810174406</v>
      </c>
      <c r="AN2872">
        <v>0.99999999214032997</v>
      </c>
    </row>
    <row r="2873" spans="1:40" x14ac:dyDescent="0.3">
      <c r="A2873" t="str">
        <f>"20200111150411392"</f>
        <v>20200111150411392</v>
      </c>
      <c r="B2873" t="str">
        <f>"1578726251381659"</f>
        <v>1578726251381659</v>
      </c>
      <c r="C2873" t="s">
        <v>40</v>
      </c>
      <c r="D2873">
        <v>4.9534560000000001</v>
      </c>
      <c r="E2873">
        <v>0.51759239999999995</v>
      </c>
      <c r="F2873" t="s">
        <v>42</v>
      </c>
      <c r="G2873">
        <v>-251.6764</v>
      </c>
      <c r="H2873">
        <v>1.031191</v>
      </c>
      <c r="I2873">
        <v>-58.004629999999999</v>
      </c>
      <c r="J2873">
        <v>-252.34520000000001</v>
      </c>
      <c r="K2873">
        <v>1.1049450000000001</v>
      </c>
      <c r="L2873">
        <v>-58.008969999999998</v>
      </c>
      <c r="M2873">
        <v>0.99983449999999996</v>
      </c>
      <c r="N2873">
        <v>0</v>
      </c>
      <c r="O2873">
        <v>1.422386E-2</v>
      </c>
      <c r="P2873">
        <v>0.99121459999999995</v>
      </c>
      <c r="Q2873">
        <v>0.12189800000000001</v>
      </c>
      <c r="R2873">
        <v>5.1326900000000002E-2</v>
      </c>
      <c r="S2873">
        <v>3.0591279999999998</v>
      </c>
      <c r="T2873">
        <v>-0.2759278</v>
      </c>
      <c r="U2873">
        <v>2.5939940000000002E-2</v>
      </c>
      <c r="V2873">
        <v>-3.7546749999999997E-2</v>
      </c>
      <c r="W2873">
        <v>0.13305410000000001</v>
      </c>
      <c r="X2873">
        <v>0.99039730000000004</v>
      </c>
      <c r="Y2873">
        <v>5.6651740000000003E-3</v>
      </c>
      <c r="Z2873">
        <v>-1.535348E-3</v>
      </c>
      <c r="AA2873">
        <v>0.99998279999999995</v>
      </c>
      <c r="AB2873">
        <v>35</v>
      </c>
      <c r="AC2873">
        <v>0.66880000000000395</v>
      </c>
      <c r="AD2873">
        <v>-7.3754000000000097E-2</v>
      </c>
      <c r="AE2873">
        <v>4.33999999999201E-3</v>
      </c>
      <c r="AF2873">
        <v>5.1118052922038198E-3</v>
      </c>
      <c r="AG2873">
        <v>-7.3754000000000097E-2</v>
      </c>
      <c r="AH2873">
        <v>0.660758746617369</v>
      </c>
      <c r="AI2873">
        <v>96.368812037706803</v>
      </c>
      <c r="AJ2873">
        <v>89.556753463180499</v>
      </c>
      <c r="AK2873">
        <v>0.66488187244103902</v>
      </c>
      <c r="AL2873">
        <v>82.353886922892102</v>
      </c>
      <c r="AM2873">
        <v>92.171088890251795</v>
      </c>
      <c r="AN2873">
        <v>0.99999998190483097</v>
      </c>
    </row>
    <row r="2874" spans="1:40" x14ac:dyDescent="0.3">
      <c r="A2874" t="str">
        <f>"20200111150411403"</f>
        <v>20200111150411403</v>
      </c>
      <c r="B2874" t="str">
        <f>"1578726251391419"</f>
        <v>1578726251391419</v>
      </c>
      <c r="C2874" t="s">
        <v>40</v>
      </c>
      <c r="D2874">
        <v>4.9257249999999999</v>
      </c>
      <c r="E2874">
        <v>0.51761480000000004</v>
      </c>
      <c r="F2874" t="s">
        <v>42</v>
      </c>
      <c r="G2874">
        <v>-251.3734</v>
      </c>
      <c r="H2874">
        <v>1.017379</v>
      </c>
      <c r="I2874">
        <v>-58.000500000000002</v>
      </c>
      <c r="J2874">
        <v>-252.16540000000001</v>
      </c>
      <c r="K2874">
        <v>1.104935</v>
      </c>
      <c r="L2874">
        <v>-58.005890000000001</v>
      </c>
      <c r="M2874">
        <v>0.99982680000000002</v>
      </c>
      <c r="N2874">
        <v>0</v>
      </c>
      <c r="O2874">
        <v>1.4761689999999999E-2</v>
      </c>
      <c r="P2874">
        <v>0.99118099999999998</v>
      </c>
      <c r="Q2874">
        <v>0.12190819999999999</v>
      </c>
      <c r="R2874">
        <v>5.1951730000000002E-2</v>
      </c>
      <c r="S2874">
        <v>3.059097</v>
      </c>
      <c r="T2874">
        <v>-0.27564850000000002</v>
      </c>
      <c r="U2874">
        <v>2.6885989999999999E-2</v>
      </c>
      <c r="V2874">
        <v>-3.7636019999999999E-2</v>
      </c>
      <c r="W2874">
        <v>0.133051799999999</v>
      </c>
      <c r="X2874">
        <v>0.9903942</v>
      </c>
      <c r="Y2874">
        <v>5.8908399999999996E-3</v>
      </c>
      <c r="Z2874">
        <v>-1.5923199999999999E-3</v>
      </c>
      <c r="AA2874">
        <v>0.99998140000000002</v>
      </c>
      <c r="AB2874">
        <v>35</v>
      </c>
      <c r="AC2874">
        <v>0.79200000000000104</v>
      </c>
      <c r="AD2874">
        <v>-8.7555999999999898E-2</v>
      </c>
      <c r="AE2874">
        <v>5.3899999999984499E-3</v>
      </c>
      <c r="AF2874">
        <v>6.2265037083774804E-3</v>
      </c>
      <c r="AG2874">
        <v>-8.7555999999999898E-2</v>
      </c>
      <c r="AH2874">
        <v>0.78243128948671203</v>
      </c>
      <c r="AI2874">
        <v>96.384776372247501</v>
      </c>
      <c r="AJ2874">
        <v>89.544055998421996</v>
      </c>
      <c r="AK2874">
        <v>0.78733953619278496</v>
      </c>
      <c r="AL2874">
        <v>82.354019727950401</v>
      </c>
      <c r="AM2874">
        <v>92.176252652425305</v>
      </c>
      <c r="AN2874">
        <v>0.99999996143915904</v>
      </c>
    </row>
    <row r="2875" spans="1:40" x14ac:dyDescent="0.3">
      <c r="A2875" t="str">
        <f>"20200111150411414"</f>
        <v>20200111150411414</v>
      </c>
      <c r="B2875" t="str">
        <f>"1578726251410939"</f>
        <v>1578726251410939</v>
      </c>
      <c r="C2875" t="s">
        <v>40</v>
      </c>
      <c r="D2875">
        <v>4.9732050000000001</v>
      </c>
      <c r="E2875">
        <v>0.51773610000000003</v>
      </c>
      <c r="F2875" t="s">
        <v>42</v>
      </c>
      <c r="G2875">
        <v>-251.36580000000001</v>
      </c>
      <c r="H2875">
        <v>1.03295</v>
      </c>
      <c r="I2875">
        <v>-57.998460000000001</v>
      </c>
      <c r="J2875">
        <v>-251.9941</v>
      </c>
      <c r="K2875">
        <v>1.1049230000000001</v>
      </c>
      <c r="L2875">
        <v>-58.002899999999997</v>
      </c>
      <c r="M2875">
        <v>0.99981929999999997</v>
      </c>
      <c r="N2875">
        <v>0</v>
      </c>
      <c r="O2875">
        <v>1.5274319999999999E-2</v>
      </c>
      <c r="P2875">
        <v>0.99114480000000005</v>
      </c>
      <c r="Q2875">
        <v>0.1219263</v>
      </c>
      <c r="R2875">
        <v>5.2594540000000002E-2</v>
      </c>
      <c r="S2875">
        <v>3.0590670000000002</v>
      </c>
      <c r="T2875">
        <v>-0.27537859999999997</v>
      </c>
      <c r="U2875">
        <v>2.8656009999999999E-2</v>
      </c>
      <c r="V2875">
        <v>-3.776823E-2</v>
      </c>
      <c r="W2875">
        <v>0.13305739999999999</v>
      </c>
      <c r="X2875">
        <v>0.9903885</v>
      </c>
      <c r="Y2875">
        <v>5.8232630000000004E-3</v>
      </c>
      <c r="Z2875">
        <v>-1.633792E-3</v>
      </c>
      <c r="AA2875">
        <v>0.99998169999999997</v>
      </c>
      <c r="AB2875">
        <v>35</v>
      </c>
      <c r="AC2875">
        <v>0.62829999999999497</v>
      </c>
      <c r="AD2875">
        <v>-7.1972999999999801E-2</v>
      </c>
      <c r="AE2875">
        <v>4.4400000000024403E-3</v>
      </c>
      <c r="AF2875">
        <v>5.0911838899541997E-3</v>
      </c>
      <c r="AG2875">
        <v>-7.1972999999999801E-2</v>
      </c>
      <c r="AH2875">
        <v>0.62015712572549897</v>
      </c>
      <c r="AI2875">
        <v>96.619686820830395</v>
      </c>
      <c r="AJ2875">
        <v>89.529640498235693</v>
      </c>
      <c r="AK2875">
        <v>0.624340366683521</v>
      </c>
      <c r="AL2875">
        <v>82.353696642920497</v>
      </c>
      <c r="AM2875">
        <v>92.183902686726</v>
      </c>
      <c r="AN2875">
        <v>1.0000000459121701</v>
      </c>
    </row>
    <row r="2876" spans="1:40" x14ac:dyDescent="0.3">
      <c r="A2876" t="str">
        <f>"20200111150411425"</f>
        <v>20200111150411425</v>
      </c>
      <c r="B2876" t="str">
        <f>"1578726251421675"</f>
        <v>1578726251421675</v>
      </c>
      <c r="C2876" t="s">
        <v>40</v>
      </c>
      <c r="D2876">
        <v>4.8575929999999996</v>
      </c>
      <c r="E2876">
        <v>0.51773610000000003</v>
      </c>
      <c r="F2876" t="s">
        <v>42</v>
      </c>
      <c r="G2876">
        <v>-251.06180000000001</v>
      </c>
      <c r="H2876">
        <v>1.0209140000000001</v>
      </c>
      <c r="I2876">
        <v>-57.993960000000001</v>
      </c>
      <c r="J2876">
        <v>-251.8235</v>
      </c>
      <c r="K2876">
        <v>1.104916</v>
      </c>
      <c r="L2876">
        <v>-57.999850000000002</v>
      </c>
      <c r="M2876">
        <v>0.99981160000000002</v>
      </c>
      <c r="N2876">
        <v>0</v>
      </c>
      <c r="O2876">
        <v>1.5785339999999998E-2</v>
      </c>
      <c r="P2876">
        <v>0.99116130000000002</v>
      </c>
      <c r="Q2876">
        <v>0.12170889999999999</v>
      </c>
      <c r="R2876">
        <v>5.278646E-2</v>
      </c>
      <c r="S2876">
        <v>3.059113</v>
      </c>
      <c r="T2876">
        <v>-0.27566259999999998</v>
      </c>
      <c r="U2876">
        <v>2.9846190000000002E-2</v>
      </c>
      <c r="V2876">
        <v>-3.7450589999999999E-2</v>
      </c>
      <c r="W2876">
        <v>0.13283010000000001</v>
      </c>
      <c r="X2876">
        <v>0.99043099999999995</v>
      </c>
      <c r="Y2876">
        <v>5.9427660000000004E-3</v>
      </c>
      <c r="Z2876">
        <v>-1.686767E-3</v>
      </c>
      <c r="AA2876">
        <v>0.99998089999999995</v>
      </c>
      <c r="AB2876">
        <v>35</v>
      </c>
      <c r="AC2876">
        <v>0.76169999999999005</v>
      </c>
      <c r="AD2876">
        <v>-8.4002000000000104E-2</v>
      </c>
      <c r="AE2876">
        <v>5.8900000000079401E-3</v>
      </c>
      <c r="AF2876">
        <v>6.0614781872339804E-3</v>
      </c>
      <c r="AG2876">
        <v>-8.4002000000000104E-2</v>
      </c>
      <c r="AH2876">
        <v>0.75254601348360395</v>
      </c>
      <c r="AI2876">
        <v>96.368998453341007</v>
      </c>
      <c r="AJ2876">
        <v>89.538513790155605</v>
      </c>
      <c r="AK2876">
        <v>0.75724406893146401</v>
      </c>
      <c r="AL2876">
        <v>82.366836056323507</v>
      </c>
      <c r="AM2876">
        <v>92.165460258428098</v>
      </c>
      <c r="AN2876">
        <v>0.99999997395917795</v>
      </c>
    </row>
    <row r="2877" spans="1:40" x14ac:dyDescent="0.3">
      <c r="A2877" t="str">
        <f>"20200111150411437"</f>
        <v>20200111150411437</v>
      </c>
      <c r="B2877" t="str">
        <f>"1578726251431434"</f>
        <v>1578726251431434</v>
      </c>
      <c r="C2877" t="s">
        <v>40</v>
      </c>
      <c r="D2877">
        <v>4.9187279999999998</v>
      </c>
      <c r="E2877">
        <v>0.51767940000000001</v>
      </c>
      <c r="F2877" t="s">
        <v>42</v>
      </c>
      <c r="G2877">
        <v>-251.05439999999999</v>
      </c>
      <c r="H2877">
        <v>1.035426</v>
      </c>
      <c r="I2877">
        <v>-57.992260000000002</v>
      </c>
      <c r="J2877">
        <v>-251.643</v>
      </c>
      <c r="K2877">
        <v>1.1049100000000001</v>
      </c>
      <c r="L2877">
        <v>-57.996490000000001</v>
      </c>
      <c r="M2877">
        <v>0.999803</v>
      </c>
      <c r="N2877">
        <v>0</v>
      </c>
      <c r="O2877">
        <v>1.6325949999999999E-2</v>
      </c>
      <c r="P2877">
        <v>0.99114329999999995</v>
      </c>
      <c r="Q2877">
        <v>0.121693</v>
      </c>
      <c r="R2877">
        <v>5.3161609999999998E-2</v>
      </c>
      <c r="S2877">
        <v>3.0590820000000001</v>
      </c>
      <c r="T2877">
        <v>-0.27641090000000001</v>
      </c>
      <c r="U2877">
        <v>3.0792239999999999E-2</v>
      </c>
      <c r="V2877">
        <v>-3.7288269999999998E-2</v>
      </c>
      <c r="W2877">
        <v>0.13280310000000001</v>
      </c>
      <c r="X2877">
        <v>0.99044080000000001</v>
      </c>
      <c r="Y2877">
        <v>6.1705340000000001E-3</v>
      </c>
      <c r="Z2877">
        <v>-1.7503529999999901E-3</v>
      </c>
      <c r="AA2877">
        <v>0.99997939999999996</v>
      </c>
      <c r="AB2877">
        <v>35</v>
      </c>
      <c r="AC2877">
        <v>0.588600000000013</v>
      </c>
      <c r="AD2877">
        <v>-6.9484000000000101E-2</v>
      </c>
      <c r="AE2877">
        <v>4.2300000000068299E-3</v>
      </c>
      <c r="AF2877">
        <v>5.3066817431636102E-3</v>
      </c>
      <c r="AG2877">
        <v>-6.9484000000000101E-2</v>
      </c>
      <c r="AH2877">
        <v>0.58050132572095103</v>
      </c>
      <c r="AI2877">
        <v>96.825350130112497</v>
      </c>
      <c r="AJ2877">
        <v>89.476242371149496</v>
      </c>
      <c r="AK2877">
        <v>0.584669116929315</v>
      </c>
      <c r="AL2877">
        <v>82.368397288005596</v>
      </c>
      <c r="AM2877">
        <v>92.156062188832095</v>
      </c>
      <c r="AN2877">
        <v>1.0000000283769199</v>
      </c>
    </row>
    <row r="2878" spans="1:40" x14ac:dyDescent="0.3">
      <c r="A2878" t="str">
        <f>"20200111150411449"</f>
        <v>20200111150411449</v>
      </c>
      <c r="B2878" t="str">
        <f>"1578726251441194"</f>
        <v>1578726251441194</v>
      </c>
      <c r="C2878" t="s">
        <v>40</v>
      </c>
      <c r="D2878">
        <v>4.9902620000000004</v>
      </c>
      <c r="E2878">
        <v>0.51780720000000002</v>
      </c>
      <c r="F2878" t="s">
        <v>42</v>
      </c>
      <c r="G2878">
        <v>-250.7501</v>
      </c>
      <c r="H2878">
        <v>1.0242180000000001</v>
      </c>
      <c r="I2878">
        <v>-57.987130000000001</v>
      </c>
      <c r="J2878">
        <v>-251.4597</v>
      </c>
      <c r="K2878">
        <v>1.1049040000000001</v>
      </c>
      <c r="L2878">
        <v>-57.993009999999998</v>
      </c>
      <c r="M2878">
        <v>0.99979390000000001</v>
      </c>
      <c r="N2878">
        <v>0</v>
      </c>
      <c r="O2878">
        <v>1.6874779999999999E-2</v>
      </c>
      <c r="P2878">
        <v>0.99117460000000002</v>
      </c>
      <c r="Q2878">
        <v>0.121365</v>
      </c>
      <c r="R2878">
        <v>5.3323210000000003E-2</v>
      </c>
      <c r="S2878">
        <v>3.059021</v>
      </c>
      <c r="T2878">
        <v>-0.27643689999999999</v>
      </c>
      <c r="U2878">
        <v>3.259277E-2</v>
      </c>
      <c r="V2878">
        <v>-3.6902209999999998E-2</v>
      </c>
      <c r="W2878">
        <v>0.13246520000000001</v>
      </c>
      <c r="X2878">
        <v>0.99050050000000001</v>
      </c>
      <c r="Y2878">
        <v>6.1286530000000004E-3</v>
      </c>
      <c r="Z2878">
        <v>-1.798146E-3</v>
      </c>
      <c r="AA2878">
        <v>0.99997959999999997</v>
      </c>
      <c r="AB2878">
        <v>35</v>
      </c>
      <c r="AC2878">
        <v>0.70959999999999401</v>
      </c>
      <c r="AD2878">
        <v>-8.0685999999999994E-2</v>
      </c>
      <c r="AE2878">
        <v>5.8799999999905603E-3</v>
      </c>
      <c r="AF2878">
        <v>6.0181401299762502E-3</v>
      </c>
      <c r="AG2878">
        <v>-8.0685999999999994E-2</v>
      </c>
      <c r="AH2878">
        <v>0.70054141164450201</v>
      </c>
      <c r="AI2878">
        <v>96.569944037687506</v>
      </c>
      <c r="AJ2878">
        <v>89.507801334548901</v>
      </c>
      <c r="AK2878">
        <v>0.70519835368178196</v>
      </c>
      <c r="AL2878">
        <v>82.387930049258699</v>
      </c>
      <c r="AM2878">
        <v>92.133631889415796</v>
      </c>
      <c r="AN2878">
        <v>1.0000000214070801</v>
      </c>
    </row>
    <row r="2879" spans="1:40" x14ac:dyDescent="0.3">
      <c r="A2879" t="str">
        <f>"20200111150411459"</f>
        <v>20200111150411459</v>
      </c>
      <c r="B2879" t="str">
        <f>"1578726251451930"</f>
        <v>1578726251451930</v>
      </c>
      <c r="C2879" t="s">
        <v>40</v>
      </c>
      <c r="D2879">
        <v>4.9889859999999997</v>
      </c>
      <c r="E2879">
        <v>0.51788009999999995</v>
      </c>
      <c r="F2879" t="s">
        <v>42</v>
      </c>
      <c r="G2879">
        <v>-250.4453</v>
      </c>
      <c r="H2879">
        <v>1.0131030000000001</v>
      </c>
      <c r="I2879">
        <v>-57.982399999999998</v>
      </c>
      <c r="J2879">
        <v>-251.29409999999999</v>
      </c>
      <c r="K2879">
        <v>1.1049009999999999</v>
      </c>
      <c r="L2879">
        <v>-57.989750000000001</v>
      </c>
      <c r="M2879">
        <v>0.9997857</v>
      </c>
      <c r="N2879">
        <v>0</v>
      </c>
      <c r="O2879">
        <v>1.7370400000000001E-2</v>
      </c>
      <c r="P2879">
        <v>0.99119239999999997</v>
      </c>
      <c r="Q2879">
        <v>0.121218699999999</v>
      </c>
      <c r="R2879">
        <v>5.3329870000000001E-2</v>
      </c>
      <c r="S2879">
        <v>3.058853</v>
      </c>
      <c r="T2879">
        <v>-0.276785</v>
      </c>
      <c r="U2879">
        <v>3.225708E-2</v>
      </c>
      <c r="V2879">
        <v>-3.6416030000000002E-2</v>
      </c>
      <c r="W2879">
        <v>0.1323088</v>
      </c>
      <c r="X2879">
        <v>0.99053939999999996</v>
      </c>
      <c r="Y2879">
        <v>6.7287889999999998E-3</v>
      </c>
      <c r="Z2879">
        <v>-1.8723469999999999E-3</v>
      </c>
      <c r="AA2879">
        <v>0.99997559999999996</v>
      </c>
      <c r="AB2879">
        <v>35</v>
      </c>
      <c r="AC2879">
        <v>0.84879999999998201</v>
      </c>
      <c r="AD2879">
        <v>-9.1797999999999796E-2</v>
      </c>
      <c r="AE2879">
        <v>7.3500000000023998E-3</v>
      </c>
      <c r="AF2879">
        <v>7.3105383788186302E-3</v>
      </c>
      <c r="AG2879">
        <v>-9.1797999999999796E-2</v>
      </c>
      <c r="AH2879">
        <v>0.83898712806567199</v>
      </c>
      <c r="AI2879">
        <v>96.243958989417493</v>
      </c>
      <c r="AJ2879">
        <v>89.500764218257004</v>
      </c>
      <c r="AK2879">
        <v>0.84402589879414902</v>
      </c>
      <c r="AL2879">
        <v>82.396970706410798</v>
      </c>
      <c r="AM2879">
        <v>92.105464528002997</v>
      </c>
      <c r="AN2879">
        <v>1.0000000243753799</v>
      </c>
    </row>
    <row r="2880" spans="1:40" x14ac:dyDescent="0.3">
      <c r="A2880" t="str">
        <f>"20200111150411483"</f>
        <v>20200111150411483</v>
      </c>
      <c r="B2880" t="str">
        <f>"1578726251471451"</f>
        <v>1578726251471451</v>
      </c>
      <c r="C2880" t="s">
        <v>40</v>
      </c>
      <c r="D2880">
        <v>4.9440359999999997</v>
      </c>
      <c r="E2880">
        <v>0.51786330000000003</v>
      </c>
      <c r="F2880" t="s">
        <v>42</v>
      </c>
      <c r="G2880">
        <v>-250.43819999999999</v>
      </c>
      <c r="H2880">
        <v>1.027566</v>
      </c>
      <c r="I2880">
        <v>-57.980910000000002</v>
      </c>
      <c r="J2880">
        <v>-250.93350000000001</v>
      </c>
      <c r="K2880">
        <v>1.1048979999999999</v>
      </c>
      <c r="L2880">
        <v>-57.982419999999998</v>
      </c>
      <c r="M2880">
        <v>0.99976659999999995</v>
      </c>
      <c r="N2880">
        <v>0</v>
      </c>
      <c r="O2880">
        <v>1.8449520000000001E-2</v>
      </c>
      <c r="P2880">
        <v>0.99119780000000002</v>
      </c>
      <c r="Q2880">
        <v>0.1210628</v>
      </c>
      <c r="R2880">
        <v>5.3579830000000002E-2</v>
      </c>
      <c r="S2880">
        <v>3.0587460000000002</v>
      </c>
      <c r="T2880">
        <v>-0.2763544</v>
      </c>
      <c r="U2880">
        <v>3.1890870000000002E-2</v>
      </c>
      <c r="V2880">
        <v>-3.5593140000000002E-2</v>
      </c>
      <c r="W2880">
        <v>0.13212869999999999</v>
      </c>
      <c r="X2880">
        <v>0.99059330000000001</v>
      </c>
      <c r="Y2880">
        <v>7.9185230000000002E-3</v>
      </c>
      <c r="Z2880">
        <v>-2.0204350000000001E-3</v>
      </c>
      <c r="AA2880">
        <v>0.99996660000000004</v>
      </c>
      <c r="AB2880">
        <v>35</v>
      </c>
      <c r="AC2880">
        <v>0.49530000000001401</v>
      </c>
      <c r="AD2880">
        <v>-7.7331999999999901E-2</v>
      </c>
      <c r="AE2880">
        <v>1.5100000000032299E-3</v>
      </c>
      <c r="AF2880">
        <v>7.4473389497018098E-3</v>
      </c>
      <c r="AG2880">
        <v>-7.7331999999999901E-2</v>
      </c>
      <c r="AH2880">
        <v>0.48345834913337299</v>
      </c>
      <c r="AI2880">
        <v>99.086751400270202</v>
      </c>
      <c r="AJ2880">
        <v>89.117468247278296</v>
      </c>
      <c r="AK2880">
        <v>0.48966077689375698</v>
      </c>
      <c r="AL2880">
        <v>82.407380699889899</v>
      </c>
      <c r="AM2880">
        <v>92.057817022141407</v>
      </c>
      <c r="AN2880">
        <v>0.99999997549181896</v>
      </c>
    </row>
    <row r="2881" spans="1:40" x14ac:dyDescent="0.3">
      <c r="A2881" t="str">
        <f>"20200111150411493"</f>
        <v>20200111150411493</v>
      </c>
      <c r="B2881" t="str">
        <f>"1578726251491946"</f>
        <v>1578726251491946</v>
      </c>
      <c r="C2881" t="s">
        <v>40</v>
      </c>
      <c r="D2881">
        <v>5.0420160000000003</v>
      </c>
      <c r="E2881">
        <v>0.51794949999999995</v>
      </c>
      <c r="F2881" t="s">
        <v>42</v>
      </c>
      <c r="G2881">
        <v>-250.12569999999999</v>
      </c>
      <c r="H2881">
        <v>1.032008</v>
      </c>
      <c r="I2881">
        <v>-57.973790000000001</v>
      </c>
      <c r="J2881">
        <v>-250.76730000000001</v>
      </c>
      <c r="K2881">
        <v>1.104897</v>
      </c>
      <c r="L2881">
        <v>-57.978909999999999</v>
      </c>
      <c r="M2881">
        <v>0.99975749999999997</v>
      </c>
      <c r="N2881">
        <v>0</v>
      </c>
      <c r="O2881">
        <v>1.8946890000000001E-2</v>
      </c>
      <c r="P2881">
        <v>0.99118919999999999</v>
      </c>
      <c r="Q2881">
        <v>0.12092260000000001</v>
      </c>
      <c r="R2881">
        <v>5.4055279999999997E-2</v>
      </c>
      <c r="S2881">
        <v>3.0585779999999998</v>
      </c>
      <c r="T2881">
        <v>-0.27599410000000002</v>
      </c>
      <c r="U2881">
        <v>3.2836909999999997E-2</v>
      </c>
      <c r="V2881">
        <v>-3.5574500000000002E-2</v>
      </c>
      <c r="W2881">
        <v>0.13197600000000001</v>
      </c>
      <c r="X2881">
        <v>0.99061440000000001</v>
      </c>
      <c r="Y2881">
        <v>8.1036489999999992E-3</v>
      </c>
      <c r="Z2881">
        <v>-2.0710339999999998E-3</v>
      </c>
      <c r="AA2881">
        <v>0.99996499999999999</v>
      </c>
      <c r="AB2881">
        <v>35</v>
      </c>
      <c r="AC2881">
        <v>0.64160000000001005</v>
      </c>
      <c r="AD2881">
        <v>-7.2888999999999898E-2</v>
      </c>
      <c r="AE2881">
        <v>5.1199999999980098E-3</v>
      </c>
      <c r="AF2881">
        <v>6.9483391785868003E-3</v>
      </c>
      <c r="AG2881">
        <v>-7.2888999999999898E-2</v>
      </c>
      <c r="AH2881">
        <v>0.63340752213495999</v>
      </c>
      <c r="AI2881">
        <v>96.564012888741203</v>
      </c>
      <c r="AJ2881">
        <v>89.371503293234994</v>
      </c>
      <c r="AK2881">
        <v>0.63762541890634405</v>
      </c>
      <c r="AL2881">
        <v>82.4162076253469</v>
      </c>
      <c r="AM2881">
        <v>92.056696505754402</v>
      </c>
      <c r="AN2881">
        <v>1.0000000495568</v>
      </c>
    </row>
    <row r="2882" spans="1:40" x14ac:dyDescent="0.3">
      <c r="A2882" t="str">
        <f>"20200111150411505"</f>
        <v>20200111150411505</v>
      </c>
      <c r="B2882" t="str">
        <f>"1578726251501707"</f>
        <v>1578726251501707</v>
      </c>
      <c r="C2882" t="s">
        <v>40</v>
      </c>
      <c r="D2882">
        <v>4.9385089999999998</v>
      </c>
      <c r="E2882">
        <v>0.51785150000000002</v>
      </c>
      <c r="F2882" t="s">
        <v>42</v>
      </c>
      <c r="G2882">
        <v>-249.8212</v>
      </c>
      <c r="H2882">
        <v>1.0195719999999999</v>
      </c>
      <c r="I2882">
        <v>-57.968739999999997</v>
      </c>
      <c r="J2882">
        <v>-250.5873</v>
      </c>
      <c r="K2882">
        <v>1.104895</v>
      </c>
      <c r="L2882">
        <v>-57.975009999999997</v>
      </c>
      <c r="M2882">
        <v>0.99974730000000001</v>
      </c>
      <c r="N2882">
        <v>0</v>
      </c>
      <c r="O2882">
        <v>1.948486E-2</v>
      </c>
      <c r="P2882">
        <v>0.99113110000000004</v>
      </c>
      <c r="Q2882">
        <v>0.12125519999999999</v>
      </c>
      <c r="R2882">
        <v>5.4373940000000003E-2</v>
      </c>
      <c r="S2882">
        <v>3.058487</v>
      </c>
      <c r="T2882">
        <v>-0.27580009999999999</v>
      </c>
      <c r="U2882">
        <v>3.3447270000000001E-2</v>
      </c>
      <c r="V2882">
        <v>-3.5360419999999997E-2</v>
      </c>
      <c r="W2882">
        <v>0.13229560000000001</v>
      </c>
      <c r="X2882">
        <v>0.9905794</v>
      </c>
      <c r="Y2882">
        <v>8.4384790000000005E-3</v>
      </c>
      <c r="Z2882">
        <v>-2.1331140000000002E-3</v>
      </c>
      <c r="AA2882">
        <v>0.99996209999999996</v>
      </c>
      <c r="AB2882">
        <v>35</v>
      </c>
      <c r="AC2882">
        <v>0.76609999999999401</v>
      </c>
      <c r="AD2882">
        <v>-8.5323000000000204E-2</v>
      </c>
      <c r="AE2882">
        <v>6.2699999999935498E-3</v>
      </c>
      <c r="AF2882">
        <v>8.5533907943322104E-3</v>
      </c>
      <c r="AG2882">
        <v>-8.5323000000000204E-2</v>
      </c>
      <c r="AH2882">
        <v>0.75669135575369895</v>
      </c>
      <c r="AI2882">
        <v>96.432976059486407</v>
      </c>
      <c r="AJ2882">
        <v>89.352374890755499</v>
      </c>
      <c r="AK2882">
        <v>0.76153462343839096</v>
      </c>
      <c r="AL2882">
        <v>82.397733656949001</v>
      </c>
      <c r="AM2882">
        <v>92.044402434846404</v>
      </c>
      <c r="AN2882">
        <v>1.00000001639314</v>
      </c>
    </row>
    <row r="2883" spans="1:40" x14ac:dyDescent="0.3">
      <c r="A2883" t="str">
        <f>"20200111150411517"</f>
        <v>20200111150411517</v>
      </c>
      <c r="B2883" t="str">
        <f>"1578726251511466"</f>
        <v>1578726251511466</v>
      </c>
      <c r="C2883" t="s">
        <v>40</v>
      </c>
      <c r="D2883">
        <v>4.9820539999999998</v>
      </c>
      <c r="E2883">
        <v>0.51785870000000001</v>
      </c>
      <c r="F2883" t="s">
        <v>42</v>
      </c>
      <c r="G2883">
        <v>-249.8134</v>
      </c>
      <c r="H2883">
        <v>1.035398</v>
      </c>
      <c r="I2883">
        <v>-57.966290000000001</v>
      </c>
      <c r="J2883">
        <v>-250.40369999999999</v>
      </c>
      <c r="K2883">
        <v>1.104895</v>
      </c>
      <c r="L2883">
        <v>-57.970950000000002</v>
      </c>
      <c r="M2883">
        <v>0.99973650000000003</v>
      </c>
      <c r="N2883">
        <v>0</v>
      </c>
      <c r="O2883">
        <v>2.0034199999999999E-2</v>
      </c>
      <c r="P2883">
        <v>0.99107630000000002</v>
      </c>
      <c r="Q2883">
        <v>0.12146609999999999</v>
      </c>
      <c r="R2883">
        <v>5.4897799999999997E-2</v>
      </c>
      <c r="S2883">
        <v>3.0585170000000002</v>
      </c>
      <c r="T2883">
        <v>-0.27460810000000002</v>
      </c>
      <c r="U2883">
        <v>3.515625E-2</v>
      </c>
      <c r="V2883">
        <v>-3.5340580000000003E-2</v>
      </c>
      <c r="W2883">
        <v>0.13249359999999999</v>
      </c>
      <c r="X2883">
        <v>0.99055360000000003</v>
      </c>
      <c r="Y2883">
        <v>8.4281979999999996E-3</v>
      </c>
      <c r="Z2883">
        <v>-2.1726559999999998E-3</v>
      </c>
      <c r="AA2883">
        <v>0.99996220000000002</v>
      </c>
      <c r="AB2883">
        <v>35</v>
      </c>
      <c r="AC2883">
        <v>0.59029999999998495</v>
      </c>
      <c r="AD2883">
        <v>-6.94970000000001E-2</v>
      </c>
      <c r="AE2883">
        <v>4.66000000000121E-3</v>
      </c>
      <c r="AF2883">
        <v>7.0698785166637603E-3</v>
      </c>
      <c r="AG2883">
        <v>-6.94970000000001E-2</v>
      </c>
      <c r="AH2883">
        <v>0.58220557468596601</v>
      </c>
      <c r="AI2883">
        <v>96.806604380168906</v>
      </c>
      <c r="AJ2883">
        <v>89.304276170753894</v>
      </c>
      <c r="AK2883">
        <v>0.58638140095560398</v>
      </c>
      <c r="AL2883">
        <v>82.386288004923301</v>
      </c>
      <c r="AM2883">
        <v>92.043309509118401</v>
      </c>
      <c r="AN2883">
        <v>0.99999997255432704</v>
      </c>
    </row>
    <row r="2884" spans="1:40" x14ac:dyDescent="0.3">
      <c r="A2884" t="str">
        <f>"20200111150411539"</f>
        <v>20200111150411539</v>
      </c>
      <c r="B2884" t="str">
        <f>"1578726251531964"</f>
        <v>1578726251531964</v>
      </c>
      <c r="C2884" t="s">
        <v>40</v>
      </c>
      <c r="D2884">
        <v>4.8282150000000001</v>
      </c>
      <c r="E2884">
        <v>0.51768539999999996</v>
      </c>
      <c r="F2884" t="s">
        <v>42</v>
      </c>
      <c r="G2884">
        <v>-249.5078</v>
      </c>
      <c r="H2884">
        <v>1.0249490000000001</v>
      </c>
      <c r="I2884">
        <v>-57.960250000000002</v>
      </c>
      <c r="J2884">
        <v>-250.04810000000001</v>
      </c>
      <c r="K2884">
        <v>1.1048929999999999</v>
      </c>
      <c r="L2884">
        <v>-57.962739999999997</v>
      </c>
      <c r="M2884">
        <v>0.99971500000000002</v>
      </c>
      <c r="N2884">
        <v>0</v>
      </c>
      <c r="O2884">
        <v>2.1097850000000001E-2</v>
      </c>
      <c r="P2884">
        <v>0.9909734</v>
      </c>
      <c r="Q2884">
        <v>0.1220797</v>
      </c>
      <c r="R2884">
        <v>5.5396899999999999E-2</v>
      </c>
      <c r="S2884">
        <v>3.058411</v>
      </c>
      <c r="T2884">
        <v>-0.27291860000000001</v>
      </c>
      <c r="U2884">
        <v>3.6895749999999998E-2</v>
      </c>
      <c r="V2884">
        <v>-3.4787529999999997E-2</v>
      </c>
      <c r="W2884">
        <v>0.1330848</v>
      </c>
      <c r="X2884">
        <v>0.99049399999999999</v>
      </c>
      <c r="Y2884">
        <v>8.9182480000000001E-3</v>
      </c>
      <c r="Z2884">
        <v>-2.2759360000000001E-3</v>
      </c>
      <c r="AA2884">
        <v>0.9999576</v>
      </c>
      <c r="AB2884">
        <v>35</v>
      </c>
      <c r="AC2884">
        <v>0.540300000000002</v>
      </c>
      <c r="AD2884">
        <v>-7.9944000000000195E-2</v>
      </c>
      <c r="AE2884">
        <v>2.4900000000016502E-3</v>
      </c>
      <c r="AF2884">
        <v>8.7195426603588703E-3</v>
      </c>
      <c r="AG2884">
        <v>-7.9944000000000195E-2</v>
      </c>
      <c r="AH2884">
        <v>0.52865867332694205</v>
      </c>
      <c r="AI2884">
        <v>98.597989030669694</v>
      </c>
      <c r="AJ2884">
        <v>89.055065729896398</v>
      </c>
      <c r="AK2884">
        <v>0.53474018592584605</v>
      </c>
      <c r="AL2884">
        <v>82.352112683887995</v>
      </c>
      <c r="AM2884">
        <v>92.0114808549</v>
      </c>
      <c r="AN2884">
        <v>1.0000000501352599</v>
      </c>
    </row>
    <row r="2885" spans="1:40" x14ac:dyDescent="0.3">
      <c r="A2885" t="str">
        <f>"20200111150411549"</f>
        <v>20200111150411549</v>
      </c>
      <c r="B2885" t="str">
        <f>"1578726251541722"</f>
        <v>1578726251541722</v>
      </c>
      <c r="C2885" t="s">
        <v>40</v>
      </c>
      <c r="D2885">
        <v>5.0152650000000003</v>
      </c>
      <c r="E2885">
        <v>0.51767810000000003</v>
      </c>
      <c r="F2885" t="s">
        <v>42</v>
      </c>
      <c r="G2885">
        <v>-249.19489999999999</v>
      </c>
      <c r="H2885">
        <v>1.029069</v>
      </c>
      <c r="I2885">
        <v>-57.951650000000001</v>
      </c>
      <c r="J2885">
        <v>-249.9</v>
      </c>
      <c r="K2885">
        <v>1.1048929999999999</v>
      </c>
      <c r="L2885">
        <v>-57.95926</v>
      </c>
      <c r="M2885">
        <v>0.99970550000000002</v>
      </c>
      <c r="N2885">
        <v>0</v>
      </c>
      <c r="O2885">
        <v>2.154085E-2</v>
      </c>
      <c r="P2885">
        <v>0.99094090000000001</v>
      </c>
      <c r="Q2885">
        <v>0.12225659999999999</v>
      </c>
      <c r="R2885">
        <v>5.5582760000000002E-2</v>
      </c>
      <c r="S2885">
        <v>3.0585330000000002</v>
      </c>
      <c r="T2885">
        <v>-0.2717967</v>
      </c>
      <c r="U2885">
        <v>4.0557860000000001E-2</v>
      </c>
      <c r="V2885">
        <v>-3.4534540000000002E-2</v>
      </c>
      <c r="W2885">
        <v>0.13325310000000001</v>
      </c>
      <c r="X2885">
        <v>0.99048020000000003</v>
      </c>
      <c r="Y2885">
        <v>8.1669510000000004E-3</v>
      </c>
      <c r="Z2885">
        <v>-2.2724709999999999E-3</v>
      </c>
      <c r="AA2885">
        <v>0.99996410000000002</v>
      </c>
      <c r="AB2885">
        <v>35</v>
      </c>
      <c r="AC2885">
        <v>0.70510000000001505</v>
      </c>
      <c r="AD2885">
        <v>-7.58240000000001E-2</v>
      </c>
      <c r="AE2885">
        <v>7.60999999999967E-3</v>
      </c>
      <c r="AF2885">
        <v>7.4945107573277598E-3</v>
      </c>
      <c r="AG2885">
        <v>-7.58240000000001E-2</v>
      </c>
      <c r="AH2885">
        <v>0.69704060008540003</v>
      </c>
      <c r="AI2885">
        <v>96.207861976092403</v>
      </c>
      <c r="AJ2885">
        <v>89.383985251125296</v>
      </c>
      <c r="AK2885">
        <v>0.701192587549887</v>
      </c>
      <c r="AL2885">
        <v>82.3423829523405</v>
      </c>
      <c r="AM2885">
        <v>91.996892179145803</v>
      </c>
      <c r="AN2885">
        <v>1.00000002485233</v>
      </c>
    </row>
    <row r="2886" spans="1:40" x14ac:dyDescent="0.3">
      <c r="A2886" t="str">
        <f>"20200111150411560"</f>
        <v>20200111150411560</v>
      </c>
      <c r="B2886" t="str">
        <f>"1578726251551482"</f>
        <v>1578726251551482</v>
      </c>
      <c r="C2886" t="s">
        <v>40</v>
      </c>
      <c r="D2886">
        <v>4.972696</v>
      </c>
      <c r="E2886">
        <v>0.51766099999999904</v>
      </c>
      <c r="F2886" t="s">
        <v>42</v>
      </c>
      <c r="G2886">
        <v>-248.8905</v>
      </c>
      <c r="H2886">
        <v>1.01536</v>
      </c>
      <c r="I2886">
        <v>-57.9456699999999</v>
      </c>
      <c r="J2886">
        <v>-249.72810000000001</v>
      </c>
      <c r="K2886">
        <v>1.104895</v>
      </c>
      <c r="L2886">
        <v>-57.955080000000002</v>
      </c>
      <c r="M2886">
        <v>0.99969450000000004</v>
      </c>
      <c r="N2886">
        <v>0</v>
      </c>
      <c r="O2886">
        <v>2.2054609999999999E-2</v>
      </c>
      <c r="P2886">
        <v>0.99092029999999998</v>
      </c>
      <c r="Q2886">
        <v>0.1223004</v>
      </c>
      <c r="R2886">
        <v>5.5856360000000001E-2</v>
      </c>
      <c r="S2886">
        <v>3.0585629999999999</v>
      </c>
      <c r="T2886">
        <v>-0.27125559999999999</v>
      </c>
      <c r="U2886">
        <v>4.1351319999999997E-2</v>
      </c>
      <c r="V2886">
        <v>-3.4298679999999998E-2</v>
      </c>
      <c r="W2886">
        <v>0.1332885</v>
      </c>
      <c r="X2886">
        <v>0.99048360000000002</v>
      </c>
      <c r="Y2886">
        <v>8.4190719999999997E-3</v>
      </c>
      <c r="Z2886">
        <v>-2.324558E-3</v>
      </c>
      <c r="AA2886">
        <v>0.99996189999999996</v>
      </c>
      <c r="AB2886">
        <v>35</v>
      </c>
      <c r="AC2886">
        <v>0.837600000000009</v>
      </c>
      <c r="AD2886">
        <v>-8.9535000000000101E-2</v>
      </c>
      <c r="AE2886">
        <v>9.4100000000096797E-3</v>
      </c>
      <c r="AF2886">
        <v>8.96396686204445E-3</v>
      </c>
      <c r="AG2886">
        <v>-8.9535000000000101E-2</v>
      </c>
      <c r="AH2886">
        <v>0.82814223610139004</v>
      </c>
      <c r="AI2886">
        <v>96.170234247793104</v>
      </c>
      <c r="AJ2886">
        <v>89.379843957114005</v>
      </c>
      <c r="AK2886">
        <v>0.83301646570875998</v>
      </c>
      <c r="AL2886">
        <v>82.340336178916203</v>
      </c>
      <c r="AM2886">
        <v>91.983258162465802</v>
      </c>
      <c r="AN2886">
        <v>0.99999999277547602</v>
      </c>
    </row>
    <row r="2887" spans="1:40" x14ac:dyDescent="0.3">
      <c r="A2887" t="str">
        <f>"20200111150411571"</f>
        <v>20200111150411571</v>
      </c>
      <c r="B2887" t="str">
        <f>"1578726251561243"</f>
        <v>1578726251561243</v>
      </c>
      <c r="C2887" t="s">
        <v>40</v>
      </c>
      <c r="D2887">
        <v>5.026999</v>
      </c>
      <c r="E2887">
        <v>0.51775740000000003</v>
      </c>
      <c r="F2887" t="s">
        <v>42</v>
      </c>
      <c r="G2887">
        <v>-248.88329999999999</v>
      </c>
      <c r="H2887">
        <v>1.030057</v>
      </c>
      <c r="I2887">
        <v>-57.943469999999998</v>
      </c>
      <c r="J2887">
        <v>-249.56190000000001</v>
      </c>
      <c r="K2887">
        <v>1.1048960000000001</v>
      </c>
      <c r="L2887">
        <v>-57.950989999999997</v>
      </c>
      <c r="M2887">
        <v>0.99968349999999995</v>
      </c>
      <c r="N2887">
        <v>0</v>
      </c>
      <c r="O2887">
        <v>2.2551740000000001E-2</v>
      </c>
      <c r="P2887">
        <v>0.99088969999999998</v>
      </c>
      <c r="Q2887">
        <v>0.1224893</v>
      </c>
      <c r="R2887">
        <v>5.5985069999999998E-2</v>
      </c>
      <c r="S2887">
        <v>3.0585330000000002</v>
      </c>
      <c r="T2887">
        <v>-0.27093620000000002</v>
      </c>
      <c r="U2887">
        <v>4.2205810000000003E-2</v>
      </c>
      <c r="V2887">
        <v>-3.3935130000000001E-2</v>
      </c>
      <c r="W2887">
        <v>0.13346859999999999</v>
      </c>
      <c r="X2887">
        <v>0.99047189999999996</v>
      </c>
      <c r="Y2887">
        <v>8.6343740000000002E-3</v>
      </c>
      <c r="Z2887">
        <v>-2.3753060000000002E-3</v>
      </c>
      <c r="AA2887">
        <v>0.99995990000000001</v>
      </c>
      <c r="AB2887">
        <v>35</v>
      </c>
      <c r="AC2887">
        <v>0.67860000000001697</v>
      </c>
      <c r="AD2887">
        <v>-7.4838999999999795E-2</v>
      </c>
      <c r="AE2887">
        <v>7.5200000000066299E-3</v>
      </c>
      <c r="AF2887">
        <v>7.6929200497693404E-3</v>
      </c>
      <c r="AG2887">
        <v>-7.4838999999999795E-2</v>
      </c>
      <c r="AH2887">
        <v>0.67044362421141301</v>
      </c>
      <c r="AI2887">
        <v>96.368920543161195</v>
      </c>
      <c r="AJ2887">
        <v>89.342595719600197</v>
      </c>
      <c r="AK2887">
        <v>0.67465154723429399</v>
      </c>
      <c r="AL2887">
        <v>82.329924408510294</v>
      </c>
      <c r="AM2887">
        <v>91.962276234373803</v>
      </c>
      <c r="AN2887">
        <v>1.0000000224618399</v>
      </c>
    </row>
    <row r="2888" spans="1:40" x14ac:dyDescent="0.3">
      <c r="A2888" t="str">
        <f>"20200111150411582"</f>
        <v>20200111150411582</v>
      </c>
      <c r="B2888" t="str">
        <f>"1578726251571002"</f>
        <v>1578726251571002</v>
      </c>
      <c r="C2888" t="s">
        <v>40</v>
      </c>
      <c r="D2888">
        <v>4.9812110000000001</v>
      </c>
      <c r="E2888">
        <v>0.51776179999999905</v>
      </c>
      <c r="F2888" t="s">
        <v>42</v>
      </c>
      <c r="G2888">
        <v>-248.5779</v>
      </c>
      <c r="H2888">
        <v>1.0180359999999999</v>
      </c>
      <c r="I2888">
        <v>-57.937629999999999</v>
      </c>
      <c r="J2888">
        <v>-249.38550000000001</v>
      </c>
      <c r="K2888">
        <v>1.104894</v>
      </c>
      <c r="L2888">
        <v>-57.946530000000003</v>
      </c>
      <c r="M2888">
        <v>0.99967159999999999</v>
      </c>
      <c r="N2888">
        <v>0</v>
      </c>
      <c r="O2888">
        <v>2.307886E-2</v>
      </c>
      <c r="P2888">
        <v>0.99085259999999997</v>
      </c>
      <c r="Q2888">
        <v>0.122603</v>
      </c>
      <c r="R2888">
        <v>5.6388710000000002E-2</v>
      </c>
      <c r="S2888">
        <v>3.0585779999999998</v>
      </c>
      <c r="T2888">
        <v>-0.2700012</v>
      </c>
      <c r="U2888">
        <v>4.162598E-2</v>
      </c>
      <c r="V2888">
        <v>-3.3817050000000001E-2</v>
      </c>
      <c r="W2888">
        <v>0.13357160000000001</v>
      </c>
      <c r="X2888">
        <v>0.99046199999999995</v>
      </c>
      <c r="Y2888">
        <v>9.347401E-3</v>
      </c>
      <c r="Z2888">
        <v>-2.4449490000000001E-3</v>
      </c>
      <c r="AA2888">
        <v>0.99995330000000004</v>
      </c>
      <c r="AB2888">
        <v>35</v>
      </c>
      <c r="AC2888">
        <v>0.80760000000000698</v>
      </c>
      <c r="AD2888">
        <v>-8.6857999999999796E-2</v>
      </c>
      <c r="AE2888">
        <v>8.8999999999970197E-3</v>
      </c>
      <c r="AF2888">
        <v>9.6306288333053505E-3</v>
      </c>
      <c r="AG2888">
        <v>-8.6857999999999796E-2</v>
      </c>
      <c r="AH2888">
        <v>0.79835667760976103</v>
      </c>
      <c r="AI2888">
        <v>96.208681091265404</v>
      </c>
      <c r="AJ2888">
        <v>89.308870785751097</v>
      </c>
      <c r="AK2888">
        <v>0.80312542349238403</v>
      </c>
      <c r="AL2888">
        <v>82.323969214475198</v>
      </c>
      <c r="AM2888">
        <v>91.955473177533193</v>
      </c>
      <c r="AN2888">
        <v>0.99999996932062996</v>
      </c>
    </row>
    <row r="2889" spans="1:40" x14ac:dyDescent="0.3">
      <c r="A2889" t="str">
        <f>"20200111150411593"</f>
        <v>20200111150411593</v>
      </c>
      <c r="B2889" t="str">
        <f>"1578726251581739"</f>
        <v>1578726251581739</v>
      </c>
      <c r="C2889" t="s">
        <v>40</v>
      </c>
      <c r="D2889">
        <v>5.0098229999999999</v>
      </c>
      <c r="E2889">
        <v>0.51773859999999905</v>
      </c>
      <c r="F2889" t="s">
        <v>42</v>
      </c>
      <c r="G2889">
        <v>-248.57050000000001</v>
      </c>
      <c r="H2889">
        <v>1.033172</v>
      </c>
      <c r="I2889">
        <v>-57.935189999999999</v>
      </c>
      <c r="J2889">
        <v>-249.22389999999999</v>
      </c>
      <c r="K2889">
        <v>1.104894</v>
      </c>
      <c r="L2889">
        <v>-57.942349999999998</v>
      </c>
      <c r="M2889">
        <v>0.9996604</v>
      </c>
      <c r="N2889">
        <v>0</v>
      </c>
      <c r="O2889">
        <v>2.3561579999999999E-2</v>
      </c>
      <c r="P2889">
        <v>0.99081739999999996</v>
      </c>
      <c r="Q2889">
        <v>0.1227736</v>
      </c>
      <c r="R2889">
        <v>5.6634959999999998E-2</v>
      </c>
      <c r="S2889">
        <v>3.0585939999999998</v>
      </c>
      <c r="T2889">
        <v>-0.26922040000000003</v>
      </c>
      <c r="U2889">
        <v>4.2724610000000003E-2</v>
      </c>
      <c r="V2889">
        <v>-3.3585370000000003E-2</v>
      </c>
      <c r="W2889">
        <v>0.1337323</v>
      </c>
      <c r="X2889">
        <v>0.9904482</v>
      </c>
      <c r="Y2889">
        <v>9.4695999999999999E-3</v>
      </c>
      <c r="Z2889">
        <v>-2.485648E-3</v>
      </c>
      <c r="AA2889">
        <v>0.99995210000000001</v>
      </c>
      <c r="AB2889">
        <v>35</v>
      </c>
      <c r="AC2889">
        <v>0.653399999999976</v>
      </c>
      <c r="AD2889">
        <v>-7.1721999999999994E-2</v>
      </c>
      <c r="AE2889">
        <v>7.1599999999918404E-3</v>
      </c>
      <c r="AF2889">
        <v>8.1400122043717108E-3</v>
      </c>
      <c r="AG2889">
        <v>-7.1721999999999994E-2</v>
      </c>
      <c r="AH2889">
        <v>0.64560936384850898</v>
      </c>
      <c r="AI2889">
        <v>96.338607305855703</v>
      </c>
      <c r="AJ2889">
        <v>89.277638058993304</v>
      </c>
      <c r="AK2889">
        <v>0.64963201566083795</v>
      </c>
      <c r="AL2889">
        <v>82.314678441648795</v>
      </c>
      <c r="AM2889">
        <v>91.942113598931499</v>
      </c>
      <c r="AN2889">
        <v>0.999999971012283</v>
      </c>
    </row>
    <row r="2890" spans="1:40" x14ac:dyDescent="0.3">
      <c r="A2890" t="str">
        <f>"20200111150411604"</f>
        <v>20200111150411604</v>
      </c>
      <c r="B2890" t="str">
        <f>"1578726251601258"</f>
        <v>1578726251601258</v>
      </c>
      <c r="C2890" t="s">
        <v>40</v>
      </c>
      <c r="D2890">
        <v>5.0772649999999997</v>
      </c>
      <c r="E2890">
        <v>0.51790000000000003</v>
      </c>
      <c r="F2890" t="s">
        <v>42</v>
      </c>
      <c r="G2890">
        <v>-248.26519999999999</v>
      </c>
      <c r="H2890">
        <v>1.0206580000000001</v>
      </c>
      <c r="I2890">
        <v>-57.928620000000002</v>
      </c>
      <c r="J2890">
        <v>-249.05170000000001</v>
      </c>
      <c r="K2890">
        <v>1.1048899999999999</v>
      </c>
      <c r="L2890">
        <v>-57.937840000000001</v>
      </c>
      <c r="M2890">
        <v>0.99964819999999999</v>
      </c>
      <c r="N2890">
        <v>0</v>
      </c>
      <c r="O2890">
        <v>2.4076299999999998E-2</v>
      </c>
      <c r="P2890">
        <v>0.99080210000000002</v>
      </c>
      <c r="Q2890">
        <v>0.1227528</v>
      </c>
      <c r="R2890">
        <v>5.6949260000000002E-2</v>
      </c>
      <c r="S2890">
        <v>3.0585939999999998</v>
      </c>
      <c r="T2890">
        <v>-0.26872439999999997</v>
      </c>
      <c r="U2890">
        <v>4.379272E-2</v>
      </c>
      <c r="V2890">
        <v>-3.3389040000000002E-2</v>
      </c>
      <c r="W2890">
        <v>0.13370009999999999</v>
      </c>
      <c r="X2890">
        <v>0.99045919999999998</v>
      </c>
      <c r="Y2890">
        <v>9.6332039999999994E-3</v>
      </c>
      <c r="Z2890">
        <v>-2.5333729999999998E-3</v>
      </c>
      <c r="AA2890">
        <v>0.99995040000000002</v>
      </c>
      <c r="AB2890">
        <v>35</v>
      </c>
      <c r="AC2890">
        <v>0.78650000000001696</v>
      </c>
      <c r="AD2890">
        <v>-8.4231999999999793E-2</v>
      </c>
      <c r="AE2890">
        <v>9.2200000000062197E-3</v>
      </c>
      <c r="AF2890">
        <v>9.6096494156463902E-3</v>
      </c>
      <c r="AG2890">
        <v>-8.4231999999999793E-2</v>
      </c>
      <c r="AH2890">
        <v>0.77757654047144598</v>
      </c>
      <c r="AI2890">
        <v>96.182064193300207</v>
      </c>
      <c r="AJ2890">
        <v>89.291948384388704</v>
      </c>
      <c r="AK2890">
        <v>0.78218453799434995</v>
      </c>
      <c r="AL2890">
        <v>82.316540198268399</v>
      </c>
      <c r="AM2890">
        <v>91.930747776573398</v>
      </c>
      <c r="AN2890">
        <v>0.999999985798385</v>
      </c>
    </row>
    <row r="2891" spans="1:40" x14ac:dyDescent="0.3">
      <c r="A2891" t="str">
        <f>"20200111150411616"</f>
        <v>20200111150411616</v>
      </c>
      <c r="B2891" t="str">
        <f>"1578726251611994"</f>
        <v>1578726251611994</v>
      </c>
      <c r="C2891" t="s">
        <v>40</v>
      </c>
      <c r="D2891">
        <v>4.9260380000000001</v>
      </c>
      <c r="E2891">
        <v>0.51778599999999997</v>
      </c>
      <c r="F2891" t="s">
        <v>42</v>
      </c>
      <c r="G2891">
        <v>-248.25810000000001</v>
      </c>
      <c r="H2891">
        <v>1.035134</v>
      </c>
      <c r="I2891">
        <v>-57.926589999999997</v>
      </c>
      <c r="J2891">
        <v>-248.86940000000001</v>
      </c>
      <c r="K2891">
        <v>1.1048800000000001</v>
      </c>
      <c r="L2891">
        <v>-57.932980000000001</v>
      </c>
      <c r="M2891">
        <v>0.99963519999999995</v>
      </c>
      <c r="N2891">
        <v>0</v>
      </c>
      <c r="O2891">
        <v>2.4620719999999999E-2</v>
      </c>
      <c r="P2891">
        <v>0.99077440000000006</v>
      </c>
      <c r="Q2891">
        <v>0.12283429999999999</v>
      </c>
      <c r="R2891">
        <v>5.7252280000000003E-2</v>
      </c>
      <c r="S2891">
        <v>3.0586549999999999</v>
      </c>
      <c r="T2891">
        <v>-0.26887349999999999</v>
      </c>
      <c r="U2891">
        <v>4.3365479999999998E-2</v>
      </c>
      <c r="V2891">
        <v>-3.3152590000000003E-2</v>
      </c>
      <c r="W2891">
        <v>0.1337691</v>
      </c>
      <c r="X2891">
        <v>0.99045780000000005</v>
      </c>
      <c r="Y2891">
        <v>1.031286E-2</v>
      </c>
      <c r="Z2891">
        <v>-2.6122900000000002E-3</v>
      </c>
      <c r="AA2891">
        <v>0.99994340000000004</v>
      </c>
      <c r="AB2891">
        <v>35</v>
      </c>
      <c r="AC2891">
        <v>0.61129999999999995</v>
      </c>
      <c r="AD2891">
        <v>-6.9745999999999794E-2</v>
      </c>
      <c r="AE2891">
        <v>6.3900000000032204E-3</v>
      </c>
      <c r="AF2891">
        <v>8.5521946707129894E-3</v>
      </c>
      <c r="AG2891">
        <v>-6.9745999999999794E-2</v>
      </c>
      <c r="AH2891">
        <v>0.60341783247674396</v>
      </c>
      <c r="AI2891">
        <v>96.5926137684351</v>
      </c>
      <c r="AJ2891">
        <v>89.1880056762934</v>
      </c>
      <c r="AK2891">
        <v>0.60749545274069106</v>
      </c>
      <c r="AL2891">
        <v>82.312550754944994</v>
      </c>
      <c r="AM2891">
        <v>91.917087814058604</v>
      </c>
      <c r="AN2891">
        <v>0.99999995995967805</v>
      </c>
    </row>
    <row r="2892" spans="1:40" x14ac:dyDescent="0.3">
      <c r="A2892" t="str">
        <f>"20200111150411627"</f>
        <v>20200111150411627</v>
      </c>
      <c r="B2892" t="str">
        <f>"1578726251621754"</f>
        <v>1578726251621754</v>
      </c>
      <c r="C2892" t="s">
        <v>40</v>
      </c>
      <c r="D2892">
        <v>4.987171</v>
      </c>
      <c r="E2892">
        <v>0.51787919999999998</v>
      </c>
      <c r="F2892" t="s">
        <v>42</v>
      </c>
      <c r="G2892">
        <v>-247.95179999999999</v>
      </c>
      <c r="H2892">
        <v>1.0240629999999999</v>
      </c>
      <c r="I2892">
        <v>-57.919469999999997</v>
      </c>
      <c r="J2892">
        <v>-248.6892</v>
      </c>
      <c r="K2892">
        <v>1.104878</v>
      </c>
      <c r="L2892">
        <v>-57.928069999999998</v>
      </c>
      <c r="M2892">
        <v>0.99962189999999995</v>
      </c>
      <c r="N2892">
        <v>0</v>
      </c>
      <c r="O2892">
        <v>2.5159109999999998E-2</v>
      </c>
      <c r="P2892">
        <v>0.9908053</v>
      </c>
      <c r="Q2892">
        <v>0.12239079999999999</v>
      </c>
      <c r="R2892">
        <v>5.7669140000000001E-2</v>
      </c>
      <c r="S2892">
        <v>3.0587309999999999</v>
      </c>
      <c r="T2892">
        <v>-0.26941619999999999</v>
      </c>
      <c r="U2892">
        <v>4.5440670000000002E-2</v>
      </c>
      <c r="V2892">
        <v>-3.3033260000000002E-2</v>
      </c>
      <c r="W2892">
        <v>0.13331209999999999</v>
      </c>
      <c r="X2892">
        <v>0.9905235</v>
      </c>
      <c r="Y2892">
        <v>1.017144E-2</v>
      </c>
      <c r="Z2892">
        <v>-2.6585620000000002E-3</v>
      </c>
      <c r="AA2892">
        <v>0.99994470000000002</v>
      </c>
      <c r="AB2892">
        <v>35</v>
      </c>
      <c r="AC2892">
        <v>0.73740000000000705</v>
      </c>
      <c r="AD2892">
        <v>-8.0814999999999998E-2</v>
      </c>
      <c r="AE2892">
        <v>8.6000000000012698E-3</v>
      </c>
      <c r="AF2892">
        <v>9.8380438064421503E-3</v>
      </c>
      <c r="AG2892">
        <v>-8.0814999999999998E-2</v>
      </c>
      <c r="AH2892">
        <v>0.72863255039084796</v>
      </c>
      <c r="AI2892">
        <v>96.328420672909004</v>
      </c>
      <c r="AJ2892">
        <v>89.226435686573694</v>
      </c>
      <c r="AK2892">
        <v>0.73316658735925</v>
      </c>
      <c r="AL2892">
        <v>82.338972326513598</v>
      </c>
      <c r="AM2892">
        <v>91.910065930166695</v>
      </c>
      <c r="AN2892">
        <v>1.00000005816244</v>
      </c>
    </row>
    <row r="2893" spans="1:40" x14ac:dyDescent="0.3">
      <c r="A2893" t="str">
        <f>"20200111150411639"</f>
        <v>20200111150411639</v>
      </c>
      <c r="B2893" t="str">
        <f>"1578726251631514"</f>
        <v>1578726251631514</v>
      </c>
      <c r="C2893" t="s">
        <v>40</v>
      </c>
      <c r="D2893">
        <v>5.0262789999999997</v>
      </c>
      <c r="E2893">
        <v>0.51791419999999999</v>
      </c>
      <c r="F2893" t="s">
        <v>42</v>
      </c>
      <c r="G2893">
        <v>-247.9435</v>
      </c>
      <c r="H2893">
        <v>1.0388040000000001</v>
      </c>
      <c r="I2893">
        <v>-57.916980000000002</v>
      </c>
      <c r="J2893">
        <v>-248.50550000000001</v>
      </c>
      <c r="K2893">
        <v>1.1048739999999999</v>
      </c>
      <c r="L2893">
        <v>-57.922939999999997</v>
      </c>
      <c r="M2893">
        <v>0.99960830000000001</v>
      </c>
      <c r="N2893">
        <v>0</v>
      </c>
      <c r="O2893">
        <v>2.570772E-2</v>
      </c>
      <c r="P2893">
        <v>0.99076949999999997</v>
      </c>
      <c r="Q2893">
        <v>0.1224509</v>
      </c>
      <c r="R2893">
        <v>5.8157430000000003E-2</v>
      </c>
      <c r="S2893">
        <v>3.0586549999999999</v>
      </c>
      <c r="T2893">
        <v>-0.27106180000000002</v>
      </c>
      <c r="U2893">
        <v>4.5989990000000001E-2</v>
      </c>
      <c r="V2893">
        <v>-3.2978279999999999E-2</v>
      </c>
      <c r="W2893">
        <v>0.13335559999999999</v>
      </c>
      <c r="X2893">
        <v>0.99051940000000005</v>
      </c>
      <c r="Y2893">
        <v>1.0535050000000001E-2</v>
      </c>
      <c r="Z2893">
        <v>-2.7393840000000001E-3</v>
      </c>
      <c r="AA2893">
        <v>0.99994079999999996</v>
      </c>
      <c r="AB2893">
        <v>35</v>
      </c>
      <c r="AC2893">
        <v>0.56200000000001105</v>
      </c>
      <c r="AD2893">
        <v>-6.6069999999999796E-2</v>
      </c>
      <c r="AE2893">
        <v>5.9600000000017399E-3</v>
      </c>
      <c r="AF2893">
        <v>8.3748576780178895E-3</v>
      </c>
      <c r="AG2893">
        <v>-6.6069999999999796E-2</v>
      </c>
      <c r="AH2893">
        <v>0.554307306438791</v>
      </c>
      <c r="AI2893">
        <v>96.796465108975298</v>
      </c>
      <c r="AJ2893">
        <v>89.134401645686097</v>
      </c>
      <c r="AK2893">
        <v>0.55829380536824402</v>
      </c>
      <c r="AL2893">
        <v>82.336456921696893</v>
      </c>
      <c r="AM2893">
        <v>91.9068970849343</v>
      </c>
      <c r="AN2893">
        <v>0.99999998238973897</v>
      </c>
    </row>
    <row r="2894" spans="1:40" x14ac:dyDescent="0.3">
      <c r="A2894" t="str">
        <f>"20200111150411651"</f>
        <v>20200111150411651</v>
      </c>
      <c r="B2894" t="str">
        <f>"1578726251641275"</f>
        <v>1578726251641275</v>
      </c>
      <c r="C2894" t="s">
        <v>40</v>
      </c>
      <c r="D2894">
        <v>5.0237420000000004</v>
      </c>
      <c r="E2894">
        <v>0.51801039999999998</v>
      </c>
      <c r="F2894" t="s">
        <v>42</v>
      </c>
      <c r="G2894">
        <v>-247.63810000000001</v>
      </c>
      <c r="H2894">
        <v>1.02784599999999</v>
      </c>
      <c r="I2894">
        <v>-57.909669999999998</v>
      </c>
      <c r="J2894">
        <v>-248.3287</v>
      </c>
      <c r="K2894">
        <v>1.10487</v>
      </c>
      <c r="L2894">
        <v>-57.917940000000002</v>
      </c>
      <c r="M2894">
        <v>0.9995946</v>
      </c>
      <c r="N2894">
        <v>0</v>
      </c>
      <c r="O2894">
        <v>2.6236410000000002E-2</v>
      </c>
      <c r="P2894">
        <v>0.99072990000000005</v>
      </c>
      <c r="Q2894">
        <v>0.1225371</v>
      </c>
      <c r="R2894">
        <v>5.864548E-2</v>
      </c>
      <c r="S2894">
        <v>3.0587460000000002</v>
      </c>
      <c r="T2894">
        <v>-0.27161439999999998</v>
      </c>
      <c r="U2894">
        <v>4.721069E-2</v>
      </c>
      <c r="V2894">
        <v>-3.2943020000000003E-2</v>
      </c>
      <c r="W2894">
        <v>0.1334246</v>
      </c>
      <c r="X2894">
        <v>0.99051129999999998</v>
      </c>
      <c r="Y2894">
        <v>1.066226E-2</v>
      </c>
      <c r="Z2894">
        <v>-2.7973289999999999E-3</v>
      </c>
      <c r="AA2894">
        <v>0.99993929999999998</v>
      </c>
      <c r="AB2894">
        <v>35</v>
      </c>
      <c r="AC2894">
        <v>0.690599999999989</v>
      </c>
      <c r="AD2894">
        <v>-7.7024000000000203E-2</v>
      </c>
      <c r="AE2894">
        <v>8.2700000000030995E-3</v>
      </c>
      <c r="AF2894">
        <v>9.7317798347290405E-3</v>
      </c>
      <c r="AG2894">
        <v>-7.7024000000000203E-2</v>
      </c>
      <c r="AH2894">
        <v>0.68209559668673903</v>
      </c>
      <c r="AI2894">
        <v>96.442045374185099</v>
      </c>
      <c r="AJ2894">
        <v>89.182589530654994</v>
      </c>
      <c r="AK2894">
        <v>0.68649967744652995</v>
      </c>
      <c r="AL2894">
        <v>82.332468008165705</v>
      </c>
      <c r="AM2894">
        <v>91.904875320884699</v>
      </c>
      <c r="AN2894">
        <v>1.00000000093978</v>
      </c>
    </row>
    <row r="2895" spans="1:40" x14ac:dyDescent="0.3">
      <c r="A2895" t="str">
        <f>"20200111150411660"</f>
        <v>20200111150411660</v>
      </c>
      <c r="B2895" t="str">
        <f>"1578726251651035"</f>
        <v>1578726251651035</v>
      </c>
      <c r="C2895" t="s">
        <v>40</v>
      </c>
      <c r="D2895">
        <v>4.9729669999999997</v>
      </c>
      <c r="E2895">
        <v>0.51801920000000001</v>
      </c>
      <c r="F2895" t="s">
        <v>42</v>
      </c>
      <c r="G2895">
        <v>-247.33170000000001</v>
      </c>
      <c r="H2895">
        <v>1.0162070000000001</v>
      </c>
      <c r="I2895">
        <v>-57.902410000000003</v>
      </c>
      <c r="J2895">
        <v>-248.1574</v>
      </c>
      <c r="K2895">
        <v>1.104867</v>
      </c>
      <c r="L2895">
        <v>-57.912959999999998</v>
      </c>
      <c r="M2895">
        <v>0.99958139999999995</v>
      </c>
      <c r="N2895">
        <v>0</v>
      </c>
      <c r="O2895">
        <v>2.674795E-2</v>
      </c>
      <c r="P2895">
        <v>0.99071189999999998</v>
      </c>
      <c r="Q2895">
        <v>0.1225313</v>
      </c>
      <c r="R2895">
        <v>5.8960070000000003E-2</v>
      </c>
      <c r="S2895">
        <v>3.0588679999999999</v>
      </c>
      <c r="T2895">
        <v>-0.27202270000000001</v>
      </c>
      <c r="U2895">
        <v>4.8065190000000001E-2</v>
      </c>
      <c r="V2895">
        <v>-3.2749939999999998E-2</v>
      </c>
      <c r="W2895">
        <v>0.13340150000000001</v>
      </c>
      <c r="X2895">
        <v>0.99052079999999998</v>
      </c>
      <c r="Y2895">
        <v>1.0891970000000001E-2</v>
      </c>
      <c r="Z2895">
        <v>-2.856974E-3</v>
      </c>
      <c r="AA2895">
        <v>0.99993659999999995</v>
      </c>
      <c r="AB2895">
        <v>35</v>
      </c>
      <c r="AC2895">
        <v>0.825699999999983</v>
      </c>
      <c r="AD2895">
        <v>-8.86600000000001E-2</v>
      </c>
      <c r="AE2895">
        <v>1.0550000000002E-2</v>
      </c>
      <c r="AF2895">
        <v>1.1409377025716099E-2</v>
      </c>
      <c r="AG2895">
        <v>-8.86600000000001E-2</v>
      </c>
      <c r="AH2895">
        <v>0.81627700606503295</v>
      </c>
      <c r="AI2895">
        <v>96.198285131111405</v>
      </c>
      <c r="AJ2895">
        <v>89.199209851855898</v>
      </c>
      <c r="AK2895">
        <v>0.82115706178209802</v>
      </c>
      <c r="AL2895">
        <v>82.333803371595707</v>
      </c>
      <c r="AM2895">
        <v>91.893700794849494</v>
      </c>
      <c r="AN2895">
        <v>0.99999998700244597</v>
      </c>
    </row>
    <row r="2896" spans="1:40" x14ac:dyDescent="0.3">
      <c r="A2896" t="str">
        <f>"20200111150411671"</f>
        <v>20200111150411671</v>
      </c>
      <c r="B2896" t="str">
        <f>"1578726251661771"</f>
        <v>1578726251661771</v>
      </c>
      <c r="C2896" t="s">
        <v>40</v>
      </c>
      <c r="D2896">
        <v>5.0401889999999998</v>
      </c>
      <c r="E2896">
        <v>0.51806129999999995</v>
      </c>
      <c r="F2896" t="s">
        <v>42</v>
      </c>
      <c r="G2896">
        <v>-247.3245</v>
      </c>
      <c r="H2896">
        <v>1.03087</v>
      </c>
      <c r="I2896">
        <v>-57.899760000000001</v>
      </c>
      <c r="J2896">
        <v>-247.9982</v>
      </c>
      <c r="K2896">
        <v>1.104867</v>
      </c>
      <c r="L2896">
        <v>-57.908329999999999</v>
      </c>
      <c r="M2896">
        <v>0.99956849999999997</v>
      </c>
      <c r="N2896">
        <v>0</v>
      </c>
      <c r="O2896">
        <v>2.722395E-2</v>
      </c>
      <c r="P2896">
        <v>0.99071640000000005</v>
      </c>
      <c r="Q2896">
        <v>0.1224319</v>
      </c>
      <c r="R2896">
        <v>5.9089370000000002E-2</v>
      </c>
      <c r="S2896">
        <v>3.0588380000000002</v>
      </c>
      <c r="T2896">
        <v>-0.27177020000000002</v>
      </c>
      <c r="U2896">
        <v>4.9011230000000003E-2</v>
      </c>
      <c r="V2896">
        <v>-3.2406600000000001E-2</v>
      </c>
      <c r="W2896">
        <v>0.13328709999999999</v>
      </c>
      <c r="X2896">
        <v>0.99054750000000003</v>
      </c>
      <c r="Y2896">
        <v>1.105656E-2</v>
      </c>
      <c r="Z2896">
        <v>-2.9038419999999998E-3</v>
      </c>
      <c r="AA2896">
        <v>0.99993469999999995</v>
      </c>
      <c r="AB2896">
        <v>35</v>
      </c>
      <c r="AC2896">
        <v>0.67369999999999597</v>
      </c>
      <c r="AD2896">
        <v>-7.3996999999999799E-2</v>
      </c>
      <c r="AE2896">
        <v>8.57000000000596E-3</v>
      </c>
      <c r="AF2896">
        <v>9.6585646641256708E-3</v>
      </c>
      <c r="AG2896">
        <v>-7.3996999999999799E-2</v>
      </c>
      <c r="AH2896">
        <v>0.665654367289507</v>
      </c>
      <c r="AI2896">
        <v>96.342539719490901</v>
      </c>
      <c r="AJ2896">
        <v>89.168703479054599</v>
      </c>
      <c r="AK2896">
        <v>0.66982429081958805</v>
      </c>
      <c r="AL2896">
        <v>82.340417126557995</v>
      </c>
      <c r="AM2896">
        <v>91.873811590472499</v>
      </c>
      <c r="AN2896">
        <v>0.99999999425310904</v>
      </c>
    </row>
    <row r="2897" spans="1:40" x14ac:dyDescent="0.3">
      <c r="A2897" t="str">
        <f>"20200111150411682"</f>
        <v>20200111150411682</v>
      </c>
      <c r="B2897" t="str">
        <f>"1578726251671530"</f>
        <v>1578726251671530</v>
      </c>
      <c r="C2897" t="s">
        <v>40</v>
      </c>
      <c r="D2897">
        <v>5.0032069999999997</v>
      </c>
      <c r="E2897">
        <v>0.5180787</v>
      </c>
      <c r="F2897" t="s">
        <v>42</v>
      </c>
      <c r="G2897">
        <v>-247.0187</v>
      </c>
      <c r="H2897">
        <v>1.0174909999999999</v>
      </c>
      <c r="I2897">
        <v>-57.892600000000002</v>
      </c>
      <c r="J2897">
        <v>-247.8279</v>
      </c>
      <c r="K2897">
        <v>1.10487</v>
      </c>
      <c r="L2897">
        <v>-57.903199999999998</v>
      </c>
      <c r="M2897">
        <v>0.99955479999999997</v>
      </c>
      <c r="N2897">
        <v>0</v>
      </c>
      <c r="O2897">
        <v>2.7732920000000001E-2</v>
      </c>
      <c r="P2897">
        <v>0.99068789999999995</v>
      </c>
      <c r="Q2897">
        <v>0.122418</v>
      </c>
      <c r="R2897">
        <v>5.9592880000000001E-2</v>
      </c>
      <c r="S2897">
        <v>3.058929</v>
      </c>
      <c r="T2897">
        <v>-0.27293479999999998</v>
      </c>
      <c r="U2897">
        <v>4.9072270000000001E-2</v>
      </c>
      <c r="V2897">
        <v>-3.2405789999999997E-2</v>
      </c>
      <c r="W2897">
        <v>0.1332564</v>
      </c>
      <c r="X2897">
        <v>0.99055170000000003</v>
      </c>
      <c r="Y2897">
        <v>1.1541020000000001E-2</v>
      </c>
      <c r="Z2897">
        <v>-2.9830220000000001E-3</v>
      </c>
      <c r="AA2897">
        <v>0.99992899999999996</v>
      </c>
      <c r="AB2897">
        <v>35</v>
      </c>
      <c r="AC2897">
        <v>0.80920000000000403</v>
      </c>
      <c r="AD2897">
        <v>-8.7379000000000095E-2</v>
      </c>
      <c r="AE2897">
        <v>1.05999999999966E-2</v>
      </c>
      <c r="AF2897">
        <v>1.17103942800218E-2</v>
      </c>
      <c r="AG2897">
        <v>-8.7379000000000095E-2</v>
      </c>
      <c r="AH2897">
        <v>0.79985788002147296</v>
      </c>
      <c r="AI2897">
        <v>96.233786695641797</v>
      </c>
      <c r="AJ2897">
        <v>89.161215695365996</v>
      </c>
      <c r="AK2897">
        <v>0.80470171567335302</v>
      </c>
      <c r="AL2897">
        <v>82.342192267463503</v>
      </c>
      <c r="AM2897">
        <v>91.873756848896605</v>
      </c>
      <c r="AN2897">
        <v>1.00000003686968</v>
      </c>
    </row>
    <row r="2898" spans="1:40" x14ac:dyDescent="0.3">
      <c r="A2898" t="str">
        <f>"20200111150411693"</f>
        <v>20200111150411693</v>
      </c>
      <c r="B2898" t="str">
        <f>"1578726251691050"</f>
        <v>1578726251691050</v>
      </c>
      <c r="C2898" t="s">
        <v>40</v>
      </c>
      <c r="D2898">
        <v>4.7913839999999999</v>
      </c>
      <c r="E2898">
        <v>0.51827369999999995</v>
      </c>
      <c r="F2898" t="s">
        <v>42</v>
      </c>
      <c r="G2898">
        <v>-247.01169999999999</v>
      </c>
      <c r="H2898">
        <v>1.0319100000000001</v>
      </c>
      <c r="I2898">
        <v>-57.889740000000003</v>
      </c>
      <c r="J2898">
        <v>-247.6559</v>
      </c>
      <c r="K2898">
        <v>1.104868</v>
      </c>
      <c r="L2898">
        <v>-57.897979999999997</v>
      </c>
      <c r="M2898">
        <v>0.9995406</v>
      </c>
      <c r="N2898">
        <v>0</v>
      </c>
      <c r="O2898">
        <v>2.8246540000000001E-2</v>
      </c>
      <c r="P2898">
        <v>0.9906722</v>
      </c>
      <c r="Q2898">
        <v>0.1223447</v>
      </c>
      <c r="R2898">
        <v>6.0009050000000001E-2</v>
      </c>
      <c r="S2898">
        <v>3.0589599999999999</v>
      </c>
      <c r="T2898">
        <v>-0.27347510000000003</v>
      </c>
      <c r="U2898">
        <v>5.0415040000000001E-2</v>
      </c>
      <c r="V2898">
        <v>-3.2312199999999999E-2</v>
      </c>
      <c r="W2898">
        <v>0.1331657</v>
      </c>
      <c r="X2898">
        <v>0.99056690000000003</v>
      </c>
      <c r="Y2898">
        <v>1.161323E-2</v>
      </c>
      <c r="Z2898">
        <v>-3.0378879999999999E-3</v>
      </c>
      <c r="AA2898">
        <v>0.99992789999999998</v>
      </c>
      <c r="AB2898">
        <v>35</v>
      </c>
      <c r="AC2898">
        <v>0.64420000000001199</v>
      </c>
      <c r="AD2898">
        <v>-7.2957999999999801E-2</v>
      </c>
      <c r="AE2898">
        <v>8.2400000000006895E-3</v>
      </c>
      <c r="AF2898">
        <v>9.8346849288897392E-3</v>
      </c>
      <c r="AG2898">
        <v>-7.2957999999999801E-2</v>
      </c>
      <c r="AH2898">
        <v>0.63601919527890005</v>
      </c>
      <c r="AI2898">
        <v>96.543042740333206</v>
      </c>
      <c r="AJ2898">
        <v>89.114113158895194</v>
      </c>
      <c r="AK2898">
        <v>0.64026557580028398</v>
      </c>
      <c r="AL2898">
        <v>82.347435308378905</v>
      </c>
      <c r="AM2898">
        <v>91.868320510824603</v>
      </c>
      <c r="AN2898">
        <v>0.99999998265046897</v>
      </c>
    </row>
    <row r="2899" spans="1:40" x14ac:dyDescent="0.3">
      <c r="A2899" t="str">
        <f>"20200111150411704"</f>
        <v>20200111150411704</v>
      </c>
      <c r="B2899" t="str">
        <f>"1578726251701787"</f>
        <v>1578726251701787</v>
      </c>
      <c r="C2899" t="s">
        <v>40</v>
      </c>
      <c r="D2899">
        <v>5.2286729999999997</v>
      </c>
      <c r="E2899">
        <v>0.51827369999999995</v>
      </c>
      <c r="F2899" t="s">
        <v>42</v>
      </c>
      <c r="G2899">
        <v>-246.70509999999999</v>
      </c>
      <c r="H2899">
        <v>1.0197309999999999</v>
      </c>
      <c r="I2899">
        <v>-57.882510000000003</v>
      </c>
      <c r="J2899">
        <v>-247.47900000000001</v>
      </c>
      <c r="K2899">
        <v>1.1048659999999999</v>
      </c>
      <c r="L2899">
        <v>-57.892519999999998</v>
      </c>
      <c r="M2899">
        <v>0.99952580000000002</v>
      </c>
      <c r="N2899">
        <v>0</v>
      </c>
      <c r="O2899">
        <v>2.8775370000000002E-2</v>
      </c>
      <c r="P2899">
        <v>0.99067660000000002</v>
      </c>
      <c r="Q2899">
        <v>0.12226670000000001</v>
      </c>
      <c r="R2899">
        <v>6.0090900000000003E-2</v>
      </c>
      <c r="S2899">
        <v>3.0590359999999999</v>
      </c>
      <c r="T2899">
        <v>-0.27388249999999997</v>
      </c>
      <c r="U2899">
        <v>5.0201419999999997E-2</v>
      </c>
      <c r="V2899">
        <v>-3.1869069999999999E-2</v>
      </c>
      <c r="W2899">
        <v>0.13307069999999999</v>
      </c>
      <c r="X2899">
        <v>0.99059399999999997</v>
      </c>
      <c r="Y2899">
        <v>1.2207519999999999E-2</v>
      </c>
      <c r="Z2899">
        <v>-3.1161029999999998E-3</v>
      </c>
      <c r="AA2899">
        <v>0.99992060000000005</v>
      </c>
      <c r="AB2899">
        <v>35</v>
      </c>
      <c r="AC2899">
        <v>0.77390000000002501</v>
      </c>
      <c r="AD2899">
        <v>-8.5134999999999905E-2</v>
      </c>
      <c r="AE2899">
        <v>1.00100000000011E-2</v>
      </c>
      <c r="AF2899">
        <v>1.2118117075254099E-2</v>
      </c>
      <c r="AG2899">
        <v>-8.5134999999999905E-2</v>
      </c>
      <c r="AH2899">
        <v>0.76461594150805401</v>
      </c>
      <c r="AI2899">
        <v>96.352551578318199</v>
      </c>
      <c r="AJ2899">
        <v>89.092016262702103</v>
      </c>
      <c r="AK2899">
        <v>0.76943638788056901</v>
      </c>
      <c r="AL2899">
        <v>82.352927117325393</v>
      </c>
      <c r="AM2899">
        <v>91.842665745410898</v>
      </c>
      <c r="AN2899">
        <v>0.99999996082857601</v>
      </c>
    </row>
    <row r="2900" spans="1:40" x14ac:dyDescent="0.3">
      <c r="A2900" t="str">
        <f>"20200111150411717"</f>
        <v>20200111150411717</v>
      </c>
      <c r="B2900" t="str">
        <f>"1578726251711546"</f>
        <v>1578726251711546</v>
      </c>
      <c r="C2900" t="s">
        <v>40</v>
      </c>
      <c r="D2900">
        <v>5.1752399999999996</v>
      </c>
      <c r="E2900">
        <v>0.5903986</v>
      </c>
      <c r="F2900" t="s">
        <v>42</v>
      </c>
      <c r="G2900">
        <v>-246.6978</v>
      </c>
      <c r="H2900">
        <v>1.0348599999999999</v>
      </c>
      <c r="I2900">
        <v>-57.879759999999997</v>
      </c>
      <c r="J2900">
        <v>-247.2944</v>
      </c>
      <c r="K2900">
        <v>1.104859</v>
      </c>
      <c r="L2900">
        <v>-57.886719999999997</v>
      </c>
      <c r="M2900">
        <v>0.99950989999999995</v>
      </c>
      <c r="N2900">
        <v>0</v>
      </c>
      <c r="O2900">
        <v>2.9326789999999998E-2</v>
      </c>
      <c r="P2900">
        <v>0.99068210000000001</v>
      </c>
      <c r="Q2900">
        <v>0.12211909999999999</v>
      </c>
      <c r="R2900">
        <v>6.0299499999999999E-2</v>
      </c>
      <c r="S2900">
        <v>3.059021</v>
      </c>
      <c r="T2900">
        <v>-0.27409850000000002</v>
      </c>
      <c r="U2900">
        <v>5.0476069999999998E-2</v>
      </c>
      <c r="V2900">
        <v>-3.1529689999999999E-2</v>
      </c>
      <c r="W2900">
        <v>0.1329043</v>
      </c>
      <c r="X2900">
        <v>0.99062720000000004</v>
      </c>
      <c r="Y2900">
        <v>1.2665020000000001E-2</v>
      </c>
      <c r="Z2900">
        <v>-3.1883060000000001E-3</v>
      </c>
      <c r="AA2900">
        <v>0.99991470000000005</v>
      </c>
      <c r="AB2900">
        <v>35</v>
      </c>
      <c r="AC2900">
        <v>0.59659999999999502</v>
      </c>
      <c r="AD2900">
        <v>-6.9998999999999895E-2</v>
      </c>
      <c r="AE2900">
        <v>6.9599999999994102E-3</v>
      </c>
      <c r="AF2900">
        <v>1.03972931610418E-2</v>
      </c>
      <c r="AG2900">
        <v>-6.9998999999999895E-2</v>
      </c>
      <c r="AH2900">
        <v>0.58844783856406402</v>
      </c>
      <c r="AI2900">
        <v>96.7827111697368</v>
      </c>
      <c r="AJ2900">
        <v>88.987745394680204</v>
      </c>
      <c r="AK2900">
        <v>0.59268779506312996</v>
      </c>
      <c r="AL2900">
        <v>82.362546586030803</v>
      </c>
      <c r="AM2900">
        <v>91.822995090997196</v>
      </c>
      <c r="AN2900">
        <v>0.99999996184491202</v>
      </c>
    </row>
    <row r="2901" spans="1:40" x14ac:dyDescent="0.3">
      <c r="A2901" t="str">
        <f>"20200111150411728"</f>
        <v>20200111150411728</v>
      </c>
      <c r="B2901" t="str">
        <f>"1578726251721306"</f>
        <v>1578726251721306</v>
      </c>
      <c r="C2901" t="s">
        <v>40</v>
      </c>
      <c r="D2901">
        <v>5.099297</v>
      </c>
      <c r="E2901">
        <v>0.600244</v>
      </c>
      <c r="F2901" t="s">
        <v>84</v>
      </c>
      <c r="G2901">
        <v>-221.76650000000001</v>
      </c>
      <c r="H2901" s="1">
        <v>-2.920631E-7</v>
      </c>
      <c r="I2901">
        <v>-62.255389999999998</v>
      </c>
      <c r="J2901">
        <v>-247.11259999999999</v>
      </c>
      <c r="K2901">
        <v>1.104857</v>
      </c>
      <c r="L2901">
        <v>-57.880949999999999</v>
      </c>
      <c r="M2901">
        <v>0.99949399999999999</v>
      </c>
      <c r="N2901">
        <v>0</v>
      </c>
      <c r="O2901">
        <v>2.986975E-2</v>
      </c>
      <c r="P2901">
        <v>0.9906971</v>
      </c>
      <c r="Q2901">
        <v>0.12200859999999999</v>
      </c>
      <c r="R2901">
        <v>6.0275919999999997E-2</v>
      </c>
      <c r="S2901">
        <v>3.0766749999999998</v>
      </c>
      <c r="T2901">
        <v>-0.13315979999999999</v>
      </c>
      <c r="U2901">
        <v>-0.52651979999999998</v>
      </c>
      <c r="V2901">
        <v>-3.0966690000000002E-2</v>
      </c>
      <c r="W2901">
        <v>0.13277530000000001</v>
      </c>
      <c r="X2901">
        <v>0.9906623</v>
      </c>
      <c r="Y2901">
        <v>0.1978414</v>
      </c>
      <c r="Z2901">
        <v>-5.5320940000000004E-3</v>
      </c>
      <c r="AA2901">
        <v>0.98021849999999999</v>
      </c>
      <c r="AB2901">
        <v>35</v>
      </c>
      <c r="AC2901">
        <v>25.3460999999999</v>
      </c>
      <c r="AD2901">
        <v>-1.1048572920630999</v>
      </c>
      <c r="AE2901">
        <v>-4.3744399999999999</v>
      </c>
      <c r="AF2901">
        <v>5.1201670969475801</v>
      </c>
      <c r="AG2901">
        <v>-1.1048572920630999</v>
      </c>
      <c r="AH2901">
        <v>25.157697051099099</v>
      </c>
      <c r="AI2901">
        <v>92.464204583729398</v>
      </c>
      <c r="AJ2901">
        <v>78.496116518527003</v>
      </c>
      <c r="AK2901">
        <v>25.697208829975501</v>
      </c>
      <c r="AL2901">
        <v>82.370004158263498</v>
      </c>
      <c r="AM2901">
        <v>91.790401335848998</v>
      </c>
      <c r="AN2901">
        <v>1.00000000441046</v>
      </c>
    </row>
    <row r="2902" spans="1:40" x14ac:dyDescent="0.3">
      <c r="A2902" t="str">
        <f>"20200111150411738"</f>
        <v>20200111150411738</v>
      </c>
      <c r="B2902" t="str">
        <f>"1578726251731066"</f>
        <v>1578726251731066</v>
      </c>
      <c r="C2902" t="s">
        <v>40</v>
      </c>
      <c r="D2902">
        <v>5.0520779999999998</v>
      </c>
      <c r="E2902">
        <v>0.60609389999999996</v>
      </c>
      <c r="F2902" t="s">
        <v>84</v>
      </c>
      <c r="G2902">
        <v>-224.13149999999999</v>
      </c>
      <c r="H2902" s="1">
        <v>-1.3359669999999999E-6</v>
      </c>
      <c r="I2902">
        <v>-62.387250000000002</v>
      </c>
      <c r="J2902">
        <v>-246.94669999999999</v>
      </c>
      <c r="K2902">
        <v>1.1048519999999999</v>
      </c>
      <c r="L2902">
        <v>-57.875520000000002</v>
      </c>
      <c r="M2902">
        <v>0.99947940000000002</v>
      </c>
      <c r="N2902">
        <v>0</v>
      </c>
      <c r="O2902">
        <v>3.0365079999999999E-2</v>
      </c>
      <c r="P2902">
        <v>0.99070959999999997</v>
      </c>
      <c r="Q2902">
        <v>0.12198539999999999</v>
      </c>
      <c r="R2902">
        <v>6.0118110000000002E-2</v>
      </c>
      <c r="S2902">
        <v>3.083237</v>
      </c>
      <c r="T2902">
        <v>-0.14823229999999901</v>
      </c>
      <c r="U2902">
        <v>-0.60458369999999995</v>
      </c>
      <c r="V2902">
        <v>-3.0317319999999998E-2</v>
      </c>
      <c r="W2902">
        <v>0.13273460000000001</v>
      </c>
      <c r="X2902">
        <v>0.99068780000000001</v>
      </c>
      <c r="Y2902">
        <v>0.22185260000000001</v>
      </c>
      <c r="Z2902">
        <v>-6.7259879999999996E-3</v>
      </c>
      <c r="AA2902">
        <v>0.97505699999999995</v>
      </c>
      <c r="AB2902">
        <v>35</v>
      </c>
      <c r="AC2902">
        <v>22.815200000000001</v>
      </c>
      <c r="AD2902">
        <v>-1.1048533359670001</v>
      </c>
      <c r="AE2902">
        <v>-4.51173</v>
      </c>
      <c r="AF2902">
        <v>5.1907611139813703</v>
      </c>
      <c r="AG2902">
        <v>-1.1048533359670001</v>
      </c>
      <c r="AH2902">
        <v>22.616628747188301</v>
      </c>
      <c r="AI2902">
        <v>92.725990445742596</v>
      </c>
      <c r="AJ2902">
        <v>77.073857841797206</v>
      </c>
      <c r="AK2902">
        <v>23.230940526043401</v>
      </c>
      <c r="AL2902">
        <v>82.372356622471401</v>
      </c>
      <c r="AM2902">
        <v>91.752835288647205</v>
      </c>
      <c r="AN2902">
        <v>0.99999996549898995</v>
      </c>
    </row>
    <row r="2903" spans="1:40" x14ac:dyDescent="0.3">
      <c r="A2903" t="str">
        <f>"20200111150411749"</f>
        <v>20200111150411749</v>
      </c>
      <c r="B2903" t="str">
        <f>"1578726251741803"</f>
        <v>1578726251741803</v>
      </c>
      <c r="C2903" t="s">
        <v>40</v>
      </c>
      <c r="D2903">
        <v>5.2054199999999904</v>
      </c>
      <c r="E2903">
        <v>0.60688560000000003</v>
      </c>
      <c r="F2903" t="s">
        <v>84</v>
      </c>
      <c r="G2903">
        <v>-224.5025</v>
      </c>
      <c r="H2903" s="1">
        <v>-1.5453919999999901E-6</v>
      </c>
      <c r="I2903">
        <v>-62.613370000000003</v>
      </c>
      <c r="J2903">
        <v>-246.77500000000001</v>
      </c>
      <c r="K2903">
        <v>1.1048519999999999</v>
      </c>
      <c r="L2903">
        <v>-57.869869999999999</v>
      </c>
      <c r="M2903">
        <v>0.99946389999999996</v>
      </c>
      <c r="N2903">
        <v>0</v>
      </c>
      <c r="O2903">
        <v>3.087794E-2</v>
      </c>
      <c r="P2903">
        <v>0.99070630000000004</v>
      </c>
      <c r="Q2903">
        <v>0.122073</v>
      </c>
      <c r="R2903">
        <v>5.9995989999999999E-2</v>
      </c>
      <c r="S2903">
        <v>3.086395</v>
      </c>
      <c r="T2903">
        <v>-0.15193280000000001</v>
      </c>
      <c r="U2903">
        <v>-0.65151979999999998</v>
      </c>
      <c r="V2903">
        <v>-2.9686379999999998E-2</v>
      </c>
      <c r="W2903">
        <v>0.13280410000000001</v>
      </c>
      <c r="X2903">
        <v>0.99069759999999996</v>
      </c>
      <c r="Y2903">
        <v>0.23634759999999999</v>
      </c>
      <c r="Z2903">
        <v>-7.2542149999999996E-3</v>
      </c>
      <c r="AA2903">
        <v>0.97164150000000005</v>
      </c>
      <c r="AB2903">
        <v>35</v>
      </c>
      <c r="AC2903">
        <v>22.272500000000001</v>
      </c>
      <c r="AD2903">
        <v>-1.1048535453920001</v>
      </c>
      <c r="AE2903">
        <v>-4.7434999999999903</v>
      </c>
      <c r="AF2903">
        <v>5.4162576501538302</v>
      </c>
      <c r="AG2903">
        <v>-1.1048535453920001</v>
      </c>
      <c r="AH2903">
        <v>22.063462839351299</v>
      </c>
      <c r="AI2903">
        <v>92.7842281510531</v>
      </c>
      <c r="AJ2903">
        <v>76.207466593559005</v>
      </c>
      <c r="AK2903">
        <v>22.745393835962801</v>
      </c>
      <c r="AL2903">
        <v>82.368339050369897</v>
      </c>
      <c r="AM2903">
        <v>91.716361755020998</v>
      </c>
      <c r="AN2903">
        <v>0.99999997239003602</v>
      </c>
    </row>
    <row r="2904" spans="1:40" x14ac:dyDescent="0.3">
      <c r="A2904" t="str">
        <f>"20200111150411759"</f>
        <v>20200111150411759</v>
      </c>
      <c r="B2904" t="str">
        <f>"1578726251751563"</f>
        <v>1578726251751563</v>
      </c>
      <c r="C2904" t="s">
        <v>40</v>
      </c>
      <c r="D2904">
        <v>5.1734619999999998</v>
      </c>
      <c r="E2904">
        <v>0.60751529999999998</v>
      </c>
      <c r="F2904" t="s">
        <v>84</v>
      </c>
      <c r="G2904">
        <v>-226.715</v>
      </c>
      <c r="H2904" s="1">
        <v>-2.3894820000000001E-6</v>
      </c>
      <c r="I2904">
        <v>-62.140790000000003</v>
      </c>
      <c r="J2904">
        <v>-246.613</v>
      </c>
      <c r="K2904">
        <v>1.104849</v>
      </c>
      <c r="L2904">
        <v>-57.864440000000002</v>
      </c>
      <c r="M2904">
        <v>0.99944900000000003</v>
      </c>
      <c r="N2904">
        <v>0</v>
      </c>
      <c r="O2904">
        <v>3.1361529999999999E-2</v>
      </c>
      <c r="P2904">
        <v>0.99072000000000005</v>
      </c>
      <c r="Q2904">
        <v>0.1220536</v>
      </c>
      <c r="R2904">
        <v>5.9808489999999999E-2</v>
      </c>
      <c r="S2904">
        <v>3.0889280000000001</v>
      </c>
      <c r="T2904">
        <v>-0.17013010000000001</v>
      </c>
      <c r="U2904">
        <v>-0.65765379999999996</v>
      </c>
      <c r="V2904">
        <v>-2.9018539999999999E-2</v>
      </c>
      <c r="W2904">
        <v>0.13276769999999999</v>
      </c>
      <c r="X2904">
        <v>0.99072229999999994</v>
      </c>
      <c r="Y2904">
        <v>0.23842099999999999</v>
      </c>
      <c r="Z2904">
        <v>-8.1965010000000001E-3</v>
      </c>
      <c r="AA2904">
        <v>0.97112730000000003</v>
      </c>
      <c r="AB2904">
        <v>35</v>
      </c>
      <c r="AC2904">
        <v>19.898</v>
      </c>
      <c r="AD2904">
        <v>-1.104851389482</v>
      </c>
      <c r="AE2904">
        <v>-4.2763499999999999</v>
      </c>
      <c r="AF2904">
        <v>4.8839219462618297</v>
      </c>
      <c r="AG2904">
        <v>-1.104851389482</v>
      </c>
      <c r="AH2904">
        <v>19.696046214025898</v>
      </c>
      <c r="AI2904">
        <v>93.116460527269695</v>
      </c>
      <c r="AJ2904">
        <v>76.073569581404698</v>
      </c>
      <c r="AK2904">
        <v>20.322589073124099</v>
      </c>
      <c r="AL2904">
        <v>82.370443513910203</v>
      </c>
      <c r="AM2904">
        <v>91.677730119809297</v>
      </c>
      <c r="AN2904">
        <v>1.00000000677215</v>
      </c>
    </row>
    <row r="2905" spans="1:40" x14ac:dyDescent="0.3">
      <c r="A2905" t="str">
        <f>"20200111150411772"</f>
        <v>20200111150411772</v>
      </c>
      <c r="B2905" t="str">
        <f>"1578726251761322"</f>
        <v>1578726251761322</v>
      </c>
      <c r="C2905" t="s">
        <v>40</v>
      </c>
      <c r="D2905">
        <v>5.1645469999999998</v>
      </c>
      <c r="E2905">
        <v>0.60845070000000001</v>
      </c>
      <c r="F2905" t="s">
        <v>84</v>
      </c>
      <c r="G2905">
        <v>-227.61609999999999</v>
      </c>
      <c r="H2905" s="1">
        <v>-2.7317009999999999E-6</v>
      </c>
      <c r="I2905">
        <v>-61.941389999999998</v>
      </c>
      <c r="J2905">
        <v>-246.43369999999999</v>
      </c>
      <c r="K2905">
        <v>1.1048469999999999</v>
      </c>
      <c r="L2905">
        <v>-57.858339999999998</v>
      </c>
      <c r="M2905">
        <v>0.99943219999999999</v>
      </c>
      <c r="N2905">
        <v>0</v>
      </c>
      <c r="O2905">
        <v>3.189699E-2</v>
      </c>
      <c r="P2905">
        <v>0.9907243</v>
      </c>
      <c r="Q2905">
        <v>0.1221172</v>
      </c>
      <c r="R2905">
        <v>5.9604119999999997E-2</v>
      </c>
      <c r="S2905">
        <v>3.0902859999999999</v>
      </c>
      <c r="T2905">
        <v>-0.17972939999999901</v>
      </c>
      <c r="U2905">
        <v>-0.66320800000000002</v>
      </c>
      <c r="V2905">
        <v>-2.8283289999999999E-2</v>
      </c>
      <c r="W2905">
        <v>0.13281119999999999</v>
      </c>
      <c r="X2905">
        <v>0.99073770000000005</v>
      </c>
      <c r="Y2905">
        <v>0.24047389999999999</v>
      </c>
      <c r="Z2905">
        <v>-8.7427149999999999E-3</v>
      </c>
      <c r="AA2905">
        <v>0.97061620000000004</v>
      </c>
      <c r="AB2905">
        <v>35</v>
      </c>
      <c r="AC2905">
        <v>18.817599999999999</v>
      </c>
      <c r="AD2905">
        <v>-1.104849731701</v>
      </c>
      <c r="AE2905">
        <v>-4.0830500000000001</v>
      </c>
      <c r="AF2905">
        <v>4.6658709218759</v>
      </c>
      <c r="AG2905">
        <v>-1.104849731701</v>
      </c>
      <c r="AH2905">
        <v>18.616488220275201</v>
      </c>
      <c r="AI2905">
        <v>93.294731228444803</v>
      </c>
      <c r="AJ2905">
        <v>75.929729240871794</v>
      </c>
      <c r="AK2905">
        <v>19.2240650759638</v>
      </c>
      <c r="AL2905">
        <v>82.367928632886503</v>
      </c>
      <c r="AM2905">
        <v>91.6352190280206</v>
      </c>
      <c r="AN2905">
        <v>0.99999997476997604</v>
      </c>
    </row>
    <row r="2906" spans="1:40" x14ac:dyDescent="0.3">
      <c r="A2906" t="str">
        <f>"20200111150411782"</f>
        <v>20200111150411782</v>
      </c>
      <c r="B2906" t="str">
        <f>"1578726251771083"</f>
        <v>1578726251771083</v>
      </c>
      <c r="C2906" t="s">
        <v>40</v>
      </c>
      <c r="D2906">
        <v>5.171405</v>
      </c>
      <c r="E2906">
        <v>0.60916079999999995</v>
      </c>
      <c r="F2906" t="s">
        <v>84</v>
      </c>
      <c r="G2906">
        <v>-228.2627</v>
      </c>
      <c r="H2906" s="1">
        <v>-2.977989E-6</v>
      </c>
      <c r="I2906">
        <v>-61.801569999999998</v>
      </c>
      <c r="J2906">
        <v>-246.2559</v>
      </c>
      <c r="K2906">
        <v>1.1048439999999999</v>
      </c>
      <c r="L2906">
        <v>-57.852200000000003</v>
      </c>
      <c r="M2906">
        <v>0.99941550000000001</v>
      </c>
      <c r="N2906">
        <v>0</v>
      </c>
      <c r="O2906">
        <v>3.2427980000000002E-2</v>
      </c>
      <c r="P2906">
        <v>0.99071600000000004</v>
      </c>
      <c r="Q2906">
        <v>0.12221509999999999</v>
      </c>
      <c r="R2906">
        <v>5.954599E-2</v>
      </c>
      <c r="S2906">
        <v>3.0916139999999999</v>
      </c>
      <c r="T2906">
        <v>-0.18797839999999999</v>
      </c>
      <c r="U2906">
        <v>-0.67089840000000001</v>
      </c>
      <c r="V2906">
        <v>-2.7699089999999999E-2</v>
      </c>
      <c r="W2906">
        <v>0.1328887</v>
      </c>
      <c r="X2906">
        <v>0.99074379999999995</v>
      </c>
      <c r="Y2906">
        <v>0.24316380000000001</v>
      </c>
      <c r="Z2906">
        <v>-9.2497919999999997E-3</v>
      </c>
      <c r="AA2906">
        <v>0.9699411</v>
      </c>
      <c r="AB2906">
        <v>35</v>
      </c>
      <c r="AC2906">
        <v>17.993200000000002</v>
      </c>
      <c r="AD2906">
        <v>-1.104846977989</v>
      </c>
      <c r="AE2906">
        <v>-3.9493699999999898</v>
      </c>
      <c r="AF2906">
        <v>4.5145705993163601</v>
      </c>
      <c r="AG2906">
        <v>-1.104846977989</v>
      </c>
      <c r="AH2906">
        <v>17.791659792276501</v>
      </c>
      <c r="AI2906">
        <v>93.4445682888948</v>
      </c>
      <c r="AJ2906">
        <v>75.761906074925705</v>
      </c>
      <c r="AK2906">
        <v>18.388724607897402</v>
      </c>
      <c r="AL2906">
        <v>82.363448398318198</v>
      </c>
      <c r="AM2906">
        <v>91.601450998241404</v>
      </c>
      <c r="AN2906">
        <v>0.99999996170647798</v>
      </c>
    </row>
    <row r="2907" spans="1:40" x14ac:dyDescent="0.3">
      <c r="A2907" t="str">
        <f>"20200111150411794"</f>
        <v>20200111150411794</v>
      </c>
      <c r="B2907" t="str">
        <f>"1578726251791578"</f>
        <v>1578726251791578</v>
      </c>
      <c r="C2907" t="s">
        <v>40</v>
      </c>
      <c r="D2907">
        <v>5.1948309999999998</v>
      </c>
      <c r="E2907">
        <v>0.61050590000000005</v>
      </c>
      <c r="F2907" t="s">
        <v>84</v>
      </c>
      <c r="G2907">
        <v>-228.73050000000001</v>
      </c>
      <c r="H2907" s="1">
        <v>-3.1528609999999999E-6</v>
      </c>
      <c r="I2907">
        <v>-61.685499999999998</v>
      </c>
      <c r="J2907">
        <v>-246.07749999999999</v>
      </c>
      <c r="K2907">
        <v>1.104841</v>
      </c>
      <c r="L2907">
        <v>-57.845950000000002</v>
      </c>
      <c r="M2907">
        <v>0.99939829999999996</v>
      </c>
      <c r="N2907">
        <v>0</v>
      </c>
      <c r="O2907">
        <v>3.2960459999999997E-2</v>
      </c>
      <c r="P2907">
        <v>0.99072450000000001</v>
      </c>
      <c r="Q2907">
        <v>0.1221568</v>
      </c>
      <c r="R2907">
        <v>5.9521780000000003E-2</v>
      </c>
      <c r="S2907">
        <v>3.0928040000000001</v>
      </c>
      <c r="T2907">
        <v>-0.1949785</v>
      </c>
      <c r="U2907">
        <v>-0.67648319999999995</v>
      </c>
      <c r="V2907">
        <v>-2.714569E-2</v>
      </c>
      <c r="W2907">
        <v>0.13280929999999999</v>
      </c>
      <c r="X2907">
        <v>0.99076980000000003</v>
      </c>
      <c r="Y2907">
        <v>0.24523339999999999</v>
      </c>
      <c r="Z2907">
        <v>-9.6858029999999998E-3</v>
      </c>
      <c r="AA2907">
        <v>0.96941569999999999</v>
      </c>
      <c r="AB2907">
        <v>35</v>
      </c>
      <c r="AC2907">
        <v>17.346999999999898</v>
      </c>
      <c r="AD2907">
        <v>-1.104844152861</v>
      </c>
      <c r="AE2907">
        <v>-3.8395499999999898</v>
      </c>
      <c r="AF2907">
        <v>4.3922767814481398</v>
      </c>
      <c r="AG2907">
        <v>-1.104844152861</v>
      </c>
      <c r="AH2907">
        <v>17.144713044247901</v>
      </c>
      <c r="AI2907">
        <v>93.572123796346403</v>
      </c>
      <c r="AJ2907">
        <v>75.630532750099505</v>
      </c>
      <c r="AK2907">
        <v>17.732849779337901</v>
      </c>
      <c r="AL2907">
        <v>82.368038643290305</v>
      </c>
      <c r="AM2907">
        <v>91.569430615468804</v>
      </c>
      <c r="AN2907">
        <v>0.99999999762205305</v>
      </c>
    </row>
    <row r="2908" spans="1:40" x14ac:dyDescent="0.3">
      <c r="A2908" t="str">
        <f>"20200111150411805"</f>
        <v>20200111150411805</v>
      </c>
      <c r="B2908" t="str">
        <f>"1578726251801339"</f>
        <v>1578726251801339</v>
      </c>
      <c r="C2908" t="s">
        <v>40</v>
      </c>
      <c r="D2908">
        <v>5.1882159999999997</v>
      </c>
      <c r="E2908">
        <v>0.61117279999999996</v>
      </c>
      <c r="F2908" t="s">
        <v>84</v>
      </c>
      <c r="G2908">
        <v>-229.3254</v>
      </c>
      <c r="H2908" s="1">
        <v>-3.340052E-6</v>
      </c>
      <c r="I2908">
        <v>-61.56474</v>
      </c>
      <c r="J2908">
        <v>-245.90610000000001</v>
      </c>
      <c r="K2908">
        <v>1.1048359999999999</v>
      </c>
      <c r="L2908">
        <v>-57.839840000000002</v>
      </c>
      <c r="M2908">
        <v>0.99938150000000003</v>
      </c>
      <c r="N2908">
        <v>0</v>
      </c>
      <c r="O2908">
        <v>3.3472139999999997E-2</v>
      </c>
      <c r="P2908">
        <v>0.9907376</v>
      </c>
      <c r="Q2908">
        <v>0.1221328</v>
      </c>
      <c r="R2908">
        <v>5.9351729999999998E-2</v>
      </c>
      <c r="S2908">
        <v>3.0945279999999999</v>
      </c>
      <c r="T2908">
        <v>-0.20409179999999999</v>
      </c>
      <c r="U2908">
        <v>-0.68695069999999903</v>
      </c>
      <c r="V2908">
        <v>-2.6467899999999999E-2</v>
      </c>
      <c r="W2908">
        <v>0.13276540000000001</v>
      </c>
      <c r="X2908">
        <v>0.99079399999999995</v>
      </c>
      <c r="Y2908">
        <v>0.2486852</v>
      </c>
      <c r="Z2908">
        <v>-1.0274169999999999E-2</v>
      </c>
      <c r="AA2908">
        <v>0.96852990000000005</v>
      </c>
      <c r="AB2908">
        <v>35</v>
      </c>
      <c r="AC2908">
        <v>16.5807</v>
      </c>
      <c r="AD2908">
        <v>-1.104839340052</v>
      </c>
      <c r="AE2908">
        <v>-3.7248999999999901</v>
      </c>
      <c r="AF2908">
        <v>4.2598309256910598</v>
      </c>
      <c r="AG2908">
        <v>-1.104839340052</v>
      </c>
      <c r="AH2908">
        <v>16.377496291437598</v>
      </c>
      <c r="AI2908">
        <v>93.735452092119999</v>
      </c>
      <c r="AJ2908">
        <v>75.420272511989793</v>
      </c>
      <c r="AK2908">
        <v>16.9584555387233</v>
      </c>
      <c r="AL2908">
        <v>82.3705762335359</v>
      </c>
      <c r="AM2908">
        <v>91.530225635152902</v>
      </c>
      <c r="AN2908">
        <v>0.99999997580178401</v>
      </c>
    </row>
    <row r="2909" spans="1:40" x14ac:dyDescent="0.3">
      <c r="A2909" t="str">
        <f>"20200111150411817"</f>
        <v>20200111150411817</v>
      </c>
      <c r="B2909" t="str">
        <f>"1578726251811101"</f>
        <v>1578726251811101</v>
      </c>
      <c r="C2909" t="s">
        <v>40</v>
      </c>
      <c r="D2909">
        <v>5.1687329999999996</v>
      </c>
      <c r="E2909">
        <v>0.61161619999999906</v>
      </c>
      <c r="F2909" t="s">
        <v>84</v>
      </c>
      <c r="G2909">
        <v>-229.30699999999999</v>
      </c>
      <c r="H2909" s="1">
        <v>-3.3324320000000001E-6</v>
      </c>
      <c r="I2909">
        <v>-61.5546199999999</v>
      </c>
      <c r="J2909">
        <v>-245.7175</v>
      </c>
      <c r="K2909">
        <v>1.104833</v>
      </c>
      <c r="L2909">
        <v>-57.833039999999997</v>
      </c>
      <c r="M2909">
        <v>0.9993628</v>
      </c>
      <c r="N2909">
        <v>0</v>
      </c>
      <c r="O2909">
        <v>3.4034960000000003E-2</v>
      </c>
      <c r="P2909">
        <v>0.9907127</v>
      </c>
      <c r="Q2909">
        <v>0.1222863</v>
      </c>
      <c r="R2909">
        <v>5.9453579999999999E-2</v>
      </c>
      <c r="S2909">
        <v>3.0949399999999998</v>
      </c>
      <c r="T2909">
        <v>-0.2059995</v>
      </c>
      <c r="U2909">
        <v>-0.69262699999999999</v>
      </c>
      <c r="V2909">
        <v>-2.6012E-2</v>
      </c>
      <c r="W2909">
        <v>0.13289679999999901</v>
      </c>
      <c r="X2909">
        <v>0.99078849999999996</v>
      </c>
      <c r="Y2909">
        <v>0.25087860000000001</v>
      </c>
      <c r="Z2909">
        <v>-1.0475679999999999E-2</v>
      </c>
      <c r="AA2909">
        <v>0.96796190000000004</v>
      </c>
      <c r="AB2909">
        <v>35</v>
      </c>
      <c r="AC2909">
        <v>16.4104999999999</v>
      </c>
      <c r="AD2909">
        <v>-1.1048363324320001</v>
      </c>
      <c r="AE2909">
        <v>-3.7215799999999799</v>
      </c>
      <c r="AF2909">
        <v>4.2596236381696997</v>
      </c>
      <c r="AG2909">
        <v>-1.1048363324320001</v>
      </c>
      <c r="AH2909">
        <v>16.204463710247701</v>
      </c>
      <c r="AI2909">
        <v>93.772668355889394</v>
      </c>
      <c r="AJ2909">
        <v>75.272009721925002</v>
      </c>
      <c r="AK2909">
        <v>16.791357925940702</v>
      </c>
      <c r="AL2909">
        <v>82.362980579207701</v>
      </c>
      <c r="AM2909">
        <v>91.503888606895202</v>
      </c>
      <c r="AN2909">
        <v>1.00000001766324</v>
      </c>
    </row>
    <row r="2910" spans="1:40" x14ac:dyDescent="0.3">
      <c r="A2910" t="str">
        <f>"20200111150411827"</f>
        <v>20200111150411827</v>
      </c>
      <c r="B2910" t="str">
        <f>"1578726251821834"</f>
        <v>1578726251821834</v>
      </c>
      <c r="C2910" t="s">
        <v>40</v>
      </c>
      <c r="D2910">
        <v>5.1966910000000004</v>
      </c>
      <c r="E2910">
        <v>0.61199239999999999</v>
      </c>
      <c r="F2910" t="s">
        <v>84</v>
      </c>
      <c r="G2910">
        <v>-229.1892</v>
      </c>
      <c r="H2910" s="1">
        <v>-3.2914029999999998E-6</v>
      </c>
      <c r="I2910">
        <v>-61.547530000000002</v>
      </c>
      <c r="J2910">
        <v>-245.54730000000001</v>
      </c>
      <c r="K2910">
        <v>1.104832</v>
      </c>
      <c r="L2910">
        <v>-57.826810000000002</v>
      </c>
      <c r="M2910">
        <v>0.99934559999999995</v>
      </c>
      <c r="N2910">
        <v>0</v>
      </c>
      <c r="O2910">
        <v>3.454281E-2</v>
      </c>
      <c r="P2910">
        <v>0.99073789999999995</v>
      </c>
      <c r="Q2910">
        <v>0.1222147</v>
      </c>
      <c r="R2910">
        <v>5.9178840000000003E-2</v>
      </c>
      <c r="S2910">
        <v>3.0954130000000002</v>
      </c>
      <c r="T2910">
        <v>-0.20691300000000001</v>
      </c>
      <c r="U2910">
        <v>-0.69564820000000005</v>
      </c>
      <c r="V2910">
        <v>-2.5232290000000001E-2</v>
      </c>
      <c r="W2910">
        <v>0.13280739999999999</v>
      </c>
      <c r="X2910">
        <v>0.99082060000000005</v>
      </c>
      <c r="Y2910">
        <v>0.25222919999999999</v>
      </c>
      <c r="Z2910">
        <v>-1.059745E-2</v>
      </c>
      <c r="AA2910">
        <v>0.96760950000000001</v>
      </c>
      <c r="AB2910">
        <v>35</v>
      </c>
      <c r="AC2910">
        <v>16.3581</v>
      </c>
      <c r="AD2910">
        <v>-1.104835291403</v>
      </c>
      <c r="AE2910">
        <v>-3.72072</v>
      </c>
      <c r="AF2910">
        <v>4.2650874620982604</v>
      </c>
      <c r="AG2910">
        <v>-1.104835291403</v>
      </c>
      <c r="AH2910">
        <v>16.149758255481999</v>
      </c>
      <c r="AI2910">
        <v>93.784264706350399</v>
      </c>
      <c r="AJ2910">
        <v>75.206177486596104</v>
      </c>
      <c r="AK2910">
        <v>16.739961881407801</v>
      </c>
      <c r="AL2910">
        <v>82.368148248258606</v>
      </c>
      <c r="AM2910">
        <v>91.458782067585602</v>
      </c>
      <c r="AN2910">
        <v>0.999999967668881</v>
      </c>
    </row>
    <row r="2911" spans="1:40" x14ac:dyDescent="0.3">
      <c r="A2911" t="str">
        <f>"20200111150411840"</f>
        <v>20200111150411840</v>
      </c>
      <c r="B2911" t="str">
        <f>"1578726251831594"</f>
        <v>1578726251831594</v>
      </c>
      <c r="C2911" t="s">
        <v>40</v>
      </c>
      <c r="D2911">
        <v>5.224926</v>
      </c>
      <c r="E2911">
        <v>0.61242759999999996</v>
      </c>
      <c r="F2911" t="s">
        <v>84</v>
      </c>
      <c r="G2911">
        <v>-229.1121</v>
      </c>
      <c r="H2911" s="1">
        <v>-3.2641159999999998E-6</v>
      </c>
      <c r="I2911">
        <v>-61.539569999999998</v>
      </c>
      <c r="J2911">
        <v>-245.36099999999999</v>
      </c>
      <c r="K2911">
        <v>1.1048309999999999</v>
      </c>
      <c r="L2911">
        <v>-57.819850000000002</v>
      </c>
      <c r="M2911">
        <v>0.99932639999999995</v>
      </c>
      <c r="N2911">
        <v>0</v>
      </c>
      <c r="O2911">
        <v>3.5098949999999997E-2</v>
      </c>
      <c r="P2911">
        <v>0.99074269999999998</v>
      </c>
      <c r="Q2911">
        <v>0.12224019999999999</v>
      </c>
      <c r="R2911">
        <v>5.904686E-2</v>
      </c>
      <c r="S2911">
        <v>3.0954899999999999</v>
      </c>
      <c r="T2911">
        <v>-0.2080901</v>
      </c>
      <c r="U2911">
        <v>-0.69927980000000001</v>
      </c>
      <c r="V2911">
        <v>-2.4548609999999998E-2</v>
      </c>
      <c r="W2911">
        <v>0.13281399999999999</v>
      </c>
      <c r="X2911">
        <v>0.99083690000000002</v>
      </c>
      <c r="Y2911">
        <v>0.25383109999999998</v>
      </c>
      <c r="Z2911">
        <v>-1.074607E-2</v>
      </c>
      <c r="AA2911">
        <v>0.96718890000000002</v>
      </c>
      <c r="AB2911">
        <v>35</v>
      </c>
      <c r="AC2911">
        <v>16.2488999999999</v>
      </c>
      <c r="AD2911">
        <v>-1.1048342641159901</v>
      </c>
      <c r="AE2911">
        <v>-3.7197199999999899</v>
      </c>
      <c r="AF2911">
        <v>4.2690259446118999</v>
      </c>
      <c r="AG2911">
        <v>-1.1048342641159901</v>
      </c>
      <c r="AH2911">
        <v>16.037866488451101</v>
      </c>
      <c r="AI2911">
        <v>93.8086206199294</v>
      </c>
      <c r="AJ2911">
        <v>75.094396373890206</v>
      </c>
      <c r="AK2911">
        <v>16.6330515170343</v>
      </c>
      <c r="AL2911">
        <v>82.367766792712601</v>
      </c>
      <c r="AM2911">
        <v>91.419248778985207</v>
      </c>
      <c r="AN2911">
        <v>0.99999997762527004</v>
      </c>
    </row>
    <row r="2912" spans="1:40" x14ac:dyDescent="0.3">
      <c r="A2912" t="str">
        <f>"20200111150411850"</f>
        <v>20200111150411850</v>
      </c>
      <c r="B2912" t="str">
        <f>"1578726251841355"</f>
        <v>1578726251841355</v>
      </c>
      <c r="C2912" t="s">
        <v>40</v>
      </c>
      <c r="D2912">
        <v>5.1835339999999999</v>
      </c>
      <c r="E2912">
        <v>0.61255809999999999</v>
      </c>
      <c r="F2912" t="s">
        <v>84</v>
      </c>
      <c r="G2912">
        <v>-228.90190000000001</v>
      </c>
      <c r="H2912" s="1">
        <v>-3.1951640000000002E-6</v>
      </c>
      <c r="I2912">
        <v>-61.55885</v>
      </c>
      <c r="J2912">
        <v>-245.19820000000001</v>
      </c>
      <c r="K2912">
        <v>1.1048309999999999</v>
      </c>
      <c r="L2912">
        <v>-57.813749999999999</v>
      </c>
      <c r="M2912">
        <v>0.99930940000000001</v>
      </c>
      <c r="N2912">
        <v>0</v>
      </c>
      <c r="O2912">
        <v>3.5584980000000002E-2</v>
      </c>
      <c r="P2912">
        <v>0.99074459999999998</v>
      </c>
      <c r="Q2912">
        <v>0.1222895</v>
      </c>
      <c r="R2912">
        <v>5.8912720000000002E-2</v>
      </c>
      <c r="S2912">
        <v>3.0955659999999998</v>
      </c>
      <c r="T2912">
        <v>-0.20779349999999999</v>
      </c>
      <c r="U2912">
        <v>-0.70321659999999997</v>
      </c>
      <c r="V2912">
        <v>-2.39324E-2</v>
      </c>
      <c r="W2912">
        <v>0.1328471</v>
      </c>
      <c r="X2912">
        <v>0.99084760000000005</v>
      </c>
      <c r="Y2912">
        <v>0.2554633</v>
      </c>
      <c r="Z2912">
        <v>-1.081532E-2</v>
      </c>
      <c r="AA2912">
        <v>0.96675829999999996</v>
      </c>
      <c r="AB2912">
        <v>35</v>
      </c>
      <c r="AC2912">
        <v>16.296299999999999</v>
      </c>
      <c r="AD2912">
        <v>-1.1048341951639999</v>
      </c>
      <c r="AE2912">
        <v>-3.7450999999999999</v>
      </c>
      <c r="AF2912">
        <v>4.3038745900315902</v>
      </c>
      <c r="AG2912">
        <v>-1.1048341951639999</v>
      </c>
      <c r="AH2912">
        <v>16.0824876476523</v>
      </c>
      <c r="AI2912">
        <v>93.796736836370499</v>
      </c>
      <c r="AJ2912">
        <v>75.018000764901004</v>
      </c>
      <c r="AK2912">
        <v>16.685035331769999</v>
      </c>
      <c r="AL2912">
        <v>82.365853818871898</v>
      </c>
      <c r="AM2912">
        <v>91.383622419790001</v>
      </c>
      <c r="AN2912">
        <v>1.0000000390869599</v>
      </c>
    </row>
    <row r="2913" spans="1:40" x14ac:dyDescent="0.3">
      <c r="A2913" t="str">
        <f>"20200111150411860"</f>
        <v>20200111150411860</v>
      </c>
      <c r="B2913" t="str">
        <f>"1578726251851116"</f>
        <v>1578726251851116</v>
      </c>
      <c r="C2913" t="s">
        <v>40</v>
      </c>
      <c r="D2913">
        <v>5.1845730000000003</v>
      </c>
      <c r="E2913">
        <v>0.61284209999999995</v>
      </c>
      <c r="F2913" t="s">
        <v>84</v>
      </c>
      <c r="G2913">
        <v>-228.7998</v>
      </c>
      <c r="H2913" s="1">
        <v>-3.151384E-6</v>
      </c>
      <c r="I2913">
        <v>-61.54515</v>
      </c>
      <c r="J2913">
        <v>-245.02809999999999</v>
      </c>
      <c r="K2913">
        <v>1.1048290000000001</v>
      </c>
      <c r="L2913">
        <v>-57.807220000000001</v>
      </c>
      <c r="M2913">
        <v>0.99929140000000005</v>
      </c>
      <c r="N2913">
        <v>0</v>
      </c>
      <c r="O2913">
        <v>3.6092230000000003E-2</v>
      </c>
      <c r="P2913">
        <v>0.9907707</v>
      </c>
      <c r="Q2913">
        <v>0.1221923</v>
      </c>
      <c r="R2913">
        <v>5.8675100000000001E-2</v>
      </c>
      <c r="S2913">
        <v>3.0956570000000001</v>
      </c>
      <c r="T2913">
        <v>-0.20856849999999999</v>
      </c>
      <c r="U2913">
        <v>-0.70440669999999905</v>
      </c>
      <c r="V2913">
        <v>-2.3190019999999999E-2</v>
      </c>
      <c r="W2913">
        <v>0.13273560000000001</v>
      </c>
      <c r="X2913">
        <v>0.99088010000000004</v>
      </c>
      <c r="Y2913">
        <v>0.25629360000000001</v>
      </c>
      <c r="Z2913">
        <v>-1.0916149999999999E-2</v>
      </c>
      <c r="AA2913">
        <v>0.96653739999999999</v>
      </c>
      <c r="AB2913">
        <v>35</v>
      </c>
      <c r="AC2913">
        <v>16.228299999999901</v>
      </c>
      <c r="AD2913">
        <v>-1.104832151384</v>
      </c>
      <c r="AE2913">
        <v>-3.73793</v>
      </c>
      <c r="AF2913">
        <v>4.3023068636317001</v>
      </c>
      <c r="AG2913">
        <v>-1.104832151384</v>
      </c>
      <c r="AH2913">
        <v>16.012330028472999</v>
      </c>
      <c r="AI2913">
        <v>93.812294155678401</v>
      </c>
      <c r="AJ2913">
        <v>74.960559299654193</v>
      </c>
      <c r="AK2913">
        <v>16.617015718001898</v>
      </c>
      <c r="AL2913">
        <v>82.3722986544836</v>
      </c>
      <c r="AM2913">
        <v>91.340674586462001</v>
      </c>
      <c r="AN2913">
        <v>0.99999994455548302</v>
      </c>
    </row>
    <row r="2914" spans="1:40" x14ac:dyDescent="0.3">
      <c r="A2914" t="str">
        <f>"20200111150411872"</f>
        <v>20200111150411872</v>
      </c>
      <c r="B2914" t="str">
        <f>"1578726251861850"</f>
        <v>1578726251861850</v>
      </c>
      <c r="C2914" t="s">
        <v>40</v>
      </c>
      <c r="D2914">
        <v>5.2007729999999999</v>
      </c>
      <c r="E2914">
        <v>0.61310390000000003</v>
      </c>
      <c r="F2914" t="s">
        <v>84</v>
      </c>
      <c r="G2914">
        <v>-228.7688</v>
      </c>
      <c r="H2914" s="1">
        <v>-3.1327979999999998E-6</v>
      </c>
      <c r="I2914">
        <v>-61.5212199999999</v>
      </c>
      <c r="J2914">
        <v>-244.85120000000001</v>
      </c>
      <c r="K2914">
        <v>1.1048260000000001</v>
      </c>
      <c r="L2914">
        <v>-57.800379999999997</v>
      </c>
      <c r="M2914">
        <v>0.9992723</v>
      </c>
      <c r="N2914">
        <v>0</v>
      </c>
      <c r="O2914">
        <v>3.661992E-2</v>
      </c>
      <c r="P2914">
        <v>0.99077280000000001</v>
      </c>
      <c r="Q2914">
        <v>0.12214170000000001</v>
      </c>
      <c r="R2914">
        <v>5.8744049999999999E-2</v>
      </c>
      <c r="S2914">
        <v>3.0957949999999999</v>
      </c>
      <c r="T2914">
        <v>-0.2103622</v>
      </c>
      <c r="U2914">
        <v>-0.70715329999999998</v>
      </c>
      <c r="V2914">
        <v>-2.2735209999999999E-2</v>
      </c>
      <c r="W2914">
        <v>0.13266889999999901</v>
      </c>
      <c r="X2914">
        <v>0.99089959999999999</v>
      </c>
      <c r="Y2914">
        <v>0.25759490000000002</v>
      </c>
      <c r="Z2914">
        <v>-1.108731E-2</v>
      </c>
      <c r="AA2914">
        <v>0.96618939999999998</v>
      </c>
      <c r="AB2914">
        <v>35</v>
      </c>
      <c r="AC2914">
        <v>16.0824</v>
      </c>
      <c r="AD2914">
        <v>-1.104829132798</v>
      </c>
      <c r="AE2914">
        <v>-3.7208399999999799</v>
      </c>
      <c r="AF2914">
        <v>4.2881046145540003</v>
      </c>
      <c r="AG2914">
        <v>-1.104829132798</v>
      </c>
      <c r="AH2914">
        <v>15.864280972667499</v>
      </c>
      <c r="AI2914">
        <v>93.846200898918894</v>
      </c>
      <c r="AJ2914">
        <v>74.874440720081097</v>
      </c>
      <c r="AK2914">
        <v>16.470698205533999</v>
      </c>
      <c r="AL2914">
        <v>82.3761545942494</v>
      </c>
      <c r="AM2914">
        <v>91.314364312104502</v>
      </c>
      <c r="AN2914">
        <v>0.99999997204055602</v>
      </c>
    </row>
    <row r="2915" spans="1:40" x14ac:dyDescent="0.3">
      <c r="A2915" t="str">
        <f>"20200111150411883"</f>
        <v>20200111150411883</v>
      </c>
      <c r="B2915" t="str">
        <f>"1578726251871610"</f>
        <v>1578726251871610</v>
      </c>
      <c r="C2915" t="s">
        <v>40</v>
      </c>
      <c r="D2915">
        <v>5.2148079999999997</v>
      </c>
      <c r="E2915">
        <v>0.61348840000000004</v>
      </c>
      <c r="F2915" t="s">
        <v>84</v>
      </c>
      <c r="G2915">
        <v>-228.6722</v>
      </c>
      <c r="H2915" s="1">
        <v>-3.0880560000000002E-6</v>
      </c>
      <c r="I2915">
        <v>-61.506410000000002</v>
      </c>
      <c r="J2915">
        <v>-244.67740000000001</v>
      </c>
      <c r="K2915">
        <v>1.104824</v>
      </c>
      <c r="L2915">
        <v>-57.793550000000003</v>
      </c>
      <c r="M2915">
        <v>0.99925339999999996</v>
      </c>
      <c r="N2915">
        <v>0</v>
      </c>
      <c r="O2915">
        <v>3.7138299999999999E-2</v>
      </c>
      <c r="P2915">
        <v>0.99075219999999997</v>
      </c>
      <c r="Q2915">
        <v>0.12229520000000001</v>
      </c>
      <c r="R2915">
        <v>5.8774279999999998E-2</v>
      </c>
      <c r="S2915">
        <v>3.096069</v>
      </c>
      <c r="T2915">
        <v>-0.2114239</v>
      </c>
      <c r="U2915">
        <v>-0.709198</v>
      </c>
      <c r="V2915">
        <v>-2.225237E-2</v>
      </c>
      <c r="W2915">
        <v>0.13280839999999999</v>
      </c>
      <c r="X2915">
        <v>0.99089190000000005</v>
      </c>
      <c r="Y2915">
        <v>0.25867380000000001</v>
      </c>
      <c r="Z2915">
        <v>-1.1212669999999999E-2</v>
      </c>
      <c r="AA2915">
        <v>0.96589959999999997</v>
      </c>
      <c r="AB2915">
        <v>35</v>
      </c>
      <c r="AC2915">
        <v>16.005199999999999</v>
      </c>
      <c r="AD2915">
        <v>-1.1048270880560001</v>
      </c>
      <c r="AE2915">
        <v>-3.7128599999999898</v>
      </c>
      <c r="AF2915">
        <v>4.2853608120039297</v>
      </c>
      <c r="AG2915">
        <v>-1.1048270880560001</v>
      </c>
      <c r="AH2915">
        <v>15.784885563254001</v>
      </c>
      <c r="AI2915">
        <v>93.864327971942203</v>
      </c>
      <c r="AJ2915">
        <v>74.811147608202901</v>
      </c>
      <c r="AK2915">
        <v>16.393522270353799</v>
      </c>
      <c r="AL2915">
        <v>82.368090675442403</v>
      </c>
      <c r="AM2915">
        <v>91.286469919292898</v>
      </c>
      <c r="AN2915">
        <v>0.99999999828339303</v>
      </c>
    </row>
    <row r="2916" spans="1:40" x14ac:dyDescent="0.3">
      <c r="A2916" t="str">
        <f>"20200111150411895"</f>
        <v>20200111150411895</v>
      </c>
      <c r="B2916" t="str">
        <f>"1578726251891131"</f>
        <v>1578726251891131</v>
      </c>
      <c r="C2916" t="s">
        <v>40</v>
      </c>
      <c r="D2916">
        <v>5.2249509999999999</v>
      </c>
      <c r="E2916">
        <v>0.61416130000000002</v>
      </c>
      <c r="F2916" t="s">
        <v>84</v>
      </c>
      <c r="G2916">
        <v>-228.42439999999999</v>
      </c>
      <c r="H2916" s="1">
        <v>-2.987731E-6</v>
      </c>
      <c r="I2916">
        <v>-61.533279999999998</v>
      </c>
      <c r="J2916">
        <v>-244.50110000000001</v>
      </c>
      <c r="K2916">
        <v>1.104822</v>
      </c>
      <c r="L2916">
        <v>-57.786560000000001</v>
      </c>
      <c r="M2916">
        <v>0.99923390000000001</v>
      </c>
      <c r="N2916">
        <v>0</v>
      </c>
      <c r="O2916">
        <v>3.7663719999999998E-2</v>
      </c>
      <c r="P2916">
        <v>0.99072740000000004</v>
      </c>
      <c r="Q2916">
        <v>0.1224017</v>
      </c>
      <c r="R2916">
        <v>5.8967319999999997E-2</v>
      </c>
      <c r="S2916">
        <v>3.0962519999999998</v>
      </c>
      <c r="T2916">
        <v>-0.21047379999999999</v>
      </c>
      <c r="U2916">
        <v>-0.71243290000000004</v>
      </c>
      <c r="V2916">
        <v>-2.1925130000000001E-2</v>
      </c>
      <c r="W2916">
        <v>0.13290009999999999</v>
      </c>
      <c r="X2916">
        <v>0.99088690000000001</v>
      </c>
      <c r="Y2916">
        <v>0.2601292</v>
      </c>
      <c r="Z2916">
        <v>-1.1244540000000001E-2</v>
      </c>
      <c r="AA2916">
        <v>0.96550829999999999</v>
      </c>
      <c r="AB2916">
        <v>35</v>
      </c>
      <c r="AC2916">
        <v>16.076699999999999</v>
      </c>
      <c r="AD2916">
        <v>-1.1048249877309999</v>
      </c>
      <c r="AE2916">
        <v>-3.74672000000001</v>
      </c>
      <c r="AF2916">
        <v>4.3302069637699798</v>
      </c>
      <c r="AG2916">
        <v>-1.1048249877309999</v>
      </c>
      <c r="AH2916">
        <v>15.8531552279371</v>
      </c>
      <c r="AI2916">
        <v>93.846115724276999</v>
      </c>
      <c r="AJ2916">
        <v>74.722617116753796</v>
      </c>
      <c r="AK2916">
        <v>16.471000615738699</v>
      </c>
      <c r="AL2916">
        <v>82.362789661801003</v>
      </c>
      <c r="AM2916">
        <v>91.2675638988309</v>
      </c>
      <c r="AN2916">
        <v>0.999999998248568</v>
      </c>
    </row>
    <row r="2917" spans="1:40" x14ac:dyDescent="0.3">
      <c r="A2917" t="str">
        <f>"20200111150411906"</f>
        <v>20200111150411906</v>
      </c>
      <c r="B2917" t="str">
        <f>"1578726251901866"</f>
        <v>1578726251901866</v>
      </c>
      <c r="C2917" t="s">
        <v>40</v>
      </c>
      <c r="D2917">
        <v>5.1967850000000002</v>
      </c>
      <c r="E2917">
        <v>0.61459640000000004</v>
      </c>
      <c r="F2917" t="s">
        <v>84</v>
      </c>
      <c r="G2917">
        <v>-228.24160000000001</v>
      </c>
      <c r="H2917" s="1">
        <v>-2.9138829999999999E-6</v>
      </c>
      <c r="I2917">
        <v>-61.553930000000001</v>
      </c>
      <c r="J2917">
        <v>-244.3158</v>
      </c>
      <c r="K2917">
        <v>1.1048199999999999</v>
      </c>
      <c r="L2917">
        <v>-57.77908</v>
      </c>
      <c r="M2917">
        <v>0.99921300000000002</v>
      </c>
      <c r="N2917">
        <v>0</v>
      </c>
      <c r="O2917">
        <v>3.8215409999999998E-2</v>
      </c>
      <c r="P2917">
        <v>0.9907146</v>
      </c>
      <c r="Q2917">
        <v>0.1223896</v>
      </c>
      <c r="R2917">
        <v>5.9206469999999997E-2</v>
      </c>
      <c r="S2917">
        <v>3.0967709999999999</v>
      </c>
      <c r="T2917">
        <v>-0.21042359999999999</v>
      </c>
      <c r="U2917">
        <v>-0.71752930000000004</v>
      </c>
      <c r="V2917">
        <v>-2.1616199999999999E-2</v>
      </c>
      <c r="W2917">
        <v>0.13287399999999999</v>
      </c>
      <c r="X2917">
        <v>0.99089720000000003</v>
      </c>
      <c r="Y2917">
        <v>0.26213009999999998</v>
      </c>
      <c r="Z2917">
        <v>-1.1342029999999999E-2</v>
      </c>
      <c r="AA2917">
        <v>0.96496590000000004</v>
      </c>
      <c r="AB2917">
        <v>35</v>
      </c>
      <c r="AC2917">
        <v>16.074199999999902</v>
      </c>
      <c r="AD2917">
        <v>-1.1048229138829999</v>
      </c>
      <c r="AE2917">
        <v>-3.77484999999999</v>
      </c>
      <c r="AF2917">
        <v>4.3668575225093598</v>
      </c>
      <c r="AG2917">
        <v>-1.1048229138829999</v>
      </c>
      <c r="AH2917">
        <v>15.8472390076187</v>
      </c>
      <c r="AI2917">
        <v>93.845177419138693</v>
      </c>
      <c r="AJ2917">
        <v>74.593948998156506</v>
      </c>
      <c r="AK2917">
        <v>16.474982927382001</v>
      </c>
      <c r="AL2917">
        <v>82.364298556822106</v>
      </c>
      <c r="AM2917">
        <v>91.249696357533793</v>
      </c>
      <c r="AN2917">
        <v>1.0000000104731399</v>
      </c>
    </row>
    <row r="2918" spans="1:40" x14ac:dyDescent="0.3">
      <c r="A2918" t="str">
        <f>"20200111150411917"</f>
        <v>20200111150411917</v>
      </c>
      <c r="B2918" t="str">
        <f>"1578726251911626"</f>
        <v>1578726251911626</v>
      </c>
      <c r="C2918" t="s">
        <v>40</v>
      </c>
      <c r="D2918">
        <v>5.2414149999999999</v>
      </c>
      <c r="E2918">
        <v>0.61486770000000002</v>
      </c>
      <c r="F2918" t="s">
        <v>84</v>
      </c>
      <c r="G2918">
        <v>-228.0009</v>
      </c>
      <c r="H2918" s="1">
        <v>-2.8152370000000001E-6</v>
      </c>
      <c r="I2918">
        <v>-61.574640000000002</v>
      </c>
      <c r="J2918">
        <v>-244.13720000000001</v>
      </c>
      <c r="K2918">
        <v>1.104814</v>
      </c>
      <c r="L2918">
        <v>-57.77176</v>
      </c>
      <c r="M2918">
        <v>0.999193</v>
      </c>
      <c r="N2918">
        <v>0</v>
      </c>
      <c r="O2918">
        <v>3.8741739999999997E-2</v>
      </c>
      <c r="P2918">
        <v>0.99070559999999996</v>
      </c>
      <c r="Q2918">
        <v>0.12236669999999999</v>
      </c>
      <c r="R2918">
        <v>5.9405600000000003E-2</v>
      </c>
      <c r="S2918">
        <v>3.097092</v>
      </c>
      <c r="T2918">
        <v>-0.2097309</v>
      </c>
      <c r="U2918">
        <v>-0.72051999999999905</v>
      </c>
      <c r="V2918">
        <v>-2.129263E-2</v>
      </c>
      <c r="W2918">
        <v>0.13284290000000001</v>
      </c>
      <c r="X2918">
        <v>0.99090840000000002</v>
      </c>
      <c r="Y2918">
        <v>0.26350079999999998</v>
      </c>
      <c r="Z2918">
        <v>-1.138338E-2</v>
      </c>
      <c r="AA2918">
        <v>0.964592</v>
      </c>
      <c r="AB2918">
        <v>35</v>
      </c>
      <c r="AC2918">
        <v>16.136299999999999</v>
      </c>
      <c r="AD2918">
        <v>-1.1048168152369999</v>
      </c>
      <c r="AE2918">
        <v>-3.80288</v>
      </c>
      <c r="AF2918">
        <v>4.4056419748492397</v>
      </c>
      <c r="AG2918">
        <v>-1.1048168152369999</v>
      </c>
      <c r="AH2918">
        <v>15.9062038072001</v>
      </c>
      <c r="AI2918">
        <v>93.829555887655701</v>
      </c>
      <c r="AJ2918">
        <v>74.518527947960393</v>
      </c>
      <c r="AK2918">
        <v>16.541995676518901</v>
      </c>
      <c r="AL2918">
        <v>82.366096579233499</v>
      </c>
      <c r="AM2918">
        <v>91.230981710754804</v>
      </c>
      <c r="AN2918">
        <v>1.00000003468164</v>
      </c>
    </row>
    <row r="2919" spans="1:40" x14ac:dyDescent="0.3">
      <c r="A2919" t="str">
        <f>"20200111150411929"</f>
        <v>20200111150411929</v>
      </c>
      <c r="B2919" t="str">
        <f>"1578726251921387"</f>
        <v>1578726251921387</v>
      </c>
      <c r="C2919" t="s">
        <v>40</v>
      </c>
      <c r="D2919">
        <v>5.1646390000000002</v>
      </c>
      <c r="E2919">
        <v>0.61529330000000004</v>
      </c>
      <c r="F2919" t="s">
        <v>84</v>
      </c>
      <c r="G2919">
        <v>-227.858</v>
      </c>
      <c r="H2919" s="1">
        <v>-2.7519409999999999E-6</v>
      </c>
      <c r="I2919">
        <v>-61.56568</v>
      </c>
      <c r="J2919">
        <v>-243.9623</v>
      </c>
      <c r="K2919">
        <v>1.104814</v>
      </c>
      <c r="L2919">
        <v>-57.764560000000003</v>
      </c>
      <c r="M2919">
        <v>0.99917290000000003</v>
      </c>
      <c r="N2919">
        <v>0</v>
      </c>
      <c r="O2919">
        <v>3.9255709999999999E-2</v>
      </c>
      <c r="P2919">
        <v>0.99072150000000003</v>
      </c>
      <c r="Q2919">
        <v>0.1222799</v>
      </c>
      <c r="R2919">
        <v>5.9319150000000001E-2</v>
      </c>
      <c r="S2919">
        <v>3.0974119999999998</v>
      </c>
      <c r="T2919">
        <v>-0.21021190000000001</v>
      </c>
      <c r="U2919">
        <v>-0.72186280000000003</v>
      </c>
      <c r="V2919">
        <v>-2.0694690000000002E-2</v>
      </c>
      <c r="W2919">
        <v>0.13275020000000001</v>
      </c>
      <c r="X2919">
        <v>0.99093350000000002</v>
      </c>
      <c r="Y2919">
        <v>0.26436549999999998</v>
      </c>
      <c r="Z2919">
        <v>-1.14711E-2</v>
      </c>
      <c r="AA2919">
        <v>0.9643543</v>
      </c>
      <c r="AB2919">
        <v>35</v>
      </c>
      <c r="AC2919">
        <v>16.104299999999899</v>
      </c>
      <c r="AD2919">
        <v>-1.1048167519409999</v>
      </c>
      <c r="AE2919">
        <v>-3.8011200000000098</v>
      </c>
      <c r="AF2919">
        <v>4.4107474085857596</v>
      </c>
      <c r="AG2919">
        <v>-1.1048167519409999</v>
      </c>
      <c r="AH2919">
        <v>15.8719024519917</v>
      </c>
      <c r="AI2919">
        <v>93.836900178644697</v>
      </c>
      <c r="AJ2919">
        <v>74.4695699318534</v>
      </c>
      <c r="AK2919">
        <v>16.5103785602649</v>
      </c>
      <c r="AL2919">
        <v>82.371455427319106</v>
      </c>
      <c r="AM2919">
        <v>91.196393158099795</v>
      </c>
      <c r="AN2919">
        <v>1.0000000436082399</v>
      </c>
    </row>
    <row r="2920" spans="1:40" x14ac:dyDescent="0.3">
      <c r="A2920" t="str">
        <f>"20200111150411938"</f>
        <v>20200111150411938</v>
      </c>
      <c r="B2920" t="str">
        <f>"1578726251931147"</f>
        <v>1578726251931147</v>
      </c>
      <c r="C2920" t="s">
        <v>40</v>
      </c>
      <c r="D2920">
        <v>5.2047569999999999</v>
      </c>
      <c r="E2920">
        <v>0.61546619999999996</v>
      </c>
      <c r="F2920" t="s">
        <v>84</v>
      </c>
      <c r="G2920">
        <v>-227.6919</v>
      </c>
      <c r="H2920" s="1">
        <v>-2.6823230000000001E-6</v>
      </c>
      <c r="I2920">
        <v>-61.5730199999999</v>
      </c>
      <c r="J2920">
        <v>-243.78809999999999</v>
      </c>
      <c r="K2920">
        <v>1.1048070000000001</v>
      </c>
      <c r="L2920">
        <v>-57.757260000000002</v>
      </c>
      <c r="M2920">
        <v>0.99915330000000002</v>
      </c>
      <c r="N2920">
        <v>0</v>
      </c>
      <c r="O2920">
        <v>3.9753330000000003E-2</v>
      </c>
      <c r="P2920">
        <v>0.99071819999999999</v>
      </c>
      <c r="Q2920">
        <v>0.122279399999999</v>
      </c>
      <c r="R2920">
        <v>5.937369E-2</v>
      </c>
      <c r="S2920">
        <v>3.0974729999999999</v>
      </c>
      <c r="T2920">
        <v>-0.21032980000000001</v>
      </c>
      <c r="U2920">
        <v>-0.72503660000000003</v>
      </c>
      <c r="V2920">
        <v>-2.025242E-2</v>
      </c>
      <c r="W2920">
        <v>0.1327479</v>
      </c>
      <c r="X2920">
        <v>0.99094289999999996</v>
      </c>
      <c r="Y2920">
        <v>0.2657736</v>
      </c>
      <c r="Z2920">
        <v>-1.1556479999999999E-2</v>
      </c>
      <c r="AA2920">
        <v>0.9639662</v>
      </c>
      <c r="AB2920">
        <v>35</v>
      </c>
      <c r="AC2920">
        <v>16.0961999999999</v>
      </c>
      <c r="AD2920">
        <v>-1.10480968232299</v>
      </c>
      <c r="AE2920">
        <v>-3.8157599999999898</v>
      </c>
      <c r="AF2920">
        <v>4.4328840319897198</v>
      </c>
      <c r="AG2920">
        <v>-1.10480968232299</v>
      </c>
      <c r="AH2920">
        <v>15.861029159881101</v>
      </c>
      <c r="AI2920">
        <v>93.837928253982696</v>
      </c>
      <c r="AJ2920">
        <v>74.385238962106996</v>
      </c>
      <c r="AK2920">
        <v>16.505856878266599</v>
      </c>
      <c r="AL2920">
        <v>82.371588036365296</v>
      </c>
      <c r="AM2920">
        <v>91.1708209131058</v>
      </c>
      <c r="AN2920">
        <v>0.99999999826533803</v>
      </c>
    </row>
    <row r="2921" spans="1:40" x14ac:dyDescent="0.3">
      <c r="A2921" t="str">
        <f>"20200111150411950"</f>
        <v>20200111150411950</v>
      </c>
      <c r="B2921" t="str">
        <f>"1578726251941882"</f>
        <v>1578726251941882</v>
      </c>
      <c r="C2921" t="s">
        <v>40</v>
      </c>
      <c r="D2921">
        <v>5.207795</v>
      </c>
      <c r="E2921">
        <v>0.61560150000000002</v>
      </c>
      <c r="F2921" t="s">
        <v>84</v>
      </c>
      <c r="G2921">
        <v>-227.56389999999999</v>
      </c>
      <c r="H2921" s="1">
        <v>-2.624507E-6</v>
      </c>
      <c r="I2921">
        <v>-61.559980000000003</v>
      </c>
      <c r="J2921">
        <v>-243.6148</v>
      </c>
      <c r="K2921">
        <v>1.1047979999999999</v>
      </c>
      <c r="L2921">
        <v>-57.749940000000002</v>
      </c>
      <c r="M2921">
        <v>0.99913359999999996</v>
      </c>
      <c r="N2921">
        <v>0</v>
      </c>
      <c r="O2921">
        <v>4.0245099999999999E-2</v>
      </c>
      <c r="P2921">
        <v>0.99071819999999999</v>
      </c>
      <c r="Q2921">
        <v>0.1221703</v>
      </c>
      <c r="R2921">
        <v>5.9598119999999997E-2</v>
      </c>
      <c r="S2921">
        <v>3.0976560000000002</v>
      </c>
      <c r="T2921">
        <v>-0.21093890000000001</v>
      </c>
      <c r="U2921">
        <v>-0.72604369999999996</v>
      </c>
      <c r="V2921">
        <v>-1.9985269999999999E-2</v>
      </c>
      <c r="W2921">
        <v>0.13263820000000001</v>
      </c>
      <c r="X2921">
        <v>0.99096300000000004</v>
      </c>
      <c r="Y2921">
        <v>0.26652589999999998</v>
      </c>
      <c r="Z2921">
        <v>-1.1647090000000001E-2</v>
      </c>
      <c r="AA2921">
        <v>0.96375739999999999</v>
      </c>
      <c r="AB2921">
        <v>35</v>
      </c>
      <c r="AC2921">
        <v>16.050899999999999</v>
      </c>
      <c r="AD2921">
        <v>-1.1048006245069999</v>
      </c>
      <c r="AE2921">
        <v>-3.8100399999999999</v>
      </c>
      <c r="AF2921">
        <v>4.4330769033223003</v>
      </c>
      <c r="AG2921">
        <v>-1.1048006245069999</v>
      </c>
      <c r="AH2921">
        <v>15.8136264425144</v>
      </c>
      <c r="AI2921">
        <v>93.848520145734696</v>
      </c>
      <c r="AJ2921">
        <v>74.3400775720404</v>
      </c>
      <c r="AK2921">
        <v>16.4603625875638</v>
      </c>
      <c r="AL2921">
        <v>82.377929359608601</v>
      </c>
      <c r="AM2921">
        <v>91.155357381339002</v>
      </c>
      <c r="AN2921">
        <v>0.99999998524260603</v>
      </c>
    </row>
    <row r="2922" spans="1:40" x14ac:dyDescent="0.3">
      <c r="A2922" t="str">
        <f>"20200111150411962"</f>
        <v>20200111150411962</v>
      </c>
      <c r="B2922" t="str">
        <f>"1578726251951644"</f>
        <v>1578726251951644</v>
      </c>
      <c r="C2922" t="s">
        <v>40</v>
      </c>
      <c r="D2922">
        <v>5.230003</v>
      </c>
      <c r="E2922">
        <v>0.61572519999999997</v>
      </c>
      <c r="F2922" t="s">
        <v>84</v>
      </c>
      <c r="G2922">
        <v>-227.43170000000001</v>
      </c>
      <c r="H2922" s="1">
        <v>-2.5646419999999999E-6</v>
      </c>
      <c r="I2922">
        <v>-61.545900000000003</v>
      </c>
      <c r="J2922">
        <v>-243.42750000000001</v>
      </c>
      <c r="K2922">
        <v>1.1047849999999999</v>
      </c>
      <c r="L2922">
        <v>-57.741909999999997</v>
      </c>
      <c r="M2922">
        <v>0.99911280000000002</v>
      </c>
      <c r="N2922">
        <v>0</v>
      </c>
      <c r="O2922">
        <v>4.0760039999999997E-2</v>
      </c>
      <c r="P2922">
        <v>0.99068990000000001</v>
      </c>
      <c r="Q2922">
        <v>0.1221479</v>
      </c>
      <c r="R2922">
        <v>6.011238E-2</v>
      </c>
      <c r="S2922">
        <v>3.0979000000000001</v>
      </c>
      <c r="T2922">
        <v>-0.2114896</v>
      </c>
      <c r="U2922">
        <v>-0.72665409999999997</v>
      </c>
      <c r="V2922">
        <v>-1.998438E-2</v>
      </c>
      <c r="W2922">
        <v>0.13261879999999901</v>
      </c>
      <c r="X2922">
        <v>0.9909656</v>
      </c>
      <c r="Y2922">
        <v>0.26717960000000002</v>
      </c>
      <c r="Z2922">
        <v>-1.173298E-2</v>
      </c>
      <c r="AA2922">
        <v>0.96357530000000002</v>
      </c>
      <c r="AB2922">
        <v>35</v>
      </c>
      <c r="AC2922">
        <v>15.995799999999999</v>
      </c>
      <c r="AD2922">
        <v>-1.104787564642</v>
      </c>
      <c r="AE2922">
        <v>-3.8039900000000002</v>
      </c>
      <c r="AF2922">
        <v>4.4328403422362497</v>
      </c>
      <c r="AG2922">
        <v>-1.104787564642</v>
      </c>
      <c r="AH2922">
        <v>15.756306871913299</v>
      </c>
      <c r="AI2922">
        <v>93.861425729919105</v>
      </c>
      <c r="AJ2922">
        <v>74.286715187731005</v>
      </c>
      <c r="AK2922">
        <v>16.4052380447419</v>
      </c>
      <c r="AL2922">
        <v>82.379050695383597</v>
      </c>
      <c r="AM2922">
        <v>91.155302913628105</v>
      </c>
      <c r="AN2922">
        <v>0.99999997097039095</v>
      </c>
    </row>
    <row r="2923" spans="1:40" x14ac:dyDescent="0.3">
      <c r="A2923" t="str">
        <f>"20200111150411974"</f>
        <v>20200111150411974</v>
      </c>
      <c r="B2923" t="str">
        <f>"1578726251961402"</f>
        <v>1578726251961402</v>
      </c>
      <c r="C2923" t="s">
        <v>40</v>
      </c>
      <c r="D2923">
        <v>5.1894900000000002</v>
      </c>
      <c r="E2923">
        <v>0.61612309999999904</v>
      </c>
      <c r="F2923" t="s">
        <v>84</v>
      </c>
      <c r="G2923">
        <v>-227.19</v>
      </c>
      <c r="H2923" s="1">
        <v>-2.461912E-6</v>
      </c>
      <c r="I2923">
        <v>-61.550139999999999</v>
      </c>
      <c r="J2923">
        <v>-243.25020000000001</v>
      </c>
      <c r="K2923">
        <v>1.10477</v>
      </c>
      <c r="L2923">
        <v>-57.734250000000003</v>
      </c>
      <c r="M2923">
        <v>0.99909329999999996</v>
      </c>
      <c r="N2923">
        <v>0</v>
      </c>
      <c r="O2923">
        <v>4.1233810000000003E-2</v>
      </c>
      <c r="P2923">
        <v>0.99065440000000005</v>
      </c>
      <c r="Q2923">
        <v>0.1220652</v>
      </c>
      <c r="R2923">
        <v>6.0859469999999999E-2</v>
      </c>
      <c r="S2923">
        <v>3.0982970000000001</v>
      </c>
      <c r="T2923">
        <v>-0.21080589999999999</v>
      </c>
      <c r="U2923">
        <v>-0.72665409999999997</v>
      </c>
      <c r="V2923">
        <v>-2.0255829999999999E-2</v>
      </c>
      <c r="W2923">
        <v>0.13253989999999999</v>
      </c>
      <c r="X2923">
        <v>0.99097069999999998</v>
      </c>
      <c r="Y2923">
        <v>0.2676115</v>
      </c>
      <c r="Z2923">
        <v>-1.1739980000000001E-2</v>
      </c>
      <c r="AA2923">
        <v>0.96345539999999996</v>
      </c>
      <c r="AB2923">
        <v>35</v>
      </c>
      <c r="AC2923">
        <v>16.060199999999998</v>
      </c>
      <c r="AD2923">
        <v>-1.1047724619120001</v>
      </c>
      <c r="AE2923">
        <v>-3.8158899999999898</v>
      </c>
      <c r="AF2923">
        <v>4.4549504621175897</v>
      </c>
      <c r="AG2923">
        <v>-1.1047724619120001</v>
      </c>
      <c r="AH2923">
        <v>15.818334796992399</v>
      </c>
      <c r="AI2923">
        <v>93.845982570833399</v>
      </c>
      <c r="AJ2923">
        <v>74.271077573151899</v>
      </c>
      <c r="AK2923">
        <v>16.470786913874498</v>
      </c>
      <c r="AL2923">
        <v>82.383612015949197</v>
      </c>
      <c r="AM2923">
        <v>91.170985153343594</v>
      </c>
      <c r="AN2923">
        <v>1.0000000259997399</v>
      </c>
    </row>
    <row r="2924" spans="1:40" x14ac:dyDescent="0.3">
      <c r="A2924" t="str">
        <f>"20200111150411986"</f>
        <v>20200111150411986</v>
      </c>
      <c r="B2924" t="str">
        <f>"1578726251981898"</f>
        <v>1578726251981898</v>
      </c>
      <c r="C2924" t="s">
        <v>40</v>
      </c>
      <c r="D2924">
        <v>5.232812</v>
      </c>
      <c r="E2924">
        <v>0.61672819999999995</v>
      </c>
      <c r="F2924" t="s">
        <v>84</v>
      </c>
      <c r="G2924">
        <v>-226.90620000000001</v>
      </c>
      <c r="H2924" s="1">
        <v>-2.3453740000000002E-6</v>
      </c>
      <c r="I2924">
        <v>-61.573549999999997</v>
      </c>
      <c r="J2924">
        <v>-243.05510000000001</v>
      </c>
      <c r="K2924">
        <v>1.104751</v>
      </c>
      <c r="L2924">
        <v>-57.725740000000002</v>
      </c>
      <c r="M2924">
        <v>0.99907230000000002</v>
      </c>
      <c r="N2924">
        <v>0</v>
      </c>
      <c r="O2924">
        <v>4.1737059999999999E-2</v>
      </c>
      <c r="P2924">
        <v>0.99062309999999998</v>
      </c>
      <c r="Q2924">
        <v>0.121868</v>
      </c>
      <c r="R2924">
        <v>6.1759509999999997E-2</v>
      </c>
      <c r="S2924">
        <v>3.0988310000000001</v>
      </c>
      <c r="T2924">
        <v>-0.20946619999999999</v>
      </c>
      <c r="U2924">
        <v>-0.72793580000000002</v>
      </c>
      <c r="V2924">
        <v>-2.0648550000000002E-2</v>
      </c>
      <c r="W2924">
        <v>0.13235089999999999</v>
      </c>
      <c r="X2924">
        <v>0.99098779999999997</v>
      </c>
      <c r="Y2924">
        <v>0.2684434</v>
      </c>
      <c r="Z2924">
        <v>-1.172434E-2</v>
      </c>
      <c r="AA2924">
        <v>0.96322410000000003</v>
      </c>
      <c r="AB2924">
        <v>35</v>
      </c>
      <c r="AC2924">
        <v>16.148899999999902</v>
      </c>
      <c r="AD2924">
        <v>-1.1047533453739999</v>
      </c>
      <c r="AE2924">
        <v>-3.8478099999999902</v>
      </c>
      <c r="AF2924">
        <v>4.49858004039704</v>
      </c>
      <c r="AG2924">
        <v>-1.1047533453739999</v>
      </c>
      <c r="AH2924">
        <v>15.903790442109701</v>
      </c>
      <c r="AI2924">
        <v>93.824086296743502</v>
      </c>
      <c r="AJ2924">
        <v>74.205800822362704</v>
      </c>
      <c r="AK2924">
        <v>16.564668809261299</v>
      </c>
      <c r="AL2924">
        <v>82.394536748689703</v>
      </c>
      <c r="AM2924">
        <v>91.193661113638001</v>
      </c>
      <c r="AN2924">
        <v>0.99999997154837506</v>
      </c>
    </row>
    <row r="2925" spans="1:40" x14ac:dyDescent="0.3">
      <c r="A2925" t="str">
        <f>"20200111150411997"</f>
        <v>20200111150411997</v>
      </c>
      <c r="B2925" t="str">
        <f>"1578726251991659"</f>
        <v>1578726251991659</v>
      </c>
      <c r="C2925" t="s">
        <v>40</v>
      </c>
      <c r="D2925">
        <v>5.1935669999999998</v>
      </c>
      <c r="E2925">
        <v>0.61705469999999996</v>
      </c>
      <c r="F2925" t="s">
        <v>84</v>
      </c>
      <c r="G2925">
        <v>-226.70089999999999</v>
      </c>
      <c r="H2925" s="1">
        <v>-2.2584970000000002E-6</v>
      </c>
      <c r="I2925">
        <v>-61.578969999999998</v>
      </c>
      <c r="J2925">
        <v>-242.8844</v>
      </c>
      <c r="K2925">
        <v>1.104725</v>
      </c>
      <c r="L2925">
        <v>-57.718229999999998</v>
      </c>
      <c r="M2925">
        <v>0.99905509999999997</v>
      </c>
      <c r="N2925">
        <v>0</v>
      </c>
      <c r="O2925">
        <v>4.214482E-2</v>
      </c>
      <c r="P2925">
        <v>0.99061829999999995</v>
      </c>
      <c r="Q2925">
        <v>0.1214842</v>
      </c>
      <c r="R2925">
        <v>6.2586489999999995E-2</v>
      </c>
      <c r="S2925">
        <v>3.0996700000000001</v>
      </c>
      <c r="T2925">
        <v>-0.20938780000000001</v>
      </c>
      <c r="U2925">
        <v>-0.73031619999999997</v>
      </c>
      <c r="V2925">
        <v>-2.1059769999999998E-2</v>
      </c>
      <c r="W2925">
        <v>0.1319784</v>
      </c>
      <c r="X2925">
        <v>0.99102880000000004</v>
      </c>
      <c r="Y2925">
        <v>0.26947719999999997</v>
      </c>
      <c r="Z2925">
        <v>-1.177747E-2</v>
      </c>
      <c r="AA2925">
        <v>0.96293479999999998</v>
      </c>
      <c r="AB2925">
        <v>35</v>
      </c>
      <c r="AC2925">
        <v>16.183499999999999</v>
      </c>
      <c r="AD2925">
        <v>-1.104727258497</v>
      </c>
      <c r="AE2925">
        <v>-3.8607399999999901</v>
      </c>
      <c r="AF2925">
        <v>4.5194727857372303</v>
      </c>
      <c r="AG2925">
        <v>-1.104727258497</v>
      </c>
      <c r="AH2925">
        <v>15.9361398828911</v>
      </c>
      <c r="AI2925">
        <v>93.815521698389404</v>
      </c>
      <c r="AJ2925">
        <v>74.166718430801396</v>
      </c>
      <c r="AK2925">
        <v>16.601403884724899</v>
      </c>
      <c r="AL2925">
        <v>82.416068121235597</v>
      </c>
      <c r="AM2925">
        <v>91.217375677506297</v>
      </c>
      <c r="AN2925">
        <v>0.99999994720422503</v>
      </c>
    </row>
    <row r="2926" spans="1:40" x14ac:dyDescent="0.3">
      <c r="A2926" t="str">
        <f>"20200111150412007"</f>
        <v>20200111150412007</v>
      </c>
      <c r="B2926" t="str">
        <f>"1578726252001418"</f>
        <v>1578726252001418</v>
      </c>
      <c r="C2926" t="s">
        <v>40</v>
      </c>
      <c r="D2926">
        <v>5.2011440000000002</v>
      </c>
      <c r="E2926">
        <v>0.61741849999999998</v>
      </c>
      <c r="F2926" t="s">
        <v>84</v>
      </c>
      <c r="G2926">
        <v>-226.55590000000001</v>
      </c>
      <c r="H2926" s="1">
        <v>-2.193398E-6</v>
      </c>
      <c r="I2926">
        <v>-61.56588</v>
      </c>
      <c r="J2926">
        <v>-242.71799999999999</v>
      </c>
      <c r="K2926">
        <v>1.104695</v>
      </c>
      <c r="L2926">
        <v>-57.710850000000001</v>
      </c>
      <c r="M2926">
        <v>0.9990386</v>
      </c>
      <c r="N2926">
        <v>0</v>
      </c>
      <c r="O2926">
        <v>4.2532460000000001E-2</v>
      </c>
      <c r="P2926">
        <v>0.99061589999999999</v>
      </c>
      <c r="Q2926">
        <v>0.12116250000000001</v>
      </c>
      <c r="R2926">
        <v>6.3248079999999998E-2</v>
      </c>
      <c r="S2926">
        <v>3.100311</v>
      </c>
      <c r="T2926">
        <v>-0.20975669999999999</v>
      </c>
      <c r="U2926">
        <v>-0.73056030000000005</v>
      </c>
      <c r="V2926">
        <v>-2.1325759999999999E-2</v>
      </c>
      <c r="W2926">
        <v>0.13166929999999999</v>
      </c>
      <c r="X2926">
        <v>0.99106430000000001</v>
      </c>
      <c r="Y2926">
        <v>0.26987430000000001</v>
      </c>
      <c r="Z2926">
        <v>-1.1834839999999999E-2</v>
      </c>
      <c r="AA2926">
        <v>0.96282290000000004</v>
      </c>
      <c r="AB2926">
        <v>35</v>
      </c>
      <c r="AC2926">
        <v>16.162099999999899</v>
      </c>
      <c r="AD2926">
        <v>-1.1046971933980001</v>
      </c>
      <c r="AE2926">
        <v>-3.8550300000000002</v>
      </c>
      <c r="AF2926">
        <v>4.5190180134977496</v>
      </c>
      <c r="AG2926">
        <v>-1.1046971933980001</v>
      </c>
      <c r="AH2926">
        <v>15.9131576246752</v>
      </c>
      <c r="AI2926">
        <v>93.820531004489496</v>
      </c>
      <c r="AJ2926">
        <v>74.146515590519897</v>
      </c>
      <c r="AK2926">
        <v>16.579217873083699</v>
      </c>
      <c r="AL2926">
        <v>82.433934713311501</v>
      </c>
      <c r="AM2926">
        <v>91.232702568839699</v>
      </c>
      <c r="AN2926">
        <v>1.0000000196682699</v>
      </c>
    </row>
    <row r="2927" spans="1:40" x14ac:dyDescent="0.3">
      <c r="A2927" t="str">
        <f>"20200111150412018"</f>
        <v>20200111150412018</v>
      </c>
      <c r="B2927" t="str">
        <f>"1578726252011179"</f>
        <v>1578726252011179</v>
      </c>
      <c r="C2927" t="s">
        <v>40</v>
      </c>
      <c r="D2927">
        <v>5.1814090000000004</v>
      </c>
      <c r="E2927">
        <v>0.61760719999999902</v>
      </c>
      <c r="F2927" t="s">
        <v>84</v>
      </c>
      <c r="G2927">
        <v>-226.42359999999999</v>
      </c>
      <c r="H2927" s="1">
        <v>-2.1343559999999999E-6</v>
      </c>
      <c r="I2927">
        <v>-61.55556</v>
      </c>
      <c r="J2927">
        <v>-242.54830000000001</v>
      </c>
      <c r="K2927">
        <v>1.1046549999999999</v>
      </c>
      <c r="L2927">
        <v>-57.703279999999999</v>
      </c>
      <c r="M2927">
        <v>0.99902360000000001</v>
      </c>
      <c r="N2927">
        <v>0</v>
      </c>
      <c r="O2927">
        <v>4.287465E-2</v>
      </c>
      <c r="P2927">
        <v>0.99059079999999999</v>
      </c>
      <c r="Q2927">
        <v>0.120736999999999</v>
      </c>
      <c r="R2927">
        <v>6.4438469999999998E-2</v>
      </c>
      <c r="S2927">
        <v>3.1008610000000001</v>
      </c>
      <c r="T2927">
        <v>-0.21022640000000001</v>
      </c>
      <c r="U2927">
        <v>-0.7316589</v>
      </c>
      <c r="V2927">
        <v>-2.2161529999999999E-2</v>
      </c>
      <c r="W2927">
        <v>0.13126090000000001</v>
      </c>
      <c r="X2927">
        <v>0.99110010000000004</v>
      </c>
      <c r="Y2927">
        <v>0.27048430000000001</v>
      </c>
      <c r="Z2927">
        <v>-1.1902039999999999E-2</v>
      </c>
      <c r="AA2927">
        <v>0.96265080000000003</v>
      </c>
      <c r="AB2927">
        <v>35</v>
      </c>
      <c r="AC2927">
        <v>16.124700000000001</v>
      </c>
      <c r="AD2927">
        <v>-1.1046571343560001</v>
      </c>
      <c r="AE2927">
        <v>-3.8522799999999902</v>
      </c>
      <c r="AF2927">
        <v>4.5200491995413596</v>
      </c>
      <c r="AG2927">
        <v>-1.1046571343560001</v>
      </c>
      <c r="AH2927">
        <v>15.8742177564353</v>
      </c>
      <c r="AI2927">
        <v>93.828971577287703</v>
      </c>
      <c r="AJ2927">
        <v>74.106145231987895</v>
      </c>
      <c r="AK2927">
        <v>16.542125060870699</v>
      </c>
      <c r="AL2927">
        <v>82.4575388971747</v>
      </c>
      <c r="AM2927">
        <v>91.280950910715106</v>
      </c>
      <c r="AN2927">
        <v>0.99999998275038005</v>
      </c>
    </row>
    <row r="2928" spans="1:40" x14ac:dyDescent="0.3">
      <c r="A2928" t="str">
        <f>"20200111150412029"</f>
        <v>20200111150412029</v>
      </c>
      <c r="B2928" t="str">
        <f>"1578726252021914"</f>
        <v>1578726252021914</v>
      </c>
      <c r="C2928" t="s">
        <v>40</v>
      </c>
      <c r="D2928">
        <v>5.2346719999999998</v>
      </c>
      <c r="E2928">
        <v>0.61794569999999904</v>
      </c>
      <c r="F2928" t="s">
        <v>84</v>
      </c>
      <c r="G2928">
        <v>-226.32679999999999</v>
      </c>
      <c r="H2928" s="1">
        <v>-2.0850890000000001E-6</v>
      </c>
      <c r="I2928">
        <v>-61.520789999999998</v>
      </c>
      <c r="J2928">
        <v>-242.3698</v>
      </c>
      <c r="K2928">
        <v>1.104611</v>
      </c>
      <c r="L2928">
        <v>-57.695279999999997</v>
      </c>
      <c r="M2928">
        <v>0.99900869999999997</v>
      </c>
      <c r="N2928">
        <v>0</v>
      </c>
      <c r="O2928">
        <v>4.3221059999999999E-2</v>
      </c>
      <c r="P2928">
        <v>0.9905294</v>
      </c>
      <c r="Q2928">
        <v>0.12052160000000001</v>
      </c>
      <c r="R2928">
        <v>6.5774109999999997E-2</v>
      </c>
      <c r="S2928">
        <v>3.101715</v>
      </c>
      <c r="T2928">
        <v>-0.2112224</v>
      </c>
      <c r="U2928">
        <v>-0.72994999999999999</v>
      </c>
      <c r="V2928">
        <v>-2.3138510000000001E-2</v>
      </c>
      <c r="W2928">
        <v>0.13106370000000001</v>
      </c>
      <c r="X2928">
        <v>0.99110390000000004</v>
      </c>
      <c r="Y2928">
        <v>0.27024979999999998</v>
      </c>
      <c r="Z2928">
        <v>-1.1971269999999999E-2</v>
      </c>
      <c r="AA2928">
        <v>0.96271580000000001</v>
      </c>
      <c r="AB2928">
        <v>35</v>
      </c>
      <c r="AC2928">
        <v>16.042999999999999</v>
      </c>
      <c r="AD2928">
        <v>-1.1046130850889999</v>
      </c>
      <c r="AE2928">
        <v>-3.82551</v>
      </c>
      <c r="AF2928">
        <v>4.4952054098283396</v>
      </c>
      <c r="AG2928">
        <v>-1.1046130850889999</v>
      </c>
      <c r="AH2928">
        <v>15.7918170675506</v>
      </c>
      <c r="AI2928">
        <v>93.848826357201304</v>
      </c>
      <c r="AJ2928">
        <v>74.110779732274295</v>
      </c>
      <c r="AK2928">
        <v>16.456261058918599</v>
      </c>
      <c r="AL2928">
        <v>82.468936310674295</v>
      </c>
      <c r="AM2928">
        <v>91.337395790155995</v>
      </c>
      <c r="AN2928">
        <v>1.0000000123489601</v>
      </c>
    </row>
    <row r="2929" spans="1:40" x14ac:dyDescent="0.3">
      <c r="A2929" t="str">
        <f>"20200111150412041"</f>
        <v>20200111150412041</v>
      </c>
      <c r="B2929" t="str">
        <f>"1578726252031674"</f>
        <v>1578726252031674</v>
      </c>
      <c r="C2929" t="s">
        <v>40</v>
      </c>
      <c r="D2929">
        <v>5.2253639999999999</v>
      </c>
      <c r="E2929">
        <v>0.61824389999999996</v>
      </c>
      <c r="F2929" t="s">
        <v>84</v>
      </c>
      <c r="G2929">
        <v>-226.1523</v>
      </c>
      <c r="H2929" s="1">
        <v>-2.0069269999999999E-6</v>
      </c>
      <c r="I2929">
        <v>-61.506050000000002</v>
      </c>
      <c r="J2929">
        <v>-242.18709999999999</v>
      </c>
      <c r="K2929">
        <v>1.1045480000000001</v>
      </c>
      <c r="L2929">
        <v>-57.687069999999999</v>
      </c>
      <c r="M2929">
        <v>0.99899629999999995</v>
      </c>
      <c r="N2929">
        <v>0</v>
      </c>
      <c r="O2929">
        <v>4.3499070000000001E-2</v>
      </c>
      <c r="P2929">
        <v>0.99043159999999997</v>
      </c>
      <c r="Q2929">
        <v>0.120583</v>
      </c>
      <c r="R2929">
        <v>6.7119289999999998E-2</v>
      </c>
      <c r="S2929">
        <v>3.102814</v>
      </c>
      <c r="T2929">
        <v>-0.21134</v>
      </c>
      <c r="U2929">
        <v>-0.72909550000000001</v>
      </c>
      <c r="V2929">
        <v>-2.4189749999999999E-2</v>
      </c>
      <c r="W2929">
        <v>0.13114700000000001</v>
      </c>
      <c r="X2929">
        <v>0.99106780000000005</v>
      </c>
      <c r="Y2929">
        <v>0.27018950000000003</v>
      </c>
      <c r="Z2929">
        <v>-1.1990829999999999E-2</v>
      </c>
      <c r="AA2929">
        <v>0.96273249999999999</v>
      </c>
      <c r="AB2929">
        <v>35</v>
      </c>
      <c r="AC2929">
        <v>16.034799999999901</v>
      </c>
      <c r="AD2929">
        <v>-1.10455000692699</v>
      </c>
      <c r="AE2929">
        <v>-3.8189799999999998</v>
      </c>
      <c r="AF2929">
        <v>4.4927295101334401</v>
      </c>
      <c r="AG2929">
        <v>-1.10455000692699</v>
      </c>
      <c r="AH2929">
        <v>15.7826194501495</v>
      </c>
      <c r="AI2929">
        <v>93.850834223846803</v>
      </c>
      <c r="AJ2929">
        <v>74.110302063737507</v>
      </c>
      <c r="AK2929">
        <v>16.4467542657286</v>
      </c>
      <c r="AL2929">
        <v>82.464122165677793</v>
      </c>
      <c r="AM2929">
        <v>91.398184317196694</v>
      </c>
      <c r="AN2929">
        <v>1.0000000319054501</v>
      </c>
    </row>
    <row r="2930" spans="1:40" x14ac:dyDescent="0.3">
      <c r="A2930" t="str">
        <f>"20200111150412051"</f>
        <v>20200111150412051</v>
      </c>
      <c r="B2930" t="str">
        <f>"1578726252041434"</f>
        <v>1578726252041434</v>
      </c>
      <c r="C2930" t="s">
        <v>40</v>
      </c>
      <c r="D2930">
        <v>5.228758</v>
      </c>
      <c r="E2930">
        <v>0.61861290000000002</v>
      </c>
      <c r="F2930" t="s">
        <v>84</v>
      </c>
      <c r="G2930">
        <v>-225.90299999999999</v>
      </c>
      <c r="H2930" s="1">
        <v>-1.9000349999999999E-6</v>
      </c>
      <c r="I2930">
        <v>-61.506320000000002</v>
      </c>
      <c r="J2930">
        <v>-242.03110000000001</v>
      </c>
      <c r="K2930">
        <v>1.104498</v>
      </c>
      <c r="L2930">
        <v>-57.680079999999997</v>
      </c>
      <c r="M2930">
        <v>0.99898640000000005</v>
      </c>
      <c r="N2930">
        <v>0</v>
      </c>
      <c r="O2930">
        <v>4.3720549999999997E-2</v>
      </c>
      <c r="P2930">
        <v>0.99032489999999995</v>
      </c>
      <c r="Q2930">
        <v>0.1205326</v>
      </c>
      <c r="R2930">
        <v>6.8763939999999996E-2</v>
      </c>
      <c r="S2930">
        <v>3.103958</v>
      </c>
      <c r="T2930">
        <v>-0.2105408</v>
      </c>
      <c r="U2930">
        <v>-0.7279968</v>
      </c>
      <c r="V2930">
        <v>-2.559954E-2</v>
      </c>
      <c r="W2930">
        <v>0.13111429999999999</v>
      </c>
      <c r="X2930">
        <v>0.99103669999999999</v>
      </c>
      <c r="Y2930">
        <v>0.27000649999999998</v>
      </c>
      <c r="Z2930">
        <v>-1.1950499999999999E-2</v>
      </c>
      <c r="AA2930">
        <v>0.96278430000000004</v>
      </c>
      <c r="AB2930">
        <v>35</v>
      </c>
      <c r="AC2930">
        <v>16.1281</v>
      </c>
      <c r="AD2930">
        <v>-1.104499900035</v>
      </c>
      <c r="AE2930">
        <v>-3.8262399999999901</v>
      </c>
      <c r="AF2930">
        <v>4.5077363429192197</v>
      </c>
      <c r="AG2930">
        <v>-1.104499900035</v>
      </c>
      <c r="AH2930">
        <v>15.874896814864901</v>
      </c>
      <c r="AI2930">
        <v>93.829056050370298</v>
      </c>
      <c r="AJ2930">
        <v>74.147906209338103</v>
      </c>
      <c r="AK2930">
        <v>16.539406151644599</v>
      </c>
      <c r="AL2930">
        <v>82.466011954520397</v>
      </c>
      <c r="AM2930">
        <v>91.479682340881695</v>
      </c>
      <c r="AN2930">
        <v>1.0000000184297899</v>
      </c>
    </row>
    <row r="2931" spans="1:40" x14ac:dyDescent="0.3">
      <c r="A2931" t="str">
        <f>"20200111150412061"</f>
        <v>20200111150412061</v>
      </c>
      <c r="B2931" t="str">
        <f>"1578726252051194"</f>
        <v>1578726252051194</v>
      </c>
      <c r="C2931" t="s">
        <v>40</v>
      </c>
      <c r="D2931">
        <v>5.203913</v>
      </c>
      <c r="E2931">
        <v>0.61890659999999997</v>
      </c>
      <c r="F2931" t="s">
        <v>84</v>
      </c>
      <c r="G2931">
        <v>-225.72640000000001</v>
      </c>
      <c r="H2931" s="1">
        <v>-1.8215940000000001E-6</v>
      </c>
      <c r="I2931">
        <v>-61.494280000000003</v>
      </c>
      <c r="J2931">
        <v>-241.8553</v>
      </c>
      <c r="K2931">
        <v>1.1044320000000001</v>
      </c>
      <c r="L2931">
        <v>-57.672150000000002</v>
      </c>
      <c r="M2931">
        <v>0.99897800000000003</v>
      </c>
      <c r="N2931">
        <v>0</v>
      </c>
      <c r="O2931">
        <v>4.3910089999999999E-2</v>
      </c>
      <c r="P2931">
        <v>0.99015280000000006</v>
      </c>
      <c r="Q2931">
        <v>0.12099550000000001</v>
      </c>
      <c r="R2931">
        <v>7.041211E-2</v>
      </c>
      <c r="S2931">
        <v>3.1053470000000001</v>
      </c>
      <c r="T2931">
        <v>-0.21035970000000001</v>
      </c>
      <c r="U2931">
        <v>-0.72644039999999999</v>
      </c>
      <c r="V2931">
        <v>-2.7043330000000001E-2</v>
      </c>
      <c r="W2931">
        <v>0.1315984</v>
      </c>
      <c r="X2931">
        <v>0.99093419999999999</v>
      </c>
      <c r="Y2931">
        <v>0.26963809999999999</v>
      </c>
      <c r="Z2931">
        <v>-1.19361E-2</v>
      </c>
      <c r="AA2931">
        <v>0.96288779999999996</v>
      </c>
      <c r="AB2931">
        <v>35</v>
      </c>
      <c r="AC2931">
        <v>16.128899999999899</v>
      </c>
      <c r="AD2931">
        <v>-1.1044338215939999</v>
      </c>
      <c r="AE2931">
        <v>-3.82213</v>
      </c>
      <c r="AF2931">
        <v>4.5066973808295696</v>
      </c>
      <c r="AG2931">
        <v>-1.1044338215939999</v>
      </c>
      <c r="AH2931">
        <v>15.8750235822683</v>
      </c>
      <c r="AI2931">
        <v>93.828865085607404</v>
      </c>
      <c r="AJ2931">
        <v>74.151496508467801</v>
      </c>
      <c r="AK2931">
        <v>16.5392402814105</v>
      </c>
      <c r="AL2931">
        <v>82.438032756505706</v>
      </c>
      <c r="AM2931">
        <v>91.563256340640706</v>
      </c>
      <c r="AN2931">
        <v>1.0000000346548401</v>
      </c>
    </row>
    <row r="2932" spans="1:40" x14ac:dyDescent="0.3">
      <c r="A2932" t="str">
        <f>"20200111150412073"</f>
        <v>20200111150412073</v>
      </c>
      <c r="B2932" t="str">
        <f>"1578726252071691"</f>
        <v>1578726252071691</v>
      </c>
      <c r="C2932" t="s">
        <v>40</v>
      </c>
      <c r="D2932">
        <v>5.557347</v>
      </c>
      <c r="E2932">
        <v>0.6190293</v>
      </c>
      <c r="F2932" t="s">
        <v>84</v>
      </c>
      <c r="G2932">
        <v>-225.38939999999999</v>
      </c>
      <c r="H2932" s="1">
        <v>-1.680643E-6</v>
      </c>
      <c r="I2932">
        <v>-61.510440000000003</v>
      </c>
      <c r="J2932">
        <v>-241.67769999999999</v>
      </c>
      <c r="K2932">
        <v>1.104365</v>
      </c>
      <c r="L2932">
        <v>-57.664180000000002</v>
      </c>
      <c r="M2932">
        <v>0.99897060000000004</v>
      </c>
      <c r="N2932">
        <v>0</v>
      </c>
      <c r="O2932">
        <v>4.4068330000000003E-2</v>
      </c>
      <c r="P2932">
        <v>0.9900333</v>
      </c>
      <c r="Q2932">
        <v>0.1210657</v>
      </c>
      <c r="R2932">
        <v>7.1955279999999996E-2</v>
      </c>
      <c r="S2932">
        <v>3.1067960000000001</v>
      </c>
      <c r="T2932">
        <v>-0.2083856</v>
      </c>
      <c r="U2932">
        <v>-0.72421259999999998</v>
      </c>
      <c r="V2932">
        <v>-2.8409940000000002E-2</v>
      </c>
      <c r="W2932">
        <v>0.13169149999999999</v>
      </c>
      <c r="X2932">
        <v>0.99088350000000003</v>
      </c>
      <c r="Y2932">
        <v>0.26905020000000002</v>
      </c>
      <c r="Z2932">
        <v>-1.1810950000000001E-2</v>
      </c>
      <c r="AA2932">
        <v>0.96305370000000001</v>
      </c>
      <c r="AB2932">
        <v>35</v>
      </c>
      <c r="AC2932">
        <v>16.2882999999999</v>
      </c>
      <c r="AD2932">
        <v>-1.1043666806429999</v>
      </c>
      <c r="AE2932">
        <v>-3.84626</v>
      </c>
      <c r="AF2932">
        <v>4.5405920091560699</v>
      </c>
      <c r="AG2932">
        <v>-1.1043666806429999</v>
      </c>
      <c r="AH2932">
        <v>16.0331545584236</v>
      </c>
      <c r="AI2932">
        <v>93.791663272138095</v>
      </c>
      <c r="AJ2932">
        <v>74.187869306074006</v>
      </c>
      <c r="AK2932">
        <v>16.700258879826499</v>
      </c>
      <c r="AL2932">
        <v>82.432650991822896</v>
      </c>
      <c r="AM2932">
        <v>91.642295834918997</v>
      </c>
      <c r="AN2932">
        <v>0.99999994321764996</v>
      </c>
    </row>
    <row r="2933" spans="1:40" x14ac:dyDescent="0.3">
      <c r="A2933" t="str">
        <f>"20200111150412084"</f>
        <v>20200111150412084</v>
      </c>
      <c r="B2933" t="str">
        <f>"1578726252081451"</f>
        <v>1578726252081451</v>
      </c>
      <c r="C2933" t="s">
        <v>40</v>
      </c>
      <c r="D2933">
        <v>5.361637</v>
      </c>
      <c r="E2933">
        <v>0.56805760000000005</v>
      </c>
      <c r="F2933" t="s">
        <v>84</v>
      </c>
      <c r="G2933">
        <v>-225.1326</v>
      </c>
      <c r="H2933" s="1">
        <v>-1.568319E-6</v>
      </c>
      <c r="I2933">
        <v>-61.500830000000001</v>
      </c>
      <c r="J2933">
        <v>-241.50200000000001</v>
      </c>
      <c r="K2933">
        <v>1.10429</v>
      </c>
      <c r="L2933">
        <v>-57.656280000000002</v>
      </c>
      <c r="M2933">
        <v>0.99896569999999996</v>
      </c>
      <c r="N2933">
        <v>0</v>
      </c>
      <c r="O2933">
        <v>4.4177309999999997E-2</v>
      </c>
      <c r="P2933">
        <v>0.98988069999999895</v>
      </c>
      <c r="Q2933">
        <v>0.1215509</v>
      </c>
      <c r="R2933">
        <v>7.3223040000000003E-2</v>
      </c>
      <c r="S2933">
        <v>3.1079560000000002</v>
      </c>
      <c r="T2933">
        <v>-0.2074521</v>
      </c>
      <c r="U2933">
        <v>-0.72070310000000004</v>
      </c>
      <c r="V2933">
        <v>-2.9551319999999999E-2</v>
      </c>
      <c r="W2933">
        <v>0.13220100000000001</v>
      </c>
      <c r="X2933">
        <v>0.9907823</v>
      </c>
      <c r="Y2933">
        <v>0.26805210000000002</v>
      </c>
      <c r="Z2933">
        <v>-1.1729689999999999E-2</v>
      </c>
      <c r="AA2933">
        <v>0.96333299999999999</v>
      </c>
      <c r="AB2933">
        <v>35</v>
      </c>
      <c r="AC2933">
        <v>16.369399999999999</v>
      </c>
      <c r="AD2933">
        <v>-1.104291568319</v>
      </c>
      <c r="AE2933">
        <v>-3.8445499999999999</v>
      </c>
      <c r="AF2933">
        <v>4.5443939627739001</v>
      </c>
      <c r="AG2933">
        <v>-1.104291568319</v>
      </c>
      <c r="AH2933">
        <v>16.1140644570924</v>
      </c>
      <c r="AI2933">
        <v>93.7735920404034</v>
      </c>
      <c r="AJ2933">
        <v>74.250797839383196</v>
      </c>
      <c r="AK2933">
        <v>16.778976419438798</v>
      </c>
      <c r="AL2933">
        <v>82.403201554129197</v>
      </c>
      <c r="AM2933">
        <v>91.708411726594207</v>
      </c>
      <c r="AN2933">
        <v>0.99999997545401598</v>
      </c>
    </row>
    <row r="2934" spans="1:40" x14ac:dyDescent="0.3">
      <c r="A2934" t="str">
        <f>"20200111150412097"</f>
        <v>20200111150412097</v>
      </c>
      <c r="B2934" t="str">
        <f>"1578726252091210"</f>
        <v>1578726252091210</v>
      </c>
      <c r="C2934" t="s">
        <v>40</v>
      </c>
      <c r="D2934">
        <v>5.015288</v>
      </c>
      <c r="E2934">
        <v>0.56805760000000005</v>
      </c>
      <c r="F2934" t="s">
        <v>42</v>
      </c>
      <c r="G2934">
        <v>-240.6986</v>
      </c>
      <c r="H2934">
        <v>1.0481450000000001</v>
      </c>
      <c r="I2934">
        <v>-57.737549999999999</v>
      </c>
      <c r="J2934">
        <v>-241.31720000000001</v>
      </c>
      <c r="K2934">
        <v>1.1042130000000001</v>
      </c>
      <c r="L2934">
        <v>-57.648040000000002</v>
      </c>
      <c r="M2934">
        <v>0.99896320000000005</v>
      </c>
      <c r="N2934">
        <v>0</v>
      </c>
      <c r="O2934">
        <v>4.4228570000000002E-2</v>
      </c>
      <c r="P2934">
        <v>0.98977420000000005</v>
      </c>
      <c r="Q2934">
        <v>0.1217327</v>
      </c>
      <c r="R2934">
        <v>7.4353260000000004E-2</v>
      </c>
      <c r="S2934">
        <v>3.0801699999999999</v>
      </c>
      <c r="T2934">
        <v>-0.2153177</v>
      </c>
      <c r="U2934">
        <v>-0.31176759999999998</v>
      </c>
      <c r="V2934">
        <v>-3.0607280000000001E-2</v>
      </c>
      <c r="W2934">
        <v>0.1324118</v>
      </c>
      <c r="X2934">
        <v>0.99072210000000005</v>
      </c>
      <c r="Y2934">
        <v>0.14415529999999999</v>
      </c>
      <c r="Z2934">
        <v>-8.1009459999999995E-3</v>
      </c>
      <c r="AA2934">
        <v>0.98952189999999995</v>
      </c>
      <c r="AB2934">
        <v>35</v>
      </c>
      <c r="AC2934">
        <v>0.61860000000001403</v>
      </c>
      <c r="AD2934">
        <v>-5.6067999999999701E-2</v>
      </c>
      <c r="AE2934">
        <v>-8.9509999999996995E-2</v>
      </c>
      <c r="AF2934">
        <v>0.115851575406657</v>
      </c>
      <c r="AG2934">
        <v>-5.6067999999999701E-2</v>
      </c>
      <c r="AH2934">
        <v>0.60913401762668196</v>
      </c>
      <c r="AI2934">
        <v>95.166891102701697</v>
      </c>
      <c r="AJ2934">
        <v>79.231492192497797</v>
      </c>
      <c r="AK2934">
        <v>0.62258289374044595</v>
      </c>
      <c r="AL2934">
        <v>82.391016555178098</v>
      </c>
      <c r="AM2934">
        <v>91.769527868322697</v>
      </c>
      <c r="AN2934">
        <v>0.99999998489832398</v>
      </c>
    </row>
    <row r="2935" spans="1:40" x14ac:dyDescent="0.3">
      <c r="A2935" t="str">
        <f>"20200111150412107"</f>
        <v>20200111150412107</v>
      </c>
      <c r="B2935" t="str">
        <f>"1578726252101948"</f>
        <v>1578726252101948</v>
      </c>
      <c r="C2935" t="s">
        <v>40</v>
      </c>
      <c r="D2935">
        <v>5.2545409999999997</v>
      </c>
      <c r="E2935">
        <v>0.50265689999999996</v>
      </c>
      <c r="F2935" t="s">
        <v>42</v>
      </c>
      <c r="G2935">
        <v>-240.3854</v>
      </c>
      <c r="H2935">
        <v>1.039337</v>
      </c>
      <c r="I2935">
        <v>-57.7416699999999</v>
      </c>
      <c r="J2935">
        <v>-241.13310000000001</v>
      </c>
      <c r="K2935">
        <v>1.1041339999999999</v>
      </c>
      <c r="L2935">
        <v>-57.639830000000003</v>
      </c>
      <c r="M2935">
        <v>0.99896220000000002</v>
      </c>
      <c r="N2935">
        <v>0</v>
      </c>
      <c r="O2935">
        <v>4.4242709999999998E-2</v>
      </c>
      <c r="P2935">
        <v>0.98965579999999997</v>
      </c>
      <c r="Q2935">
        <v>0.1219992</v>
      </c>
      <c r="R2935">
        <v>7.5482740000000006E-2</v>
      </c>
      <c r="S2935">
        <v>3.0805509999999998</v>
      </c>
      <c r="T2935">
        <v>-0.214394</v>
      </c>
      <c r="U2935">
        <v>-0.30862430000000002</v>
      </c>
      <c r="V2935">
        <v>-3.1700109999999997E-2</v>
      </c>
      <c r="W2935">
        <v>0.13270860000000001</v>
      </c>
      <c r="X2935">
        <v>0.99064799999999997</v>
      </c>
      <c r="Y2935">
        <v>0.14316379999999901</v>
      </c>
      <c r="Z2935">
        <v>-8.0322829999999994E-3</v>
      </c>
      <c r="AA2935">
        <v>0.98966639999999995</v>
      </c>
      <c r="AB2935">
        <v>36</v>
      </c>
      <c r="AC2935">
        <v>0.74770000000000802</v>
      </c>
      <c r="AD2935">
        <v>-6.4796999999999702E-2</v>
      </c>
      <c r="AE2935">
        <v>-0.101839999999988</v>
      </c>
      <c r="AF2935">
        <v>0.13383564589434599</v>
      </c>
      <c r="AG2935">
        <v>-6.4796999999999702E-2</v>
      </c>
      <c r="AH2935">
        <v>0.737027383631914</v>
      </c>
      <c r="AI2935">
        <v>94.943897007646299</v>
      </c>
      <c r="AJ2935">
        <v>79.707896581286803</v>
      </c>
      <c r="AK2935">
        <v>0.75187764665819201</v>
      </c>
      <c r="AL2935">
        <v>82.373859603017905</v>
      </c>
      <c r="AM2935">
        <v>91.832803337223893</v>
      </c>
      <c r="AN2935">
        <v>0.99999996469598496</v>
      </c>
    </row>
    <row r="2936" spans="1:40" x14ac:dyDescent="0.3">
      <c r="A2936" t="str">
        <f>"20200111150412120"</f>
        <v>20200111150412120</v>
      </c>
      <c r="B2936" t="str">
        <f>"1578726252111706"</f>
        <v>1578726252111706</v>
      </c>
      <c r="C2936" t="s">
        <v>40</v>
      </c>
      <c r="D2936">
        <v>5.3207389999999997</v>
      </c>
      <c r="E2936">
        <v>0.51141289999999995</v>
      </c>
      <c r="F2936" t="s">
        <v>42</v>
      </c>
      <c r="G2936">
        <v>-240.40899999999999</v>
      </c>
      <c r="H2936">
        <v>1.008783</v>
      </c>
      <c r="I2936">
        <v>-57.588709999999999</v>
      </c>
      <c r="J2936">
        <v>-240.94380000000001</v>
      </c>
      <c r="K2936">
        <v>1.1040460000000001</v>
      </c>
      <c r="L2936">
        <v>-57.631469999999901</v>
      </c>
      <c r="M2936">
        <v>0.99896620000000003</v>
      </c>
      <c r="N2936">
        <v>0</v>
      </c>
      <c r="O2936">
        <v>4.4148890000000003E-2</v>
      </c>
      <c r="P2936">
        <v>0.98955179999999998</v>
      </c>
      <c r="Q2936">
        <v>0.1224626</v>
      </c>
      <c r="R2936">
        <v>7.6095209999999996E-2</v>
      </c>
      <c r="S2936">
        <v>3.0644990000000001</v>
      </c>
      <c r="T2936">
        <v>-0.4034317</v>
      </c>
      <c r="U2936">
        <v>0.2175598</v>
      </c>
      <c r="V2936">
        <v>-3.2378619999999997E-2</v>
      </c>
      <c r="W2936">
        <v>0.13320580000000001</v>
      </c>
      <c r="X2936">
        <v>0.99055930000000003</v>
      </c>
      <c r="Y2936">
        <v>-2.685388E-2</v>
      </c>
      <c r="Z2936">
        <v>-4.0187519999999996E-3</v>
      </c>
      <c r="AA2936">
        <v>0.9996313</v>
      </c>
      <c r="AB2936">
        <v>36</v>
      </c>
      <c r="AC2936">
        <v>0.53479999999998995</v>
      </c>
      <c r="AD2936">
        <v>-9.5262999999999806E-2</v>
      </c>
      <c r="AE2936">
        <v>4.2759999999994101E-2</v>
      </c>
      <c r="AF2936">
        <v>-1.8522122133632E-2</v>
      </c>
      <c r="AG2936">
        <v>-9.5262999999999806E-2</v>
      </c>
      <c r="AH2936">
        <v>0.51977875505125604</v>
      </c>
      <c r="AI2936">
        <v>100.379238214797</v>
      </c>
      <c r="AJ2936">
        <v>92.040850190206598</v>
      </c>
      <c r="AK2936">
        <v>0.52876087447916098</v>
      </c>
      <c r="AL2936">
        <v>82.345116793356596</v>
      </c>
      <c r="AM2936">
        <v>91.872172598643004</v>
      </c>
      <c r="AN2936">
        <v>0.99999994350161503</v>
      </c>
    </row>
    <row r="2937" spans="1:40" x14ac:dyDescent="0.3">
      <c r="A2937" t="str">
        <f>"20200111150412136"</f>
        <v>20200111150412136</v>
      </c>
      <c r="B2937" t="str">
        <f>"1578726252131226"</f>
        <v>1578726252131226</v>
      </c>
      <c r="C2937" t="s">
        <v>40</v>
      </c>
      <c r="D2937">
        <v>5.1121829999999999</v>
      </c>
      <c r="E2937">
        <v>0.51182609999999995</v>
      </c>
      <c r="F2937" t="s">
        <v>42</v>
      </c>
      <c r="G2937">
        <v>-240.0925</v>
      </c>
      <c r="H2937">
        <v>1.0061169999999999</v>
      </c>
      <c r="I2937">
        <v>-57.590200000000003</v>
      </c>
      <c r="J2937">
        <v>-240.69579999999999</v>
      </c>
      <c r="K2937">
        <v>1.103918</v>
      </c>
      <c r="L2937">
        <v>-57.620609999999999</v>
      </c>
      <c r="M2937">
        <v>0.99897469999999999</v>
      </c>
      <c r="N2937">
        <v>0</v>
      </c>
      <c r="O2937">
        <v>4.3941529999999999E-2</v>
      </c>
      <c r="P2937">
        <v>0.98947300000000005</v>
      </c>
      <c r="Q2937">
        <v>0.12282650000000001</v>
      </c>
      <c r="R2937">
        <v>7.6528650000000004E-2</v>
      </c>
      <c r="S2937">
        <v>3.0638890000000001</v>
      </c>
      <c r="T2937">
        <v>-0.35248109999999999</v>
      </c>
      <c r="U2937">
        <v>0.14865110000000001</v>
      </c>
      <c r="V2937">
        <v>-3.2977099999999898E-2</v>
      </c>
      <c r="W2937">
        <v>0.13361700000000001</v>
      </c>
      <c r="X2937">
        <v>0.99048420000000004</v>
      </c>
      <c r="Y2937">
        <v>-4.7782709999999997E-3</v>
      </c>
      <c r="Z2937">
        <v>-4.759597E-3</v>
      </c>
      <c r="AA2937">
        <v>0.99997720000000001</v>
      </c>
      <c r="AB2937">
        <v>36</v>
      </c>
      <c r="AC2937">
        <v>0.60329999999998996</v>
      </c>
      <c r="AD2937">
        <v>-9.7800999999999999E-2</v>
      </c>
      <c r="AE2937">
        <v>3.04099999999962E-2</v>
      </c>
      <c r="AF2937">
        <v>-3.7702942115316702E-3</v>
      </c>
      <c r="AG2937">
        <v>-9.7800999999999999E-2</v>
      </c>
      <c r="AH2937">
        <v>0.58862390730637904</v>
      </c>
      <c r="AI2937">
        <v>99.433434795766601</v>
      </c>
      <c r="AJ2937">
        <v>90.366989836731193</v>
      </c>
      <c r="AK2937">
        <v>0.596705417247129</v>
      </c>
      <c r="AL2937">
        <v>82.321344471953296</v>
      </c>
      <c r="AM2937">
        <v>91.906896619568698</v>
      </c>
      <c r="AN2937">
        <v>0.99999997113152395</v>
      </c>
    </row>
    <row r="2938" spans="1:40" x14ac:dyDescent="0.3">
      <c r="A2938" t="str">
        <f>"20200111150412146"</f>
        <v>20200111150412146</v>
      </c>
      <c r="B2938" t="str">
        <f>"1578726252141963"</f>
        <v>1578726252141963</v>
      </c>
      <c r="C2938" t="s">
        <v>40</v>
      </c>
      <c r="D2938">
        <v>5.0659789999999996</v>
      </c>
      <c r="E2938">
        <v>0.51288809999999996</v>
      </c>
      <c r="F2938" t="s">
        <v>42</v>
      </c>
      <c r="G2938">
        <v>-239.7756</v>
      </c>
      <c r="H2938">
        <v>1.0043230000000001</v>
      </c>
      <c r="I2938">
        <v>-57.57696</v>
      </c>
      <c r="J2938">
        <v>-240.50720000000001</v>
      </c>
      <c r="K2938">
        <v>1.1038129999999999</v>
      </c>
      <c r="L2938">
        <v>-57.612459999999999</v>
      </c>
      <c r="M2938">
        <v>0.99898480000000001</v>
      </c>
      <c r="N2938">
        <v>0</v>
      </c>
      <c r="O2938">
        <v>4.3707599999999999E-2</v>
      </c>
      <c r="P2938">
        <v>0.98941769999999996</v>
      </c>
      <c r="Q2938">
        <v>0.1232188</v>
      </c>
      <c r="R2938">
        <v>7.6614509999999997E-2</v>
      </c>
      <c r="S2938">
        <v>3.0617519999999998</v>
      </c>
      <c r="T2938">
        <v>-0.33130029999999999</v>
      </c>
      <c r="U2938">
        <v>0.14599609999999999</v>
      </c>
      <c r="V2938">
        <v>-3.3260900000000003E-2</v>
      </c>
      <c r="W2938">
        <v>0.13404650000000001</v>
      </c>
      <c r="X2938">
        <v>0.99041670000000004</v>
      </c>
      <c r="Y2938">
        <v>-4.1537370000000002E-3</v>
      </c>
      <c r="Z2938">
        <v>-4.4869899999999997E-3</v>
      </c>
      <c r="AA2938">
        <v>0.99998129999999996</v>
      </c>
      <c r="AB2938">
        <v>36</v>
      </c>
      <c r="AC2938">
        <v>0.73160000000001402</v>
      </c>
      <c r="AD2938">
        <v>-9.9489999999999995E-2</v>
      </c>
      <c r="AE2938">
        <v>3.54999999999989E-2</v>
      </c>
      <c r="AF2938">
        <v>-3.4245065563387701E-3</v>
      </c>
      <c r="AG2938">
        <v>-9.9489999999999995E-2</v>
      </c>
      <c r="AH2938">
        <v>0.719183738856498</v>
      </c>
      <c r="AI2938">
        <v>97.876071547858899</v>
      </c>
      <c r="AJ2938">
        <v>90.272820809341795</v>
      </c>
      <c r="AK2938">
        <v>0.72604079608570604</v>
      </c>
      <c r="AL2938">
        <v>82.296512737327902</v>
      </c>
      <c r="AM2938">
        <v>91.923426026241998</v>
      </c>
      <c r="AN2938">
        <v>0.99999999563497499</v>
      </c>
    </row>
    <row r="2939" spans="1:40" x14ac:dyDescent="0.3">
      <c r="A2939" t="str">
        <f>"20200111150412158"</f>
        <v>20200111150412158</v>
      </c>
      <c r="B2939" t="str">
        <f>"1578726252151722"</f>
        <v>1578726252151722</v>
      </c>
      <c r="C2939" t="s">
        <v>40</v>
      </c>
      <c r="D2939">
        <v>5.1252779999999998</v>
      </c>
      <c r="E2939">
        <v>0.51441199999999998</v>
      </c>
      <c r="F2939" t="s">
        <v>42</v>
      </c>
      <c r="G2939">
        <v>-239.76339999999999</v>
      </c>
      <c r="H2939">
        <v>1.029331</v>
      </c>
      <c r="I2939">
        <v>-57.5794</v>
      </c>
      <c r="J2939">
        <v>-240.32390000000001</v>
      </c>
      <c r="K2939">
        <v>1.103707</v>
      </c>
      <c r="L2939">
        <v>-57.604680000000002</v>
      </c>
      <c r="M2939">
        <v>0.99899870000000002</v>
      </c>
      <c r="N2939">
        <v>0</v>
      </c>
      <c r="O2939">
        <v>4.3380250000000002E-2</v>
      </c>
      <c r="P2939">
        <v>0.98934580000000005</v>
      </c>
      <c r="Q2939">
        <v>0.1237243</v>
      </c>
      <c r="R2939">
        <v>7.6727610000000002E-2</v>
      </c>
      <c r="S2939">
        <v>3.0596009999999998</v>
      </c>
      <c r="T2939">
        <v>-0.30625940000000001</v>
      </c>
      <c r="U2939">
        <v>0.13693239999999901</v>
      </c>
      <c r="V2939">
        <v>-3.366454E-2</v>
      </c>
      <c r="W2939">
        <v>0.1345904</v>
      </c>
      <c r="X2939">
        <v>0.99032929999999997</v>
      </c>
      <c r="Y2939">
        <v>-1.5371600000000001E-3</v>
      </c>
      <c r="Z2939">
        <v>-4.2507819999999998E-3</v>
      </c>
      <c r="AA2939">
        <v>0.99998980000000004</v>
      </c>
      <c r="AB2939">
        <v>36</v>
      </c>
      <c r="AC2939">
        <v>0.56050000000001798</v>
      </c>
      <c r="AD2939">
        <v>-7.4375999999999998E-2</v>
      </c>
      <c r="AE2939">
        <v>2.5280000000002099E-2</v>
      </c>
      <c r="AF2939">
        <v>-9.2387851148699397E-4</v>
      </c>
      <c r="AG2939">
        <v>-7.4375999999999998E-2</v>
      </c>
      <c r="AH2939">
        <v>0.55137993378630201</v>
      </c>
      <c r="AI2939">
        <v>97.682284111277298</v>
      </c>
      <c r="AJ2939">
        <v>90.096003294115107</v>
      </c>
      <c r="AK2939">
        <v>0.55637440119913095</v>
      </c>
      <c r="AL2939">
        <v>82.265064617925802</v>
      </c>
      <c r="AM2939">
        <v>91.946921720811801</v>
      </c>
      <c r="AN2939">
        <v>0.99999999973203002</v>
      </c>
    </row>
    <row r="2940" spans="1:40" x14ac:dyDescent="0.3">
      <c r="A2940" t="str">
        <f>"20200111150412170"</f>
        <v>20200111150412170</v>
      </c>
      <c r="B2940" t="str">
        <f>"1578726252161482"</f>
        <v>1578726252161482</v>
      </c>
      <c r="C2940" t="s">
        <v>40</v>
      </c>
      <c r="D2940">
        <v>5.0741709999999998</v>
      </c>
      <c r="E2940">
        <v>0.51516759999999995</v>
      </c>
      <c r="F2940" t="s">
        <v>42</v>
      </c>
      <c r="G2940">
        <v>-239.4496</v>
      </c>
      <c r="H2940">
        <v>1.02044</v>
      </c>
      <c r="I2940">
        <v>-57.569209999999998</v>
      </c>
      <c r="J2940">
        <v>-240.14320000000001</v>
      </c>
      <c r="K2940">
        <v>1.1035980000000001</v>
      </c>
      <c r="L2940">
        <v>-57.597050000000003</v>
      </c>
      <c r="M2940">
        <v>0.9990135</v>
      </c>
      <c r="N2940">
        <v>0</v>
      </c>
      <c r="O2940">
        <v>4.3028240000000002E-2</v>
      </c>
      <c r="P2940">
        <v>0.98935200000000001</v>
      </c>
      <c r="Q2940">
        <v>0.12378169999999999</v>
      </c>
      <c r="R2940">
        <v>7.6553389999999999E-2</v>
      </c>
      <c r="S2940">
        <v>3.059113</v>
      </c>
      <c r="T2940">
        <v>-0.29130600000000001</v>
      </c>
      <c r="U2940">
        <v>0.12426760000000001</v>
      </c>
      <c r="V2940">
        <v>-3.3802459999999999E-2</v>
      </c>
      <c r="W2940">
        <v>0.13468579999999999</v>
      </c>
      <c r="X2940">
        <v>0.99031159999999996</v>
      </c>
      <c r="Y2940">
        <v>2.2400649999999999E-3</v>
      </c>
      <c r="Z2940">
        <v>-4.191251E-3</v>
      </c>
      <c r="AA2940">
        <v>0.99998869999999895</v>
      </c>
      <c r="AB2940">
        <v>36</v>
      </c>
      <c r="AC2940">
        <v>0.69360000000000299</v>
      </c>
      <c r="AD2940">
        <v>-8.3157999999999802E-2</v>
      </c>
      <c r="AE2940">
        <v>2.7840000000004701E-2</v>
      </c>
      <c r="AF2940">
        <v>2.0032250995181398E-3</v>
      </c>
      <c r="AG2940">
        <v>-8.3157999999999802E-2</v>
      </c>
      <c r="AH2940">
        <v>0.68433444928321496</v>
      </c>
      <c r="AI2940">
        <v>96.928390212754195</v>
      </c>
      <c r="AJ2940">
        <v>89.832280815462198</v>
      </c>
      <c r="AK2940">
        <v>0.68937138347233395</v>
      </c>
      <c r="AL2940">
        <v>82.2595481276051</v>
      </c>
      <c r="AM2940">
        <v>91.954926786460206</v>
      </c>
      <c r="AN2940">
        <v>0.99999996805912506</v>
      </c>
    </row>
    <row r="2941" spans="1:40" x14ac:dyDescent="0.3">
      <c r="A2941" t="str">
        <f>"20200111150412197"</f>
        <v>20200111150412197</v>
      </c>
      <c r="B2941" t="str">
        <f>"1578726252191738"</f>
        <v>1578726252191738</v>
      </c>
      <c r="C2941" t="s">
        <v>40</v>
      </c>
      <c r="D2941">
        <v>5.0709920000000004</v>
      </c>
      <c r="E2941">
        <v>0.51592269999999996</v>
      </c>
      <c r="F2941" t="s">
        <v>42</v>
      </c>
      <c r="G2941">
        <v>-239.1361</v>
      </c>
      <c r="H2941">
        <v>1.0106090000000001</v>
      </c>
      <c r="I2941">
        <v>-57.558720000000001</v>
      </c>
      <c r="J2941">
        <v>-239.7079</v>
      </c>
      <c r="K2941">
        <v>1.1033230000000001</v>
      </c>
      <c r="L2941">
        <v>-57.57938</v>
      </c>
      <c r="M2941">
        <v>0.99906320000000004</v>
      </c>
      <c r="N2941">
        <v>0</v>
      </c>
      <c r="O2941">
        <v>4.1842879999999999E-2</v>
      </c>
      <c r="P2941">
        <v>0.98944670000000001</v>
      </c>
      <c r="Q2941">
        <v>0.1238124</v>
      </c>
      <c r="R2941">
        <v>7.5271290000000005E-2</v>
      </c>
      <c r="S2941">
        <v>3.058548</v>
      </c>
      <c r="T2941">
        <v>-0.28226570000000001</v>
      </c>
      <c r="U2941">
        <v>0.1170959</v>
      </c>
      <c r="V2941">
        <v>-3.3598860000000001E-2</v>
      </c>
      <c r="W2941">
        <v>0.13480629999999999</v>
      </c>
      <c r="X2941">
        <v>0.99030209999999996</v>
      </c>
      <c r="Y2941">
        <v>3.3996859999999999E-3</v>
      </c>
      <c r="Z2941">
        <v>-4.0070879999999998E-3</v>
      </c>
      <c r="AA2941">
        <v>0.99998620000000005</v>
      </c>
      <c r="AB2941">
        <v>36</v>
      </c>
      <c r="AC2941">
        <v>0.57179999999999598</v>
      </c>
      <c r="AD2941">
        <v>-9.2713999999999894E-2</v>
      </c>
      <c r="AE2941">
        <v>2.0660000000013602E-2</v>
      </c>
      <c r="AF2941">
        <v>3.2012596489772102E-3</v>
      </c>
      <c r="AG2941">
        <v>-9.2713999999999894E-2</v>
      </c>
      <c r="AH2941">
        <v>0.55752506493776199</v>
      </c>
      <c r="AI2941">
        <v>99.441485663792207</v>
      </c>
      <c r="AJ2941">
        <v>89.671016313268893</v>
      </c>
      <c r="AK2941">
        <v>0.565190527073125</v>
      </c>
      <c r="AL2941">
        <v>82.252580188695504</v>
      </c>
      <c r="AM2941">
        <v>91.943179493061294</v>
      </c>
      <c r="AN2941">
        <v>0.99999993558869704</v>
      </c>
    </row>
    <row r="2942" spans="1:40" x14ac:dyDescent="0.3">
      <c r="A2942" t="str">
        <f>"20200111150412208"</f>
        <v>20200111150412208</v>
      </c>
      <c r="B2942" t="str">
        <f>"1578726252201498"</f>
        <v>1578726252201498</v>
      </c>
      <c r="C2942" t="s">
        <v>40</v>
      </c>
      <c r="D2942">
        <v>5.0540129999999897</v>
      </c>
      <c r="E2942">
        <v>0.51640189999999997</v>
      </c>
      <c r="F2942" t="s">
        <v>42</v>
      </c>
      <c r="G2942">
        <v>-238.81129999999999</v>
      </c>
      <c r="H2942">
        <v>1.0235609999999999</v>
      </c>
      <c r="I2942">
        <v>-57.548349999999999</v>
      </c>
      <c r="J2942">
        <v>-239.53</v>
      </c>
      <c r="K2942">
        <v>1.103208</v>
      </c>
      <c r="L2942">
        <v>-57.572330000000001</v>
      </c>
      <c r="M2942">
        <v>0.99908620000000004</v>
      </c>
      <c r="N2942">
        <v>0</v>
      </c>
      <c r="O2942">
        <v>4.1284090000000002E-2</v>
      </c>
      <c r="P2942">
        <v>0.9895292</v>
      </c>
      <c r="Q2942">
        <v>0.1236148</v>
      </c>
      <c r="R2942">
        <v>7.45088E-2</v>
      </c>
      <c r="S2942">
        <v>3.057938</v>
      </c>
      <c r="T2942">
        <v>-0.27197860000000001</v>
      </c>
      <c r="U2942">
        <v>0.10617070000000001</v>
      </c>
      <c r="V2942">
        <v>-3.335026E-2</v>
      </c>
      <c r="W2942">
        <v>0.13464419999999999</v>
      </c>
      <c r="X2942">
        <v>0.99033260000000001</v>
      </c>
      <c r="Y2942">
        <v>6.4046579999999997E-3</v>
      </c>
      <c r="Z2942">
        <v>-3.9465139999999999E-3</v>
      </c>
      <c r="AA2942">
        <v>0.99997170000000002</v>
      </c>
      <c r="AB2942">
        <v>36</v>
      </c>
      <c r="AC2942">
        <v>0.718700000000012</v>
      </c>
      <c r="AD2942">
        <v>-7.9646999999999801E-2</v>
      </c>
      <c r="AE2942">
        <v>2.3980000000008699E-2</v>
      </c>
      <c r="AF2942">
        <v>5.6439007966725199E-3</v>
      </c>
      <c r="AG2942">
        <v>-7.9646999999999801E-2</v>
      </c>
      <c r="AH2942">
        <v>0.71036278816826004</v>
      </c>
      <c r="AI2942">
        <v>96.397174856169201</v>
      </c>
      <c r="AJ2942">
        <v>89.544789089389297</v>
      </c>
      <c r="AK2942">
        <v>0.71483619734830695</v>
      </c>
      <c r="AL2942">
        <v>82.261953631893803</v>
      </c>
      <c r="AM2942">
        <v>91.928753332662396</v>
      </c>
      <c r="AN2942">
        <v>0.99999997952923303</v>
      </c>
    </row>
    <row r="2943" spans="1:40" x14ac:dyDescent="0.3">
      <c r="A2943" t="str">
        <f>"20200111150412220"</f>
        <v>20200111150412220</v>
      </c>
      <c r="B2943" t="str">
        <f>"1578726252211258"</f>
        <v>1578726252211258</v>
      </c>
      <c r="C2943" t="s">
        <v>40</v>
      </c>
      <c r="D2943">
        <v>5.1299489999999999</v>
      </c>
      <c r="E2943">
        <v>0.51701989999999998</v>
      </c>
      <c r="F2943" t="s">
        <v>42</v>
      </c>
      <c r="G2943">
        <v>-238.80189999999999</v>
      </c>
      <c r="H2943">
        <v>1.0392410000000001</v>
      </c>
      <c r="I2943">
        <v>-57.548740000000002</v>
      </c>
      <c r="J2943">
        <v>-239.3468</v>
      </c>
      <c r="K2943">
        <v>1.103094</v>
      </c>
      <c r="L2943">
        <v>-57.565370000000001</v>
      </c>
      <c r="M2943">
        <v>0.99911399999999995</v>
      </c>
      <c r="N2943">
        <v>0</v>
      </c>
      <c r="O2943">
        <v>4.0599919999999998E-2</v>
      </c>
      <c r="P2943">
        <v>0.98961929999999998</v>
      </c>
      <c r="Q2943">
        <v>0.1234136</v>
      </c>
      <c r="R2943">
        <v>7.3640170000000005E-2</v>
      </c>
      <c r="S2943">
        <v>3.0577999999999999</v>
      </c>
      <c r="T2943">
        <v>-0.268578599999999</v>
      </c>
      <c r="U2943">
        <v>9.9487300000000001E-2</v>
      </c>
      <c r="V2943">
        <v>-3.3119160000000002E-2</v>
      </c>
      <c r="W2943">
        <v>0.13447700000000001</v>
      </c>
      <c r="X2943">
        <v>0.99036310000000005</v>
      </c>
      <c r="Y2943">
        <v>7.902961E-3</v>
      </c>
      <c r="Z2943">
        <v>-3.9034769999999998E-3</v>
      </c>
      <c r="AA2943">
        <v>0.99996110000000005</v>
      </c>
      <c r="AB2943">
        <v>36</v>
      </c>
      <c r="AC2943">
        <v>0.54490000000001204</v>
      </c>
      <c r="AD2943">
        <v>-6.3852999999999896E-2</v>
      </c>
      <c r="AE2943">
        <v>1.6629999999992099E-2</v>
      </c>
      <c r="AF2943">
        <v>5.4334273867684404E-3</v>
      </c>
      <c r="AG2943">
        <v>-6.3852999999999896E-2</v>
      </c>
      <c r="AH2943">
        <v>0.53774847485697597</v>
      </c>
      <c r="AI2943">
        <v>96.771330935261503</v>
      </c>
      <c r="AJ2943">
        <v>89.421101353804403</v>
      </c>
      <c r="AK2943">
        <v>0.541553459921706</v>
      </c>
      <c r="AL2943">
        <v>82.271621617683394</v>
      </c>
      <c r="AM2943">
        <v>91.915339118684798</v>
      </c>
      <c r="AN2943">
        <v>1.00000000606485</v>
      </c>
    </row>
    <row r="2944" spans="1:40" x14ac:dyDescent="0.3">
      <c r="A2944" t="str">
        <f>"20200111150412232"</f>
        <v>20200111150412232</v>
      </c>
      <c r="B2944" t="str">
        <f>"1578726252221020"</f>
        <v>1578726252221020</v>
      </c>
      <c r="C2944" t="s">
        <v>40</v>
      </c>
      <c r="D2944">
        <v>5.1182790000000002</v>
      </c>
      <c r="E2944">
        <v>0.51758249999999995</v>
      </c>
      <c r="F2944" t="s">
        <v>42</v>
      </c>
      <c r="G2944">
        <v>-238.49010000000001</v>
      </c>
      <c r="H2944">
        <v>1.028729</v>
      </c>
      <c r="I2944">
        <v>-57.539969999999997</v>
      </c>
      <c r="J2944">
        <v>-239.1583</v>
      </c>
      <c r="K2944">
        <v>1.1029770000000001</v>
      </c>
      <c r="L2944">
        <v>-57.558320000000002</v>
      </c>
      <c r="M2944">
        <v>0.99914320000000001</v>
      </c>
      <c r="N2944">
        <v>0</v>
      </c>
      <c r="O2944">
        <v>3.986423E-2</v>
      </c>
      <c r="P2944">
        <v>0.98971050000000005</v>
      </c>
      <c r="Q2944">
        <v>0.1232273</v>
      </c>
      <c r="R2944">
        <v>7.27217E-2</v>
      </c>
      <c r="S2944">
        <v>3.0577700000000001</v>
      </c>
      <c r="T2944">
        <v>-0.2653433</v>
      </c>
      <c r="U2944">
        <v>9.1186519999999993E-2</v>
      </c>
      <c r="V2944">
        <v>-3.288986E-2</v>
      </c>
      <c r="W2944">
        <v>0.13432479999999999</v>
      </c>
      <c r="X2944">
        <v>0.99039140000000003</v>
      </c>
      <c r="Y2944">
        <v>9.8780110000000008E-3</v>
      </c>
      <c r="Z2944">
        <v>-3.8787439999999999E-3</v>
      </c>
      <c r="AA2944">
        <v>0.99994369999999999</v>
      </c>
      <c r="AB2944">
        <v>36</v>
      </c>
      <c r="AC2944">
        <v>0.66819999999998403</v>
      </c>
      <c r="AD2944">
        <v>-7.4247999999999995E-2</v>
      </c>
      <c r="AE2944">
        <v>1.8349999999998E-2</v>
      </c>
      <c r="AF2944">
        <v>8.2023178272706606E-3</v>
      </c>
      <c r="AG2944">
        <v>-7.4247999999999995E-2</v>
      </c>
      <c r="AH2944">
        <v>0.66025441320066403</v>
      </c>
      <c r="AI2944">
        <v>96.415671727780094</v>
      </c>
      <c r="AJ2944">
        <v>89.288253118278405</v>
      </c>
      <c r="AK2944">
        <v>0.66446665354455003</v>
      </c>
      <c r="AL2944">
        <v>82.280421910192601</v>
      </c>
      <c r="AM2944">
        <v>91.902033760871703</v>
      </c>
      <c r="AN2944">
        <v>1.0000000099899</v>
      </c>
    </row>
    <row r="2945" spans="1:40" x14ac:dyDescent="0.3">
      <c r="A2945" t="str">
        <f>"20200111150412244"</f>
        <v>20200111150412244</v>
      </c>
      <c r="B2945" t="str">
        <f>"1578726252241515"</f>
        <v>1578726252241515</v>
      </c>
      <c r="C2945" t="s">
        <v>40</v>
      </c>
      <c r="D2945">
        <v>5.2473390000000002</v>
      </c>
      <c r="E2945">
        <v>0.51803310000000002</v>
      </c>
      <c r="F2945" t="s">
        <v>42</v>
      </c>
      <c r="G2945">
        <v>-238.17599999999999</v>
      </c>
      <c r="H2945">
        <v>1.0187269999999999</v>
      </c>
      <c r="I2945">
        <v>-57.531640000000003</v>
      </c>
      <c r="J2945">
        <v>-238.96029999999999</v>
      </c>
      <c r="K2945">
        <v>1.102857</v>
      </c>
      <c r="L2945">
        <v>-57.551119999999997</v>
      </c>
      <c r="M2945">
        <v>0.99917690000000003</v>
      </c>
      <c r="N2945">
        <v>0</v>
      </c>
      <c r="O2945">
        <v>3.9005680000000001E-2</v>
      </c>
      <c r="P2945">
        <v>0.98978489999999997</v>
      </c>
      <c r="Q2945">
        <v>0.1231858</v>
      </c>
      <c r="R2945">
        <v>7.1770699999999896E-2</v>
      </c>
      <c r="S2945">
        <v>3.0577390000000002</v>
      </c>
      <c r="T2945">
        <v>-0.26220460000000001</v>
      </c>
      <c r="U2945">
        <v>8.3374019999999993E-2</v>
      </c>
      <c r="V2945">
        <v>-3.2748689999999997E-2</v>
      </c>
      <c r="W2945">
        <v>0.1343172</v>
      </c>
      <c r="X2945">
        <v>0.99039710000000003</v>
      </c>
      <c r="Y2945">
        <v>1.1572539999999999E-2</v>
      </c>
      <c r="Z2945">
        <v>-3.832345E-3</v>
      </c>
      <c r="AA2945">
        <v>0.99992570000000003</v>
      </c>
      <c r="AB2945">
        <v>36</v>
      </c>
      <c r="AC2945">
        <v>0.784300000000001</v>
      </c>
      <c r="AD2945">
        <v>-8.4129999999999996E-2</v>
      </c>
      <c r="AE2945">
        <v>1.94799999999943E-2</v>
      </c>
      <c r="AF2945">
        <v>1.10023603736883E-2</v>
      </c>
      <c r="AG2945">
        <v>-8.4129999999999996E-2</v>
      </c>
      <c r="AH2945">
        <v>0.77554475962709801</v>
      </c>
      <c r="AI2945">
        <v>96.190537857629295</v>
      </c>
      <c r="AJ2945">
        <v>89.187220955799006</v>
      </c>
      <c r="AK2945">
        <v>0.78017214960471704</v>
      </c>
      <c r="AL2945">
        <v>82.280861272799896</v>
      </c>
      <c r="AM2945">
        <v>91.893864909524893</v>
      </c>
      <c r="AN2945">
        <v>1.0000000013004799</v>
      </c>
    </row>
    <row r="2946" spans="1:40" x14ac:dyDescent="0.3">
      <c r="A2946" t="str">
        <f>"20200111150412257"</f>
        <v>20200111150412257</v>
      </c>
      <c r="B2946" t="str">
        <f>"1578726252251275"</f>
        <v>1578726252251275</v>
      </c>
      <c r="C2946" t="s">
        <v>40</v>
      </c>
      <c r="D2946">
        <v>5.0900100000000004</v>
      </c>
      <c r="E2946">
        <v>0.51832559999999905</v>
      </c>
      <c r="F2946" t="s">
        <v>42</v>
      </c>
      <c r="G2946">
        <v>-238.1679</v>
      </c>
      <c r="H2946">
        <v>1.035301</v>
      </c>
      <c r="I2946">
        <v>-57.531379999999999</v>
      </c>
      <c r="J2946">
        <v>-238.7647</v>
      </c>
      <c r="K2946">
        <v>1.1027439999999999</v>
      </c>
      <c r="L2946">
        <v>-57.544280000000001</v>
      </c>
      <c r="M2946">
        <v>0.99921179999999998</v>
      </c>
      <c r="N2946">
        <v>0</v>
      </c>
      <c r="O2946">
        <v>3.8094839999999998E-2</v>
      </c>
      <c r="P2946">
        <v>0.98991510000000005</v>
      </c>
      <c r="Q2946">
        <v>0.1229257</v>
      </c>
      <c r="R2946">
        <v>7.0408250000000006E-2</v>
      </c>
      <c r="S2946">
        <v>3.0578460000000001</v>
      </c>
      <c r="T2946">
        <v>-0.26065290000000002</v>
      </c>
      <c r="U2946">
        <v>7.6568600000000001E-2</v>
      </c>
      <c r="V2946">
        <v>-3.2250519999999998E-2</v>
      </c>
      <c r="W2946">
        <v>0.13408809999999999</v>
      </c>
      <c r="X2946">
        <v>0.99044449999999995</v>
      </c>
      <c r="Y2946">
        <v>1.288657E-2</v>
      </c>
      <c r="Z2946">
        <v>-3.7882250000000001E-3</v>
      </c>
      <c r="AA2946">
        <v>0.99990979999999996</v>
      </c>
      <c r="AB2946">
        <v>36</v>
      </c>
      <c r="AC2946">
        <v>0.596800000000001</v>
      </c>
      <c r="AD2946">
        <v>-6.7442999999999906E-2</v>
      </c>
      <c r="AE2946">
        <v>1.29000000000019E-2</v>
      </c>
      <c r="AF2946">
        <v>9.7216863472388403E-3</v>
      </c>
      <c r="AG2946">
        <v>-6.7442999999999906E-2</v>
      </c>
      <c r="AH2946">
        <v>0.58933546334349995</v>
      </c>
      <c r="AI2946">
        <v>96.527594314376302</v>
      </c>
      <c r="AJ2946">
        <v>89.054933707622496</v>
      </c>
      <c r="AK2946">
        <v>0.59326162676236804</v>
      </c>
      <c r="AL2946">
        <v>82.294107638957101</v>
      </c>
      <c r="AM2946">
        <v>91.864986923536307</v>
      </c>
      <c r="AN2946">
        <v>1.0000000110910601</v>
      </c>
    </row>
    <row r="2947" spans="1:40" x14ac:dyDescent="0.3">
      <c r="A2947" t="str">
        <f>"20200111150412269"</f>
        <v>20200111150412269</v>
      </c>
      <c r="B2947" t="str">
        <f>"1578726252261035"</f>
        <v>1578726252261035</v>
      </c>
      <c r="C2947" t="s">
        <v>40</v>
      </c>
      <c r="D2947">
        <v>5.0716739999999998</v>
      </c>
      <c r="E2947">
        <v>0.51857159999999902</v>
      </c>
      <c r="F2947" t="s">
        <v>42</v>
      </c>
      <c r="G2947">
        <v>-237.8535</v>
      </c>
      <c r="H2947">
        <v>1.0256559999999999</v>
      </c>
      <c r="I2947">
        <v>-57.523690000000002</v>
      </c>
      <c r="J2947">
        <v>-238.55889999999999</v>
      </c>
      <c r="K2947">
        <v>1.10263</v>
      </c>
      <c r="L2947">
        <v>-57.537230000000001</v>
      </c>
      <c r="M2947">
        <v>0.9992491</v>
      </c>
      <c r="N2947">
        <v>0</v>
      </c>
      <c r="O2947">
        <v>3.7093950000000001E-2</v>
      </c>
      <c r="P2947">
        <v>0.98997190000000002</v>
      </c>
      <c r="Q2947">
        <v>0.1231836</v>
      </c>
      <c r="R2947">
        <v>6.9148730000000005E-2</v>
      </c>
      <c r="S2947">
        <v>3.057693</v>
      </c>
      <c r="T2947">
        <v>-0.25852380000000003</v>
      </c>
      <c r="U2947">
        <v>6.9885249999999996E-2</v>
      </c>
      <c r="V2947">
        <v>-3.1945580000000001E-2</v>
      </c>
      <c r="W2947">
        <v>0.13437679999999999</v>
      </c>
      <c r="X2947">
        <v>0.9904153</v>
      </c>
      <c r="Y2947">
        <v>1.407037E-2</v>
      </c>
      <c r="Z2947">
        <v>-3.7232559999999999E-3</v>
      </c>
      <c r="AA2947">
        <v>0.99989410000000001</v>
      </c>
      <c r="AB2947">
        <v>36</v>
      </c>
      <c r="AC2947">
        <v>0.70539999999999703</v>
      </c>
      <c r="AD2947">
        <v>-7.6974000000000098E-2</v>
      </c>
      <c r="AE2947">
        <v>1.3540000000006099E-2</v>
      </c>
      <c r="AF2947">
        <v>1.24883816179054E-2</v>
      </c>
      <c r="AG2947">
        <v>-7.6974000000000098E-2</v>
      </c>
      <c r="AH2947">
        <v>0.69711893250621704</v>
      </c>
      <c r="AI2947">
        <v>96.299919207484905</v>
      </c>
      <c r="AJ2947">
        <v>88.973697316313903</v>
      </c>
      <c r="AK2947">
        <v>0.70146686479836096</v>
      </c>
      <c r="AL2947">
        <v>82.277415624339</v>
      </c>
      <c r="AM2947">
        <v>91.847419521289297</v>
      </c>
      <c r="AN2947">
        <v>1.0000000554669299</v>
      </c>
    </row>
    <row r="2948" spans="1:40" x14ac:dyDescent="0.3">
      <c r="A2948" t="str">
        <f>"20200111150412281"</f>
        <v>20200111150412281</v>
      </c>
      <c r="B2948" t="str">
        <f>"1578726252271770"</f>
        <v>1578726252271770</v>
      </c>
      <c r="C2948" t="s">
        <v>40</v>
      </c>
      <c r="D2948">
        <v>5.2707610000000003</v>
      </c>
      <c r="E2948">
        <v>0.51837500000000003</v>
      </c>
      <c r="F2948" t="s">
        <v>42</v>
      </c>
      <c r="G2948">
        <v>-237.5386</v>
      </c>
      <c r="H2948">
        <v>1.0167060000000001</v>
      </c>
      <c r="I2948">
        <v>-57.515970000000003</v>
      </c>
      <c r="J2948">
        <v>-238.3595</v>
      </c>
      <c r="K2948">
        <v>1.102533</v>
      </c>
      <c r="L2948">
        <v>-57.530760000000001</v>
      </c>
      <c r="M2948">
        <v>0.99928709999999998</v>
      </c>
      <c r="N2948">
        <v>0</v>
      </c>
      <c r="O2948">
        <v>3.6048700000000003E-2</v>
      </c>
      <c r="P2948">
        <v>0.99001340000000004</v>
      </c>
      <c r="Q2948">
        <v>0.1235977</v>
      </c>
      <c r="R2948">
        <v>6.7800979999999997E-2</v>
      </c>
      <c r="S2948">
        <v>3.0579529999999999</v>
      </c>
      <c r="T2948">
        <v>-0.2574728</v>
      </c>
      <c r="U2948">
        <v>6.4086909999999997E-2</v>
      </c>
      <c r="V2948">
        <v>-3.1601280000000002E-2</v>
      </c>
      <c r="W2948">
        <v>0.13481760000000001</v>
      </c>
      <c r="X2948">
        <v>0.99036639999999998</v>
      </c>
      <c r="Y2948">
        <v>1.492361E-2</v>
      </c>
      <c r="Z2948">
        <v>-3.6560299999999998E-3</v>
      </c>
      <c r="AA2948">
        <v>0.99988189999999999</v>
      </c>
      <c r="AB2948">
        <v>36</v>
      </c>
      <c r="AC2948">
        <v>0.82089999999999397</v>
      </c>
      <c r="AD2948">
        <v>-8.5827000000000098E-2</v>
      </c>
      <c r="AE2948">
        <v>1.47900000000049E-2</v>
      </c>
      <c r="AF2948">
        <v>1.4653722700988501E-2</v>
      </c>
      <c r="AG2948">
        <v>-8.5827000000000098E-2</v>
      </c>
      <c r="AH2948">
        <v>0.81202604117641897</v>
      </c>
      <c r="AI2948">
        <v>96.0324950554309</v>
      </c>
      <c r="AJ2948">
        <v>88.9661595799612</v>
      </c>
      <c r="AK2948">
        <v>0.81668065794816302</v>
      </c>
      <c r="AL2948">
        <v>82.251927410003503</v>
      </c>
      <c r="AM2948">
        <v>91.827612330050201</v>
      </c>
      <c r="AN2948">
        <v>1.0000000162081699</v>
      </c>
    </row>
    <row r="2949" spans="1:40" x14ac:dyDescent="0.3">
      <c r="A2949" t="str">
        <f>"20200111150412299"</f>
        <v>20200111150412299</v>
      </c>
      <c r="B2949" t="str">
        <f>"1578726252291290"</f>
        <v>1578726252291290</v>
      </c>
      <c r="C2949" t="s">
        <v>40</v>
      </c>
      <c r="D2949">
        <v>5.1604859999999997</v>
      </c>
      <c r="E2949">
        <v>0.5187176</v>
      </c>
      <c r="F2949" t="s">
        <v>42</v>
      </c>
      <c r="G2949">
        <v>-237.5292</v>
      </c>
      <c r="H2949">
        <v>1.0360590000000001</v>
      </c>
      <c r="I2949">
        <v>-57.514159999999997</v>
      </c>
      <c r="J2949">
        <v>-238.09549999999999</v>
      </c>
      <c r="K2949">
        <v>1.1024160000000001</v>
      </c>
      <c r="L2949">
        <v>-57.522550000000003</v>
      </c>
      <c r="M2949">
        <v>0.99933760000000005</v>
      </c>
      <c r="N2949">
        <v>0</v>
      </c>
      <c r="O2949">
        <v>3.4618089999999997E-2</v>
      </c>
      <c r="P2949">
        <v>0.99015410000000004</v>
      </c>
      <c r="Q2949">
        <v>0.1238273</v>
      </c>
      <c r="R2949">
        <v>6.5281619999999999E-2</v>
      </c>
      <c r="S2949">
        <v>3.0565799999999999</v>
      </c>
      <c r="T2949">
        <v>-0.24462490000000001</v>
      </c>
      <c r="U2949">
        <v>6.1553959999999998E-2</v>
      </c>
      <c r="V2949">
        <v>-3.0460170000000002E-2</v>
      </c>
      <c r="W2949">
        <v>0.135077</v>
      </c>
      <c r="X2949">
        <v>0.99036679999999999</v>
      </c>
      <c r="Y2949">
        <v>1.433482E-2</v>
      </c>
      <c r="Z2949">
        <v>-3.3380300000000001E-3</v>
      </c>
      <c r="AA2949">
        <v>0.99989170000000005</v>
      </c>
      <c r="AB2949">
        <v>36</v>
      </c>
      <c r="AC2949">
        <v>0.56629999999998304</v>
      </c>
      <c r="AD2949">
        <v>-6.6356999999999999E-2</v>
      </c>
      <c r="AE2949">
        <v>8.3900000000056707E-3</v>
      </c>
      <c r="AF2949">
        <v>1.10685472883596E-2</v>
      </c>
      <c r="AG2949">
        <v>-6.6356999999999999E-2</v>
      </c>
      <c r="AH2949">
        <v>0.55858315204332398</v>
      </c>
      <c r="AI2949">
        <v>96.773396687530393</v>
      </c>
      <c r="AJ2949">
        <v>88.864809906156395</v>
      </c>
      <c r="AK2949">
        <v>0.56261967787727596</v>
      </c>
      <c r="AL2949">
        <v>82.2369276166758</v>
      </c>
      <c r="AM2949">
        <v>91.761659607236695</v>
      </c>
      <c r="AN2949">
        <v>1.0000000082138301</v>
      </c>
    </row>
    <row r="2950" spans="1:40" x14ac:dyDescent="0.3">
      <c r="A2950" t="str">
        <f>"20200111150412309"</f>
        <v>20200111150412309</v>
      </c>
      <c r="B2950" t="str">
        <f>"1578726252301052"</f>
        <v>1578726252301052</v>
      </c>
      <c r="C2950" t="s">
        <v>40</v>
      </c>
      <c r="D2950">
        <v>5.0770390000000001</v>
      </c>
      <c r="E2950">
        <v>0.5189838</v>
      </c>
      <c r="F2950" t="s">
        <v>42</v>
      </c>
      <c r="G2950">
        <v>-237.21199999999999</v>
      </c>
      <c r="H2950">
        <v>1.031587</v>
      </c>
      <c r="I2950">
        <v>-57.507669999999997</v>
      </c>
      <c r="J2950">
        <v>-237.91130000000001</v>
      </c>
      <c r="K2950">
        <v>1.1023430000000001</v>
      </c>
      <c r="L2950">
        <v>-57.516939999999998</v>
      </c>
      <c r="M2950">
        <v>0.99937220000000004</v>
      </c>
      <c r="N2950">
        <v>0</v>
      </c>
      <c r="O2950">
        <v>3.3593280000000003E-2</v>
      </c>
      <c r="P2950">
        <v>0.99019460000000004</v>
      </c>
      <c r="Q2950">
        <v>0.1241984</v>
      </c>
      <c r="R2950">
        <v>6.3949409999999998E-2</v>
      </c>
      <c r="S2950">
        <v>3.0570529999999998</v>
      </c>
      <c r="T2950">
        <v>-0.24494579999999999</v>
      </c>
      <c r="U2950">
        <v>5.2154539999999999E-2</v>
      </c>
      <c r="V2950">
        <v>-3.0119480000000001E-2</v>
      </c>
      <c r="W2950">
        <v>0.1354678</v>
      </c>
      <c r="X2950">
        <v>0.99032379999999998</v>
      </c>
      <c r="Y2950">
        <v>1.638216E-2</v>
      </c>
      <c r="Z2950">
        <v>-3.3419639999999998E-3</v>
      </c>
      <c r="AA2950">
        <v>0.99986019999999998</v>
      </c>
      <c r="AB2950">
        <v>36</v>
      </c>
      <c r="AC2950">
        <v>0.69929999999999304</v>
      </c>
      <c r="AD2950">
        <v>-7.0755999999999999E-2</v>
      </c>
      <c r="AE2950">
        <v>9.2700000000078796E-3</v>
      </c>
      <c r="AF2950">
        <v>1.4084336879154001E-2</v>
      </c>
      <c r="AG2950">
        <v>-7.0755999999999999E-2</v>
      </c>
      <c r="AH2950">
        <v>0.69213213625928804</v>
      </c>
      <c r="AI2950">
        <v>95.835814989716198</v>
      </c>
      <c r="AJ2950">
        <v>88.834237482539194</v>
      </c>
      <c r="AK2950">
        <v>0.695881939788763</v>
      </c>
      <c r="AL2950">
        <v>82.214328394929296</v>
      </c>
      <c r="AM2950">
        <v>91.742043647774594</v>
      </c>
      <c r="AN2950">
        <v>0.99999996837937399</v>
      </c>
    </row>
    <row r="2951" spans="1:40" x14ac:dyDescent="0.3">
      <c r="A2951" t="str">
        <f>"20200111150412321"</f>
        <v>20200111150412321</v>
      </c>
      <c r="B2951" t="str">
        <f>"1578726252311786"</f>
        <v>1578726252311786</v>
      </c>
      <c r="C2951" t="s">
        <v>40</v>
      </c>
      <c r="D2951">
        <v>5.0998890000000001</v>
      </c>
      <c r="E2951">
        <v>0.51917369999999996</v>
      </c>
      <c r="F2951" t="s">
        <v>42</v>
      </c>
      <c r="G2951">
        <v>-236.8974</v>
      </c>
      <c r="H2951">
        <v>1.021433</v>
      </c>
      <c r="I2951">
        <v>-57.501579999999997</v>
      </c>
      <c r="J2951">
        <v>-237.7184</v>
      </c>
      <c r="K2951">
        <v>1.1022749999999999</v>
      </c>
      <c r="L2951">
        <v>-57.511470000000003</v>
      </c>
      <c r="M2951">
        <v>0.99940879999999999</v>
      </c>
      <c r="N2951">
        <v>0</v>
      </c>
      <c r="O2951">
        <v>3.248434E-2</v>
      </c>
      <c r="P2951">
        <v>0.99030200000000002</v>
      </c>
      <c r="Q2951">
        <v>0.12406159999999999</v>
      </c>
      <c r="R2951">
        <v>6.2537629999999997E-2</v>
      </c>
      <c r="S2951">
        <v>3.0572970000000002</v>
      </c>
      <c r="T2951">
        <v>-0.24393390000000001</v>
      </c>
      <c r="U2951">
        <v>4.6508790000000001E-2</v>
      </c>
      <c r="V2951">
        <v>-2.9786099999999999E-2</v>
      </c>
      <c r="W2951">
        <v>0.1353501</v>
      </c>
      <c r="X2951">
        <v>0.99034999999999995</v>
      </c>
      <c r="Y2951">
        <v>1.7122470000000001E-2</v>
      </c>
      <c r="Z2951">
        <v>-3.2691999999999999E-3</v>
      </c>
      <c r="AA2951">
        <v>0.99984810000000002</v>
      </c>
      <c r="AB2951">
        <v>36</v>
      </c>
      <c r="AC2951">
        <v>0.82099999999999795</v>
      </c>
      <c r="AD2951">
        <v>-8.0841999999999803E-2</v>
      </c>
      <c r="AE2951">
        <v>9.8899999999915097E-3</v>
      </c>
      <c r="AF2951">
        <v>1.6625380055053301E-2</v>
      </c>
      <c r="AG2951">
        <v>-8.0841999999999803E-2</v>
      </c>
      <c r="AH2951">
        <v>0.81300627077949394</v>
      </c>
      <c r="AI2951">
        <v>95.677410907508005</v>
      </c>
      <c r="AJ2951">
        <v>88.828506742424906</v>
      </c>
      <c r="AK2951">
        <v>0.81718481909097795</v>
      </c>
      <c r="AL2951">
        <v>82.221134980948193</v>
      </c>
      <c r="AM2951">
        <v>91.722727826587501</v>
      </c>
      <c r="AN2951">
        <v>0.99999999191160904</v>
      </c>
    </row>
    <row r="2952" spans="1:40" x14ac:dyDescent="0.3">
      <c r="A2952" t="str">
        <f>"20200111150412334"</f>
        <v>20200111150412334</v>
      </c>
      <c r="B2952" t="str">
        <f>"1578726252331307"</f>
        <v>1578726252331307</v>
      </c>
      <c r="C2952" t="s">
        <v>40</v>
      </c>
      <c r="D2952">
        <v>5.1063689999999999</v>
      </c>
      <c r="E2952">
        <v>0.51942879999999902</v>
      </c>
      <c r="F2952" t="s">
        <v>42</v>
      </c>
      <c r="G2952">
        <v>-236.89019999999999</v>
      </c>
      <c r="H2952">
        <v>1.0360419999999999</v>
      </c>
      <c r="I2952">
        <v>-57.500439999999998</v>
      </c>
      <c r="J2952">
        <v>-237.53790000000001</v>
      </c>
      <c r="K2952">
        <v>1.1022209999999999</v>
      </c>
      <c r="L2952">
        <v>-57.506500000000003</v>
      </c>
      <c r="M2952">
        <v>0.99944219999999895</v>
      </c>
      <c r="N2952">
        <v>0</v>
      </c>
      <c r="O2952">
        <v>3.1437560000000003E-2</v>
      </c>
      <c r="P2952">
        <v>0.9903942</v>
      </c>
      <c r="Q2952">
        <v>0.1239271</v>
      </c>
      <c r="R2952">
        <v>6.1332159999999997E-2</v>
      </c>
      <c r="S2952">
        <v>3.0574189999999999</v>
      </c>
      <c r="T2952">
        <v>-0.24451110000000001</v>
      </c>
      <c r="U2952">
        <v>4.0954589999999999E-2</v>
      </c>
      <c r="V2952">
        <v>-2.9600990000000001E-2</v>
      </c>
      <c r="W2952">
        <v>0.13523199999999999</v>
      </c>
      <c r="X2952">
        <v>0.99037169999999997</v>
      </c>
      <c r="Y2952">
        <v>1.789197E-2</v>
      </c>
      <c r="Z2952">
        <v>-3.2240189999999998E-3</v>
      </c>
      <c r="AA2952">
        <v>0.99983469999999997</v>
      </c>
      <c r="AB2952">
        <v>36</v>
      </c>
      <c r="AC2952">
        <v>0.64770000000001404</v>
      </c>
      <c r="AD2952">
        <v>-6.6178999999999905E-2</v>
      </c>
      <c r="AE2952">
        <v>6.0599999999979498E-3</v>
      </c>
      <c r="AF2952">
        <v>1.41585960226674E-2</v>
      </c>
      <c r="AG2952">
        <v>-6.6178999999999905E-2</v>
      </c>
      <c r="AH2952">
        <v>0.64088025380397895</v>
      </c>
      <c r="AI2952">
        <v>95.894190437703202</v>
      </c>
      <c r="AJ2952">
        <v>88.734403424449098</v>
      </c>
      <c r="AK2952">
        <v>0.64444365587550401</v>
      </c>
      <c r="AL2952">
        <v>82.227964531090706</v>
      </c>
      <c r="AM2952">
        <v>91.711990588401505</v>
      </c>
      <c r="AN2952">
        <v>1.00000000829693</v>
      </c>
    </row>
    <row r="2953" spans="1:40" x14ac:dyDescent="0.3">
      <c r="A2953" t="str">
        <f>"20200111150412344"</f>
        <v>20200111150412344</v>
      </c>
      <c r="B2953" t="str">
        <f>"1578726252341067"</f>
        <v>1578726252341067</v>
      </c>
      <c r="C2953" t="s">
        <v>40</v>
      </c>
      <c r="D2953">
        <v>4.9462199999999896</v>
      </c>
      <c r="E2953">
        <v>0.51886690000000002</v>
      </c>
      <c r="F2953" t="s">
        <v>42</v>
      </c>
      <c r="G2953">
        <v>-236.57579999999999</v>
      </c>
      <c r="H2953">
        <v>1.025312</v>
      </c>
      <c r="I2953">
        <v>-57.495609999999999</v>
      </c>
      <c r="J2953">
        <v>-237.35579999999999</v>
      </c>
      <c r="K2953">
        <v>1.102176</v>
      </c>
      <c r="L2953">
        <v>-57.501649999999998</v>
      </c>
      <c r="M2953">
        <v>0.999475</v>
      </c>
      <c r="N2953">
        <v>0</v>
      </c>
      <c r="O2953">
        <v>3.036809E-2</v>
      </c>
      <c r="P2953">
        <v>0.99051109999999998</v>
      </c>
      <c r="Q2953">
        <v>0.1236091</v>
      </c>
      <c r="R2953">
        <v>6.0072970000000003E-2</v>
      </c>
      <c r="S2953">
        <v>3.0574650000000001</v>
      </c>
      <c r="T2953">
        <v>-0.24429139999999999</v>
      </c>
      <c r="U2953">
        <v>3.5400389999999997E-2</v>
      </c>
      <c r="V2953">
        <v>-2.9387340000000001E-2</v>
      </c>
      <c r="W2953">
        <v>0.13492960000000001</v>
      </c>
      <c r="X2953">
        <v>0.9904193</v>
      </c>
      <c r="Y2953">
        <v>1.8639619999999999E-2</v>
      </c>
      <c r="Z2953">
        <v>-3.1656800000000001E-3</v>
      </c>
      <c r="AA2953">
        <v>0.99982119999999997</v>
      </c>
      <c r="AB2953">
        <v>36</v>
      </c>
      <c r="AC2953">
        <v>0.78000000000000103</v>
      </c>
      <c r="AD2953">
        <v>-7.6864000000000002E-2</v>
      </c>
      <c r="AE2953">
        <v>6.0399999999987096E-3</v>
      </c>
      <c r="AF2953">
        <v>1.74816551823085E-2</v>
      </c>
      <c r="AG2953">
        <v>-7.6864000000000002E-2</v>
      </c>
      <c r="AH2953">
        <v>0.772324173886201</v>
      </c>
      <c r="AI2953">
        <v>95.682085100411001</v>
      </c>
      <c r="AJ2953">
        <v>88.703324217001196</v>
      </c>
      <c r="AK2953">
        <v>0.77633646850635296</v>
      </c>
      <c r="AL2953">
        <v>82.245450990981396</v>
      </c>
      <c r="AM2953">
        <v>91.699559651946799</v>
      </c>
      <c r="AN2953">
        <v>1.00000000126046</v>
      </c>
    </row>
    <row r="2954" spans="1:40" x14ac:dyDescent="0.3">
      <c r="A2954" t="str">
        <f>"20200111150412356"</f>
        <v>20200111150412356</v>
      </c>
      <c r="B2954" t="str">
        <f>"1578726252351803"</f>
        <v>1578726252351803</v>
      </c>
      <c r="C2954" t="s">
        <v>40</v>
      </c>
      <c r="D2954">
        <v>5.1104810000000001</v>
      </c>
      <c r="E2954">
        <v>0.51842969999999999</v>
      </c>
      <c r="F2954" t="s">
        <v>42</v>
      </c>
      <c r="G2954">
        <v>-236.5677</v>
      </c>
      <c r="H2954">
        <v>1.0395099999999999</v>
      </c>
      <c r="I2954">
        <v>-57.492629999999998</v>
      </c>
      <c r="J2954">
        <v>-237.17930000000001</v>
      </c>
      <c r="K2954">
        <v>1.102139</v>
      </c>
      <c r="L2954">
        <v>-57.497160000000001</v>
      </c>
      <c r="M2954">
        <v>0.99950589999999995</v>
      </c>
      <c r="N2954">
        <v>0</v>
      </c>
      <c r="O2954">
        <v>2.9327289999999999E-2</v>
      </c>
      <c r="P2954">
        <v>0.99058650000000004</v>
      </c>
      <c r="Q2954">
        <v>0.1233389</v>
      </c>
      <c r="R2954">
        <v>5.9376180000000001E-2</v>
      </c>
      <c r="S2954">
        <v>3.056854</v>
      </c>
      <c r="T2954">
        <v>-0.24292179999999999</v>
      </c>
      <c r="U2954">
        <v>3.598022E-2</v>
      </c>
      <c r="V2954">
        <v>-2.9711410000000001E-2</v>
      </c>
      <c r="W2954">
        <v>0.1346754</v>
      </c>
      <c r="X2954">
        <v>0.9904442</v>
      </c>
      <c r="Y2954">
        <v>1.741535E-2</v>
      </c>
      <c r="Z2954">
        <v>-3.0174949999999998E-3</v>
      </c>
      <c r="AA2954">
        <v>0.99984379999999995</v>
      </c>
      <c r="AB2954">
        <v>36</v>
      </c>
      <c r="AC2954">
        <v>0.61160000000000903</v>
      </c>
      <c r="AD2954">
        <v>-6.2629000000000004E-2</v>
      </c>
      <c r="AE2954">
        <v>4.5299999999954804E-3</v>
      </c>
      <c r="AF2954">
        <v>1.32705172046295E-2</v>
      </c>
      <c r="AG2954">
        <v>-6.2629000000000004E-2</v>
      </c>
      <c r="AH2954">
        <v>0.60512467630170597</v>
      </c>
      <c r="AI2954">
        <v>95.907531418176305</v>
      </c>
      <c r="AJ2954">
        <v>88.743692331984406</v>
      </c>
      <c r="AK2954">
        <v>0.60850174374205601</v>
      </c>
      <c r="AL2954">
        <v>82.260149515519799</v>
      </c>
      <c r="AM2954">
        <v>91.718247263455396</v>
      </c>
      <c r="AN2954">
        <v>0.99999997228149295</v>
      </c>
    </row>
    <row r="2955" spans="1:40" x14ac:dyDescent="0.3">
      <c r="A2955" t="str">
        <f>"20200111150412380"</f>
        <v>20200111150412380</v>
      </c>
      <c r="B2955" t="str">
        <f>"1578726252371322"</f>
        <v>1578726252371322</v>
      </c>
      <c r="C2955" t="s">
        <v>40</v>
      </c>
      <c r="D2955">
        <v>5.3125159999999996</v>
      </c>
      <c r="E2955">
        <v>0.51821799999999996</v>
      </c>
      <c r="F2955" t="s">
        <v>42</v>
      </c>
      <c r="G2955">
        <v>-236.2544</v>
      </c>
      <c r="H2955">
        <v>1.0286299999999999</v>
      </c>
      <c r="I2955">
        <v>-57.486049999999999</v>
      </c>
      <c r="J2955">
        <v>-236.7998</v>
      </c>
      <c r="K2955">
        <v>1.10209</v>
      </c>
      <c r="L2955">
        <v>-57.488160000000001</v>
      </c>
      <c r="M2955">
        <v>0.99956900000000004</v>
      </c>
      <c r="N2955">
        <v>0</v>
      </c>
      <c r="O2955">
        <v>2.7090590000000001E-2</v>
      </c>
      <c r="P2955">
        <v>0.99068460000000003</v>
      </c>
      <c r="Q2955">
        <v>0.12325510000000001</v>
      </c>
      <c r="R2955">
        <v>5.7904490000000003E-2</v>
      </c>
      <c r="S2955">
        <v>3.0565340000000001</v>
      </c>
      <c r="T2955">
        <v>-0.24292469999999999</v>
      </c>
      <c r="U2955">
        <v>3.7048339999999999E-2</v>
      </c>
      <c r="V2955">
        <v>-3.044036E-2</v>
      </c>
      <c r="W2955">
        <v>0.13462009999999999</v>
      </c>
      <c r="X2955">
        <v>0.99042960000000002</v>
      </c>
      <c r="Y2955">
        <v>1.484246E-2</v>
      </c>
      <c r="Z2955">
        <v>-2.738337E-3</v>
      </c>
      <c r="AA2955">
        <v>0.9998861</v>
      </c>
      <c r="AB2955">
        <v>36</v>
      </c>
      <c r="AC2955">
        <v>0.5454</v>
      </c>
      <c r="AD2955">
        <v>-7.3459999999999998E-2</v>
      </c>
      <c r="AE2955">
        <v>2.11000000000183E-3</v>
      </c>
      <c r="AF2955">
        <v>1.24412290213303E-2</v>
      </c>
      <c r="AG2955">
        <v>-7.3459999999999998E-2</v>
      </c>
      <c r="AH2955">
        <v>0.53554162106700698</v>
      </c>
      <c r="AI2955">
        <v>97.808412519508096</v>
      </c>
      <c r="AJ2955">
        <v>88.669194524045196</v>
      </c>
      <c r="AK2955">
        <v>0.54069953178696095</v>
      </c>
      <c r="AL2955">
        <v>82.263347226422297</v>
      </c>
      <c r="AM2955">
        <v>91.760403061525807</v>
      </c>
      <c r="AN2955">
        <v>0.99999998969854897</v>
      </c>
    </row>
    <row r="2956" spans="1:40" x14ac:dyDescent="0.3">
      <c r="A2956" t="str">
        <f>"20200111150412391"</f>
        <v>20200111150412391</v>
      </c>
      <c r="B2956" t="str">
        <f>"1578726252381082"</f>
        <v>1578726252381082</v>
      </c>
      <c r="C2956" t="s">
        <v>40</v>
      </c>
      <c r="D2956">
        <v>5.5954889999999997</v>
      </c>
      <c r="E2956">
        <v>0.51821799999999996</v>
      </c>
      <c r="F2956" t="s">
        <v>42</v>
      </c>
      <c r="G2956">
        <v>-235.93289999999999</v>
      </c>
      <c r="H2956">
        <v>1.031847</v>
      </c>
      <c r="I2956">
        <v>-57.478830000000002</v>
      </c>
      <c r="J2956">
        <v>-236.60890000000001</v>
      </c>
      <c r="K2956">
        <v>1.102082</v>
      </c>
      <c r="L2956">
        <v>-57.483890000000002</v>
      </c>
      <c r="M2956">
        <v>0.99959849999999995</v>
      </c>
      <c r="N2956">
        <v>0</v>
      </c>
      <c r="O2956">
        <v>2.5973530000000002E-2</v>
      </c>
      <c r="P2956">
        <v>0.99067559999999999</v>
      </c>
      <c r="Q2956">
        <v>0.1236133</v>
      </c>
      <c r="R2956">
        <v>5.7290689999999998E-2</v>
      </c>
      <c r="S2956">
        <v>3.0570529999999998</v>
      </c>
      <c r="T2956">
        <v>-0.2475242</v>
      </c>
      <c r="U2956">
        <v>3.3721920000000002E-2</v>
      </c>
      <c r="V2956">
        <v>-3.0928529999999999E-2</v>
      </c>
      <c r="W2956">
        <v>0.13499149999999999</v>
      </c>
      <c r="X2956">
        <v>0.99036400000000002</v>
      </c>
      <c r="Y2956">
        <v>1.4813700000000001E-2</v>
      </c>
      <c r="Z2956">
        <v>-2.6981359999999999E-3</v>
      </c>
      <c r="AA2956">
        <v>0.99988659999999996</v>
      </c>
      <c r="AB2956">
        <v>36</v>
      </c>
      <c r="AC2956">
        <v>0.67600000000001603</v>
      </c>
      <c r="AD2956">
        <v>-7.0235000000000006E-2</v>
      </c>
      <c r="AE2956">
        <v>5.0600000000002804E-3</v>
      </c>
      <c r="AF2956">
        <v>1.23674429548166E-2</v>
      </c>
      <c r="AG2956">
        <v>-7.0235000000000006E-2</v>
      </c>
      <c r="AH2956">
        <v>0.66868543623639898</v>
      </c>
      <c r="AI2956">
        <v>95.9950268569971</v>
      </c>
      <c r="AJ2956">
        <v>88.940426296937602</v>
      </c>
      <c r="AK2956">
        <v>0.672477599258818</v>
      </c>
      <c r="AL2956">
        <v>82.241872138143705</v>
      </c>
      <c r="AM2956">
        <v>91.788734731366901</v>
      </c>
      <c r="AN2956">
        <v>1.0000000657681001</v>
      </c>
    </row>
    <row r="2957" spans="1:40" x14ac:dyDescent="0.3">
      <c r="A2957" t="str">
        <f>"20200111150412403"</f>
        <v>20200111150412403</v>
      </c>
      <c r="B2957" t="str">
        <f>"1578726252391818"</f>
        <v>1578726252391818</v>
      </c>
      <c r="C2957" t="s">
        <v>40</v>
      </c>
      <c r="D2957">
        <v>5.3454579999999998</v>
      </c>
      <c r="E2957">
        <v>0.51742239999999995</v>
      </c>
      <c r="F2957" t="s">
        <v>42</v>
      </c>
      <c r="G2957">
        <v>-235.61750000000001</v>
      </c>
      <c r="H2957">
        <v>1.0222020000000001</v>
      </c>
      <c r="I2957">
        <v>-57.473619999999997</v>
      </c>
      <c r="J2957">
        <v>-236.4084</v>
      </c>
      <c r="K2957">
        <v>1.102077</v>
      </c>
      <c r="L2957">
        <v>-57.479709999999997</v>
      </c>
      <c r="M2957">
        <v>0.99962779999999996</v>
      </c>
      <c r="N2957">
        <v>0</v>
      </c>
      <c r="O2957">
        <v>2.4814599999999999E-2</v>
      </c>
      <c r="P2957">
        <v>0.99066010000000004</v>
      </c>
      <c r="Q2957">
        <v>0.12399489999999901</v>
      </c>
      <c r="R2957">
        <v>5.6728489999999999E-2</v>
      </c>
      <c r="S2957">
        <v>3.0571440000000001</v>
      </c>
      <c r="T2957">
        <v>-0.2463475</v>
      </c>
      <c r="U2957">
        <v>3.1616209999999999E-2</v>
      </c>
      <c r="V2957">
        <v>-3.1512390000000001E-2</v>
      </c>
      <c r="W2957">
        <v>0.13538510000000001</v>
      </c>
      <c r="X2957">
        <v>0.99029180000000006</v>
      </c>
      <c r="Y2957">
        <v>1.434994E-2</v>
      </c>
      <c r="Z2957">
        <v>-2.5734199999999999E-3</v>
      </c>
      <c r="AA2957">
        <v>0.9998937</v>
      </c>
      <c r="AB2957">
        <v>36</v>
      </c>
      <c r="AC2957">
        <v>0.79089999999999305</v>
      </c>
      <c r="AD2957">
        <v>-7.9874999999999904E-2</v>
      </c>
      <c r="AE2957">
        <v>6.0900000000003703E-3</v>
      </c>
      <c r="AF2957">
        <v>1.34023150113719E-2</v>
      </c>
      <c r="AG2957">
        <v>-7.9874999999999904E-2</v>
      </c>
      <c r="AH2957">
        <v>0.78282362694868302</v>
      </c>
      <c r="AI2957">
        <v>95.825134831190397</v>
      </c>
      <c r="AJ2957">
        <v>89.019164666971193</v>
      </c>
      <c r="AK2957">
        <v>0.78700220367020302</v>
      </c>
      <c r="AL2957">
        <v>82.219111082366197</v>
      </c>
      <c r="AM2957">
        <v>91.822612179645404</v>
      </c>
      <c r="AN2957">
        <v>1.00000000258638</v>
      </c>
    </row>
    <row r="2958" spans="1:40" x14ac:dyDescent="0.3">
      <c r="A2958" t="str">
        <f>"20200111150412415"</f>
        <v>20200111150412415</v>
      </c>
      <c r="B2958" t="str">
        <f>"1578726252411338"</f>
        <v>1578726252411338</v>
      </c>
      <c r="C2958" t="s">
        <v>40</v>
      </c>
      <c r="D2958">
        <v>5.2052759999999996</v>
      </c>
      <c r="E2958">
        <v>0.51671400000000001</v>
      </c>
      <c r="F2958" t="s">
        <v>42</v>
      </c>
      <c r="G2958">
        <v>-235.6079</v>
      </c>
      <c r="H2958">
        <v>1.038702</v>
      </c>
      <c r="I2958">
        <v>-57.47025</v>
      </c>
      <c r="J2958">
        <v>-236.23750000000001</v>
      </c>
      <c r="K2958">
        <v>1.102077</v>
      </c>
      <c r="L2958">
        <v>-57.476260000000003</v>
      </c>
      <c r="M2958">
        <v>0.99965139999999997</v>
      </c>
      <c r="N2958">
        <v>0</v>
      </c>
      <c r="O2958">
        <v>2.3839249999999999E-2</v>
      </c>
      <c r="P2958">
        <v>0.99063939999999995</v>
      </c>
      <c r="Q2958">
        <v>0.124295699999999</v>
      </c>
      <c r="R2958">
        <v>5.6428569999999997E-2</v>
      </c>
      <c r="S2958">
        <v>3.0565030000000002</v>
      </c>
      <c r="T2958">
        <v>-0.24199329999999999</v>
      </c>
      <c r="U2958">
        <v>3.6071779999999998E-2</v>
      </c>
      <c r="V2958">
        <v>-3.217776E-2</v>
      </c>
      <c r="W2958">
        <v>0.13569589999999901</v>
      </c>
      <c r="X2958">
        <v>0.99022790000000005</v>
      </c>
      <c r="Y2958">
        <v>1.1929749999999999E-2</v>
      </c>
      <c r="Z2958">
        <v>-2.3558419999999999E-3</v>
      </c>
      <c r="AA2958">
        <v>0.99992610000000004</v>
      </c>
      <c r="AB2958">
        <v>36</v>
      </c>
      <c r="AC2958">
        <v>0.62960000000001004</v>
      </c>
      <c r="AD2958">
        <v>-6.3374999999999904E-2</v>
      </c>
      <c r="AE2958">
        <v>6.00999999999629E-3</v>
      </c>
      <c r="AF2958">
        <v>8.9115802253248704E-3</v>
      </c>
      <c r="AG2958">
        <v>-6.3374999999999904E-2</v>
      </c>
      <c r="AH2958">
        <v>0.62324997268775995</v>
      </c>
      <c r="AI2958">
        <v>95.805559447794906</v>
      </c>
      <c r="AJ2958">
        <v>89.180808398862098</v>
      </c>
      <c r="AK2958">
        <v>0.62652720239619797</v>
      </c>
      <c r="AL2958">
        <v>82.201137983599395</v>
      </c>
      <c r="AM2958">
        <v>91.861189047562107</v>
      </c>
      <c r="AN2958">
        <v>1.00000003972691</v>
      </c>
    </row>
    <row r="2959" spans="1:40" x14ac:dyDescent="0.3">
      <c r="A2959" t="str">
        <f>"20200111150412430"</f>
        <v>20200111150412430</v>
      </c>
      <c r="B2959" t="str">
        <f>"1578726252421098"</f>
        <v>1578726252421098</v>
      </c>
      <c r="C2959" t="s">
        <v>40</v>
      </c>
      <c r="D2959">
        <v>5.3613549999999996</v>
      </c>
      <c r="E2959">
        <v>0.51605979999999996</v>
      </c>
      <c r="F2959" t="s">
        <v>42</v>
      </c>
      <c r="G2959">
        <v>-235.29499999999999</v>
      </c>
      <c r="H2959">
        <v>1.0271790000000001</v>
      </c>
      <c r="I2959">
        <v>-57.463979999999999</v>
      </c>
      <c r="J2959">
        <v>-235.98089999999999</v>
      </c>
      <c r="K2959">
        <v>1.1020840000000001</v>
      </c>
      <c r="L2959">
        <v>-57.471409999999999</v>
      </c>
      <c r="M2959">
        <v>0.99968489999999999</v>
      </c>
      <c r="N2959">
        <v>0</v>
      </c>
      <c r="O2959">
        <v>2.2391899999999999E-2</v>
      </c>
      <c r="P2959">
        <v>0.99047289999999999</v>
      </c>
      <c r="Q2959">
        <v>0.12545700000000001</v>
      </c>
      <c r="R2959">
        <v>5.6786450000000002E-2</v>
      </c>
      <c r="S2959">
        <v>3.0565030000000002</v>
      </c>
      <c r="T2959">
        <v>-0.24276039999999999</v>
      </c>
      <c r="U2959">
        <v>4.058838E-2</v>
      </c>
      <c r="V2959">
        <v>-3.3970680000000003E-2</v>
      </c>
      <c r="W2959">
        <v>0.1368731</v>
      </c>
      <c r="X2959">
        <v>0.99000589999999999</v>
      </c>
      <c r="Y2959">
        <v>9.0176349999999995E-3</v>
      </c>
      <c r="Z2959">
        <v>-2.1330530000000002E-3</v>
      </c>
      <c r="AA2959">
        <v>0.99995710000000004</v>
      </c>
      <c r="AB2959">
        <v>36</v>
      </c>
      <c r="AC2959">
        <v>0.68590000000000295</v>
      </c>
      <c r="AD2959">
        <v>-7.4904999999999999E-2</v>
      </c>
      <c r="AE2959">
        <v>7.42999999999227E-3</v>
      </c>
      <c r="AF2959">
        <v>7.8379898032371505E-3</v>
      </c>
      <c r="AG2959">
        <v>-7.4904999999999999E-2</v>
      </c>
      <c r="AH2959">
        <v>0.67781165441880797</v>
      </c>
      <c r="AI2959">
        <v>96.305753047199701</v>
      </c>
      <c r="AJ2959">
        <v>89.3374800841151</v>
      </c>
      <c r="AK2959">
        <v>0.68198301443299703</v>
      </c>
      <c r="AL2959">
        <v>82.133053577439497</v>
      </c>
      <c r="AM2959">
        <v>91.965254173576696</v>
      </c>
      <c r="AN2959">
        <v>0.99999996731903995</v>
      </c>
    </row>
    <row r="2960" spans="1:40" x14ac:dyDescent="0.3">
      <c r="A2960" t="str">
        <f>"20200111150412441"</f>
        <v>20200111150412441</v>
      </c>
      <c r="B2960" t="str">
        <f>"1578726252431834"</f>
        <v>1578726252431834</v>
      </c>
      <c r="C2960" t="s">
        <v>40</v>
      </c>
      <c r="D2960">
        <v>5.6127079999999996</v>
      </c>
      <c r="E2960">
        <v>0.51605979999999996</v>
      </c>
      <c r="F2960" t="s">
        <v>42</v>
      </c>
      <c r="G2960">
        <v>-234.97620000000001</v>
      </c>
      <c r="H2960">
        <v>1.0240959999999999</v>
      </c>
      <c r="I2960">
        <v>-57.456119999999999</v>
      </c>
      <c r="J2960">
        <v>-235.80439999999999</v>
      </c>
      <c r="K2960">
        <v>1.1020909999999999</v>
      </c>
      <c r="L2960">
        <v>-57.468290000000003</v>
      </c>
      <c r="M2960">
        <v>0.99970599999999998</v>
      </c>
      <c r="N2960">
        <v>0</v>
      </c>
      <c r="O2960">
        <v>2.142034E-2</v>
      </c>
      <c r="P2960">
        <v>0.99045989999999995</v>
      </c>
      <c r="Q2960">
        <v>0.12566959999999999</v>
      </c>
      <c r="R2960">
        <v>5.6537560000000001E-2</v>
      </c>
      <c r="S2960">
        <v>3.056244</v>
      </c>
      <c r="T2960">
        <v>-0.23722270000000001</v>
      </c>
      <c r="U2960">
        <v>4.669189E-2</v>
      </c>
      <c r="V2960">
        <v>-3.4686219999999997E-2</v>
      </c>
      <c r="W2960">
        <v>0.137092299999999</v>
      </c>
      <c r="X2960">
        <v>0.98995080000000002</v>
      </c>
      <c r="Y2960">
        <v>6.0643320000000004E-3</v>
      </c>
      <c r="Z2960">
        <v>-1.8949640000000001E-3</v>
      </c>
      <c r="AA2960">
        <v>0.99997979999999997</v>
      </c>
      <c r="AB2960">
        <v>36</v>
      </c>
      <c r="AC2960">
        <v>0.82819999999998095</v>
      </c>
      <c r="AD2960">
        <v>-7.7994999999999995E-2</v>
      </c>
      <c r="AE2960">
        <v>1.2170000000004601E-2</v>
      </c>
      <c r="AF2960">
        <v>5.5252716015868697E-3</v>
      </c>
      <c r="AG2960">
        <v>-7.7994999999999995E-2</v>
      </c>
      <c r="AH2960">
        <v>0.82099105056400501</v>
      </c>
      <c r="AI2960">
        <v>95.426749140246201</v>
      </c>
      <c r="AJ2960">
        <v>89.614405097577801</v>
      </c>
      <c r="AK2960">
        <v>0.82470604081542898</v>
      </c>
      <c r="AL2960">
        <v>82.120375159577307</v>
      </c>
      <c r="AM2960">
        <v>92.006727326728907</v>
      </c>
      <c r="AN2960">
        <v>1.0000000094989001</v>
      </c>
    </row>
    <row r="2961" spans="1:40" x14ac:dyDescent="0.3">
      <c r="A2961" t="str">
        <f>"20200111150412453"</f>
        <v>20200111150412453</v>
      </c>
      <c r="B2961" t="str">
        <f>"1578726252441596"</f>
        <v>1578726252441596</v>
      </c>
      <c r="C2961" t="s">
        <v>40</v>
      </c>
      <c r="D2961">
        <v>5.3063729999999998</v>
      </c>
      <c r="E2961">
        <v>0.51551579999999997</v>
      </c>
      <c r="F2961" t="s">
        <v>42</v>
      </c>
      <c r="G2961">
        <v>-234.96789999999999</v>
      </c>
      <c r="H2961">
        <v>1.037328</v>
      </c>
      <c r="I2961">
        <v>-57.455759999999998</v>
      </c>
      <c r="J2961">
        <v>-235.62440000000001</v>
      </c>
      <c r="K2961">
        <v>1.102101</v>
      </c>
      <c r="L2961">
        <v>-57.465269999999997</v>
      </c>
      <c r="M2961">
        <v>0.99972640000000002</v>
      </c>
      <c r="N2961">
        <v>0</v>
      </c>
      <c r="O2961">
        <v>2.0439700000000002E-2</v>
      </c>
      <c r="P2961">
        <v>0.99040110000000003</v>
      </c>
      <c r="Q2961">
        <v>0.12624050000000001</v>
      </c>
      <c r="R2961">
        <v>5.6293030000000001E-2</v>
      </c>
      <c r="S2961">
        <v>3.0562740000000002</v>
      </c>
      <c r="T2961">
        <v>-0.2365758</v>
      </c>
      <c r="U2961">
        <v>4.5989990000000001E-2</v>
      </c>
      <c r="V2961">
        <v>-3.5415490000000001E-2</v>
      </c>
      <c r="W2961">
        <v>0.1376676</v>
      </c>
      <c r="X2961">
        <v>0.98984519999999998</v>
      </c>
      <c r="Y2961">
        <v>5.3187979999999996E-3</v>
      </c>
      <c r="Z2961">
        <v>-1.7852110000000001E-3</v>
      </c>
      <c r="AA2961">
        <v>0.99998430000000005</v>
      </c>
      <c r="AB2961">
        <v>36</v>
      </c>
      <c r="AC2961">
        <v>0.65650000000002195</v>
      </c>
      <c r="AD2961">
        <v>-6.47729999999999E-2</v>
      </c>
      <c r="AE2961">
        <v>9.5099999999987903E-3</v>
      </c>
      <c r="AF2961">
        <v>3.8738157845447101E-3</v>
      </c>
      <c r="AG2961">
        <v>-6.47729999999999E-2</v>
      </c>
      <c r="AH2961">
        <v>0.65022882913013802</v>
      </c>
      <c r="AI2961">
        <v>95.688691258877597</v>
      </c>
      <c r="AJ2961">
        <v>89.658657599860305</v>
      </c>
      <c r="AK2961">
        <v>0.653458551256071</v>
      </c>
      <c r="AL2961">
        <v>82.087097873248894</v>
      </c>
      <c r="AM2961">
        <v>92.049101125116394</v>
      </c>
      <c r="AN2961">
        <v>1.0000000724923599</v>
      </c>
    </row>
    <row r="2962" spans="1:40" x14ac:dyDescent="0.3">
      <c r="A2962" t="str">
        <f>"20200111150412464"</f>
        <v>20200111150412464</v>
      </c>
      <c r="B2962" t="str">
        <f>"1578726252462090"</f>
        <v>1578726252462090</v>
      </c>
      <c r="C2962" t="s">
        <v>40</v>
      </c>
      <c r="D2962">
        <v>5.3113219999999997</v>
      </c>
      <c r="E2962">
        <v>0.51444060000000003</v>
      </c>
      <c r="F2962" t="s">
        <v>42</v>
      </c>
      <c r="G2962">
        <v>-234.65389999999999</v>
      </c>
      <c r="H2962">
        <v>1.028187</v>
      </c>
      <c r="I2962">
        <v>-57.449460000000002</v>
      </c>
      <c r="J2962">
        <v>-235.44059999999999</v>
      </c>
      <c r="K2962">
        <v>1.102109</v>
      </c>
      <c r="L2962">
        <v>-57.462339999999998</v>
      </c>
      <c r="M2962">
        <v>0.99974609999999997</v>
      </c>
      <c r="N2962">
        <v>0</v>
      </c>
      <c r="O2962">
        <v>1.9455549999999999E-2</v>
      </c>
      <c r="P2962">
        <v>0.99039820000000001</v>
      </c>
      <c r="Q2962">
        <v>0.12647340000000001</v>
      </c>
      <c r="R2962">
        <v>5.5822829999999997E-2</v>
      </c>
      <c r="S2962">
        <v>3.0558930000000002</v>
      </c>
      <c r="T2962">
        <v>-0.23269219999999999</v>
      </c>
      <c r="U2962">
        <v>4.9987789999999997E-2</v>
      </c>
      <c r="V2962">
        <v>-3.5924049999999999E-2</v>
      </c>
      <c r="W2962">
        <v>0.1379032</v>
      </c>
      <c r="X2962">
        <v>0.98979399999999995</v>
      </c>
      <c r="Y2962">
        <v>3.036567E-3</v>
      </c>
      <c r="Z2962">
        <v>-1.5946129999999999E-3</v>
      </c>
      <c r="AA2962">
        <v>0.9999941</v>
      </c>
      <c r="AB2962">
        <v>36</v>
      </c>
      <c r="AC2962">
        <v>0.78669999999999596</v>
      </c>
      <c r="AD2962">
        <v>-7.3921999999999793E-2</v>
      </c>
      <c r="AE2962">
        <v>1.28800000000097E-2</v>
      </c>
      <c r="AF2962">
        <v>2.4078542536341602E-3</v>
      </c>
      <c r="AG2962">
        <v>-7.3921999999999793E-2</v>
      </c>
      <c r="AH2962">
        <v>0.77991735605625001</v>
      </c>
      <c r="AI2962">
        <v>95.414398597377001</v>
      </c>
      <c r="AJ2962">
        <v>89.823110170553903</v>
      </c>
      <c r="AK2962">
        <v>0.78341645510155</v>
      </c>
      <c r="AL2962">
        <v>82.073468389068097</v>
      </c>
      <c r="AM2962">
        <v>92.078607641077099</v>
      </c>
      <c r="AN2962">
        <v>0.99999999618732105</v>
      </c>
    </row>
    <row r="2963" spans="1:40" x14ac:dyDescent="0.3">
      <c r="A2963" t="str">
        <f>"20200111150412476"</f>
        <v>20200111150412476</v>
      </c>
      <c r="B2963" t="str">
        <f>"1578726252471850"</f>
        <v>1578726252471850</v>
      </c>
      <c r="C2963" t="s">
        <v>40</v>
      </c>
      <c r="D2963">
        <v>5.1194439999999997</v>
      </c>
      <c r="E2963">
        <v>0.51389949999999995</v>
      </c>
      <c r="F2963" t="s">
        <v>84</v>
      </c>
      <c r="G2963">
        <v>-220.65479999999999</v>
      </c>
      <c r="H2963" s="1">
        <v>-3.355325E-7</v>
      </c>
      <c r="I2963">
        <v>-57.184950000000001</v>
      </c>
      <c r="J2963">
        <v>-235.26159999999999</v>
      </c>
      <c r="K2963">
        <v>1.1021219999999901</v>
      </c>
      <c r="L2963">
        <v>-57.459690000000002</v>
      </c>
      <c r="M2963">
        <v>0.99976390000000004</v>
      </c>
      <c r="N2963">
        <v>0</v>
      </c>
      <c r="O2963">
        <v>1.8516100000000001E-2</v>
      </c>
      <c r="P2963">
        <v>0.99044449999999995</v>
      </c>
      <c r="Q2963">
        <v>0.12635650000000001</v>
      </c>
      <c r="R2963">
        <v>5.5264319999999999E-2</v>
      </c>
      <c r="S2963">
        <v>3.0549469999999999</v>
      </c>
      <c r="T2963">
        <v>-0.2277101</v>
      </c>
      <c r="U2963">
        <v>5.7312009999999997E-2</v>
      </c>
      <c r="V2963">
        <v>-3.6301269999999997E-2</v>
      </c>
      <c r="W2963">
        <v>0.13778799999999999</v>
      </c>
      <c r="X2963">
        <v>0.98979629999999996</v>
      </c>
      <c r="Y2963">
        <v>-2.9038080000000002E-4</v>
      </c>
      <c r="Z2963">
        <v>-1.367287E-3</v>
      </c>
      <c r="AA2963">
        <v>0.99999899999999997</v>
      </c>
      <c r="AB2963">
        <v>36</v>
      </c>
      <c r="AC2963">
        <v>14.6067999999999</v>
      </c>
      <c r="AD2963">
        <v>-1.1021223355324901</v>
      </c>
      <c r="AE2963">
        <v>0.27474000000000098</v>
      </c>
      <c r="AF2963">
        <v>-4.19058784164833E-3</v>
      </c>
      <c r="AG2963">
        <v>-1.1021223355324901</v>
      </c>
      <c r="AH2963">
        <v>14.5267100775137</v>
      </c>
      <c r="AI2963">
        <v>94.338643295813398</v>
      </c>
      <c r="AJ2963">
        <v>90.016528380415295</v>
      </c>
      <c r="AK2963">
        <v>14.5684589740866</v>
      </c>
      <c r="AL2963">
        <v>82.080132632618401</v>
      </c>
      <c r="AM2963">
        <v>92.100409707839802</v>
      </c>
      <c r="AN2963">
        <v>1.0000000153206501</v>
      </c>
    </row>
    <row r="2964" spans="1:40" x14ac:dyDescent="0.3">
      <c r="A2964" t="str">
        <f>"20200111150412487"</f>
        <v>20200111150412487</v>
      </c>
      <c r="B2964" t="str">
        <f>"1578726252481610"</f>
        <v>1578726252481610</v>
      </c>
      <c r="C2964" t="s">
        <v>40</v>
      </c>
      <c r="D2964">
        <v>5.3117619999999999</v>
      </c>
      <c r="E2964">
        <v>0.51343890000000003</v>
      </c>
      <c r="F2964" t="s">
        <v>42</v>
      </c>
      <c r="G2964">
        <v>-234.3304</v>
      </c>
      <c r="H2964">
        <v>1.0321290000000001</v>
      </c>
      <c r="I2964">
        <v>-57.441380000000002</v>
      </c>
      <c r="J2964">
        <v>-235.0754</v>
      </c>
      <c r="K2964">
        <v>1.1021319999999999</v>
      </c>
      <c r="L2964">
        <v>-57.457000000000001</v>
      </c>
      <c r="M2964">
        <v>0.99978129999999998</v>
      </c>
      <c r="N2964">
        <v>0</v>
      </c>
      <c r="O2964">
        <v>1.7551710000000002E-2</v>
      </c>
      <c r="P2964">
        <v>0.99051140000000004</v>
      </c>
      <c r="Q2964">
        <v>0.1262945</v>
      </c>
      <c r="R2964">
        <v>5.4193560000000002E-2</v>
      </c>
      <c r="S2964">
        <v>3.0549010000000001</v>
      </c>
      <c r="T2964">
        <v>-0.22962199999999999</v>
      </c>
      <c r="U2964">
        <v>6.0180659999999997E-2</v>
      </c>
      <c r="V2964">
        <v>-3.6191149999999998E-2</v>
      </c>
      <c r="W2964">
        <v>0.13772470000000001</v>
      </c>
      <c r="X2964">
        <v>0.9898091</v>
      </c>
      <c r="Y2964">
        <v>-2.1867309999999999E-3</v>
      </c>
      <c r="Z2964">
        <v>-1.23521E-3</v>
      </c>
      <c r="AA2964">
        <v>0.99999680000000002</v>
      </c>
      <c r="AB2964">
        <v>36</v>
      </c>
      <c r="AC2964">
        <v>0.74500000000000399</v>
      </c>
      <c r="AD2964">
        <v>-7.0002999999999801E-2</v>
      </c>
      <c r="AE2964">
        <v>1.5619999999998401E-2</v>
      </c>
      <c r="AF2964">
        <v>-2.51849768728516E-3</v>
      </c>
      <c r="AG2964">
        <v>-7.0002999999999801E-2</v>
      </c>
      <c r="AH2964">
        <v>0.73864066681441798</v>
      </c>
      <c r="AI2964">
        <v>95.413876374846197</v>
      </c>
      <c r="AJ2964">
        <v>90.195357141153394</v>
      </c>
      <c r="AK2964">
        <v>0.74195471392238499</v>
      </c>
      <c r="AL2964">
        <v>82.083794031737298</v>
      </c>
      <c r="AM2964">
        <v>92.094016734756906</v>
      </c>
      <c r="AN2964">
        <v>0.99999997338561097</v>
      </c>
    </row>
    <row r="2965" spans="1:40" x14ac:dyDescent="0.3">
      <c r="A2965" t="str">
        <f>"20200111150412499"</f>
        <v>20200111150412499</v>
      </c>
      <c r="B2965" t="str">
        <f>"1578726252491371"</f>
        <v>1578726252491371</v>
      </c>
      <c r="C2965" t="s">
        <v>40</v>
      </c>
      <c r="D2965">
        <v>5.362546</v>
      </c>
      <c r="E2965">
        <v>0.51298370000000004</v>
      </c>
      <c r="F2965" t="s">
        <v>84</v>
      </c>
      <c r="G2965">
        <v>-220.33320000000001</v>
      </c>
      <c r="H2965" s="1">
        <v>-2.3299919999999999E-7</v>
      </c>
      <c r="I2965">
        <v>-57.162719999999901</v>
      </c>
      <c r="J2965">
        <v>-234.893</v>
      </c>
      <c r="K2965">
        <v>1.10215</v>
      </c>
      <c r="L2965">
        <v>-57.454650000000001</v>
      </c>
      <c r="M2965">
        <v>0.99979689999999999</v>
      </c>
      <c r="N2965">
        <v>0</v>
      </c>
      <c r="O2965">
        <v>1.6636149999999999E-2</v>
      </c>
      <c r="P2965">
        <v>0.99061120000000003</v>
      </c>
      <c r="Q2965">
        <v>0.12599179999999999</v>
      </c>
      <c r="R2965">
        <v>5.3060919999999998E-2</v>
      </c>
      <c r="S2965">
        <v>3.054535</v>
      </c>
      <c r="T2965">
        <v>-0.22835920000000001</v>
      </c>
      <c r="U2965">
        <v>6.097412E-2</v>
      </c>
      <c r="V2965">
        <v>-3.5972270000000001E-2</v>
      </c>
      <c r="W2965">
        <v>0.13742009999999999</v>
      </c>
      <c r="X2965">
        <v>0.9898595</v>
      </c>
      <c r="Y2965">
        <v>-3.358219E-3</v>
      </c>
      <c r="Z2965">
        <v>-1.1165159999999999E-3</v>
      </c>
      <c r="AA2965">
        <v>0.99999369999999999</v>
      </c>
      <c r="AB2965">
        <v>36</v>
      </c>
      <c r="AC2965">
        <v>14.5597999999999</v>
      </c>
      <c r="AD2965">
        <v>-1.1021502329991999</v>
      </c>
      <c r="AE2965">
        <v>0.29193000000000702</v>
      </c>
      <c r="AF2965">
        <v>-4.93721059564943E-2</v>
      </c>
      <c r="AG2965">
        <v>-1.1021502329991999</v>
      </c>
      <c r="AH2965">
        <v>14.4797032665288</v>
      </c>
      <c r="AI2965">
        <v>94.352758924199406</v>
      </c>
      <c r="AJ2965">
        <v>90.195363280728003</v>
      </c>
      <c r="AK2965">
        <v>14.5216727489526</v>
      </c>
      <c r="AL2965">
        <v>82.101414540993005</v>
      </c>
      <c r="AM2965">
        <v>92.081257647558203</v>
      </c>
      <c r="AN2965">
        <v>1.0000000589166</v>
      </c>
    </row>
    <row r="2966" spans="1:40" x14ac:dyDescent="0.3">
      <c r="A2966" t="str">
        <f>"20200111150412510"</f>
        <v>20200111150412510</v>
      </c>
      <c r="B2966" t="str">
        <f>"1578726252501131"</f>
        <v>1578726252501131</v>
      </c>
      <c r="C2966" t="s">
        <v>40</v>
      </c>
      <c r="D2966">
        <v>5.598312</v>
      </c>
      <c r="E2966">
        <v>0.51298370000000004</v>
      </c>
      <c r="F2966" t="s">
        <v>42</v>
      </c>
      <c r="G2966">
        <v>-234.00620000000001</v>
      </c>
      <c r="H2966">
        <v>1.0360929999999999</v>
      </c>
      <c r="I2966">
        <v>-57.436889999999998</v>
      </c>
      <c r="J2966">
        <v>-234.7054</v>
      </c>
      <c r="K2966">
        <v>1.102168</v>
      </c>
      <c r="L2966">
        <v>-57.452300000000001</v>
      </c>
      <c r="M2966">
        <v>0.99981200000000003</v>
      </c>
      <c r="N2966">
        <v>0</v>
      </c>
      <c r="O2966">
        <v>1.5703040000000001E-2</v>
      </c>
      <c r="P2966">
        <v>0.99070910000000001</v>
      </c>
      <c r="Q2966">
        <v>0.12577089999999999</v>
      </c>
      <c r="R2966">
        <v>5.1739769999999997E-2</v>
      </c>
      <c r="S2966">
        <v>3.0541079999999998</v>
      </c>
      <c r="T2966">
        <v>-0.22745799999999999</v>
      </c>
      <c r="U2966">
        <v>6.1370849999999998E-2</v>
      </c>
      <c r="V2966">
        <v>-3.5583040000000003E-2</v>
      </c>
      <c r="W2966">
        <v>0.1371967</v>
      </c>
      <c r="X2966">
        <v>0.98990449999999996</v>
      </c>
      <c r="Y2966">
        <v>-4.4183499999999997E-3</v>
      </c>
      <c r="Z2966">
        <v>-1.003473E-3</v>
      </c>
      <c r="AA2966">
        <v>0.99998969999999998</v>
      </c>
      <c r="AB2966">
        <v>36</v>
      </c>
      <c r="AC2966">
        <v>0.69919999999999005</v>
      </c>
      <c r="AD2966">
        <v>-6.6075000000000106E-2</v>
      </c>
      <c r="AE2966">
        <v>1.54099999999957E-2</v>
      </c>
      <c r="AF2966">
        <v>-4.3886503667140203E-3</v>
      </c>
      <c r="AG2966">
        <v>-6.6075000000000106E-2</v>
      </c>
      <c r="AH2966">
        <v>0.69316850171437505</v>
      </c>
      <c r="AI2966">
        <v>95.445052575460295</v>
      </c>
      <c r="AJ2966">
        <v>90.362751312855295</v>
      </c>
      <c r="AK2966">
        <v>0.69632444854822695</v>
      </c>
      <c r="AL2966">
        <v>82.114336370320004</v>
      </c>
      <c r="AM2966">
        <v>92.058663835228103</v>
      </c>
      <c r="AN2966">
        <v>1.00000000317339</v>
      </c>
    </row>
    <row r="2967" spans="1:40" x14ac:dyDescent="0.3">
      <c r="A2967" t="str">
        <f>"20200111150412521"</f>
        <v>20200111150412521</v>
      </c>
      <c r="B2967" t="str">
        <f>"1578726252511866"</f>
        <v>1578726252511866</v>
      </c>
      <c r="C2967" t="s">
        <v>40</v>
      </c>
      <c r="D2967">
        <v>5.2394579999999999</v>
      </c>
      <c r="E2967">
        <v>0.51254579999999905</v>
      </c>
      <c r="F2967" t="s">
        <v>42</v>
      </c>
      <c r="G2967">
        <v>-233.69280000000001</v>
      </c>
      <c r="H2967">
        <v>1.0265310000000001</v>
      </c>
      <c r="I2967">
        <v>-57.433280000000003</v>
      </c>
      <c r="J2967">
        <v>-234.5248</v>
      </c>
      <c r="K2967">
        <v>1.1021920000000001</v>
      </c>
      <c r="L2967">
        <v>-57.450290000000003</v>
      </c>
      <c r="M2967">
        <v>0.99982519999999997</v>
      </c>
      <c r="N2967">
        <v>0</v>
      </c>
      <c r="O2967">
        <v>1.483422E-2</v>
      </c>
      <c r="P2967">
        <v>0.99083069999999895</v>
      </c>
      <c r="Q2967">
        <v>0.12539249999999999</v>
      </c>
      <c r="R2967">
        <v>5.0312860000000001E-2</v>
      </c>
      <c r="S2967">
        <v>3.0541079999999998</v>
      </c>
      <c r="T2967">
        <v>-0.22815759999999999</v>
      </c>
      <c r="U2967">
        <v>5.7342530000000003E-2</v>
      </c>
      <c r="V2967">
        <v>-3.5025090000000002E-2</v>
      </c>
      <c r="W2967">
        <v>0.13681409999999999</v>
      </c>
      <c r="X2967">
        <v>0.98997740000000001</v>
      </c>
      <c r="Y2967">
        <v>-3.9678710000000004E-3</v>
      </c>
      <c r="Z2967">
        <v>-9.5856540000000001E-4</v>
      </c>
      <c r="AA2967">
        <v>0.99999170000000004</v>
      </c>
      <c r="AB2967">
        <v>36</v>
      </c>
      <c r="AC2967">
        <v>0.83199999999999297</v>
      </c>
      <c r="AD2967">
        <v>-7.56610000000002E-2</v>
      </c>
      <c r="AE2967">
        <v>1.7009999999999002E-2</v>
      </c>
      <c r="AF2967">
        <v>-4.6270090611208702E-3</v>
      </c>
      <c r="AG2967">
        <v>-7.56610000000002E-2</v>
      </c>
      <c r="AH2967">
        <v>0.825338217568651</v>
      </c>
      <c r="AI2967">
        <v>95.237738202362493</v>
      </c>
      <c r="AJ2967">
        <v>90.321208091397693</v>
      </c>
      <c r="AK2967">
        <v>0.82881190237185198</v>
      </c>
      <c r="AL2967">
        <v>82.136466815134995</v>
      </c>
      <c r="AM2967">
        <v>92.026261556965295</v>
      </c>
      <c r="AN2967">
        <v>1.0000000536995299</v>
      </c>
    </row>
    <row r="2968" spans="1:40" x14ac:dyDescent="0.3">
      <c r="A2968" t="str">
        <f>"20200111150412532"</f>
        <v>20200111150412532</v>
      </c>
      <c r="B2968" t="str">
        <f>"1578726252521626"</f>
        <v>1578726252521626</v>
      </c>
      <c r="C2968" t="s">
        <v>40</v>
      </c>
      <c r="D2968">
        <v>6.0630199999999999</v>
      </c>
      <c r="E2968">
        <v>0.51254579999999905</v>
      </c>
      <c r="F2968" t="s">
        <v>42</v>
      </c>
      <c r="G2968">
        <v>-233.67930000000001</v>
      </c>
      <c r="H2968">
        <v>1.039288</v>
      </c>
      <c r="I2968">
        <v>-57.43459</v>
      </c>
      <c r="J2968">
        <v>-234.35059999999999</v>
      </c>
      <c r="K2968">
        <v>1.102214</v>
      </c>
      <c r="L2968">
        <v>-57.448390000000003</v>
      </c>
      <c r="M2968">
        <v>0.99983730000000004</v>
      </c>
      <c r="N2968">
        <v>0</v>
      </c>
      <c r="O2968">
        <v>1.400557E-2</v>
      </c>
      <c r="P2968">
        <v>0.99097999999999997</v>
      </c>
      <c r="Q2968">
        <v>0.12477009999999999</v>
      </c>
      <c r="R2968">
        <v>4.8900159999999998E-2</v>
      </c>
      <c r="S2968">
        <v>3.0536349999999999</v>
      </c>
      <c r="T2968">
        <v>-0.22717989999999999</v>
      </c>
      <c r="U2968">
        <v>5.6640629999999997E-2</v>
      </c>
      <c r="V2968">
        <v>-3.4442250000000001E-2</v>
      </c>
      <c r="W2968">
        <v>0.13618820000000001</v>
      </c>
      <c r="X2968">
        <v>0.99008410000000002</v>
      </c>
      <c r="Y2968">
        <v>-4.5655909999999999E-3</v>
      </c>
      <c r="Z2968">
        <v>-8.7086439999999998E-4</v>
      </c>
      <c r="AA2968">
        <v>0.99998920000000002</v>
      </c>
      <c r="AB2968">
        <v>36</v>
      </c>
      <c r="AC2968">
        <v>0.67129999999997303</v>
      </c>
      <c r="AD2968">
        <v>-6.2925999999999996E-2</v>
      </c>
      <c r="AE2968">
        <v>1.3800000000003299E-2</v>
      </c>
      <c r="AF2968">
        <v>-4.3578248081263997E-3</v>
      </c>
      <c r="AG2968">
        <v>-6.2925999999999996E-2</v>
      </c>
      <c r="AH2968">
        <v>0.66558162658863596</v>
      </c>
      <c r="AI2968">
        <v>95.400739193030105</v>
      </c>
      <c r="AJ2968">
        <v>90.375132653334603</v>
      </c>
      <c r="AK2968">
        <v>0.66856381428060596</v>
      </c>
      <c r="AL2968">
        <v>82.172666733595193</v>
      </c>
      <c r="AM2968">
        <v>91.992356109127698</v>
      </c>
      <c r="AN2968">
        <v>1.00000000973855</v>
      </c>
    </row>
    <row r="2969" spans="1:40" x14ac:dyDescent="0.3">
      <c r="A2969" t="str">
        <f>"20200111150412543"</f>
        <v>20200111150412543</v>
      </c>
      <c r="B2969" t="str">
        <f>"1578726252531386"</f>
        <v>1578726252531386</v>
      </c>
      <c r="C2969" t="s">
        <v>40</v>
      </c>
      <c r="D2969">
        <v>5.3022819999999999</v>
      </c>
      <c r="E2969">
        <v>0.51208779999999998</v>
      </c>
      <c r="F2969" t="s">
        <v>42</v>
      </c>
      <c r="G2969">
        <v>-233.37090000000001</v>
      </c>
      <c r="H2969">
        <v>1.028691</v>
      </c>
      <c r="I2969">
        <v>-57.431660000000001</v>
      </c>
      <c r="J2969">
        <v>-234.17359999999999</v>
      </c>
      <c r="K2969">
        <v>1.1022350000000001</v>
      </c>
      <c r="L2969">
        <v>-57.446660000000001</v>
      </c>
      <c r="M2969">
        <v>0.99984839999999997</v>
      </c>
      <c r="N2969">
        <v>0</v>
      </c>
      <c r="O2969">
        <v>1.318399E-2</v>
      </c>
      <c r="P2969">
        <v>0.99108090000000004</v>
      </c>
      <c r="Q2969">
        <v>0.1244606</v>
      </c>
      <c r="R2969">
        <v>4.7628690000000001E-2</v>
      </c>
      <c r="S2969">
        <v>3.0535580000000002</v>
      </c>
      <c r="T2969">
        <v>-0.22911980000000001</v>
      </c>
      <c r="U2969">
        <v>5.2459720000000001E-2</v>
      </c>
      <c r="V2969">
        <v>-3.3993799999999998E-2</v>
      </c>
      <c r="W2969">
        <v>0.13587539999999901</v>
      </c>
      <c r="X2969">
        <v>0.99014259999999998</v>
      </c>
      <c r="Y2969">
        <v>-4.0187E-3</v>
      </c>
      <c r="Z2969">
        <v>-8.3725039999999905E-4</v>
      </c>
      <c r="AA2969">
        <v>0.99999159999999998</v>
      </c>
      <c r="AB2969">
        <v>36</v>
      </c>
      <c r="AC2969">
        <v>0.80269999999998698</v>
      </c>
      <c r="AD2969">
        <v>-7.3543999999999998E-2</v>
      </c>
      <c r="AE2969">
        <v>1.4999999999993401E-2</v>
      </c>
      <c r="AF2969">
        <v>-4.3784810635628902E-3</v>
      </c>
      <c r="AG2969">
        <v>-7.3543999999999998E-2</v>
      </c>
      <c r="AH2969">
        <v>0.79614717998844398</v>
      </c>
      <c r="AI2969">
        <v>95.277633604932603</v>
      </c>
      <c r="AJ2969">
        <v>90.315099974929893</v>
      </c>
      <c r="AK2969">
        <v>0.79954876226280003</v>
      </c>
      <c r="AL2969">
        <v>82.190757214849597</v>
      </c>
      <c r="AM2969">
        <v>91.966319353775802</v>
      </c>
      <c r="AN2969">
        <v>1.0000000355491701</v>
      </c>
    </row>
    <row r="2970" spans="1:40" x14ac:dyDescent="0.3">
      <c r="A2970" t="str">
        <f>"20200111150412554"</f>
        <v>20200111150412554</v>
      </c>
      <c r="B2970" t="str">
        <f>"1578726252551883"</f>
        <v>1578726252551883</v>
      </c>
      <c r="C2970" t="s">
        <v>40</v>
      </c>
      <c r="D2970">
        <v>4.9760150000000003</v>
      </c>
      <c r="E2970">
        <v>0.51167379999999996</v>
      </c>
      <c r="F2970" t="s">
        <v>85</v>
      </c>
      <c r="G2970">
        <v>-219.42930000000001</v>
      </c>
      <c r="H2970" s="1">
        <v>-3.579952E-6</v>
      </c>
      <c r="I2970">
        <v>-57.193989999999999</v>
      </c>
      <c r="J2970">
        <v>-233.99260000000001</v>
      </c>
      <c r="K2970">
        <v>1.1022529999999999</v>
      </c>
      <c r="L2970">
        <v>-57.444980000000001</v>
      </c>
      <c r="M2970">
        <v>0.99985889999999999</v>
      </c>
      <c r="N2970">
        <v>0</v>
      </c>
      <c r="O2970">
        <v>1.2359500000000001E-2</v>
      </c>
      <c r="P2970">
        <v>0.99118709999999999</v>
      </c>
      <c r="Q2970">
        <v>0.1240996</v>
      </c>
      <c r="R2970">
        <v>4.6341140000000003E-2</v>
      </c>
      <c r="S2970">
        <v>3.0531619999999999</v>
      </c>
      <c r="T2970">
        <v>-0.2282439</v>
      </c>
      <c r="U2970">
        <v>5.230713E-2</v>
      </c>
      <c r="V2970">
        <v>-3.3532319999999997E-2</v>
      </c>
      <c r="W2970">
        <v>0.13551070000000001</v>
      </c>
      <c r="X2970">
        <v>0.99020830000000004</v>
      </c>
      <c r="Y2970">
        <v>-4.7909240000000002E-3</v>
      </c>
      <c r="Z2970">
        <v>-7.4380289999999999E-4</v>
      </c>
      <c r="AA2970">
        <v>0.99998830000000005</v>
      </c>
      <c r="AB2970">
        <v>36</v>
      </c>
      <c r="AC2970">
        <v>14.5632999999999</v>
      </c>
      <c r="AD2970">
        <v>-1.1022565799519899</v>
      </c>
      <c r="AE2970">
        <v>0.25099000000000798</v>
      </c>
      <c r="AF2970">
        <v>-7.0559983900252699E-2</v>
      </c>
      <c r="AG2970">
        <v>-1.1022565799519899</v>
      </c>
      <c r="AH2970">
        <v>14.4823513512552</v>
      </c>
      <c r="AI2970">
        <v>94.352358138964107</v>
      </c>
      <c r="AJ2970">
        <v>90.279150615362497</v>
      </c>
      <c r="AK2970">
        <v>14.5244087294657</v>
      </c>
      <c r="AL2970">
        <v>82.211847948366398</v>
      </c>
      <c r="AM2970">
        <v>91.939517682672303</v>
      </c>
      <c r="AN2970">
        <v>1.00000002184398</v>
      </c>
    </row>
    <row r="2971" spans="1:40" x14ac:dyDescent="0.3">
      <c r="A2971" t="str">
        <f>"20200111150412566"</f>
        <v>20200111150412566</v>
      </c>
      <c r="B2971" t="str">
        <f>"1578726252561275"</f>
        <v>1578726252561275</v>
      </c>
      <c r="C2971" t="s">
        <v>40</v>
      </c>
      <c r="D2971">
        <v>5.2666829999999996</v>
      </c>
      <c r="E2971">
        <v>0.51131559999999998</v>
      </c>
      <c r="F2971" t="s">
        <v>42</v>
      </c>
      <c r="G2971">
        <v>-233.04740000000001</v>
      </c>
      <c r="H2971">
        <v>1.031509</v>
      </c>
      <c r="I2971">
        <v>-57.429009999999998</v>
      </c>
      <c r="J2971">
        <v>-233.81180000000001</v>
      </c>
      <c r="K2971">
        <v>1.102279</v>
      </c>
      <c r="L2971">
        <v>-57.443449999999999</v>
      </c>
      <c r="M2971">
        <v>0.9998686</v>
      </c>
      <c r="N2971">
        <v>0</v>
      </c>
      <c r="O2971">
        <v>1.154968E-2</v>
      </c>
      <c r="P2971">
        <v>0.99124570000000001</v>
      </c>
      <c r="Q2971">
        <v>0.1239377</v>
      </c>
      <c r="R2971">
        <v>4.5514100000000002E-2</v>
      </c>
      <c r="S2971">
        <v>3.0528559999999998</v>
      </c>
      <c r="T2971">
        <v>-0.2284409</v>
      </c>
      <c r="U2971">
        <v>5.1574710000000003E-2</v>
      </c>
      <c r="V2971">
        <v>-3.3517030000000003E-2</v>
      </c>
      <c r="W2971">
        <v>0.13534579999999999</v>
      </c>
      <c r="X2971">
        <v>0.99023130000000004</v>
      </c>
      <c r="Y2971">
        <v>-5.3588999999999998E-3</v>
      </c>
      <c r="Z2971">
        <v>-6.6279390000000004E-4</v>
      </c>
      <c r="AA2971">
        <v>0.99998540000000002</v>
      </c>
      <c r="AB2971">
        <v>36</v>
      </c>
      <c r="AC2971">
        <v>0.76439999999999397</v>
      </c>
      <c r="AD2971">
        <v>-7.077E-2</v>
      </c>
      <c r="AE2971">
        <v>1.44400000000004E-2</v>
      </c>
      <c r="AF2971">
        <v>-5.5622304557123199E-3</v>
      </c>
      <c r="AG2971">
        <v>-7.077E-2</v>
      </c>
      <c r="AH2971">
        <v>0.75802073625505695</v>
      </c>
      <c r="AI2971">
        <v>95.333619534864198</v>
      </c>
      <c r="AJ2971">
        <v>90.420419382827006</v>
      </c>
      <c r="AK2971">
        <v>0.76133748620457498</v>
      </c>
      <c r="AL2971">
        <v>82.221383330037398</v>
      </c>
      <c r="AM2971">
        <v>91.938588986179596</v>
      </c>
      <c r="AN2971">
        <v>0.99999995218867399</v>
      </c>
    </row>
    <row r="2972" spans="1:40" x14ac:dyDescent="0.3">
      <c r="A2972" t="str">
        <f>"20200111150412576"</f>
        <v>20200111150412576</v>
      </c>
      <c r="B2972" t="str">
        <f>"1578726252571035"</f>
        <v>1578726252571035</v>
      </c>
      <c r="C2972" t="s">
        <v>40</v>
      </c>
      <c r="D2972">
        <v>6.1062629999999896</v>
      </c>
      <c r="E2972">
        <v>0.51099459999999997</v>
      </c>
      <c r="F2972" t="s">
        <v>85</v>
      </c>
      <c r="G2972">
        <v>-218.98310000000001</v>
      </c>
      <c r="H2972" s="1">
        <v>-3.3890169999999999E-6</v>
      </c>
      <c r="I2972">
        <v>-57.191360000000003</v>
      </c>
      <c r="J2972">
        <v>-233.6497</v>
      </c>
      <c r="K2972">
        <v>1.102304</v>
      </c>
      <c r="L2972">
        <v>-57.442230000000002</v>
      </c>
      <c r="M2972">
        <v>0.9998766</v>
      </c>
      <c r="N2972">
        <v>0</v>
      </c>
      <c r="O2972">
        <v>1.0844070000000001E-2</v>
      </c>
      <c r="P2972">
        <v>0.9913111</v>
      </c>
      <c r="Q2972">
        <v>0.1237153</v>
      </c>
      <c r="R2972">
        <v>4.4688810000000002E-2</v>
      </c>
      <c r="S2972">
        <v>3.0524900000000001</v>
      </c>
      <c r="T2972">
        <v>-0.22690550000000001</v>
      </c>
      <c r="U2972">
        <v>5.1879880000000003E-2</v>
      </c>
      <c r="V2972">
        <v>-3.339955E-2</v>
      </c>
      <c r="W2972">
        <v>0.13512099999999999</v>
      </c>
      <c r="X2972">
        <v>0.99026599999999998</v>
      </c>
      <c r="Y2972">
        <v>-6.1621740000000003E-3</v>
      </c>
      <c r="Z2972">
        <v>-5.7624360000000003E-4</v>
      </c>
      <c r="AA2972">
        <v>0.99998089999999995</v>
      </c>
      <c r="AB2972">
        <v>36</v>
      </c>
      <c r="AC2972">
        <v>14.666599999999899</v>
      </c>
      <c r="AD2972">
        <v>-1.1023073890170001</v>
      </c>
      <c r="AE2972">
        <v>0.25087000000000598</v>
      </c>
      <c r="AF2972">
        <v>-9.1283853642309606E-2</v>
      </c>
      <c r="AG2972">
        <v>-1.1023073890170001</v>
      </c>
      <c r="AH2972">
        <v>14.586090164592999</v>
      </c>
      <c r="AI2972">
        <v>94.321686329595394</v>
      </c>
      <c r="AJ2972">
        <v>90.358568417725195</v>
      </c>
      <c r="AK2972">
        <v>14.627967753979201</v>
      </c>
      <c r="AL2972">
        <v>82.234383076553002</v>
      </c>
      <c r="AM2972">
        <v>91.931731585650994</v>
      </c>
      <c r="AN2972">
        <v>0.99999998266860102</v>
      </c>
    </row>
    <row r="2973" spans="1:40" x14ac:dyDescent="0.3">
      <c r="A2973" t="str">
        <f>"20200111150412587"</f>
        <v>20200111150412587</v>
      </c>
      <c r="B2973" t="str">
        <f>"1578726252581771"</f>
        <v>1578726252581771</v>
      </c>
      <c r="C2973" t="s">
        <v>40</v>
      </c>
      <c r="D2973">
        <v>5.0750440000000001</v>
      </c>
      <c r="E2973">
        <v>0.51052330000000001</v>
      </c>
      <c r="F2973" t="s">
        <v>42</v>
      </c>
      <c r="G2973">
        <v>-232.7243</v>
      </c>
      <c r="H2973">
        <v>1.0336639999999999</v>
      </c>
      <c r="I2973">
        <v>-57.42653</v>
      </c>
      <c r="J2973">
        <v>-233.46539999999999</v>
      </c>
      <c r="K2973">
        <v>1.1023350000000001</v>
      </c>
      <c r="L2973">
        <v>-57.440890000000003</v>
      </c>
      <c r="M2973">
        <v>0.99988480000000002</v>
      </c>
      <c r="N2973">
        <v>0</v>
      </c>
      <c r="O2973">
        <v>1.0049539999999999E-2</v>
      </c>
      <c r="P2973">
        <v>0.9913535</v>
      </c>
      <c r="Q2973">
        <v>0.1238597</v>
      </c>
      <c r="R2973">
        <v>4.3322720000000002E-2</v>
      </c>
      <c r="S2973">
        <v>3.052216</v>
      </c>
      <c r="T2973">
        <v>-0.22629270000000001</v>
      </c>
      <c r="U2973">
        <v>5.2337649999999999E-2</v>
      </c>
      <c r="V2973">
        <v>-3.2829450000000003E-2</v>
      </c>
      <c r="W2973">
        <v>0.1352604</v>
      </c>
      <c r="X2973">
        <v>0.99026610000000004</v>
      </c>
      <c r="Y2973">
        <v>-7.1034150000000001E-3</v>
      </c>
      <c r="Z2973">
        <v>-4.8107979999999998E-4</v>
      </c>
      <c r="AA2973">
        <v>0.99997469999999999</v>
      </c>
      <c r="AB2973">
        <v>36</v>
      </c>
      <c r="AC2973">
        <v>0.74109999999998799</v>
      </c>
      <c r="AD2973">
        <v>-6.8671000000000093E-2</v>
      </c>
      <c r="AE2973">
        <v>1.4359999999996299E-2</v>
      </c>
      <c r="AF2973">
        <v>-6.85226698693345E-3</v>
      </c>
      <c r="AG2973">
        <v>-6.8671000000000093E-2</v>
      </c>
      <c r="AH2973">
        <v>0.73489938153563505</v>
      </c>
      <c r="AI2973">
        <v>95.338141610109702</v>
      </c>
      <c r="AJ2973">
        <v>90.534215446853807</v>
      </c>
      <c r="AK2973">
        <v>0.73813261734279101</v>
      </c>
      <c r="AL2973">
        <v>82.226322557689201</v>
      </c>
      <c r="AM2973">
        <v>91.898782835327907</v>
      </c>
      <c r="AN2973">
        <v>1.0000000487023299</v>
      </c>
    </row>
    <row r="2974" spans="1:40" x14ac:dyDescent="0.3">
      <c r="A2974" t="str">
        <f>"20200111150412599"</f>
        <v>20200111150412599</v>
      </c>
      <c r="B2974" t="str">
        <f>"1578726252591531"</f>
        <v>1578726252591531</v>
      </c>
      <c r="C2974" t="s">
        <v>40</v>
      </c>
      <c r="D2974">
        <v>5.1434309999999996</v>
      </c>
      <c r="E2974">
        <v>0.51008549999999997</v>
      </c>
      <c r="F2974" t="s">
        <v>85</v>
      </c>
      <c r="G2974">
        <v>-218.6635</v>
      </c>
      <c r="H2974" s="1">
        <v>-3.2529179999999999E-6</v>
      </c>
      <c r="I2974">
        <v>-57.185679999999998</v>
      </c>
      <c r="J2974">
        <v>-233.28030000000001</v>
      </c>
      <c r="K2974">
        <v>1.102366</v>
      </c>
      <c r="L2974">
        <v>-57.439729999999997</v>
      </c>
      <c r="M2974">
        <v>0.99989220000000001</v>
      </c>
      <c r="N2974">
        <v>0</v>
      </c>
      <c r="O2974">
        <v>9.2791599999999998E-3</v>
      </c>
      <c r="P2974">
        <v>0.99136290000000005</v>
      </c>
      <c r="Q2974">
        <v>0.1241863</v>
      </c>
      <c r="R2974">
        <v>4.215812E-2</v>
      </c>
      <c r="S2974">
        <v>3.0522610000000001</v>
      </c>
      <c r="T2974">
        <v>-0.22730990000000001</v>
      </c>
      <c r="U2974">
        <v>5.2612300000000001E-2</v>
      </c>
      <c r="V2974">
        <v>-3.2437019999999997E-2</v>
      </c>
      <c r="W2974">
        <v>0.1355826</v>
      </c>
      <c r="X2974">
        <v>0.99023490000000003</v>
      </c>
      <c r="Y2974">
        <v>-7.9591269999999999E-3</v>
      </c>
      <c r="Z2974">
        <v>-3.9412339999999999E-4</v>
      </c>
      <c r="AA2974">
        <v>0.99996819999999997</v>
      </c>
      <c r="AB2974">
        <v>36</v>
      </c>
      <c r="AC2974">
        <v>14.6168</v>
      </c>
      <c r="AD2974">
        <v>-1.102369252918</v>
      </c>
      <c r="AE2974">
        <v>0.254049999999999</v>
      </c>
      <c r="AF2974">
        <v>-0.117729227051437</v>
      </c>
      <c r="AG2974">
        <v>-1.102369252918</v>
      </c>
      <c r="AH2974">
        <v>14.5358749725424</v>
      </c>
      <c r="AI2974">
        <v>94.336744399188902</v>
      </c>
      <c r="AJ2974">
        <v>90.464040889231995</v>
      </c>
      <c r="AK2974">
        <v>14.578091073870601</v>
      </c>
      <c r="AL2974">
        <v>82.207689675608094</v>
      </c>
      <c r="AM2974">
        <v>91.876160938993905</v>
      </c>
      <c r="AN2974">
        <v>0.99999997943362495</v>
      </c>
    </row>
    <row r="2975" spans="1:40" x14ac:dyDescent="0.3">
      <c r="A2975" t="str">
        <f>"20200111150412610"</f>
        <v>20200111150412610</v>
      </c>
      <c r="B2975" t="str">
        <f>"1578726252601291"</f>
        <v>1578726252601291</v>
      </c>
      <c r="C2975" t="s">
        <v>40</v>
      </c>
      <c r="D2975">
        <v>5.1284150000000004</v>
      </c>
      <c r="E2975">
        <v>0.50969370000000003</v>
      </c>
      <c r="F2975" t="s">
        <v>42</v>
      </c>
      <c r="G2975">
        <v>-232.40029999999999</v>
      </c>
      <c r="H2975">
        <v>1.0367059999999999</v>
      </c>
      <c r="I2975">
        <v>-57.424349999999997</v>
      </c>
      <c r="J2975">
        <v>-233.10579999999999</v>
      </c>
      <c r="K2975">
        <v>1.102395</v>
      </c>
      <c r="L2975">
        <v>-57.438720000000004</v>
      </c>
      <c r="M2975">
        <v>0.99989870000000003</v>
      </c>
      <c r="N2975">
        <v>0</v>
      </c>
      <c r="O2975">
        <v>8.5591759999999999E-3</v>
      </c>
      <c r="P2975">
        <v>0.99134739999999999</v>
      </c>
      <c r="Q2975">
        <v>0.1246714</v>
      </c>
      <c r="R2975">
        <v>4.1079699999999997E-2</v>
      </c>
      <c r="S2975">
        <v>3.052368</v>
      </c>
      <c r="T2975">
        <v>-0.22767390000000001</v>
      </c>
      <c r="U2975">
        <v>5.3741459999999998E-2</v>
      </c>
      <c r="V2975">
        <v>-3.2079799999999999E-2</v>
      </c>
      <c r="W2975">
        <v>0.13606299999999999</v>
      </c>
      <c r="X2975">
        <v>0.99018070000000002</v>
      </c>
      <c r="Y2975">
        <v>-9.0433630000000004E-3</v>
      </c>
      <c r="Z2975">
        <v>-3.0073630000000001E-4</v>
      </c>
      <c r="AA2975">
        <v>0.99995909999999999</v>
      </c>
      <c r="AB2975">
        <v>36</v>
      </c>
      <c r="AC2975">
        <v>0.70550000000000002</v>
      </c>
      <c r="AD2975">
        <v>-6.5689000000000095E-2</v>
      </c>
      <c r="AE2975">
        <v>1.4369999999999499E-2</v>
      </c>
      <c r="AF2975">
        <v>-8.2590130060663999E-3</v>
      </c>
      <c r="AG2975">
        <v>-6.5689000000000095E-2</v>
      </c>
      <c r="AH2975">
        <v>0.69953509165102101</v>
      </c>
      <c r="AI2975">
        <v>95.364188294486198</v>
      </c>
      <c r="AJ2975">
        <v>90.6764272566664</v>
      </c>
      <c r="AK2975">
        <v>0.70266108506735803</v>
      </c>
      <c r="AL2975">
        <v>82.179907773176197</v>
      </c>
      <c r="AM2975">
        <v>91.855615312175004</v>
      </c>
      <c r="AN2975">
        <v>1.0000000360947601</v>
      </c>
    </row>
    <row r="2976" spans="1:40" x14ac:dyDescent="0.3">
      <c r="A2976" t="str">
        <f>"20200111150412621"</f>
        <v>20200111150412621</v>
      </c>
      <c r="B2976" t="str">
        <f>"1578726252611053"</f>
        <v>1578726252611053</v>
      </c>
      <c r="C2976" t="s">
        <v>40</v>
      </c>
      <c r="D2976">
        <v>5.0900489999999996</v>
      </c>
      <c r="E2976">
        <v>0.50930969999999998</v>
      </c>
      <c r="F2976" t="s">
        <v>42</v>
      </c>
      <c r="G2976">
        <v>-232.08760000000001</v>
      </c>
      <c r="H2976">
        <v>1.0261800000000001</v>
      </c>
      <c r="I2976">
        <v>-57.42089</v>
      </c>
      <c r="J2976">
        <v>-232.91239999999999</v>
      </c>
      <c r="K2976">
        <v>1.1024320000000001</v>
      </c>
      <c r="L2976">
        <v>-57.437809999999999</v>
      </c>
      <c r="M2976">
        <v>0.99990500000000004</v>
      </c>
      <c r="N2976">
        <v>0</v>
      </c>
      <c r="O2976">
        <v>7.7913459999999898E-3</v>
      </c>
      <c r="P2976">
        <v>0.99133419999999906</v>
      </c>
      <c r="Q2976">
        <v>0.1250964</v>
      </c>
      <c r="R2976">
        <v>4.0094459999999998E-2</v>
      </c>
      <c r="S2976">
        <v>3.0526430000000002</v>
      </c>
      <c r="T2976">
        <v>-0.2283895</v>
      </c>
      <c r="U2976">
        <v>5.4260250000000003E-2</v>
      </c>
      <c r="V2976">
        <v>-3.1864999999999997E-2</v>
      </c>
      <c r="W2976">
        <v>0.13648389999999999</v>
      </c>
      <c r="X2976">
        <v>0.99012960000000005</v>
      </c>
      <c r="Y2976">
        <v>-9.9747819999999997E-3</v>
      </c>
      <c r="Z2976">
        <v>-2.094974E-4</v>
      </c>
      <c r="AA2976">
        <v>0.99995020000000001</v>
      </c>
      <c r="AB2976">
        <v>36</v>
      </c>
      <c r="AC2976">
        <v>0.82479999999998199</v>
      </c>
      <c r="AD2976">
        <v>-7.6252000000000195E-2</v>
      </c>
      <c r="AE2976">
        <v>1.6919999999998901E-2</v>
      </c>
      <c r="AF2976">
        <v>-1.0403885863008999E-2</v>
      </c>
      <c r="AG2976">
        <v>-7.6252000000000195E-2</v>
      </c>
      <c r="AH2976">
        <v>0.81791912287281299</v>
      </c>
      <c r="AI2976">
        <v>95.325680496122004</v>
      </c>
      <c r="AJ2976">
        <v>90.728759834491896</v>
      </c>
      <c r="AK2976">
        <v>0.82153167918594705</v>
      </c>
      <c r="AL2976">
        <v>82.155564046417297</v>
      </c>
      <c r="AM2976">
        <v>91.843294139010098</v>
      </c>
      <c r="AN2976">
        <v>0.99999992899018197</v>
      </c>
    </row>
    <row r="2977" spans="1:40" x14ac:dyDescent="0.3">
      <c r="A2977" t="str">
        <f>"20200111150412632"</f>
        <v>20200111150412632</v>
      </c>
      <c r="B2977" t="str">
        <f>"1578726252621788"</f>
        <v>1578726252621788</v>
      </c>
      <c r="C2977" t="s">
        <v>40</v>
      </c>
      <c r="D2977">
        <v>5.3248379999999997</v>
      </c>
      <c r="E2977">
        <v>0.50930969999999998</v>
      </c>
      <c r="F2977" t="s">
        <v>85</v>
      </c>
      <c r="G2977">
        <v>-218.17089999999999</v>
      </c>
      <c r="H2977" s="1">
        <v>-3.0435620000000002E-6</v>
      </c>
      <c r="I2977">
        <v>-57.17456</v>
      </c>
      <c r="J2977">
        <v>-232.74440000000001</v>
      </c>
      <c r="K2977">
        <v>1.1024590000000001</v>
      </c>
      <c r="L2977">
        <v>-57.437040000000003</v>
      </c>
      <c r="M2977">
        <v>0.99990990000000002</v>
      </c>
      <c r="N2977">
        <v>0</v>
      </c>
      <c r="O2977">
        <v>7.1335259999999899E-3</v>
      </c>
      <c r="P2977">
        <v>0.99131170000000002</v>
      </c>
      <c r="Q2977">
        <v>0.12554609999999999</v>
      </c>
      <c r="R2977">
        <v>3.9234999999999999E-2</v>
      </c>
      <c r="S2977">
        <v>3.0528409999999999</v>
      </c>
      <c r="T2977">
        <v>-0.2283047</v>
      </c>
      <c r="U2977">
        <v>5.450439E-2</v>
      </c>
      <c r="V2977">
        <v>-3.1665220000000001E-2</v>
      </c>
      <c r="W2977">
        <v>0.136929299999999</v>
      </c>
      <c r="X2977">
        <v>0.99007460000000003</v>
      </c>
      <c r="Y2977">
        <v>-1.070754E-2</v>
      </c>
      <c r="Z2977">
        <v>-1.329244E-4</v>
      </c>
      <c r="AA2977">
        <v>0.99994269999999996</v>
      </c>
      <c r="AB2977">
        <v>36</v>
      </c>
      <c r="AC2977">
        <v>14.573499999999999</v>
      </c>
      <c r="AD2977">
        <v>-1.1024620435619901</v>
      </c>
      <c r="AE2977">
        <v>0.26248000000000299</v>
      </c>
      <c r="AF2977">
        <v>-0.15760452949779899</v>
      </c>
      <c r="AG2977">
        <v>-1.1024620435619901</v>
      </c>
      <c r="AH2977">
        <v>14.4920949271101</v>
      </c>
      <c r="AI2977">
        <v>94.350045943846496</v>
      </c>
      <c r="AJ2977">
        <v>90.623078888666001</v>
      </c>
      <c r="AK2977">
        <v>14.534822913320401</v>
      </c>
      <c r="AL2977">
        <v>82.129803338107607</v>
      </c>
      <c r="AM2977">
        <v>91.831847052983207</v>
      </c>
      <c r="AN2977">
        <v>1.00000001646064</v>
      </c>
    </row>
    <row r="2978" spans="1:40" x14ac:dyDescent="0.3">
      <c r="A2978" t="str">
        <f>"20200111150412644"</f>
        <v>20200111150412644</v>
      </c>
      <c r="B2978" t="str">
        <f>"1578726252641308"</f>
        <v>1578726252641308</v>
      </c>
      <c r="C2978" t="s">
        <v>40</v>
      </c>
      <c r="D2978">
        <v>7.292052</v>
      </c>
      <c r="E2978">
        <v>0.50905519999999904</v>
      </c>
      <c r="F2978" t="s">
        <v>42</v>
      </c>
      <c r="G2978">
        <v>-231.76320000000001</v>
      </c>
      <c r="H2978">
        <v>1.0295570000000001</v>
      </c>
      <c r="I2978">
        <v>-57.420409999999997</v>
      </c>
      <c r="J2978">
        <v>-232.55940000000001</v>
      </c>
      <c r="K2978">
        <v>1.1024890000000001</v>
      </c>
      <c r="L2978">
        <v>-57.436369999999997</v>
      </c>
      <c r="M2978">
        <v>0.99991470000000005</v>
      </c>
      <c r="N2978">
        <v>0</v>
      </c>
      <c r="O2978">
        <v>6.4270580000000002E-3</v>
      </c>
      <c r="P2978">
        <v>0.99130200000000002</v>
      </c>
      <c r="Q2978">
        <v>0.12585189999999999</v>
      </c>
      <c r="R2978">
        <v>3.8493569999999998E-2</v>
      </c>
      <c r="S2978">
        <v>3.0529790000000001</v>
      </c>
      <c r="T2978">
        <v>-0.2269033</v>
      </c>
      <c r="U2978">
        <v>5.1635739999999999E-2</v>
      </c>
      <c r="V2978">
        <v>-3.1633189999999999E-2</v>
      </c>
      <c r="W2978">
        <v>0.1372321</v>
      </c>
      <c r="X2978">
        <v>0.99003370000000002</v>
      </c>
      <c r="Y2978">
        <v>-1.0472759999999999E-2</v>
      </c>
      <c r="Z2978" s="1">
        <v>-8.8387399999999993E-5</v>
      </c>
      <c r="AA2978">
        <v>0.99994519999999998</v>
      </c>
      <c r="AB2978">
        <v>36</v>
      </c>
      <c r="AC2978">
        <v>0.79619999999999802</v>
      </c>
      <c r="AD2978">
        <v>-7.2931999999999997E-2</v>
      </c>
      <c r="AE2978">
        <v>1.59599999999997E-2</v>
      </c>
      <c r="AF2978">
        <v>-1.0751937182863699E-2</v>
      </c>
      <c r="AG2978">
        <v>-7.2931999999999997E-2</v>
      </c>
      <c r="AH2978">
        <v>0.78966306717342705</v>
      </c>
      <c r="AI2978">
        <v>95.276289174646706</v>
      </c>
      <c r="AJ2978">
        <v>90.780082775106706</v>
      </c>
      <c r="AK2978">
        <v>0.79309674090550197</v>
      </c>
      <c r="AL2978">
        <v>82.112288846062697</v>
      </c>
      <c r="AM2978">
        <v>91.830070912647201</v>
      </c>
      <c r="AN2978">
        <v>1.0000000175578301</v>
      </c>
    </row>
    <row r="2979" spans="1:40" x14ac:dyDescent="0.3">
      <c r="A2979" t="str">
        <f>"20200111150412654"</f>
        <v>20200111150412654</v>
      </c>
      <c r="B2979" t="str">
        <f>"1578726252651067"</f>
        <v>1578726252651067</v>
      </c>
      <c r="C2979" t="s">
        <v>40</v>
      </c>
      <c r="D2979">
        <v>6.3938870000000003</v>
      </c>
      <c r="E2979">
        <v>0.46246609999999999</v>
      </c>
      <c r="F2979" t="s">
        <v>85</v>
      </c>
      <c r="G2979">
        <v>-217.88820000000001</v>
      </c>
      <c r="H2979" s="1">
        <v>-2.9197760000000002E-6</v>
      </c>
      <c r="I2979">
        <v>-57.188659999999999</v>
      </c>
      <c r="J2979">
        <v>-232.3947</v>
      </c>
      <c r="K2979">
        <v>1.1025160000000001</v>
      </c>
      <c r="L2979">
        <v>-57.435850000000002</v>
      </c>
      <c r="M2979">
        <v>0.99991850000000004</v>
      </c>
      <c r="N2979">
        <v>0</v>
      </c>
      <c r="O2979">
        <v>5.813103E-3</v>
      </c>
      <c r="P2979">
        <v>0.99133599999999999</v>
      </c>
      <c r="Q2979">
        <v>0.1258041</v>
      </c>
      <c r="R2979">
        <v>3.7767620000000002E-2</v>
      </c>
      <c r="S2979">
        <v>3.0534669999999999</v>
      </c>
      <c r="T2979">
        <v>-0.229458</v>
      </c>
      <c r="U2979">
        <v>5.1544189999999997E-2</v>
      </c>
      <c r="V2979">
        <v>-3.1524839999999998E-2</v>
      </c>
      <c r="W2979">
        <v>0.1371811</v>
      </c>
      <c r="X2979">
        <v>0.99004420000000004</v>
      </c>
      <c r="Y2979">
        <v>-1.105045E-2</v>
      </c>
      <c r="Z2979" s="1">
        <v>-2.162228E-5</v>
      </c>
      <c r="AA2979">
        <v>0.99993900000000002</v>
      </c>
      <c r="AB2979">
        <v>36</v>
      </c>
      <c r="AC2979">
        <v>14.5064999999999</v>
      </c>
      <c r="AD2979">
        <v>-1.1025189197759999</v>
      </c>
      <c r="AE2979">
        <v>0.24719000000000299</v>
      </c>
      <c r="AF2979">
        <v>-0.16191758927385999</v>
      </c>
      <c r="AG2979">
        <v>-1.1025189197759999</v>
      </c>
      <c r="AH2979">
        <v>14.4243969990066</v>
      </c>
      <c r="AI2979">
        <v>94.370590827701605</v>
      </c>
      <c r="AJ2979">
        <v>90.643132940832999</v>
      </c>
      <c r="AK2979">
        <v>14.4673768893719</v>
      </c>
      <c r="AL2979">
        <v>82.115238642216895</v>
      </c>
      <c r="AM2979">
        <v>91.823787465060704</v>
      </c>
      <c r="AN2979">
        <v>0.99999999384393701</v>
      </c>
    </row>
    <row r="2980" spans="1:40" x14ac:dyDescent="0.3">
      <c r="A2980" t="str">
        <f>"20200111150412665"</f>
        <v>20200111150412665</v>
      </c>
      <c r="B2980" t="str">
        <f>"1578726252661450"</f>
        <v>1578726252661450</v>
      </c>
      <c r="C2980" t="s">
        <v>40</v>
      </c>
      <c r="D2980">
        <v>4.6991430000000003</v>
      </c>
      <c r="E2980">
        <v>0.46246609999999999</v>
      </c>
      <c r="F2980" t="s">
        <v>66</v>
      </c>
      <c r="G2980">
        <v>-157.3501</v>
      </c>
      <c r="H2980">
        <v>2.8715000000000002</v>
      </c>
      <c r="I2980">
        <v>-47.017299999999999</v>
      </c>
      <c r="J2980">
        <v>-232.2081</v>
      </c>
      <c r="K2980">
        <v>1.1025480000000001</v>
      </c>
      <c r="L2980">
        <v>-57.435389999999998</v>
      </c>
      <c r="M2980">
        <v>0.99992219999999998</v>
      </c>
      <c r="N2980">
        <v>0</v>
      </c>
      <c r="O2980">
        <v>5.1324650000000001E-3</v>
      </c>
      <c r="P2980">
        <v>0.99138700000000002</v>
      </c>
      <c r="Q2980">
        <v>0.12548999999999999</v>
      </c>
      <c r="R2980">
        <v>3.7470179999999999E-2</v>
      </c>
      <c r="S2980">
        <v>3.0013890000000001</v>
      </c>
      <c r="T2980">
        <v>7.0749160000000005E-2</v>
      </c>
      <c r="U2980">
        <v>0.41668699999999997</v>
      </c>
      <c r="V2980">
        <v>-3.191335E-2</v>
      </c>
      <c r="W2980">
        <v>0.1368656</v>
      </c>
      <c r="X2980">
        <v>0.99007540000000005</v>
      </c>
      <c r="Y2980">
        <v>-0.13239200000000001</v>
      </c>
      <c r="Z2980">
        <v>-1.4323350000000001E-3</v>
      </c>
      <c r="AA2980">
        <v>0.99119639999999998</v>
      </c>
      <c r="AB2980">
        <v>36</v>
      </c>
      <c r="AC2980">
        <v>74.858000000000004</v>
      </c>
      <c r="AD2980">
        <v>1.7689520000000001</v>
      </c>
      <c r="AE2980">
        <v>10.418089999999999</v>
      </c>
      <c r="AF2980">
        <v>-10.0282283734253</v>
      </c>
      <c r="AG2980">
        <v>1.7689520000000001</v>
      </c>
      <c r="AH2980">
        <v>74.869474122428201</v>
      </c>
      <c r="AI2980">
        <v>88.658491920104296</v>
      </c>
      <c r="AJ2980">
        <v>97.628951572705802</v>
      </c>
      <c r="AK2980">
        <v>75.558803000423595</v>
      </c>
      <c r="AL2980">
        <v>82.133487447198604</v>
      </c>
      <c r="AM2980">
        <v>91.846190097892304</v>
      </c>
      <c r="AN2980">
        <v>0.99999997602837098</v>
      </c>
    </row>
    <row r="2981" spans="1:40" x14ac:dyDescent="0.3">
      <c r="A2981" t="str">
        <f>"20200111150412677"</f>
        <v>20200111150412677</v>
      </c>
      <c r="B2981" t="str">
        <f>"1578726252671209"</f>
        <v>1578726252671209</v>
      </c>
      <c r="C2981" t="s">
        <v>40</v>
      </c>
      <c r="D2981">
        <v>5.0816089999999896</v>
      </c>
      <c r="E2981">
        <v>0.50834040000000003</v>
      </c>
      <c r="F2981" t="s">
        <v>66</v>
      </c>
      <c r="G2981">
        <v>-157.3501</v>
      </c>
      <c r="H2981">
        <v>2.8464529999999999</v>
      </c>
      <c r="I2981">
        <v>-47.062939999999998</v>
      </c>
      <c r="J2981">
        <v>-232.03890000000001</v>
      </c>
      <c r="K2981">
        <v>1.1025780000000001</v>
      </c>
      <c r="L2981">
        <v>-57.43506</v>
      </c>
      <c r="M2981">
        <v>0.99992519999999996</v>
      </c>
      <c r="N2981">
        <v>0</v>
      </c>
      <c r="O2981">
        <v>4.5388900000000003E-3</v>
      </c>
      <c r="P2981">
        <v>0.99143170000000003</v>
      </c>
      <c r="Q2981">
        <v>0.1252916</v>
      </c>
      <c r="R2981">
        <v>3.6955780000000001E-2</v>
      </c>
      <c r="S2981">
        <v>3.0015109999999998</v>
      </c>
      <c r="T2981">
        <v>6.9922799999999993E-2</v>
      </c>
      <c r="U2981">
        <v>0.41589359999999997</v>
      </c>
      <c r="V2981">
        <v>-3.1998749999999999E-2</v>
      </c>
      <c r="W2981">
        <v>0.13666529999999999</v>
      </c>
      <c r="X2981">
        <v>0.99010030000000004</v>
      </c>
      <c r="Y2981">
        <v>-0.13271839999999999</v>
      </c>
      <c r="Z2981">
        <v>-1.4331210000000001E-3</v>
      </c>
      <c r="AA2981">
        <v>0.99115279999999994</v>
      </c>
      <c r="AB2981">
        <v>36</v>
      </c>
      <c r="AC2981">
        <v>74.688800000000001</v>
      </c>
      <c r="AD2981">
        <v>1.7438749999999901</v>
      </c>
      <c r="AE2981">
        <v>10.372119999999899</v>
      </c>
      <c r="AF2981">
        <v>-10.027623854721099</v>
      </c>
      <c r="AG2981">
        <v>1.7438749999999901</v>
      </c>
      <c r="AH2981">
        <v>74.695161520418594</v>
      </c>
      <c r="AI2981">
        <v>88.674470587916701</v>
      </c>
      <c r="AJ2981">
        <v>97.646089003598902</v>
      </c>
      <c r="AK2981">
        <v>75.385419642984104</v>
      </c>
      <c r="AL2981">
        <v>82.145072559055905</v>
      </c>
      <c r="AM2981">
        <v>91.851080541203402</v>
      </c>
      <c r="AN2981">
        <v>0.99999996414286996</v>
      </c>
    </row>
    <row r="2982" spans="1:40" x14ac:dyDescent="0.3">
      <c r="A2982" t="str">
        <f>"20200111150412687"</f>
        <v>20200111150412687</v>
      </c>
      <c r="B2982" t="str">
        <f>"1578726252681945"</f>
        <v>1578726252681945</v>
      </c>
      <c r="C2982" t="s">
        <v>40</v>
      </c>
      <c r="D2982">
        <v>4.6929550000000004</v>
      </c>
      <c r="E2982">
        <v>0.50929829999999998</v>
      </c>
      <c r="F2982" t="s">
        <v>42</v>
      </c>
      <c r="G2982">
        <v>-231.13210000000001</v>
      </c>
      <c r="H2982">
        <v>1.007531</v>
      </c>
      <c r="I2982">
        <v>-57.419150000000002</v>
      </c>
      <c r="J2982">
        <v>-231.85560000000001</v>
      </c>
      <c r="K2982">
        <v>1.1026100000000001</v>
      </c>
      <c r="L2982">
        <v>-57.434780000000003</v>
      </c>
      <c r="M2982">
        <v>0.99992789999999998</v>
      </c>
      <c r="N2982">
        <v>0</v>
      </c>
      <c r="O2982">
        <v>3.905618E-3</v>
      </c>
      <c r="P2982">
        <v>0.99142439999999998</v>
      </c>
      <c r="Q2982">
        <v>0.12543070000000001</v>
      </c>
      <c r="R2982">
        <v>3.667343E-2</v>
      </c>
      <c r="S2982">
        <v>3.0644990000000001</v>
      </c>
      <c r="T2982">
        <v>-0.32113439999999999</v>
      </c>
      <c r="U2982">
        <v>5.4382319999999998E-2</v>
      </c>
      <c r="V2982">
        <v>-3.2355050000000003E-2</v>
      </c>
      <c r="W2982">
        <v>0.13680229999999999</v>
      </c>
      <c r="X2982">
        <v>0.99006989999999995</v>
      </c>
      <c r="Y2982">
        <v>-1.378366E-2</v>
      </c>
      <c r="Z2982">
        <v>3.1202980000000002E-4</v>
      </c>
      <c r="AA2982">
        <v>0.99990489999999999</v>
      </c>
      <c r="AB2982">
        <v>36</v>
      </c>
      <c r="AC2982">
        <v>0.72350000000000103</v>
      </c>
      <c r="AD2982">
        <v>-9.5079000000000094E-2</v>
      </c>
      <c r="AE2982">
        <v>1.56300000000015E-2</v>
      </c>
      <c r="AF2982">
        <v>-1.25867129273768E-2</v>
      </c>
      <c r="AG2982">
        <v>-9.5079000000000094E-2</v>
      </c>
      <c r="AH2982">
        <v>0.71127750324009398</v>
      </c>
      <c r="AI2982">
        <v>97.612618027775397</v>
      </c>
      <c r="AJ2982">
        <v>91.013795969785605</v>
      </c>
      <c r="AK2982">
        <v>0.71771451719940704</v>
      </c>
      <c r="AL2982">
        <v>82.137149393877195</v>
      </c>
      <c r="AM2982">
        <v>91.871734820428401</v>
      </c>
      <c r="AN2982">
        <v>1.00000006271589</v>
      </c>
    </row>
    <row r="2983" spans="1:40" x14ac:dyDescent="0.3">
      <c r="A2983" t="str">
        <f>"20200111150412699"</f>
        <v>20200111150412699</v>
      </c>
      <c r="B2983" t="str">
        <f>"1578726252691705"</f>
        <v>1578726252691705</v>
      </c>
      <c r="C2983" t="s">
        <v>40</v>
      </c>
      <c r="D2983">
        <v>4.7088989999999997</v>
      </c>
      <c r="E2983">
        <v>0.51060660000000002</v>
      </c>
      <c r="F2983" t="s">
        <v>42</v>
      </c>
      <c r="G2983">
        <v>-231.1163</v>
      </c>
      <c r="H2983">
        <v>1.0346959999999901</v>
      </c>
      <c r="I2983">
        <v>-57.423969999999997</v>
      </c>
      <c r="J2983">
        <v>-231.6645</v>
      </c>
      <c r="K2983">
        <v>1.1026499999999999</v>
      </c>
      <c r="L2983">
        <v>-57.434629999999999</v>
      </c>
      <c r="M2983">
        <v>0.99992999999999999</v>
      </c>
      <c r="N2983">
        <v>0</v>
      </c>
      <c r="O2983">
        <v>3.285259E-3</v>
      </c>
      <c r="P2983">
        <v>0.99140450000000002</v>
      </c>
      <c r="Q2983">
        <v>0.12565599999999999</v>
      </c>
      <c r="R2983">
        <v>3.6437360000000002E-2</v>
      </c>
      <c r="S2983">
        <v>3.0598139999999998</v>
      </c>
      <c r="T2983">
        <v>-0.28102929999999998</v>
      </c>
      <c r="U2983">
        <v>4.553223E-2</v>
      </c>
      <c r="V2983">
        <v>-3.2746360000000002E-2</v>
      </c>
      <c r="W2983">
        <v>0.13702520000000001</v>
      </c>
      <c r="X2983">
        <v>0.99002610000000002</v>
      </c>
      <c r="Y2983">
        <v>-1.1559069999999999E-2</v>
      </c>
      <c r="Z2983">
        <v>2.2857619999999999E-4</v>
      </c>
      <c r="AA2983">
        <v>0.99993319999999997</v>
      </c>
      <c r="AB2983">
        <v>36</v>
      </c>
      <c r="AC2983">
        <v>0.54820000000000801</v>
      </c>
      <c r="AD2983">
        <v>-6.7954000000000001E-2</v>
      </c>
      <c r="AE2983">
        <v>1.0660000000008499E-2</v>
      </c>
      <c r="AF2983">
        <v>-8.7248347178513399E-3</v>
      </c>
      <c r="AG2983">
        <v>-6.7954000000000001E-2</v>
      </c>
      <c r="AH2983">
        <v>0.53993867157863296</v>
      </c>
      <c r="AI2983">
        <v>97.172320852486706</v>
      </c>
      <c r="AJ2983">
        <v>90.925758294236502</v>
      </c>
      <c r="AK2983">
        <v>0.544267983554933</v>
      </c>
      <c r="AL2983">
        <v>82.124255894252997</v>
      </c>
      <c r="AM2983">
        <v>91.894439398078603</v>
      </c>
      <c r="AN2983">
        <v>0.99999995410474796</v>
      </c>
    </row>
    <row r="2984" spans="1:40" x14ac:dyDescent="0.3">
      <c r="A2984" t="str">
        <f>"20200111150412710"</f>
        <v>20200111150412710</v>
      </c>
      <c r="B2984" t="str">
        <f>"1578726252701468"</f>
        <v>1578726252701468</v>
      </c>
      <c r="C2984" t="s">
        <v>40</v>
      </c>
      <c r="D2984">
        <v>5.1394229999999999</v>
      </c>
      <c r="E2984">
        <v>0.51541809999999999</v>
      </c>
      <c r="F2984" t="s">
        <v>42</v>
      </c>
      <c r="G2984">
        <v>-230.80070000000001</v>
      </c>
      <c r="H2984">
        <v>1.0277270000000001</v>
      </c>
      <c r="I2984">
        <v>-57.425069999999998</v>
      </c>
      <c r="J2984">
        <v>-231.48990000000001</v>
      </c>
      <c r="K2984">
        <v>1.102689</v>
      </c>
      <c r="L2984">
        <v>-57.434510000000003</v>
      </c>
      <c r="M2984">
        <v>0.99993180000000004</v>
      </c>
      <c r="N2984">
        <v>0</v>
      </c>
      <c r="O2984">
        <v>2.728093E-3</v>
      </c>
      <c r="P2984">
        <v>0.99140070000000002</v>
      </c>
      <c r="Q2984">
        <v>0.1256998</v>
      </c>
      <c r="R2984">
        <v>3.639825E-2</v>
      </c>
      <c r="S2984">
        <v>3.0583650000000002</v>
      </c>
      <c r="T2984">
        <v>-0.26518350000000002</v>
      </c>
      <c r="U2984">
        <v>3.4362789999999997E-2</v>
      </c>
      <c r="V2984">
        <v>-3.3272530000000002E-2</v>
      </c>
      <c r="W2984">
        <v>0.13706679999999999</v>
      </c>
      <c r="X2984">
        <v>0.99000290000000002</v>
      </c>
      <c r="Y2984">
        <v>-8.4852309999999993E-3</v>
      </c>
      <c r="Z2984">
        <v>1.3105650000000001E-4</v>
      </c>
      <c r="AA2984">
        <v>0.99996399999999996</v>
      </c>
      <c r="AB2984">
        <v>36</v>
      </c>
      <c r="AC2984">
        <v>0.68919999999999904</v>
      </c>
      <c r="AD2984">
        <v>-7.4961999999999904E-2</v>
      </c>
      <c r="AE2984">
        <v>9.4399999999978893E-3</v>
      </c>
      <c r="AF2984">
        <v>-7.4712719285299897E-3</v>
      </c>
      <c r="AG2984">
        <v>-7.4961999999999904E-2</v>
      </c>
      <c r="AH2984">
        <v>0.68116637241101097</v>
      </c>
      <c r="AI2984">
        <v>96.279724443508997</v>
      </c>
      <c r="AJ2984">
        <v>90.628415026490003</v>
      </c>
      <c r="AK2984">
        <v>0.68531944978367998</v>
      </c>
      <c r="AL2984">
        <v>82.121850489958007</v>
      </c>
      <c r="AM2984">
        <v>91.924901692466804</v>
      </c>
      <c r="AN2984">
        <v>1.00000005546162</v>
      </c>
    </row>
    <row r="2985" spans="1:40" x14ac:dyDescent="0.3">
      <c r="A2985" t="str">
        <f>"20200111150412721"</f>
        <v>20200111150412721</v>
      </c>
      <c r="B2985" t="str">
        <f>"1578726252711226"</f>
        <v>1578726252711226</v>
      </c>
      <c r="C2985" t="s">
        <v>40</v>
      </c>
      <c r="D2985">
        <v>6.8693839999999904</v>
      </c>
      <c r="E2985">
        <v>0.51541809999999999</v>
      </c>
      <c r="F2985" t="s">
        <v>42</v>
      </c>
      <c r="G2985">
        <v>-230.47970000000001</v>
      </c>
      <c r="H2985">
        <v>1.026621</v>
      </c>
      <c r="I2985">
        <v>-57.4360199999999</v>
      </c>
      <c r="J2985">
        <v>-231.31049999999999</v>
      </c>
      <c r="K2985">
        <v>1.1027309999999999</v>
      </c>
      <c r="L2985">
        <v>-57.434539999999998</v>
      </c>
      <c r="M2985">
        <v>0.99993290000000001</v>
      </c>
      <c r="N2985">
        <v>0</v>
      </c>
      <c r="O2985">
        <v>2.1922249999999999E-3</v>
      </c>
      <c r="P2985">
        <v>0.99135649999999997</v>
      </c>
      <c r="Q2985">
        <v>0.12597519999999901</v>
      </c>
      <c r="R2985">
        <v>3.6637749999999997E-2</v>
      </c>
      <c r="S2985">
        <v>3.055374</v>
      </c>
      <c r="T2985">
        <v>-0.2300912</v>
      </c>
      <c r="U2985">
        <v>-4.7302250000000002E-3</v>
      </c>
      <c r="V2985">
        <v>-3.4056250000000003E-2</v>
      </c>
      <c r="W2985">
        <v>0.1373402</v>
      </c>
      <c r="X2985">
        <v>0.98993830000000005</v>
      </c>
      <c r="Y2985">
        <v>3.7237720000000002E-3</v>
      </c>
      <c r="Z2985">
        <v>-3.0488189999999999E-4</v>
      </c>
      <c r="AA2985">
        <v>0.99999300000000002</v>
      </c>
      <c r="AB2985">
        <v>36</v>
      </c>
      <c r="AC2985">
        <v>0.830799999999982</v>
      </c>
      <c r="AD2985">
        <v>-7.61099999999999E-2</v>
      </c>
      <c r="AE2985">
        <v>-1.4799999999866001E-3</v>
      </c>
      <c r="AF2985">
        <v>3.2739384280684302E-3</v>
      </c>
      <c r="AG2985">
        <v>-7.61099999999999E-2</v>
      </c>
      <c r="AH2985">
        <v>0.823880378589676</v>
      </c>
      <c r="AI2985">
        <v>95.277957632719605</v>
      </c>
      <c r="AJ2985">
        <v>89.772319050413699</v>
      </c>
      <c r="AK2985">
        <v>0.82739490510753</v>
      </c>
      <c r="AL2985">
        <v>82.106035813215897</v>
      </c>
      <c r="AM2985">
        <v>91.970335061603805</v>
      </c>
      <c r="AN2985">
        <v>0.99999999825349595</v>
      </c>
    </row>
    <row r="2986" spans="1:40" x14ac:dyDescent="0.3">
      <c r="A2986" t="str">
        <f>"20200111150412734"</f>
        <v>20200111150412734</v>
      </c>
      <c r="B2986" t="str">
        <f>"1578726252721962"</f>
        <v>1578726252721962</v>
      </c>
      <c r="C2986" t="s">
        <v>40</v>
      </c>
      <c r="D2986">
        <v>5.3607290000000001</v>
      </c>
      <c r="E2986">
        <v>0.54472640000000006</v>
      </c>
      <c r="F2986" t="s">
        <v>42</v>
      </c>
      <c r="G2986">
        <v>-230.47059999999999</v>
      </c>
      <c r="H2986">
        <v>1.039717</v>
      </c>
      <c r="I2986">
        <v>-57.435540000000003</v>
      </c>
      <c r="J2986">
        <v>-231.1232</v>
      </c>
      <c r="K2986">
        <v>1.102776</v>
      </c>
      <c r="L2986">
        <v>-57.434629999999999</v>
      </c>
      <c r="M2986">
        <v>0.99993410000000005</v>
      </c>
      <c r="N2986">
        <v>0</v>
      </c>
      <c r="O2986">
        <v>1.6494840000000001E-3</v>
      </c>
      <c r="P2986">
        <v>0.99135010000000001</v>
      </c>
      <c r="Q2986">
        <v>0.1260588</v>
      </c>
      <c r="R2986">
        <v>3.6529869999999999E-2</v>
      </c>
      <c r="S2986">
        <v>3.0554350000000001</v>
      </c>
      <c r="T2986">
        <v>-0.22927230000000001</v>
      </c>
      <c r="U2986">
        <v>-3.8146970000000001E-3</v>
      </c>
      <c r="V2986">
        <v>-3.4501469999999999E-2</v>
      </c>
      <c r="W2986">
        <v>0.13742009999999999</v>
      </c>
      <c r="X2986">
        <v>0.98991180000000001</v>
      </c>
      <c r="Y2986">
        <v>2.8853329999999999E-3</v>
      </c>
      <c r="Z2986">
        <v>-2.3170950000000001E-4</v>
      </c>
      <c r="AA2986">
        <v>0.99999579999999999</v>
      </c>
      <c r="AB2986">
        <v>36</v>
      </c>
      <c r="AC2986">
        <v>0.65260000000000595</v>
      </c>
      <c r="AD2986">
        <v>-6.3058999999999907E-2</v>
      </c>
      <c r="AE2986">
        <v>-9.0999999999752401E-4</v>
      </c>
      <c r="AF2986">
        <v>1.9681452723866299E-3</v>
      </c>
      <c r="AG2986">
        <v>-6.3058999999999907E-2</v>
      </c>
      <c r="AH2986">
        <v>0.64656078664982797</v>
      </c>
      <c r="AI2986">
        <v>95.570407660894105</v>
      </c>
      <c r="AJ2986">
        <v>89.825590924154</v>
      </c>
      <c r="AK2986">
        <v>0.64963155858537003</v>
      </c>
      <c r="AL2986">
        <v>82.101414100865398</v>
      </c>
      <c r="AM2986">
        <v>91.996126094164097</v>
      </c>
      <c r="AN2986">
        <v>1.0000000035476999</v>
      </c>
    </row>
    <row r="2987" spans="1:40" x14ac:dyDescent="0.3">
      <c r="A2987" t="str">
        <f>"20200111150412747"</f>
        <v>20200111150412747</v>
      </c>
      <c r="B2987" t="str">
        <f>"1578726252741481"</f>
        <v>1578726252741481</v>
      </c>
      <c r="C2987" t="s">
        <v>40</v>
      </c>
      <c r="D2987">
        <v>5.0975679999999999</v>
      </c>
      <c r="E2987">
        <v>0.53573630000000005</v>
      </c>
      <c r="F2987" t="s">
        <v>66</v>
      </c>
      <c r="G2987">
        <v>-157.3501</v>
      </c>
      <c r="H2987">
        <v>2.5854520000000001</v>
      </c>
      <c r="I2987">
        <v>-63.333440000000003</v>
      </c>
      <c r="J2987">
        <v>-230.90639999999999</v>
      </c>
      <c r="K2987">
        <v>1.10283</v>
      </c>
      <c r="L2987">
        <v>-57.434780000000003</v>
      </c>
      <c r="M2987">
        <v>0.99993500000000002</v>
      </c>
      <c r="N2987">
        <v>0</v>
      </c>
      <c r="O2987">
        <v>1.052227E-3</v>
      </c>
      <c r="P2987">
        <v>0.99135439999999997</v>
      </c>
      <c r="Q2987">
        <v>0.1260732</v>
      </c>
      <c r="R2987">
        <v>3.6361669999999999E-2</v>
      </c>
      <c r="S2987">
        <v>3.027374</v>
      </c>
      <c r="T2987">
        <v>6.0842630000000002E-2</v>
      </c>
      <c r="U2987">
        <v>-0.24206539999999999</v>
      </c>
      <c r="V2987">
        <v>-3.494324E-2</v>
      </c>
      <c r="W2987">
        <v>0.137431</v>
      </c>
      <c r="X2987">
        <v>0.98989479999999996</v>
      </c>
      <c r="Y2987">
        <v>8.073698E-2</v>
      </c>
      <c r="Z2987">
        <v>8.3104429999999996E-4</v>
      </c>
      <c r="AA2987">
        <v>0.99673509999999998</v>
      </c>
      <c r="AB2987">
        <v>36</v>
      </c>
      <c r="AC2987">
        <v>73.556299999999993</v>
      </c>
      <c r="AD2987">
        <v>1.4826219999999899</v>
      </c>
      <c r="AE2987">
        <v>-5.8986599999999996</v>
      </c>
      <c r="AF2987">
        <v>5.9736482052403597</v>
      </c>
      <c r="AG2987">
        <v>1.4826219999999899</v>
      </c>
      <c r="AH2987">
        <v>73.520373443372094</v>
      </c>
      <c r="AI2987">
        <v>88.848515659271698</v>
      </c>
      <c r="AJ2987">
        <v>85.354830323737303</v>
      </c>
      <c r="AK2987">
        <v>73.777557238822695</v>
      </c>
      <c r="AL2987">
        <v>82.100783665261105</v>
      </c>
      <c r="AM2987">
        <v>92.021698870337602</v>
      </c>
      <c r="AN2987">
        <v>1.00000001242486</v>
      </c>
    </row>
    <row r="2988" spans="1:40" x14ac:dyDescent="0.3">
      <c r="A2988" t="str">
        <f>"20200111150412759"</f>
        <v>20200111150412759</v>
      </c>
      <c r="B2988" t="str">
        <f>"1578726252751243"</f>
        <v>1578726252751243</v>
      </c>
      <c r="C2988" t="s">
        <v>40</v>
      </c>
      <c r="D2988">
        <v>5.1384220000000003</v>
      </c>
      <c r="E2988">
        <v>0.53573630000000005</v>
      </c>
      <c r="F2988" t="s">
        <v>72</v>
      </c>
      <c r="G2988">
        <v>-206.27119999999999</v>
      </c>
      <c r="H2988" s="1">
        <v>-2.76562E-6</v>
      </c>
      <c r="I2988">
        <v>-58.790390000000002</v>
      </c>
      <c r="J2988">
        <v>-230.7175</v>
      </c>
      <c r="K2988">
        <v>1.102875</v>
      </c>
      <c r="L2988">
        <v>-57.43506</v>
      </c>
      <c r="M2988">
        <v>0.99993529999999997</v>
      </c>
      <c r="N2988">
        <v>0</v>
      </c>
      <c r="O2988">
        <v>5.7192889999999996E-4</v>
      </c>
      <c r="P2988">
        <v>0.99135989999999996</v>
      </c>
      <c r="Q2988">
        <v>0.12602430000000001</v>
      </c>
      <c r="R2988">
        <v>3.638661E-2</v>
      </c>
      <c r="S2988">
        <v>3.0496829999999999</v>
      </c>
      <c r="T2988">
        <v>-0.136523799999999</v>
      </c>
      <c r="U2988">
        <v>-0.1678162</v>
      </c>
      <c r="V2988">
        <v>-3.5460360000000003E-2</v>
      </c>
      <c r="W2988">
        <v>0.13737849999999999</v>
      </c>
      <c r="X2988">
        <v>0.98988370000000003</v>
      </c>
      <c r="Y2988">
        <v>5.5459439999999999E-2</v>
      </c>
      <c r="Z2988">
        <v>-1.26538E-3</v>
      </c>
      <c r="AA2988">
        <v>0.99846009999999996</v>
      </c>
      <c r="AB2988">
        <v>36</v>
      </c>
      <c r="AC2988">
        <v>24.446300000000001</v>
      </c>
      <c r="AD2988">
        <v>-1.10287776562</v>
      </c>
      <c r="AE2988">
        <v>-1.3553299999999999</v>
      </c>
      <c r="AF2988">
        <v>1.3665394308759899</v>
      </c>
      <c r="AG2988">
        <v>-1.10287776562</v>
      </c>
      <c r="AH2988">
        <v>24.396019725764798</v>
      </c>
      <c r="AI2988">
        <v>92.584378380538297</v>
      </c>
      <c r="AJ2988">
        <v>86.793935781112296</v>
      </c>
      <c r="AK2988">
        <v>24.459140374141199</v>
      </c>
      <c r="AL2988">
        <v>82.103820514223003</v>
      </c>
      <c r="AM2988">
        <v>92.051615307098302</v>
      </c>
      <c r="AN2988">
        <v>1.0000000144596299</v>
      </c>
    </row>
    <row r="2989" spans="1:40" x14ac:dyDescent="0.3">
      <c r="A2989" t="str">
        <f>"20200111150412770"</f>
        <v>20200111150412770</v>
      </c>
      <c r="B2989" t="str">
        <f>"1578726252761661"</f>
        <v>1578726252761661</v>
      </c>
      <c r="C2989" t="s">
        <v>40</v>
      </c>
      <c r="D2989">
        <v>5.1764960000000002</v>
      </c>
      <c r="E2989">
        <v>0.53523359999999998</v>
      </c>
      <c r="F2989" t="s">
        <v>72</v>
      </c>
      <c r="G2989">
        <v>-206.11</v>
      </c>
      <c r="H2989" s="1">
        <v>-2.8685530000000001E-6</v>
      </c>
      <c r="I2989">
        <v>-58.788649999999997</v>
      </c>
      <c r="J2989">
        <v>-230.53210000000001</v>
      </c>
      <c r="K2989">
        <v>1.1029230000000001</v>
      </c>
      <c r="L2989">
        <v>-57.435360000000003</v>
      </c>
      <c r="M2989">
        <v>0.99993540000000003</v>
      </c>
      <c r="N2989">
        <v>0</v>
      </c>
      <c r="O2989">
        <v>1.144467E-4</v>
      </c>
      <c r="P2989">
        <v>0.99136760000000002</v>
      </c>
      <c r="Q2989">
        <v>0.12601319999999999</v>
      </c>
      <c r="R2989">
        <v>3.6211069999999998E-2</v>
      </c>
      <c r="S2989">
        <v>3.0496669999999999</v>
      </c>
      <c r="T2989">
        <v>-0.13668250000000001</v>
      </c>
      <c r="U2989">
        <v>-0.16775509999999999</v>
      </c>
      <c r="V2989">
        <v>-3.5754019999999997E-2</v>
      </c>
      <c r="W2989">
        <v>0.137364299999999</v>
      </c>
      <c r="X2989">
        <v>0.98987510000000001</v>
      </c>
      <c r="Y2989">
        <v>5.4983780000000003E-2</v>
      </c>
      <c r="Z2989">
        <v>-1.23573E-3</v>
      </c>
      <c r="AA2989">
        <v>0.99848650000000005</v>
      </c>
      <c r="AB2989">
        <v>36</v>
      </c>
      <c r="AC2989">
        <v>24.4221</v>
      </c>
      <c r="AD2989">
        <v>-1.1029258685529999</v>
      </c>
      <c r="AE2989">
        <v>-1.3532900000000001</v>
      </c>
      <c r="AF2989">
        <v>1.3533335073591399</v>
      </c>
      <c r="AG2989">
        <v>-1.1029258685529999</v>
      </c>
      <c r="AH2989">
        <v>24.372389290586302</v>
      </c>
      <c r="AI2989">
        <v>92.587063385812897</v>
      </c>
      <c r="AJ2989">
        <v>86.821782570418506</v>
      </c>
      <c r="AK2989">
        <v>24.434838178010299</v>
      </c>
      <c r="AL2989">
        <v>82.104641843908198</v>
      </c>
      <c r="AM2989">
        <v>92.068608728040104</v>
      </c>
      <c r="AN2989">
        <v>1.0000000072303299</v>
      </c>
    </row>
    <row r="2990" spans="1:40" x14ac:dyDescent="0.3">
      <c r="A2990" t="str">
        <f>"20200111150412781"</f>
        <v>20200111150412781</v>
      </c>
      <c r="B2990" t="str">
        <f>"1578726252771421"</f>
        <v>1578726252771421</v>
      </c>
      <c r="C2990" t="s">
        <v>40</v>
      </c>
      <c r="D2990">
        <v>4.6051739999999999</v>
      </c>
      <c r="E2990">
        <v>0.53470090000000003</v>
      </c>
      <c r="F2990" t="s">
        <v>42</v>
      </c>
      <c r="G2990">
        <v>-229.50630000000001</v>
      </c>
      <c r="H2990">
        <v>1.043191</v>
      </c>
      <c r="I2990">
        <v>-57.490639999999999</v>
      </c>
      <c r="J2990">
        <v>-230.34630000000001</v>
      </c>
      <c r="K2990">
        <v>1.1029739999999999</v>
      </c>
      <c r="L2990">
        <v>-57.435760000000002</v>
      </c>
      <c r="M2990">
        <v>0.99993529999999997</v>
      </c>
      <c r="N2990">
        <v>0</v>
      </c>
      <c r="O2990">
        <v>-2.9686879999999999E-4</v>
      </c>
      <c r="P2990">
        <v>0.991371</v>
      </c>
      <c r="Q2990">
        <v>0.1260802</v>
      </c>
      <c r="R2990">
        <v>3.5878359999999998E-2</v>
      </c>
      <c r="S2990">
        <v>3.0547029999999999</v>
      </c>
      <c r="T2990">
        <v>-0.1777706</v>
      </c>
      <c r="U2990">
        <v>-0.16387939999999901</v>
      </c>
      <c r="V2990">
        <v>-3.5845750000000003E-2</v>
      </c>
      <c r="W2990">
        <v>0.13742670000000001</v>
      </c>
      <c r="X2990">
        <v>0.9898631</v>
      </c>
      <c r="Y2990">
        <v>5.3185499999999997E-2</v>
      </c>
      <c r="Z2990">
        <v>-1.5279169999999999E-3</v>
      </c>
      <c r="AA2990">
        <v>0.99858349999999996</v>
      </c>
      <c r="AB2990">
        <v>36</v>
      </c>
      <c r="AC2990">
        <v>0.84000000000000297</v>
      </c>
      <c r="AD2990">
        <v>-5.9782999999999899E-2</v>
      </c>
      <c r="AE2990">
        <v>-5.4880000000004203E-2</v>
      </c>
      <c r="AF2990">
        <v>5.4356455416156003E-2</v>
      </c>
      <c r="AG2990">
        <v>-5.9782999999999899E-2</v>
      </c>
      <c r="AH2990">
        <v>0.83580074956022299</v>
      </c>
      <c r="AI2990">
        <v>94.082678388957206</v>
      </c>
      <c r="AJ2990">
        <v>86.278998626141302</v>
      </c>
      <c r="AK2990">
        <v>0.83969728134598598</v>
      </c>
      <c r="AL2990">
        <v>82.101032188725696</v>
      </c>
      <c r="AM2990">
        <v>92.073936412218302</v>
      </c>
      <c r="AN2990">
        <v>0.99999998620378105</v>
      </c>
    </row>
    <row r="2991" spans="1:40" x14ac:dyDescent="0.3">
      <c r="A2991" t="str">
        <f>"20200111150412792"</f>
        <v>20200111150412792</v>
      </c>
      <c r="B2991" t="str">
        <f>"1578726252781181"</f>
        <v>1578726252781181</v>
      </c>
      <c r="C2991" t="s">
        <v>40</v>
      </c>
      <c r="D2991">
        <v>5.1762370000000004</v>
      </c>
      <c r="E2991">
        <v>0.53481129999999999</v>
      </c>
      <c r="F2991" t="s">
        <v>85</v>
      </c>
      <c r="G2991">
        <v>-210.637</v>
      </c>
      <c r="H2991" s="1">
        <v>3.0214960000000002E-7</v>
      </c>
      <c r="I2991">
        <v>-58.47334</v>
      </c>
      <c r="J2991">
        <v>-230.1755</v>
      </c>
      <c r="K2991">
        <v>1.103027</v>
      </c>
      <c r="L2991">
        <v>-57.436100000000003</v>
      </c>
      <c r="M2991">
        <v>0.99993520000000002</v>
      </c>
      <c r="N2991">
        <v>0</v>
      </c>
      <c r="O2991">
        <v>-6.5979660000000002E-4</v>
      </c>
      <c r="P2991">
        <v>0.99133729999999998</v>
      </c>
      <c r="Q2991">
        <v>0.1264525</v>
      </c>
      <c r="R2991">
        <v>3.55018E-2</v>
      </c>
      <c r="S2991">
        <v>3.0536650000000001</v>
      </c>
      <c r="T2991">
        <v>-0.17088909999999999</v>
      </c>
      <c r="U2991">
        <v>-0.16076660000000001</v>
      </c>
      <c r="V2991">
        <v>-3.5843430000000003E-2</v>
      </c>
      <c r="W2991">
        <v>0.1377941</v>
      </c>
      <c r="X2991">
        <v>0.98981209999999997</v>
      </c>
      <c r="Y2991">
        <v>5.1835489999999998E-2</v>
      </c>
      <c r="Z2991">
        <v>-1.4114030000000001E-3</v>
      </c>
      <c r="AA2991">
        <v>0.99865470000000001</v>
      </c>
      <c r="AB2991">
        <v>36</v>
      </c>
      <c r="AC2991">
        <v>19.538499999999999</v>
      </c>
      <c r="AD2991">
        <v>-1.1030266978504</v>
      </c>
      <c r="AE2991">
        <v>-1.0372399999999899</v>
      </c>
      <c r="AF2991">
        <v>1.02110234161663</v>
      </c>
      <c r="AG2991">
        <v>-1.1030266978504</v>
      </c>
      <c r="AH2991">
        <v>19.477279440288498</v>
      </c>
      <c r="AI2991">
        <v>93.236845755100703</v>
      </c>
      <c r="AJ2991">
        <v>86.998998524305094</v>
      </c>
      <c r="AK2991">
        <v>19.535192148615</v>
      </c>
      <c r="AL2991">
        <v>82.079779476029501</v>
      </c>
      <c r="AM2991">
        <v>92.073909059825297</v>
      </c>
      <c r="AN2991">
        <v>0.99999997938769203</v>
      </c>
    </row>
    <row r="2992" spans="1:40" x14ac:dyDescent="0.3">
      <c r="A2992" t="str">
        <f>"20200111150412803"</f>
        <v>20200111150412803</v>
      </c>
      <c r="B2992" t="str">
        <f>"1578726252801676"</f>
        <v>1578726252801676</v>
      </c>
      <c r="C2992" t="s">
        <v>40</v>
      </c>
      <c r="D2992">
        <v>5.1630229999999999</v>
      </c>
      <c r="E2992">
        <v>0.53535690000000002</v>
      </c>
      <c r="F2992" t="s">
        <v>42</v>
      </c>
      <c r="G2992">
        <v>-229.18530000000001</v>
      </c>
      <c r="H2992">
        <v>1.0408679999999999</v>
      </c>
      <c r="I2992">
        <v>-57.488970000000002</v>
      </c>
      <c r="J2992">
        <v>-229.98320000000001</v>
      </c>
      <c r="K2992">
        <v>1.103081</v>
      </c>
      <c r="L2992">
        <v>-57.436579999999999</v>
      </c>
      <c r="M2992">
        <v>0.99993480000000001</v>
      </c>
      <c r="N2992">
        <v>0</v>
      </c>
      <c r="O2992">
        <v>-1.0325200000000001E-3</v>
      </c>
      <c r="P2992">
        <v>0.99127350000000003</v>
      </c>
      <c r="Q2992">
        <v>0.12716050000000001</v>
      </c>
      <c r="R2992">
        <v>3.4741840000000003E-2</v>
      </c>
      <c r="S2992">
        <v>3.0565030000000002</v>
      </c>
      <c r="T2992">
        <v>-0.19182879999999999</v>
      </c>
      <c r="U2992">
        <v>-0.16256709999999999</v>
      </c>
      <c r="V2992">
        <v>-3.5468949999999999E-2</v>
      </c>
      <c r="W2992">
        <v>0.13849600000000001</v>
      </c>
      <c r="X2992">
        <v>0.98972769999999999</v>
      </c>
      <c r="Y2992">
        <v>5.1981100000000002E-2</v>
      </c>
      <c r="Z2992">
        <v>-1.5637419999999999E-3</v>
      </c>
      <c r="AA2992">
        <v>0.9986469</v>
      </c>
      <c r="AB2992">
        <v>36</v>
      </c>
      <c r="AC2992">
        <v>0.79789999999999806</v>
      </c>
      <c r="AD2992">
        <v>-6.2212999999999803E-2</v>
      </c>
      <c r="AE2992">
        <v>-5.23899999999883E-2</v>
      </c>
      <c r="AF2992">
        <v>5.1255800880569802E-2</v>
      </c>
      <c r="AG2992">
        <v>-6.2212999999999803E-2</v>
      </c>
      <c r="AH2992">
        <v>0.79315242866569602</v>
      </c>
      <c r="AI2992">
        <v>94.475664911674798</v>
      </c>
      <c r="AJ2992">
        <v>86.302522549116105</v>
      </c>
      <c r="AK2992">
        <v>0.79723797550744002</v>
      </c>
      <c r="AL2992">
        <v>82.039174844145606</v>
      </c>
      <c r="AM2992">
        <v>92.052435045734796</v>
      </c>
      <c r="AN2992">
        <v>1.00000005428869</v>
      </c>
    </row>
    <row r="2993" spans="1:40" x14ac:dyDescent="0.3">
      <c r="A2993" t="str">
        <f>"20200111150412815"</f>
        <v>20200111150412815</v>
      </c>
      <c r="B2993" t="str">
        <f>"1578726252811436"</f>
        <v>1578726252811436</v>
      </c>
      <c r="C2993" t="s">
        <v>40</v>
      </c>
      <c r="D2993">
        <v>5.1908450000000004</v>
      </c>
      <c r="E2993">
        <v>0.53463609999999995</v>
      </c>
      <c r="F2993" t="s">
        <v>42</v>
      </c>
      <c r="G2993">
        <v>-229.18119999999999</v>
      </c>
      <c r="H2993">
        <v>1.046468</v>
      </c>
      <c r="I2993">
        <v>-57.481059999999999</v>
      </c>
      <c r="J2993">
        <v>-229.80619999999999</v>
      </c>
      <c r="K2993">
        <v>1.1031329999999999</v>
      </c>
      <c r="L2993">
        <v>-57.437100000000001</v>
      </c>
      <c r="M2993">
        <v>0.99993449999999995</v>
      </c>
      <c r="N2993">
        <v>0</v>
      </c>
      <c r="O2993">
        <v>-1.346538E-3</v>
      </c>
      <c r="P2993">
        <v>0.99125339999999995</v>
      </c>
      <c r="Q2993">
        <v>0.12750349999999999</v>
      </c>
      <c r="R2993">
        <v>3.4053529999999999E-2</v>
      </c>
      <c r="S2993">
        <v>3.0600429999999998</v>
      </c>
      <c r="T2993">
        <v>-0.21590380000000001</v>
      </c>
      <c r="U2993">
        <v>-0.1689148</v>
      </c>
      <c r="V2993">
        <v>-3.5107640000000002E-2</v>
      </c>
      <c r="W2993">
        <v>0.1388336</v>
      </c>
      <c r="X2993">
        <v>0.98969320000000005</v>
      </c>
      <c r="Y2993">
        <v>5.3642000000000002E-2</v>
      </c>
      <c r="Z2993">
        <v>-1.7937750000000001E-3</v>
      </c>
      <c r="AA2993">
        <v>0.99855859999999996</v>
      </c>
      <c r="AB2993">
        <v>36</v>
      </c>
      <c r="AC2993">
        <v>0.625</v>
      </c>
      <c r="AD2993">
        <v>-5.6664999999999903E-2</v>
      </c>
      <c r="AE2993">
        <v>-4.3959999999998403E-2</v>
      </c>
      <c r="AF2993">
        <v>4.2768494808542001E-2</v>
      </c>
      <c r="AG2993">
        <v>-5.6664999999999903E-2</v>
      </c>
      <c r="AH2993">
        <v>0.61998744630796798</v>
      </c>
      <c r="AI2993">
        <v>95.209841578582598</v>
      </c>
      <c r="AJ2993">
        <v>86.053825949698407</v>
      </c>
      <c r="AK2993">
        <v>0.62403886093148397</v>
      </c>
      <c r="AL2993">
        <v>82.019642444113799</v>
      </c>
      <c r="AM2993">
        <v>92.031615963379096</v>
      </c>
      <c r="AN2993">
        <v>0.99999997250078398</v>
      </c>
    </row>
    <row r="2994" spans="1:40" x14ac:dyDescent="0.3">
      <c r="A2994" t="str">
        <f>"20200111150412827"</f>
        <v>20200111150412827</v>
      </c>
      <c r="B2994" t="str">
        <f>"1578726252821197"</f>
        <v>1578726252821197</v>
      </c>
      <c r="C2994" t="s">
        <v>40</v>
      </c>
      <c r="D2994">
        <v>5.1779359999999999</v>
      </c>
      <c r="E2994">
        <v>0.53428160000000002</v>
      </c>
      <c r="F2994" t="s">
        <v>42</v>
      </c>
      <c r="G2994">
        <v>-228.8664</v>
      </c>
      <c r="H2994">
        <v>1.033987</v>
      </c>
      <c r="I2994">
        <v>-57.487949999999998</v>
      </c>
      <c r="J2994">
        <v>-229.61799999999999</v>
      </c>
      <c r="K2994">
        <v>1.1031869999999999</v>
      </c>
      <c r="L2994">
        <v>-57.437620000000003</v>
      </c>
      <c r="M2994">
        <v>0.99993410000000005</v>
      </c>
      <c r="N2994">
        <v>0</v>
      </c>
      <c r="O2994">
        <v>-1.6574039999999999E-3</v>
      </c>
      <c r="P2994">
        <v>0.99125859999999999</v>
      </c>
      <c r="Q2994">
        <v>0.1276784</v>
      </c>
      <c r="R2994">
        <v>3.3240970000000002E-2</v>
      </c>
      <c r="S2994">
        <v>3.0611419999999998</v>
      </c>
      <c r="T2994">
        <v>-0.22522349999999999</v>
      </c>
      <c r="U2994">
        <v>-0.1653442</v>
      </c>
      <c r="V2994">
        <v>-3.4620720000000001E-2</v>
      </c>
      <c r="W2994">
        <v>0.13900309999999999</v>
      </c>
      <c r="X2994">
        <v>0.98968659999999997</v>
      </c>
      <c r="Y2994">
        <v>5.2144049999999997E-2</v>
      </c>
      <c r="Z2994">
        <v>-1.7925739999999999E-3</v>
      </c>
      <c r="AA2994">
        <v>0.99863800000000003</v>
      </c>
      <c r="AB2994">
        <v>36</v>
      </c>
      <c r="AC2994">
        <v>0.75159999999999605</v>
      </c>
      <c r="AD2994">
        <v>-6.9200000000000095E-2</v>
      </c>
      <c r="AE2994">
        <v>-5.0330000000002401E-2</v>
      </c>
      <c r="AF2994">
        <v>4.8673386598759E-2</v>
      </c>
      <c r="AG2994">
        <v>-6.9200000000000095E-2</v>
      </c>
      <c r="AH2994">
        <v>0.74539196112107198</v>
      </c>
      <c r="AI2994">
        <v>95.292761060108106</v>
      </c>
      <c r="AJ2994">
        <v>86.263944168629195</v>
      </c>
      <c r="AK2994">
        <v>0.75017792174050901</v>
      </c>
      <c r="AL2994">
        <v>82.009836032394702</v>
      </c>
      <c r="AM2994">
        <v>92.003475252418895</v>
      </c>
      <c r="AN2994">
        <v>1.0000000111412399</v>
      </c>
    </row>
    <row r="2995" spans="1:40" x14ac:dyDescent="0.3">
      <c r="A2995" t="str">
        <f>"20200111150412837"</f>
        <v>20200111150412837</v>
      </c>
      <c r="B2995" t="str">
        <f>"1578726252830957"</f>
        <v>1578726252830957</v>
      </c>
      <c r="C2995" t="s">
        <v>40</v>
      </c>
      <c r="D2995">
        <v>5.1776730000000004</v>
      </c>
      <c r="E2995">
        <v>0.53441260000000002</v>
      </c>
      <c r="F2995" t="s">
        <v>42</v>
      </c>
      <c r="G2995">
        <v>-228.8596</v>
      </c>
      <c r="H2995">
        <v>1.045588</v>
      </c>
      <c r="I2995">
        <v>-57.478580000000001</v>
      </c>
      <c r="J2995">
        <v>-229.44319999999999</v>
      </c>
      <c r="K2995">
        <v>1.1032409999999999</v>
      </c>
      <c r="L2995">
        <v>-57.4381699999999</v>
      </c>
      <c r="M2995">
        <v>0.99993370000000004</v>
      </c>
      <c r="N2995">
        <v>0</v>
      </c>
      <c r="O2995">
        <v>-1.904067E-3</v>
      </c>
      <c r="P2995">
        <v>0.99125110000000005</v>
      </c>
      <c r="Q2995">
        <v>0.12793370000000001</v>
      </c>
      <c r="R2995">
        <v>3.247423E-2</v>
      </c>
      <c r="S2995">
        <v>3.0619200000000002</v>
      </c>
      <c r="T2995">
        <v>-0.23255219999999999</v>
      </c>
      <c r="U2995">
        <v>-0.16497800000000001</v>
      </c>
      <c r="V2995">
        <v>-3.41155E-2</v>
      </c>
      <c r="W2995">
        <v>0.1392534</v>
      </c>
      <c r="X2995">
        <v>0.98966900000000002</v>
      </c>
      <c r="Y2995">
        <v>5.1757850000000001E-2</v>
      </c>
      <c r="Z2995">
        <v>-1.8169480000000001E-3</v>
      </c>
      <c r="AA2995">
        <v>0.99865800000000005</v>
      </c>
      <c r="AB2995">
        <v>36</v>
      </c>
      <c r="AC2995">
        <v>0.58359999999998902</v>
      </c>
      <c r="AD2995">
        <v>-5.7652999999999899E-2</v>
      </c>
      <c r="AE2995">
        <v>-4.04100000000156E-2</v>
      </c>
      <c r="AF2995">
        <v>3.8920620730192798E-2</v>
      </c>
      <c r="AG2995">
        <v>-5.7652999999999899E-2</v>
      </c>
      <c r="AH2995">
        <v>0.57806140479260704</v>
      </c>
      <c r="AI2995">
        <v>95.682782456036094</v>
      </c>
      <c r="AJ2995">
        <v>86.1481138336745</v>
      </c>
      <c r="AK2995">
        <v>0.58223162988438304</v>
      </c>
      <c r="AL2995">
        <v>81.995354391065007</v>
      </c>
      <c r="AM2995">
        <v>91.974296937293005</v>
      </c>
      <c r="AN2995">
        <v>1.0000000531563999</v>
      </c>
    </row>
    <row r="2996" spans="1:40" x14ac:dyDescent="0.3">
      <c r="A2996" t="str">
        <f>"20200111150412859"</f>
        <v>20200111150412859</v>
      </c>
      <c r="B2996" t="str">
        <f>"1578726252851453"</f>
        <v>1578726252851453</v>
      </c>
      <c r="C2996" t="s">
        <v>40</v>
      </c>
      <c r="D2996">
        <v>5.2474350000000003</v>
      </c>
      <c r="E2996">
        <v>0.53412190000000004</v>
      </c>
      <c r="F2996" t="s">
        <v>42</v>
      </c>
      <c r="G2996">
        <v>-228.54640000000001</v>
      </c>
      <c r="H2996">
        <v>1.0294239999999999</v>
      </c>
      <c r="I2996">
        <v>-57.487589999999997</v>
      </c>
      <c r="J2996">
        <v>-229.08080000000001</v>
      </c>
      <c r="K2996">
        <v>1.1033459999999999</v>
      </c>
      <c r="L2996">
        <v>-57.439360000000001</v>
      </c>
      <c r="M2996">
        <v>0.99993270000000001</v>
      </c>
      <c r="N2996">
        <v>0</v>
      </c>
      <c r="O2996">
        <v>-2.3440539999999999E-3</v>
      </c>
      <c r="P2996">
        <v>0.99131440000000004</v>
      </c>
      <c r="Q2996">
        <v>0.12789139999999999</v>
      </c>
      <c r="R2996">
        <v>3.065878E-2</v>
      </c>
      <c r="S2996">
        <v>3.0645289999999998</v>
      </c>
      <c r="T2996">
        <v>-0.25221329999999997</v>
      </c>
      <c r="U2996">
        <v>-0.16842650000000001</v>
      </c>
      <c r="V2996">
        <v>-3.2772179999999998E-2</v>
      </c>
      <c r="W2996">
        <v>0.13920089999999999</v>
      </c>
      <c r="X2996">
        <v>0.98972170000000004</v>
      </c>
      <c r="Y2996">
        <v>5.2367730000000001E-2</v>
      </c>
      <c r="Z2996">
        <v>-1.9572460000000002E-3</v>
      </c>
      <c r="AA2996">
        <v>0.99862589999999996</v>
      </c>
      <c r="AB2996">
        <v>36</v>
      </c>
      <c r="AC2996">
        <v>0.53440000000000498</v>
      </c>
      <c r="AD2996">
        <v>-7.3922000000000002E-2</v>
      </c>
      <c r="AE2996">
        <v>-4.82300000000037E-2</v>
      </c>
      <c r="AF2996">
        <v>4.6102115623063197E-2</v>
      </c>
      <c r="AG2996">
        <v>-7.3922000000000002E-2</v>
      </c>
      <c r="AH2996">
        <v>0.52455563618521595</v>
      </c>
      <c r="AI2996">
        <v>97.991073005499501</v>
      </c>
      <c r="AJ2996">
        <v>84.977297561204196</v>
      </c>
      <c r="AK2996">
        <v>0.53174099202769698</v>
      </c>
      <c r="AL2996">
        <v>81.998391373942496</v>
      </c>
      <c r="AM2996">
        <v>91.896514733995204</v>
      </c>
      <c r="AN2996">
        <v>0.99999997489682602</v>
      </c>
    </row>
    <row r="2997" spans="1:40" x14ac:dyDescent="0.3">
      <c r="A2997" t="str">
        <f>"20200111150412869"</f>
        <v>20200111150412869</v>
      </c>
      <c r="B2997" t="str">
        <f>"1578726252861213"</f>
        <v>1578726252861213</v>
      </c>
      <c r="C2997" t="s">
        <v>40</v>
      </c>
      <c r="D2997">
        <v>5.0722969999999998</v>
      </c>
      <c r="E2997">
        <v>0.53308520000000004</v>
      </c>
      <c r="F2997" t="s">
        <v>42</v>
      </c>
      <c r="G2997">
        <v>-228.22319999999999</v>
      </c>
      <c r="H2997">
        <v>1.0309699999999999</v>
      </c>
      <c r="I2997">
        <v>-57.487499999999997</v>
      </c>
      <c r="J2997">
        <v>-228.9186</v>
      </c>
      <c r="K2997">
        <v>1.1033930000000001</v>
      </c>
      <c r="L2997">
        <v>-57.439880000000002</v>
      </c>
      <c r="M2997">
        <v>0.9999323</v>
      </c>
      <c r="N2997">
        <v>0</v>
      </c>
      <c r="O2997">
        <v>-2.5121119999999999E-3</v>
      </c>
      <c r="P2997">
        <v>0.99134060000000002</v>
      </c>
      <c r="Q2997">
        <v>0.12786139999999999</v>
      </c>
      <c r="R2997">
        <v>2.9929609999999999E-2</v>
      </c>
      <c r="S2997">
        <v>3.0649410000000001</v>
      </c>
      <c r="T2997">
        <v>-0.25863930000000002</v>
      </c>
      <c r="U2997">
        <v>-0.1714783</v>
      </c>
      <c r="V2997">
        <v>-3.2225829999999997E-2</v>
      </c>
      <c r="W2997">
        <v>0.13916700000000001</v>
      </c>
      <c r="X2997">
        <v>0.98974439999999997</v>
      </c>
      <c r="Y2997">
        <v>5.317293E-2</v>
      </c>
      <c r="Z2997">
        <v>-2.0263579999999998E-3</v>
      </c>
      <c r="AA2997">
        <v>0.99858329999999995</v>
      </c>
      <c r="AB2997">
        <v>36</v>
      </c>
      <c r="AC2997">
        <v>0.69540000000000601</v>
      </c>
      <c r="AD2997">
        <v>-7.2422999999999904E-2</v>
      </c>
      <c r="AE2997">
        <v>-4.7619999999994798E-2</v>
      </c>
      <c r="AF2997">
        <v>4.5382873198675198E-2</v>
      </c>
      <c r="AG2997">
        <v>-7.2422999999999904E-2</v>
      </c>
      <c r="AH2997">
        <v>0.68808901925718802</v>
      </c>
      <c r="AI2997">
        <v>95.995463665500196</v>
      </c>
      <c r="AJ2997">
        <v>86.226525306350595</v>
      </c>
      <c r="AK2997">
        <v>0.69337666136890297</v>
      </c>
      <c r="AL2997">
        <v>82.000352734104695</v>
      </c>
      <c r="AM2997">
        <v>91.864877421300704</v>
      </c>
      <c r="AN2997">
        <v>0.99999996766977395</v>
      </c>
    </row>
    <row r="2998" spans="1:40" x14ac:dyDescent="0.3">
      <c r="A2998" t="str">
        <f>"20200111150412881"</f>
        <v>20200111150412881</v>
      </c>
      <c r="B2998" t="str">
        <f>"1578726252871950"</f>
        <v>1578726252871950</v>
      </c>
      <c r="C2998" t="s">
        <v>40</v>
      </c>
      <c r="D2998">
        <v>5.2042010000000003</v>
      </c>
      <c r="E2998">
        <v>0.53305279999999999</v>
      </c>
      <c r="F2998" t="s">
        <v>42</v>
      </c>
      <c r="G2998">
        <v>-227.9076</v>
      </c>
      <c r="H2998">
        <v>1.01691</v>
      </c>
      <c r="I2998">
        <v>-57.494500000000002</v>
      </c>
      <c r="J2998">
        <v>-228.7329</v>
      </c>
      <c r="K2998">
        <v>1.1034440000000001</v>
      </c>
      <c r="L2998">
        <v>-57.440550000000002</v>
      </c>
      <c r="M2998">
        <v>0.99993180000000004</v>
      </c>
      <c r="N2998">
        <v>0</v>
      </c>
      <c r="O2998">
        <v>-2.6642430000000002E-3</v>
      </c>
      <c r="P2998">
        <v>0.99135640000000003</v>
      </c>
      <c r="Q2998">
        <v>0.1279168</v>
      </c>
      <c r="R2998">
        <v>2.9149629999999999E-2</v>
      </c>
      <c r="S2998">
        <v>3.0650330000000001</v>
      </c>
      <c r="T2998">
        <v>-0.2622176</v>
      </c>
      <c r="U2998">
        <v>-0.1655884</v>
      </c>
      <c r="V2998">
        <v>-3.1613960000000003E-2</v>
      </c>
      <c r="W2998">
        <v>0.13921789999999901</v>
      </c>
      <c r="X2998">
        <v>0.989757</v>
      </c>
      <c r="Y2998">
        <v>5.1109160000000001E-2</v>
      </c>
      <c r="Z2998">
        <v>-1.9533020000000001E-3</v>
      </c>
      <c r="AA2998">
        <v>0.99869110000000005</v>
      </c>
      <c r="AB2998">
        <v>36</v>
      </c>
      <c r="AC2998">
        <v>0.82529999999999804</v>
      </c>
      <c r="AD2998">
        <v>-8.6534000000000097E-2</v>
      </c>
      <c r="AE2998">
        <v>-5.3950000000000303E-2</v>
      </c>
      <c r="AF2998">
        <v>5.1190480718461197E-2</v>
      </c>
      <c r="AG2998">
        <v>-8.6534000000000097E-2</v>
      </c>
      <c r="AH2998">
        <v>0.81650250415103298</v>
      </c>
      <c r="AI2998">
        <v>96.037931714273498</v>
      </c>
      <c r="AJ2998">
        <v>86.412546606503696</v>
      </c>
      <c r="AK2998">
        <v>0.82266939760580304</v>
      </c>
      <c r="AL2998">
        <v>81.997407910849304</v>
      </c>
      <c r="AM2998">
        <v>91.829470120662506</v>
      </c>
      <c r="AN2998">
        <v>0.99999999259814498</v>
      </c>
    </row>
    <row r="2999" spans="1:40" x14ac:dyDescent="0.3">
      <c r="A2999" t="str">
        <f>"20200111150412892"</f>
        <v>20200111150412892</v>
      </c>
      <c r="B2999" t="str">
        <f>"1578726252881709"</f>
        <v>1578726252881709</v>
      </c>
      <c r="C2999" t="s">
        <v>40</v>
      </c>
      <c r="D2999">
        <v>5.1908339999999997</v>
      </c>
      <c r="E2999">
        <v>0.53286610000000001</v>
      </c>
      <c r="F2999" t="s">
        <v>42</v>
      </c>
      <c r="G2999">
        <v>-227.8997</v>
      </c>
      <c r="H2999">
        <v>1.0327809999999999</v>
      </c>
      <c r="I2999">
        <v>-57.486179999999997</v>
      </c>
      <c r="J2999">
        <v>-228.56229999999999</v>
      </c>
      <c r="K2999">
        <v>1.1034900000000001</v>
      </c>
      <c r="L2999">
        <v>-57.441130000000001</v>
      </c>
      <c r="M2999">
        <v>0.99993149999999997</v>
      </c>
      <c r="N2999">
        <v>0</v>
      </c>
      <c r="O2999">
        <v>-2.79131E-3</v>
      </c>
      <c r="P2999">
        <v>0.99139449999999996</v>
      </c>
      <c r="Q2999">
        <v>0.12773869999999901</v>
      </c>
      <c r="R2999">
        <v>2.8636760000000001E-2</v>
      </c>
      <c r="S2999">
        <v>3.0646360000000001</v>
      </c>
      <c r="T2999">
        <v>-0.25995430000000003</v>
      </c>
      <c r="U2999">
        <v>-0.1678162</v>
      </c>
      <c r="V2999">
        <v>-3.1243799999999999E-2</v>
      </c>
      <c r="W2999">
        <v>0.13903660000000001</v>
      </c>
      <c r="X2999">
        <v>0.98979430000000002</v>
      </c>
      <c r="Y2999">
        <v>5.1714320000000001E-2</v>
      </c>
      <c r="Z2999">
        <v>-1.951564E-3</v>
      </c>
      <c r="AA2999">
        <v>0.99865999999999999</v>
      </c>
      <c r="AB2999">
        <v>36</v>
      </c>
      <c r="AC2999">
        <v>0.66259999999999697</v>
      </c>
      <c r="AD2999">
        <v>-7.0708999999999897E-2</v>
      </c>
      <c r="AE2999">
        <v>-4.5050000000003303E-2</v>
      </c>
      <c r="AF2999">
        <v>4.2715972831258303E-2</v>
      </c>
      <c r="AG2999">
        <v>-7.0708999999999897E-2</v>
      </c>
      <c r="AH2999">
        <v>0.65529502860032096</v>
      </c>
      <c r="AI2999">
        <v>96.145676194291795</v>
      </c>
      <c r="AJ2999">
        <v>86.270401716546601</v>
      </c>
      <c r="AK2999">
        <v>0.660481636023452</v>
      </c>
      <c r="AL2999">
        <v>82.007898145528998</v>
      </c>
      <c r="AM2999">
        <v>91.807995520998901</v>
      </c>
      <c r="AN2999">
        <v>1.00000005374524</v>
      </c>
    </row>
    <row r="3000" spans="1:40" x14ac:dyDescent="0.3">
      <c r="A3000" t="str">
        <f>"20200111150412903"</f>
        <v>20200111150412903</v>
      </c>
      <c r="B3000" t="str">
        <f>"1578726252891469"</f>
        <v>1578726252891469</v>
      </c>
      <c r="C3000" t="s">
        <v>40</v>
      </c>
      <c r="D3000">
        <v>5.1780720000000002</v>
      </c>
      <c r="E3000">
        <v>0.53264959999999995</v>
      </c>
      <c r="F3000" t="s">
        <v>42</v>
      </c>
      <c r="G3000">
        <v>-227.58269999999999</v>
      </c>
      <c r="H3000">
        <v>1.021536</v>
      </c>
      <c r="I3000">
        <v>-57.495100000000001</v>
      </c>
      <c r="J3000">
        <v>-228.38659999999999</v>
      </c>
      <c r="K3000">
        <v>1.1035360000000001</v>
      </c>
      <c r="L3000">
        <v>-57.441740000000003</v>
      </c>
      <c r="M3000">
        <v>0.99993129999999997</v>
      </c>
      <c r="N3000">
        <v>0</v>
      </c>
      <c r="O3000">
        <v>-2.8952719999999999E-3</v>
      </c>
      <c r="P3000">
        <v>0.99141210000000002</v>
      </c>
      <c r="Q3000">
        <v>0.12767539999999999</v>
      </c>
      <c r="R3000">
        <v>2.830539E-2</v>
      </c>
      <c r="S3000">
        <v>3.063904</v>
      </c>
      <c r="T3000">
        <v>-0.25627090000000002</v>
      </c>
      <c r="U3000">
        <v>-0.1682129</v>
      </c>
      <c r="V3000">
        <v>-3.1030769999999999E-2</v>
      </c>
      <c r="W3000">
        <v>0.1389696</v>
      </c>
      <c r="X3000">
        <v>0.98981030000000003</v>
      </c>
      <c r="Y3000">
        <v>5.175751E-2</v>
      </c>
      <c r="Z3000">
        <v>-1.917586E-3</v>
      </c>
      <c r="AA3000">
        <v>0.99865780000000004</v>
      </c>
      <c r="AB3000">
        <v>36</v>
      </c>
      <c r="AC3000">
        <v>0.80389999999999795</v>
      </c>
      <c r="AD3000">
        <v>-8.2000000000000003E-2</v>
      </c>
      <c r="AE3000">
        <v>-5.3359999999997798E-2</v>
      </c>
      <c r="AF3000">
        <v>5.05088994273434E-2</v>
      </c>
      <c r="AG3000">
        <v>-8.2000000000000003E-2</v>
      </c>
      <c r="AH3000">
        <v>0.79580742743717803</v>
      </c>
      <c r="AI3000">
        <v>95.871264645902997</v>
      </c>
      <c r="AJ3000">
        <v>86.368379895822102</v>
      </c>
      <c r="AK3000">
        <v>0.80161375392737699</v>
      </c>
      <c r="AL3000">
        <v>82.011773714532595</v>
      </c>
      <c r="AM3000">
        <v>91.795647132815304</v>
      </c>
      <c r="AN3000">
        <v>0.99999994419851901</v>
      </c>
    </row>
    <row r="3001" spans="1:40" x14ac:dyDescent="0.3">
      <c r="A3001" t="str">
        <f>"20200111150412913"</f>
        <v>20200111150412913</v>
      </c>
      <c r="B3001" t="str">
        <f>"1578726252901229"</f>
        <v>1578726252901229</v>
      </c>
      <c r="C3001" t="s">
        <v>40</v>
      </c>
      <c r="D3001">
        <v>5.1664510000000003</v>
      </c>
      <c r="E3001">
        <v>0.53252569999999999</v>
      </c>
      <c r="F3001" t="s">
        <v>42</v>
      </c>
      <c r="G3001">
        <v>-227.57550000000001</v>
      </c>
      <c r="H3001">
        <v>1.036044</v>
      </c>
      <c r="I3001">
        <v>-57.486370000000001</v>
      </c>
      <c r="J3001">
        <v>-228.22399999999999</v>
      </c>
      <c r="K3001">
        <v>1.103575</v>
      </c>
      <c r="L3001">
        <v>-57.44229</v>
      </c>
      <c r="M3001">
        <v>0.99993109999999996</v>
      </c>
      <c r="N3001">
        <v>0</v>
      </c>
      <c r="O3001">
        <v>-2.9773909999999998E-3</v>
      </c>
      <c r="P3001">
        <v>0.99141729999999995</v>
      </c>
      <c r="Q3001">
        <v>0.12770490000000001</v>
      </c>
      <c r="R3001">
        <v>2.7991889999999998E-2</v>
      </c>
      <c r="S3001">
        <v>3.0635829999999999</v>
      </c>
      <c r="T3001">
        <v>-0.25482630000000001</v>
      </c>
      <c r="U3001">
        <v>-0.1678162</v>
      </c>
      <c r="V3001">
        <v>-3.0813070000000001E-2</v>
      </c>
      <c r="W3001">
        <v>0.13899700000000001</v>
      </c>
      <c r="X3001">
        <v>0.98981330000000001</v>
      </c>
      <c r="Y3001">
        <v>5.1555120000000003E-2</v>
      </c>
      <c r="Z3001">
        <v>-1.891808E-3</v>
      </c>
      <c r="AA3001">
        <v>0.99866840000000001</v>
      </c>
      <c r="AB3001">
        <v>36</v>
      </c>
      <c r="AC3001">
        <v>0.64850000000001196</v>
      </c>
      <c r="AD3001">
        <v>-6.7530999999999994E-2</v>
      </c>
      <c r="AE3001">
        <v>-4.4079999999993902E-2</v>
      </c>
      <c r="AF3001">
        <v>4.1698743661601097E-2</v>
      </c>
      <c r="AG3001">
        <v>-6.7530999999999994E-2</v>
      </c>
      <c r="AH3001">
        <v>0.641701814655529</v>
      </c>
      <c r="AI3001">
        <v>95.994992102693402</v>
      </c>
      <c r="AJ3001">
        <v>86.282061790101196</v>
      </c>
      <c r="AK3001">
        <v>0.64659140120802305</v>
      </c>
      <c r="AL3001">
        <v>82.010188793341698</v>
      </c>
      <c r="AM3001">
        <v>91.783052320076706</v>
      </c>
      <c r="AN3001">
        <v>0.99999999007435703</v>
      </c>
    </row>
    <row r="3002" spans="1:40" x14ac:dyDescent="0.3">
      <c r="A3002" t="str">
        <f>"20200111150412924"</f>
        <v>20200111150412924</v>
      </c>
      <c r="B3002" t="str">
        <f>"1578726252921724"</f>
        <v>1578726252921724</v>
      </c>
      <c r="C3002" t="s">
        <v>40</v>
      </c>
      <c r="D3002">
        <v>5.1821449999999896</v>
      </c>
      <c r="E3002">
        <v>0.53181699999999998</v>
      </c>
      <c r="F3002" t="s">
        <v>42</v>
      </c>
      <c r="G3002">
        <v>-227.2587</v>
      </c>
      <c r="H3002">
        <v>1.0242709999999999</v>
      </c>
      <c r="I3002">
        <v>-57.495330000000003</v>
      </c>
      <c r="J3002">
        <v>-228.0429</v>
      </c>
      <c r="K3002">
        <v>1.1036239999999999</v>
      </c>
      <c r="L3002">
        <v>-57.442929999999997</v>
      </c>
      <c r="M3002">
        <v>0.9999306</v>
      </c>
      <c r="N3002">
        <v>0</v>
      </c>
      <c r="O3002">
        <v>-3.0490030000000002E-3</v>
      </c>
      <c r="P3002">
        <v>0.99140879999999998</v>
      </c>
      <c r="Q3002">
        <v>0.1277731</v>
      </c>
      <c r="R3002">
        <v>2.797552E-2</v>
      </c>
      <c r="S3002">
        <v>3.0631409999999999</v>
      </c>
      <c r="T3002">
        <v>-0.25162990000000002</v>
      </c>
      <c r="U3002">
        <v>-0.16793820000000001</v>
      </c>
      <c r="V3002">
        <v>-3.0881680000000002E-2</v>
      </c>
      <c r="W3002">
        <v>0.13906450000000001</v>
      </c>
      <c r="X3002">
        <v>0.98980170000000001</v>
      </c>
      <c r="Y3002">
        <v>5.1535579999999998E-2</v>
      </c>
      <c r="Z3002">
        <v>-1.861756E-3</v>
      </c>
      <c r="AA3002">
        <v>0.99866940000000004</v>
      </c>
      <c r="AB3002">
        <v>36</v>
      </c>
      <c r="AC3002">
        <v>0.78419999999999801</v>
      </c>
      <c r="AD3002">
        <v>-7.9352999999999896E-2</v>
      </c>
      <c r="AE3002">
        <v>-5.23999999999986E-2</v>
      </c>
      <c r="AF3002">
        <v>4.9503937663156E-2</v>
      </c>
      <c r="AG3002">
        <v>-7.9352999999999896E-2</v>
      </c>
      <c r="AH3002">
        <v>0.77644120669985195</v>
      </c>
      <c r="AI3002">
        <v>95.823677055626703</v>
      </c>
      <c r="AJ3002">
        <v>86.351903110074204</v>
      </c>
      <c r="AK3002">
        <v>0.78205401726139101</v>
      </c>
      <c r="AL3002">
        <v>82.006283554110198</v>
      </c>
      <c r="AM3002">
        <v>91.787040916041306</v>
      </c>
      <c r="AN3002">
        <v>1.0000000093213799</v>
      </c>
    </row>
    <row r="3003" spans="1:40" x14ac:dyDescent="0.3">
      <c r="A3003" t="str">
        <f>"20200111150412936"</f>
        <v>20200111150412936</v>
      </c>
      <c r="B3003" t="str">
        <f>"1578726252931484"</f>
        <v>1578726252931484</v>
      </c>
      <c r="C3003" t="s">
        <v>40</v>
      </c>
      <c r="D3003">
        <v>5.1636059999999997</v>
      </c>
      <c r="E3003">
        <v>0.53153619999999902</v>
      </c>
      <c r="F3003" t="s">
        <v>42</v>
      </c>
      <c r="G3003">
        <v>-227.2517</v>
      </c>
      <c r="H3003">
        <v>1.0382849999999999</v>
      </c>
      <c r="I3003">
        <v>-57.484999999999999</v>
      </c>
      <c r="J3003">
        <v>-227.85169999999999</v>
      </c>
      <c r="K3003">
        <v>1.103669</v>
      </c>
      <c r="L3003">
        <v>-57.443570000000001</v>
      </c>
      <c r="M3003">
        <v>0.9999304</v>
      </c>
      <c r="N3003">
        <v>0</v>
      </c>
      <c r="O3003">
        <v>-3.1063509999999998E-3</v>
      </c>
      <c r="P3003">
        <v>0.99140019999999995</v>
      </c>
      <c r="Q3003">
        <v>0.12779119999999999</v>
      </c>
      <c r="R3003">
        <v>2.8192350000000001E-2</v>
      </c>
      <c r="S3003">
        <v>3.0631710000000001</v>
      </c>
      <c r="T3003">
        <v>-0.25295489999999998</v>
      </c>
      <c r="U3003">
        <v>-0.16241459999999999</v>
      </c>
      <c r="V3003">
        <v>-3.1169499999999999E-2</v>
      </c>
      <c r="W3003">
        <v>0.1390834</v>
      </c>
      <c r="X3003">
        <v>0.98978999999999995</v>
      </c>
      <c r="Y3003">
        <v>4.968678E-2</v>
      </c>
      <c r="Z3003">
        <v>-1.79072E-3</v>
      </c>
      <c r="AA3003">
        <v>0.99876330000000002</v>
      </c>
      <c r="AB3003">
        <v>36</v>
      </c>
      <c r="AC3003">
        <v>0.59999999999999398</v>
      </c>
      <c r="AD3003">
        <v>-6.5383999999999803E-2</v>
      </c>
      <c r="AE3003">
        <v>-4.14300000000054E-2</v>
      </c>
      <c r="AF3003">
        <v>3.9103708420598501E-2</v>
      </c>
      <c r="AG3003">
        <v>-6.5383999999999803E-2</v>
      </c>
      <c r="AH3003">
        <v>0.59311586986784304</v>
      </c>
      <c r="AI3003">
        <v>96.277261696402903</v>
      </c>
      <c r="AJ3003">
        <v>86.227988824760104</v>
      </c>
      <c r="AK3003">
        <v>0.59798879801993898</v>
      </c>
      <c r="AL3003">
        <v>82.005189857407899</v>
      </c>
      <c r="AM3003">
        <v>91.803706651995299</v>
      </c>
      <c r="AN3003">
        <v>0.99999998699290404</v>
      </c>
    </row>
    <row r="3004" spans="1:40" x14ac:dyDescent="0.3">
      <c r="A3004" t="str">
        <f>"20200111150412948"</f>
        <v>20200111150412948</v>
      </c>
      <c r="B3004" t="str">
        <f>"1578726252941244"</f>
        <v>1578726252941244</v>
      </c>
      <c r="C3004" t="s">
        <v>40</v>
      </c>
      <c r="D3004">
        <v>4.9813689999999999</v>
      </c>
      <c r="E3004">
        <v>0.53153619999999902</v>
      </c>
      <c r="F3004" t="s">
        <v>42</v>
      </c>
      <c r="G3004">
        <v>-226.934</v>
      </c>
      <c r="H3004">
        <v>1.02784599999999</v>
      </c>
      <c r="I3004">
        <v>-57.491570000000003</v>
      </c>
      <c r="J3004">
        <v>-227.667</v>
      </c>
      <c r="K3004">
        <v>1.1037079999999999</v>
      </c>
      <c r="L3004">
        <v>-57.444209999999998</v>
      </c>
      <c r="M3004">
        <v>0.99993030000000005</v>
      </c>
      <c r="N3004">
        <v>0</v>
      </c>
      <c r="O3004">
        <v>-3.151362E-3</v>
      </c>
      <c r="P3004">
        <v>0.99138740000000003</v>
      </c>
      <c r="Q3004">
        <v>0.1278397</v>
      </c>
      <c r="R3004">
        <v>2.8429039999999999E-2</v>
      </c>
      <c r="S3004">
        <v>3.063202</v>
      </c>
      <c r="T3004">
        <v>-0.253085</v>
      </c>
      <c r="U3004">
        <v>-0.1595154</v>
      </c>
      <c r="V3004">
        <v>-3.1463779999999997E-2</v>
      </c>
      <c r="W3004">
        <v>0.13913339999999999</v>
      </c>
      <c r="X3004">
        <v>0.98977369999999998</v>
      </c>
      <c r="Y3004">
        <v>4.8701920000000003E-2</v>
      </c>
      <c r="Z3004">
        <v>-1.747366E-3</v>
      </c>
      <c r="AA3004">
        <v>0.99881180000000003</v>
      </c>
      <c r="AB3004">
        <v>36</v>
      </c>
      <c r="AC3004">
        <v>0.732999999999975</v>
      </c>
      <c r="AD3004">
        <v>-7.5862000000000096E-2</v>
      </c>
      <c r="AE3004">
        <v>-4.7359999999997598E-2</v>
      </c>
      <c r="AF3004">
        <v>4.4574205795612699E-2</v>
      </c>
      <c r="AG3004">
        <v>-7.5862000000000096E-2</v>
      </c>
      <c r="AH3004">
        <v>0.72540788627102804</v>
      </c>
      <c r="AI3004">
        <v>95.9590415138141</v>
      </c>
      <c r="AJ3004">
        <v>86.483761938061605</v>
      </c>
      <c r="AK3004">
        <v>0.73072464330314602</v>
      </c>
      <c r="AL3004">
        <v>82.0022972456172</v>
      </c>
      <c r="AM3004">
        <v>91.820754508652698</v>
      </c>
      <c r="AN3004">
        <v>1.00000002482956</v>
      </c>
    </row>
    <row r="3005" spans="1:40" x14ac:dyDescent="0.3">
      <c r="A3005" t="str">
        <f>"20200111150412957"</f>
        <v>20200111150412957</v>
      </c>
      <c r="B3005" t="str">
        <f>"1578726252951005"</f>
        <v>1578726252951005</v>
      </c>
      <c r="C3005" t="s">
        <v>40</v>
      </c>
      <c r="D3005">
        <v>5.2104100000000004</v>
      </c>
      <c r="E3005">
        <v>0.5313485</v>
      </c>
      <c r="F3005" t="s">
        <v>42</v>
      </c>
      <c r="G3005">
        <v>-226.92670000000001</v>
      </c>
      <c r="H3005">
        <v>1.0425869999999999</v>
      </c>
      <c r="I3005">
        <v>-57.482810000000001</v>
      </c>
      <c r="J3005">
        <v>-227.49809999999999</v>
      </c>
      <c r="K3005">
        <v>1.1037440000000001</v>
      </c>
      <c r="L3005">
        <v>-57.444789999999998</v>
      </c>
      <c r="M3005">
        <v>0.99993019999999999</v>
      </c>
      <c r="N3005">
        <v>0</v>
      </c>
      <c r="O3005">
        <v>-3.1762549999999998E-3</v>
      </c>
      <c r="P3005">
        <v>0.99135240000000002</v>
      </c>
      <c r="Q3005">
        <v>0.12790280000000001</v>
      </c>
      <c r="R3005">
        <v>2.934848E-2</v>
      </c>
      <c r="S3005">
        <v>3.0632320000000002</v>
      </c>
      <c r="T3005">
        <v>-0.25291219999999998</v>
      </c>
      <c r="U3005">
        <v>-0.15884400000000001</v>
      </c>
      <c r="V3005">
        <v>-3.2416819999999999E-2</v>
      </c>
      <c r="W3005">
        <v>0.13920099999999999</v>
      </c>
      <c r="X3005">
        <v>0.98973339999999999</v>
      </c>
      <c r="Y3005">
        <v>4.8459330000000002E-2</v>
      </c>
      <c r="Z3005">
        <v>-1.7341279999999999E-3</v>
      </c>
      <c r="AA3005">
        <v>0.99882360000000003</v>
      </c>
      <c r="AB3005">
        <v>36</v>
      </c>
      <c r="AC3005">
        <v>0.57139999999998203</v>
      </c>
      <c r="AD3005">
        <v>-6.1156999999999899E-2</v>
      </c>
      <c r="AE3005">
        <v>-3.8019999999995897E-2</v>
      </c>
      <c r="AF3005">
        <v>3.5796521055710601E-2</v>
      </c>
      <c r="AG3005">
        <v>-6.1156999999999899E-2</v>
      </c>
      <c r="AH3005">
        <v>0.56507325472587999</v>
      </c>
      <c r="AI3005">
        <v>96.164728391310007</v>
      </c>
      <c r="AJ3005">
        <v>86.375244114774603</v>
      </c>
      <c r="AK3005">
        <v>0.56949921226915801</v>
      </c>
      <c r="AL3005">
        <v>81.9983856762328</v>
      </c>
      <c r="AM3005">
        <v>91.875942787367705</v>
      </c>
      <c r="AN3005">
        <v>0.99999998584773597</v>
      </c>
    </row>
    <row r="3006" spans="1:40" x14ac:dyDescent="0.3">
      <c r="A3006" t="str">
        <f>"20200111150412968"</f>
        <v>20200111150412968</v>
      </c>
      <c r="B3006" t="str">
        <f>"1578726252961740"</f>
        <v>1578726252961740</v>
      </c>
      <c r="C3006" t="s">
        <v>40</v>
      </c>
      <c r="D3006">
        <v>5.1852039999999997</v>
      </c>
      <c r="E3006">
        <v>0.53120959999999995</v>
      </c>
      <c r="F3006" t="s">
        <v>42</v>
      </c>
      <c r="G3006">
        <v>-226.6097</v>
      </c>
      <c r="H3006">
        <v>1.0306249999999999</v>
      </c>
      <c r="I3006">
        <v>-57.489739999999998</v>
      </c>
      <c r="J3006">
        <v>-227.32849999999999</v>
      </c>
      <c r="K3006">
        <v>1.103775</v>
      </c>
      <c r="L3006">
        <v>-57.445369999999997</v>
      </c>
      <c r="M3006">
        <v>0.99992999999999999</v>
      </c>
      <c r="N3006">
        <v>0</v>
      </c>
      <c r="O3006">
        <v>-3.1992520000000001E-3</v>
      </c>
      <c r="P3006">
        <v>0.99132310000000001</v>
      </c>
      <c r="Q3006">
        <v>0.1279777</v>
      </c>
      <c r="R3006">
        <v>3.0007140000000002E-2</v>
      </c>
      <c r="S3006">
        <v>3.0632480000000002</v>
      </c>
      <c r="T3006">
        <v>-0.2520831</v>
      </c>
      <c r="U3006">
        <v>-0.15463260000000001</v>
      </c>
      <c r="V3006">
        <v>-3.31083E-2</v>
      </c>
      <c r="W3006">
        <v>0.1392803</v>
      </c>
      <c r="X3006">
        <v>0.98969940000000001</v>
      </c>
      <c r="Y3006">
        <v>4.7072179999999998E-2</v>
      </c>
      <c r="Z3006">
        <v>-1.6696809999999999E-3</v>
      </c>
      <c r="AA3006">
        <v>0.9988901</v>
      </c>
      <c r="AB3006">
        <v>36</v>
      </c>
      <c r="AC3006">
        <v>0.718799999999987</v>
      </c>
      <c r="AD3006">
        <v>-7.3150000000000007E-2</v>
      </c>
      <c r="AE3006">
        <v>-4.4370000000007702E-2</v>
      </c>
      <c r="AF3006">
        <v>4.1640390093467497E-2</v>
      </c>
      <c r="AG3006">
        <v>-7.3150000000000007E-2</v>
      </c>
      <c r="AH3006">
        <v>0.71159661309960598</v>
      </c>
      <c r="AI3006">
        <v>95.859265413022598</v>
      </c>
      <c r="AJ3006">
        <v>86.651050670226198</v>
      </c>
      <c r="AK3006">
        <v>0.71655745363645995</v>
      </c>
      <c r="AL3006">
        <v>81.993797796086895</v>
      </c>
      <c r="AM3006">
        <v>91.915994596909201</v>
      </c>
      <c r="AN3006">
        <v>1.0000000319286599</v>
      </c>
    </row>
    <row r="3007" spans="1:40" x14ac:dyDescent="0.3">
      <c r="A3007" t="str">
        <f>"20200111150412979"</f>
        <v>20200111150412979</v>
      </c>
      <c r="B3007" t="str">
        <f>"1578726252971500"</f>
        <v>1578726252971500</v>
      </c>
      <c r="C3007" t="s">
        <v>40</v>
      </c>
      <c r="D3007">
        <v>5.1518370000000004</v>
      </c>
      <c r="E3007">
        <v>0.53103730000000005</v>
      </c>
      <c r="F3007" t="s">
        <v>42</v>
      </c>
      <c r="G3007">
        <v>-226.60249999999999</v>
      </c>
      <c r="H3007">
        <v>1.0440469999999999</v>
      </c>
      <c r="I3007">
        <v>-57.481369999999998</v>
      </c>
      <c r="J3007">
        <v>-227.1671</v>
      </c>
      <c r="K3007">
        <v>1.1037980000000001</v>
      </c>
      <c r="L3007">
        <v>-57.445889999999999</v>
      </c>
      <c r="M3007">
        <v>0.99992979999999998</v>
      </c>
      <c r="N3007">
        <v>0</v>
      </c>
      <c r="O3007">
        <v>-3.2099630000000001E-3</v>
      </c>
      <c r="P3007">
        <v>0.99130680000000004</v>
      </c>
      <c r="Q3007">
        <v>0.1279293</v>
      </c>
      <c r="R3007">
        <v>3.0739829999999999E-2</v>
      </c>
      <c r="S3007">
        <v>3.0633539999999999</v>
      </c>
      <c r="T3007">
        <v>-0.25195189999999901</v>
      </c>
      <c r="U3007">
        <v>-0.15142820000000001</v>
      </c>
      <c r="V3007">
        <v>-3.385838E-2</v>
      </c>
      <c r="W3007">
        <v>0.13923869999999999</v>
      </c>
      <c r="X3007">
        <v>0.9896798</v>
      </c>
      <c r="Y3007">
        <v>4.6021159999999998E-2</v>
      </c>
      <c r="Z3007">
        <v>-1.6248E-3</v>
      </c>
      <c r="AA3007">
        <v>0.99893920000000003</v>
      </c>
      <c r="AB3007">
        <v>36</v>
      </c>
      <c r="AC3007">
        <v>0.56460000000001198</v>
      </c>
      <c r="AD3007">
        <v>-5.9751000000000103E-2</v>
      </c>
      <c r="AE3007">
        <v>-3.5479999999992601E-2</v>
      </c>
      <c r="AF3007">
        <v>3.3295914824705702E-2</v>
      </c>
      <c r="AG3007">
        <v>-5.9751000000000103E-2</v>
      </c>
      <c r="AH3007">
        <v>0.55848074215003396</v>
      </c>
      <c r="AI3007">
        <v>96.096015579869999</v>
      </c>
      <c r="AJ3007">
        <v>86.588136704201702</v>
      </c>
      <c r="AK3007">
        <v>0.56265401384640201</v>
      </c>
      <c r="AL3007">
        <v>81.996204142328594</v>
      </c>
      <c r="AM3007">
        <v>91.959407431607701</v>
      </c>
      <c r="AN3007">
        <v>0.99999995600097602</v>
      </c>
    </row>
    <row r="3008" spans="1:40" x14ac:dyDescent="0.3">
      <c r="A3008" t="str">
        <f>"20200111150412990"</f>
        <v>20200111150412990</v>
      </c>
      <c r="B3008" t="str">
        <f>"1578726252981260"</f>
        <v>1578726252981260</v>
      </c>
      <c r="C3008" t="s">
        <v>40</v>
      </c>
      <c r="D3008">
        <v>5.1014710000000001</v>
      </c>
      <c r="E3008">
        <v>0.53073890000000001</v>
      </c>
      <c r="F3008" t="s">
        <v>42</v>
      </c>
      <c r="G3008">
        <v>-226.28630000000001</v>
      </c>
      <c r="H3008">
        <v>1.0313889999999999</v>
      </c>
      <c r="I3008">
        <v>-57.488509999999998</v>
      </c>
      <c r="J3008">
        <v>-226.99100000000001</v>
      </c>
      <c r="K3008">
        <v>1.103818</v>
      </c>
      <c r="L3008">
        <v>-57.446530000000003</v>
      </c>
      <c r="M3008">
        <v>0.99992979999999998</v>
      </c>
      <c r="N3008">
        <v>0</v>
      </c>
      <c r="O3008">
        <v>-3.2212539999999998E-3</v>
      </c>
      <c r="P3008">
        <v>0.99129639999999997</v>
      </c>
      <c r="Q3008">
        <v>0.1278965</v>
      </c>
      <c r="R3008">
        <v>3.1214169999999999E-2</v>
      </c>
      <c r="S3008">
        <v>3.0633849999999998</v>
      </c>
      <c r="T3008">
        <v>-0.25179179999999901</v>
      </c>
      <c r="U3008">
        <v>-0.14782709999999999</v>
      </c>
      <c r="V3008">
        <v>-3.4351659999999999E-2</v>
      </c>
      <c r="W3008">
        <v>0.1392128</v>
      </c>
      <c r="X3008">
        <v>0.9896665</v>
      </c>
      <c r="Y3008">
        <v>4.4842060000000003E-2</v>
      </c>
      <c r="Z3008">
        <v>-1.574527E-3</v>
      </c>
      <c r="AA3008">
        <v>0.99899289999999996</v>
      </c>
      <c r="AB3008">
        <v>36</v>
      </c>
      <c r="AC3008">
        <v>0.70469999999997401</v>
      </c>
      <c r="AD3008">
        <v>-7.2428999999999993E-2</v>
      </c>
      <c r="AE3008">
        <v>-4.1979999999995202E-2</v>
      </c>
      <c r="AF3008">
        <v>3.9295973572721903E-2</v>
      </c>
      <c r="AG3008">
        <v>-7.2428999999999993E-2</v>
      </c>
      <c r="AH3008">
        <v>0.69748955862212603</v>
      </c>
      <c r="AI3008">
        <v>95.919163828508303</v>
      </c>
      <c r="AJ3008">
        <v>86.775412935307898</v>
      </c>
      <c r="AK3008">
        <v>0.70234024373299098</v>
      </c>
      <c r="AL3008">
        <v>81.997703138807097</v>
      </c>
      <c r="AM3008">
        <v>91.987957834246899</v>
      </c>
      <c r="AN3008">
        <v>1.0000000107254201</v>
      </c>
    </row>
    <row r="3009" spans="1:40" x14ac:dyDescent="0.3">
      <c r="A3009" t="str">
        <f>"20200111150412999"</f>
        <v>20200111150412999</v>
      </c>
      <c r="B3009" t="str">
        <f>"1578726252991020"</f>
        <v>1578726252991020</v>
      </c>
      <c r="C3009" t="s">
        <v>40</v>
      </c>
      <c r="D3009">
        <v>5.4160170000000001</v>
      </c>
      <c r="E3009">
        <v>0.53030739999999998</v>
      </c>
      <c r="F3009" t="s">
        <v>42</v>
      </c>
      <c r="G3009">
        <v>-225.9692</v>
      </c>
      <c r="H3009">
        <v>1.019353</v>
      </c>
      <c r="I3009">
        <v>-57.494529999999997</v>
      </c>
      <c r="J3009">
        <v>-226.8186</v>
      </c>
      <c r="K3009">
        <v>1.1038349999999999</v>
      </c>
      <c r="L3009">
        <v>-57.44708</v>
      </c>
      <c r="M3009">
        <v>0.99992970000000003</v>
      </c>
      <c r="N3009">
        <v>0</v>
      </c>
      <c r="O3009">
        <v>-3.2259469999999998E-3</v>
      </c>
      <c r="P3009">
        <v>0.99129869999999998</v>
      </c>
      <c r="Q3009">
        <v>0.1278185</v>
      </c>
      <c r="R3009">
        <v>3.1458930000000003E-2</v>
      </c>
      <c r="S3009">
        <v>3.0635379999999999</v>
      </c>
      <c r="T3009">
        <v>-0.25324869999999999</v>
      </c>
      <c r="U3009">
        <v>-0.14370729999999901</v>
      </c>
      <c r="V3009">
        <v>-3.4606360000000003E-2</v>
      </c>
      <c r="W3009">
        <v>0.13914190000000001</v>
      </c>
      <c r="X3009">
        <v>0.98966759999999998</v>
      </c>
      <c r="Y3009">
        <v>4.3497500000000001E-2</v>
      </c>
      <c r="Z3009">
        <v>-1.527741E-3</v>
      </c>
      <c r="AA3009">
        <v>0.9990523</v>
      </c>
      <c r="AB3009">
        <v>36</v>
      </c>
      <c r="AC3009">
        <v>0.84940000000000204</v>
      </c>
      <c r="AD3009">
        <v>-8.4481999999999904E-2</v>
      </c>
      <c r="AE3009">
        <v>-4.7449999999997702E-2</v>
      </c>
      <c r="AF3009">
        <v>4.4272850841699497E-2</v>
      </c>
      <c r="AG3009">
        <v>-8.4481999999999904E-2</v>
      </c>
      <c r="AH3009">
        <v>0.84125250215991898</v>
      </c>
      <c r="AI3009">
        <v>95.726776701299201</v>
      </c>
      <c r="AJ3009">
        <v>86.987456778122393</v>
      </c>
      <c r="AK3009">
        <v>0.84664223024603202</v>
      </c>
      <c r="AL3009">
        <v>82.001805356512605</v>
      </c>
      <c r="AM3009">
        <v>92.002683342923007</v>
      </c>
      <c r="AN3009">
        <v>1.0000000134889</v>
      </c>
    </row>
    <row r="3010" spans="1:40" x14ac:dyDescent="0.3">
      <c r="A3010" t="str">
        <f>"20200111150413011"</f>
        <v>20200111150413011</v>
      </c>
      <c r="B3010" t="str">
        <f>"1578726253001756"</f>
        <v>1578726253001756</v>
      </c>
      <c r="C3010" t="s">
        <v>40</v>
      </c>
      <c r="D3010">
        <v>5.1287789999999998</v>
      </c>
      <c r="E3010">
        <v>0.52987130000000005</v>
      </c>
      <c r="F3010" t="s">
        <v>42</v>
      </c>
      <c r="G3010">
        <v>-225.96180000000001</v>
      </c>
      <c r="H3010">
        <v>1.0343309999999999</v>
      </c>
      <c r="I3010">
        <v>-57.4861</v>
      </c>
      <c r="J3010">
        <v>-226.6378</v>
      </c>
      <c r="K3010">
        <v>1.103853</v>
      </c>
      <c r="L3010">
        <v>-57.447719999999997</v>
      </c>
      <c r="M3010">
        <v>0.99992950000000003</v>
      </c>
      <c r="N3010">
        <v>0</v>
      </c>
      <c r="O3010">
        <v>-3.2298140000000001E-3</v>
      </c>
      <c r="P3010">
        <v>0.99129069999999997</v>
      </c>
      <c r="Q3010">
        <v>0.12787119999999999</v>
      </c>
      <c r="R3010">
        <v>3.1493779999999999E-2</v>
      </c>
      <c r="S3010">
        <v>3.0627589999999998</v>
      </c>
      <c r="T3010">
        <v>-0.24843219999999999</v>
      </c>
      <c r="U3010">
        <v>-0.13925170000000001</v>
      </c>
      <c r="V3010">
        <v>-3.4651370000000001E-2</v>
      </c>
      <c r="W3010">
        <v>0.1392033</v>
      </c>
      <c r="X3010">
        <v>0.98965740000000002</v>
      </c>
      <c r="Y3010">
        <v>4.2064959999999998E-2</v>
      </c>
      <c r="Z3010">
        <v>-1.440923E-3</v>
      </c>
      <c r="AA3010">
        <v>0.9991139</v>
      </c>
      <c r="AB3010">
        <v>36</v>
      </c>
      <c r="AC3010">
        <v>0.67599999999998694</v>
      </c>
      <c r="AD3010">
        <v>-6.9522E-2</v>
      </c>
      <c r="AE3010">
        <v>-3.8380000000003599E-2</v>
      </c>
      <c r="AF3010">
        <v>3.5818676019629701E-2</v>
      </c>
      <c r="AG3010">
        <v>-6.9522E-2</v>
      </c>
      <c r="AH3010">
        <v>0.66906664683022099</v>
      </c>
      <c r="AI3010">
        <v>95.923831605110493</v>
      </c>
      <c r="AJ3010">
        <v>86.935579246038699</v>
      </c>
      <c r="AK3010">
        <v>0.67362189983434695</v>
      </c>
      <c r="AL3010">
        <v>81.998252897721798</v>
      </c>
      <c r="AM3010">
        <v>92.005306614540601</v>
      </c>
      <c r="AN3010">
        <v>1.00000002277426</v>
      </c>
    </row>
    <row r="3011" spans="1:40" x14ac:dyDescent="0.3">
      <c r="A3011" t="str">
        <f>"20200111150413022"</f>
        <v>20200111150413022</v>
      </c>
      <c r="B3011" t="str">
        <f>"1578726253011516"</f>
        <v>1578726253011516</v>
      </c>
      <c r="C3011" t="s">
        <v>40</v>
      </c>
      <c r="D3011">
        <v>5.2262279999999999</v>
      </c>
      <c r="E3011">
        <v>0.52962670000000001</v>
      </c>
      <c r="F3011" t="s">
        <v>42</v>
      </c>
      <c r="G3011">
        <v>-225.64340000000001</v>
      </c>
      <c r="H3011">
        <v>1.024626</v>
      </c>
      <c r="I3011">
        <v>-57.491919999999901</v>
      </c>
      <c r="J3011">
        <v>-226.4597</v>
      </c>
      <c r="K3011">
        <v>1.1038699999999999</v>
      </c>
      <c r="L3011">
        <v>-57.448300000000003</v>
      </c>
      <c r="M3011">
        <v>0.99992930000000002</v>
      </c>
      <c r="N3011">
        <v>0</v>
      </c>
      <c r="O3011">
        <v>-3.231233E-3</v>
      </c>
      <c r="P3011">
        <v>0.99134359999999999</v>
      </c>
      <c r="Q3011">
        <v>0.12752069999999999</v>
      </c>
      <c r="R3011">
        <v>3.124708E-2</v>
      </c>
      <c r="S3011">
        <v>3.0621640000000001</v>
      </c>
      <c r="T3011">
        <v>-0.243925</v>
      </c>
      <c r="U3011">
        <v>-0.13546749999999999</v>
      </c>
      <c r="V3011">
        <v>-3.4410459999999997E-2</v>
      </c>
      <c r="W3011">
        <v>0.138863299999999</v>
      </c>
      <c r="X3011">
        <v>0.98971350000000002</v>
      </c>
      <c r="Y3011">
        <v>4.084848E-2</v>
      </c>
      <c r="Z3011">
        <v>-1.3667130000000001E-3</v>
      </c>
      <c r="AA3011">
        <v>0.99916439999999995</v>
      </c>
      <c r="AB3011">
        <v>36</v>
      </c>
      <c r="AC3011">
        <v>0.81629999999998404</v>
      </c>
      <c r="AD3011">
        <v>-7.9243999999999995E-2</v>
      </c>
      <c r="AE3011">
        <v>-4.361999999999E-2</v>
      </c>
      <c r="AF3011">
        <v>4.0600416971192502E-2</v>
      </c>
      <c r="AG3011">
        <v>-7.9243999999999995E-2</v>
      </c>
      <c r="AH3011">
        <v>0.80883596356109799</v>
      </c>
      <c r="AI3011">
        <v>95.588583947637204</v>
      </c>
      <c r="AJ3011">
        <v>87.126386772249106</v>
      </c>
      <c r="AK3011">
        <v>0.81372207868783097</v>
      </c>
      <c r="AL3011">
        <v>82.017923966130098</v>
      </c>
      <c r="AM3011">
        <v>91.991263409171097</v>
      </c>
      <c r="AN3011">
        <v>0.99999995396327401</v>
      </c>
    </row>
    <row r="3012" spans="1:40" x14ac:dyDescent="0.3">
      <c r="A3012" t="str">
        <f>"20200111150413033"</f>
        <v>20200111150413033</v>
      </c>
      <c r="B3012" t="str">
        <f>"1578726253031037"</f>
        <v>1578726253031037</v>
      </c>
      <c r="C3012" t="s">
        <v>40</v>
      </c>
      <c r="D3012">
        <v>5.1633420000000001</v>
      </c>
      <c r="E3012">
        <v>0.52896509999999997</v>
      </c>
      <c r="F3012" t="s">
        <v>42</v>
      </c>
      <c r="G3012">
        <v>-225.63659999999999</v>
      </c>
      <c r="H3012">
        <v>1.038357</v>
      </c>
      <c r="I3012">
        <v>-57.484560000000002</v>
      </c>
      <c r="J3012">
        <v>-226.27420000000001</v>
      </c>
      <c r="K3012">
        <v>1.103882</v>
      </c>
      <c r="L3012">
        <v>-57.44894</v>
      </c>
      <c r="M3012">
        <v>0.99992939999999997</v>
      </c>
      <c r="N3012">
        <v>0</v>
      </c>
      <c r="O3012">
        <v>-3.2324329999999998E-3</v>
      </c>
      <c r="P3012">
        <v>0.99135609999999996</v>
      </c>
      <c r="Q3012">
        <v>0.1274759</v>
      </c>
      <c r="R3012">
        <v>3.1038840000000002E-2</v>
      </c>
      <c r="S3012">
        <v>3.0617679999999998</v>
      </c>
      <c r="T3012">
        <v>-0.2436478</v>
      </c>
      <c r="U3012">
        <v>-0.13412479999999999</v>
      </c>
      <c r="V3012">
        <v>-3.4207700000000001E-2</v>
      </c>
      <c r="W3012">
        <v>0.138829799999999</v>
      </c>
      <c r="X3012">
        <v>0.98972530000000003</v>
      </c>
      <c r="Y3012">
        <v>4.0417250000000002E-2</v>
      </c>
      <c r="Z3012">
        <v>-1.348136E-3</v>
      </c>
      <c r="AA3012">
        <v>0.99918200000000001</v>
      </c>
      <c r="AB3012">
        <v>36</v>
      </c>
      <c r="AC3012">
        <v>0.63760000000002004</v>
      </c>
      <c r="AD3012">
        <v>-6.5525E-2</v>
      </c>
      <c r="AE3012">
        <v>-3.5619999999994399E-2</v>
      </c>
      <c r="AF3012">
        <v>3.3209040386114802E-2</v>
      </c>
      <c r="AG3012">
        <v>-6.5525E-2</v>
      </c>
      <c r="AH3012">
        <v>0.63106765582131097</v>
      </c>
      <c r="AI3012">
        <v>95.919759061886197</v>
      </c>
      <c r="AJ3012">
        <v>86.987669434978599</v>
      </c>
      <c r="AK3012">
        <v>0.63532885359644398</v>
      </c>
      <c r="AL3012">
        <v>82.019862717085005</v>
      </c>
      <c r="AM3012">
        <v>91.979515880139203</v>
      </c>
      <c r="AN3012">
        <v>1.0000000247837</v>
      </c>
    </row>
    <row r="3013" spans="1:40" x14ac:dyDescent="0.3">
      <c r="A3013" t="str">
        <f>"20200111150413044"</f>
        <v>20200111150413044</v>
      </c>
      <c r="B3013" t="str">
        <f>"1578726253041773"</f>
        <v>1578726253041773</v>
      </c>
      <c r="C3013" t="s">
        <v>40</v>
      </c>
      <c r="D3013">
        <v>5.2806319999999998</v>
      </c>
      <c r="E3013">
        <v>0.52885190000000004</v>
      </c>
      <c r="F3013" t="s">
        <v>42</v>
      </c>
      <c r="G3013">
        <v>-225.31899999999999</v>
      </c>
      <c r="H3013">
        <v>1.026953</v>
      </c>
      <c r="I3013">
        <v>-57.489280000000001</v>
      </c>
      <c r="J3013">
        <v>-226.096</v>
      </c>
      <c r="K3013">
        <v>1.1038950000000001</v>
      </c>
      <c r="L3013">
        <v>-57.4495199999999</v>
      </c>
      <c r="M3013">
        <v>0.99992899999999996</v>
      </c>
      <c r="N3013">
        <v>0</v>
      </c>
      <c r="O3013">
        <v>-3.2330689999999999E-3</v>
      </c>
      <c r="P3013">
        <v>0.99138749999999998</v>
      </c>
      <c r="Q3013">
        <v>0.1274208</v>
      </c>
      <c r="R3013">
        <v>3.0243329999999999E-2</v>
      </c>
      <c r="S3013">
        <v>3.0619200000000002</v>
      </c>
      <c r="T3013">
        <v>-0.24656929999999999</v>
      </c>
      <c r="U3013">
        <v>-0.129303</v>
      </c>
      <c r="V3013">
        <v>-3.3416920000000003E-2</v>
      </c>
      <c r="W3013">
        <v>0.13878589999999999</v>
      </c>
      <c r="X3013">
        <v>0.98975840000000004</v>
      </c>
      <c r="Y3013">
        <v>3.8846079999999998E-2</v>
      </c>
      <c r="Z3013">
        <v>-1.3010439999999999E-3</v>
      </c>
      <c r="AA3013">
        <v>0.99924429999999997</v>
      </c>
      <c r="AB3013">
        <v>36</v>
      </c>
      <c r="AC3013">
        <v>0.77699999999995795</v>
      </c>
      <c r="AD3013">
        <v>-7.6941999999999997E-2</v>
      </c>
      <c r="AE3013">
        <v>-3.9760000000015297E-2</v>
      </c>
      <c r="AF3013">
        <v>3.6886771108053697E-2</v>
      </c>
      <c r="AG3013">
        <v>-7.6941999999999997E-2</v>
      </c>
      <c r="AH3013">
        <v>0.76959764961927801</v>
      </c>
      <c r="AI3013">
        <v>95.702780189087605</v>
      </c>
      <c r="AJ3013">
        <v>87.255916604439093</v>
      </c>
      <c r="AK3013">
        <v>0.77431340395623705</v>
      </c>
      <c r="AL3013">
        <v>82.022402016830597</v>
      </c>
      <c r="AM3013">
        <v>91.933725909294097</v>
      </c>
      <c r="AN3013">
        <v>0.99999995347582704</v>
      </c>
    </row>
    <row r="3014" spans="1:40" x14ac:dyDescent="0.3">
      <c r="A3014" t="str">
        <f>"20200111150413056"</f>
        <v>20200111150413056</v>
      </c>
      <c r="B3014" t="str">
        <f>"1578726253051532"</f>
        <v>1578726253051532</v>
      </c>
      <c r="C3014" t="s">
        <v>40</v>
      </c>
      <c r="D3014">
        <v>5.2050229999999997</v>
      </c>
      <c r="E3014">
        <v>0.52865359999999995</v>
      </c>
      <c r="F3014" t="s">
        <v>42</v>
      </c>
      <c r="G3014">
        <v>-225.31229999999999</v>
      </c>
      <c r="H3014">
        <v>1.040405</v>
      </c>
      <c r="I3014">
        <v>-57.482939999999999</v>
      </c>
      <c r="J3014">
        <v>-225.9102</v>
      </c>
      <c r="K3014">
        <v>1.1039049999999999</v>
      </c>
      <c r="L3014">
        <v>-57.450159999999997</v>
      </c>
      <c r="M3014">
        <v>0.99992890000000001</v>
      </c>
      <c r="N3014">
        <v>0</v>
      </c>
      <c r="O3014">
        <v>-3.2342019999999998E-3</v>
      </c>
      <c r="P3014">
        <v>0.99140070000000002</v>
      </c>
      <c r="Q3014">
        <v>0.1273869</v>
      </c>
      <c r="R3014">
        <v>2.995714E-2</v>
      </c>
      <c r="S3014">
        <v>3.0619200000000002</v>
      </c>
      <c r="T3014">
        <v>-0.2480366</v>
      </c>
      <c r="U3014">
        <v>-0.13055419999999901</v>
      </c>
      <c r="V3014">
        <v>-3.3134780000000003E-2</v>
      </c>
      <c r="W3014">
        <v>0.1387651</v>
      </c>
      <c r="X3014">
        <v>0.98977079999999995</v>
      </c>
      <c r="Y3014">
        <v>3.9249859999999998E-2</v>
      </c>
      <c r="Z3014">
        <v>-1.324979E-3</v>
      </c>
      <c r="AA3014">
        <v>0.99922849999999996</v>
      </c>
      <c r="AB3014">
        <v>36</v>
      </c>
      <c r="AC3014">
        <v>0.59790000000000898</v>
      </c>
      <c r="AD3014">
        <v>-6.3499999999999807E-2</v>
      </c>
      <c r="AE3014">
        <v>-3.2780000000002397E-2</v>
      </c>
      <c r="AF3014">
        <v>3.0502944496709799E-2</v>
      </c>
      <c r="AG3014">
        <v>-6.3499999999999807E-2</v>
      </c>
      <c r="AH3014">
        <v>0.59135271526064803</v>
      </c>
      <c r="AI3014">
        <v>96.120913002909404</v>
      </c>
      <c r="AJ3014">
        <v>87.047206513648106</v>
      </c>
      <c r="AK3014">
        <v>0.59553397339623804</v>
      </c>
      <c r="AL3014">
        <v>82.023605398090993</v>
      </c>
      <c r="AM3014">
        <v>91.917387641727899</v>
      </c>
      <c r="AN3014">
        <v>0.99999995157814703</v>
      </c>
    </row>
    <row r="3015" spans="1:40" x14ac:dyDescent="0.3">
      <c r="A3015" t="str">
        <f>"20200111150413067"</f>
        <v>20200111150413067</v>
      </c>
      <c r="B3015" t="str">
        <f>"1578726253061293"</f>
        <v>1578726253061293</v>
      </c>
      <c r="C3015" t="s">
        <v>40</v>
      </c>
      <c r="D3015">
        <v>5.1670360000000004</v>
      </c>
      <c r="E3015">
        <v>0.52849299999999999</v>
      </c>
      <c r="F3015" t="s">
        <v>42</v>
      </c>
      <c r="G3015">
        <v>-224.9941</v>
      </c>
      <c r="H3015">
        <v>1.029933</v>
      </c>
      <c r="I3015">
        <v>-57.489199999999997</v>
      </c>
      <c r="J3015">
        <v>-225.7296</v>
      </c>
      <c r="K3015">
        <v>1.103917</v>
      </c>
      <c r="L3015">
        <v>-57.450780000000002</v>
      </c>
      <c r="M3015">
        <v>0.99992879999999995</v>
      </c>
      <c r="N3015">
        <v>0</v>
      </c>
      <c r="O3015">
        <v>-3.2354660000000002E-3</v>
      </c>
      <c r="P3015">
        <v>0.99144030000000005</v>
      </c>
      <c r="Q3015">
        <v>0.12722120000000001</v>
      </c>
      <c r="R3015">
        <v>2.9345639999999999E-2</v>
      </c>
      <c r="S3015">
        <v>3.0617070000000002</v>
      </c>
      <c r="T3015">
        <v>-0.24718490000000001</v>
      </c>
      <c r="U3015">
        <v>-0.12991330000000001</v>
      </c>
      <c r="V3015">
        <v>-3.2527599999999997E-2</v>
      </c>
      <c r="W3015">
        <v>0.1386116</v>
      </c>
      <c r="X3015">
        <v>0.98981249999999998</v>
      </c>
      <c r="Y3015">
        <v>3.9044240000000001E-2</v>
      </c>
      <c r="Z3015">
        <v>-1.312157E-3</v>
      </c>
      <c r="AA3015">
        <v>0.99923660000000003</v>
      </c>
      <c r="AB3015">
        <v>36</v>
      </c>
      <c r="AC3015">
        <v>0.73550000000000104</v>
      </c>
      <c r="AD3015">
        <v>-7.3983999999999994E-2</v>
      </c>
      <c r="AE3015">
        <v>-3.8419999999995E-2</v>
      </c>
      <c r="AF3015">
        <v>3.5679916719608601E-2</v>
      </c>
      <c r="AG3015">
        <v>-7.3983999999999994E-2</v>
      </c>
      <c r="AH3015">
        <v>0.72827160061680996</v>
      </c>
      <c r="AI3015">
        <v>95.793788773259493</v>
      </c>
      <c r="AJ3015">
        <v>87.195173672496296</v>
      </c>
      <c r="AK3015">
        <v>0.73288894996315002</v>
      </c>
      <c r="AL3015">
        <v>82.032486534003993</v>
      </c>
      <c r="AM3015">
        <v>91.882198640323296</v>
      </c>
      <c r="AN3015">
        <v>1.0000000027862801</v>
      </c>
    </row>
    <row r="3016" spans="1:40" x14ac:dyDescent="0.3">
      <c r="A3016" t="str">
        <f>"20200111150413079"</f>
        <v>20200111150413079</v>
      </c>
      <c r="B3016" t="str">
        <f>"1578726253071053"</f>
        <v>1578726253071053</v>
      </c>
      <c r="C3016" t="s">
        <v>40</v>
      </c>
      <c r="D3016">
        <v>5.2954089999999896</v>
      </c>
      <c r="E3016">
        <v>0.52849299999999999</v>
      </c>
      <c r="F3016" t="s">
        <v>42</v>
      </c>
      <c r="G3016">
        <v>-224.98650000000001</v>
      </c>
      <c r="H3016">
        <v>1.0436369999999999</v>
      </c>
      <c r="I3016">
        <v>-57.482640000000004</v>
      </c>
      <c r="J3016">
        <v>-225.5421</v>
      </c>
      <c r="K3016">
        <v>1.103925</v>
      </c>
      <c r="L3016">
        <v>-57.451390000000004</v>
      </c>
      <c r="M3016">
        <v>0.9999287</v>
      </c>
      <c r="N3016">
        <v>0</v>
      </c>
      <c r="O3016">
        <v>-3.2379399999999999E-3</v>
      </c>
      <c r="P3016">
        <v>0.99150349999999998</v>
      </c>
      <c r="Q3016">
        <v>0.12682389999999999</v>
      </c>
      <c r="R3016">
        <v>2.8920020000000001E-2</v>
      </c>
      <c r="S3016">
        <v>3.0616300000000001</v>
      </c>
      <c r="T3016">
        <v>-0.24826770000000001</v>
      </c>
      <c r="U3016">
        <v>-0.13055419999999901</v>
      </c>
      <c r="V3016">
        <v>-3.2107869999999997E-2</v>
      </c>
      <c r="W3016">
        <v>0.13822679999999901</v>
      </c>
      <c r="X3016">
        <v>0.98987999999999998</v>
      </c>
      <c r="Y3016">
        <v>3.9249909999999999E-2</v>
      </c>
      <c r="Z3016">
        <v>-1.326034E-3</v>
      </c>
      <c r="AA3016">
        <v>0.99922849999999996</v>
      </c>
      <c r="AB3016">
        <v>36</v>
      </c>
      <c r="AC3016">
        <v>0.55559999999999798</v>
      </c>
      <c r="AD3016">
        <v>-6.0287999999999897E-2</v>
      </c>
      <c r="AE3016">
        <v>-3.125E-2</v>
      </c>
      <c r="AF3016">
        <v>2.91090582053996E-2</v>
      </c>
      <c r="AG3016">
        <v>-6.0287999999999897E-2</v>
      </c>
      <c r="AH3016">
        <v>0.54925158838687504</v>
      </c>
      <c r="AI3016">
        <v>96.255223909754704</v>
      </c>
      <c r="AJ3016">
        <v>86.966294976814595</v>
      </c>
      <c r="AK3016">
        <v>0.55331662505215795</v>
      </c>
      <c r="AL3016">
        <v>82.0547481368815</v>
      </c>
      <c r="AM3016">
        <v>91.857801634708593</v>
      </c>
      <c r="AN3016">
        <v>0.99999998897708797</v>
      </c>
    </row>
    <row r="3017" spans="1:40" x14ac:dyDescent="0.3">
      <c r="A3017" t="str">
        <f>"20200111150413090"</f>
        <v>20200111150413090</v>
      </c>
      <c r="B3017" t="str">
        <f>"1578726253081788"</f>
        <v>1578726253081788</v>
      </c>
      <c r="C3017" t="s">
        <v>40</v>
      </c>
      <c r="D3017">
        <v>5.2423599999999997</v>
      </c>
      <c r="E3017">
        <v>0.52833889999999994</v>
      </c>
      <c r="F3017" t="s">
        <v>42</v>
      </c>
      <c r="G3017">
        <v>-224.66929999999999</v>
      </c>
      <c r="H3017">
        <v>1.0328189999999999</v>
      </c>
      <c r="I3017">
        <v>-57.4891199999999</v>
      </c>
      <c r="J3017">
        <v>-225.36590000000001</v>
      </c>
      <c r="K3017">
        <v>1.103931</v>
      </c>
      <c r="L3017">
        <v>-57.451970000000003</v>
      </c>
      <c r="M3017">
        <v>0.9999285</v>
      </c>
      <c r="N3017">
        <v>0</v>
      </c>
      <c r="O3017">
        <v>-3.2403000000000002E-3</v>
      </c>
      <c r="P3017">
        <v>0.99153840000000004</v>
      </c>
      <c r="Q3017">
        <v>0.1266004</v>
      </c>
      <c r="R3017">
        <v>2.8700139999999999E-2</v>
      </c>
      <c r="S3017">
        <v>3.0614620000000001</v>
      </c>
      <c r="T3017">
        <v>-0.24939320000000001</v>
      </c>
      <c r="U3017">
        <v>-0.13198850000000001</v>
      </c>
      <c r="V3017">
        <v>-3.1892169999999997E-2</v>
      </c>
      <c r="W3017">
        <v>0.13801469999999999</v>
      </c>
      <c r="X3017">
        <v>0.98991660000000004</v>
      </c>
      <c r="Y3017">
        <v>3.9714560000000003E-2</v>
      </c>
      <c r="Z3017">
        <v>-1.3507790000000001E-3</v>
      </c>
      <c r="AA3017">
        <v>0.99921020000000005</v>
      </c>
      <c r="AB3017">
        <v>36</v>
      </c>
      <c r="AC3017">
        <v>0.69660000000001698</v>
      </c>
      <c r="AD3017">
        <v>-7.11119999999998E-2</v>
      </c>
      <c r="AE3017">
        <v>-3.7149999999996901E-2</v>
      </c>
      <c r="AF3017">
        <v>3.4533600585950001E-2</v>
      </c>
      <c r="AG3017">
        <v>-7.11119999999998E-2</v>
      </c>
      <c r="AH3017">
        <v>0.68955113877803598</v>
      </c>
      <c r="AI3017">
        <v>95.880663528486096</v>
      </c>
      <c r="AJ3017">
        <v>87.132949659651999</v>
      </c>
      <c r="AK3017">
        <v>0.694067906694666</v>
      </c>
      <c r="AL3017">
        <v>82.067018434507702</v>
      </c>
      <c r="AM3017">
        <v>91.845261440400506</v>
      </c>
      <c r="AN3017">
        <v>1.00000002143947</v>
      </c>
    </row>
    <row r="3018" spans="1:40" x14ac:dyDescent="0.3">
      <c r="A3018" t="str">
        <f>"20200111150413101"</f>
        <v>20200111150413101</v>
      </c>
      <c r="B3018" t="str">
        <f>"1578726253091549"</f>
        <v>1578726253091549</v>
      </c>
      <c r="C3018" t="s">
        <v>40</v>
      </c>
      <c r="D3018">
        <v>5.1675139999999997</v>
      </c>
      <c r="E3018">
        <v>0.52833799999999997</v>
      </c>
      <c r="F3018" t="s">
        <v>42</v>
      </c>
      <c r="G3018">
        <v>-224.35140000000001</v>
      </c>
      <c r="H3018">
        <v>1.0215209999999999</v>
      </c>
      <c r="I3018">
        <v>-57.495660000000001</v>
      </c>
      <c r="J3018">
        <v>-225.19380000000001</v>
      </c>
      <c r="K3018">
        <v>1.1039380000000001</v>
      </c>
      <c r="L3018">
        <v>-57.452550000000002</v>
      </c>
      <c r="M3018">
        <v>0.99992829999999999</v>
      </c>
      <c r="N3018">
        <v>0</v>
      </c>
      <c r="O3018">
        <v>-3.2436269999999998E-3</v>
      </c>
      <c r="P3018">
        <v>0.99154810000000004</v>
      </c>
      <c r="Q3018">
        <v>0.12656609999999999</v>
      </c>
      <c r="R3018">
        <v>2.8522909999999999E-2</v>
      </c>
      <c r="S3018">
        <v>3.0611419999999998</v>
      </c>
      <c r="T3018">
        <v>-0.24867339999999999</v>
      </c>
      <c r="U3018">
        <v>-0.13165279999999999</v>
      </c>
      <c r="V3018">
        <v>-3.1719980000000002E-2</v>
      </c>
      <c r="W3018">
        <v>0.13799059999999999</v>
      </c>
      <c r="X3018">
        <v>0.98992539999999996</v>
      </c>
      <c r="Y3018">
        <v>3.9607400000000001E-2</v>
      </c>
      <c r="Z3018">
        <v>-1.342424E-3</v>
      </c>
      <c r="AA3018">
        <v>0.99921439999999995</v>
      </c>
      <c r="AB3018">
        <v>36</v>
      </c>
      <c r="AC3018">
        <v>0.84239999999999704</v>
      </c>
      <c r="AD3018">
        <v>-8.2416999999999893E-2</v>
      </c>
      <c r="AE3018">
        <v>-4.3109999999998601E-2</v>
      </c>
      <c r="AF3018">
        <v>3.9995330041125501E-2</v>
      </c>
      <c r="AG3018">
        <v>-8.2416999999999893E-2</v>
      </c>
      <c r="AH3018">
        <v>0.83456789888872396</v>
      </c>
      <c r="AI3018">
        <v>95.633482598229605</v>
      </c>
      <c r="AJ3018">
        <v>87.256290686531599</v>
      </c>
      <c r="AK3018">
        <v>0.83958070855018896</v>
      </c>
      <c r="AL3018">
        <v>82.068411873964195</v>
      </c>
      <c r="AM3018">
        <v>91.835289160484194</v>
      </c>
      <c r="AN3018">
        <v>0.999999930192357</v>
      </c>
    </row>
    <row r="3019" spans="1:40" x14ac:dyDescent="0.3">
      <c r="A3019" t="str">
        <f>"20200111150413123"</f>
        <v>20200111150413123</v>
      </c>
      <c r="B3019" t="str">
        <f>"1578726253121804"</f>
        <v>1578726253121804</v>
      </c>
      <c r="C3019" t="s">
        <v>40</v>
      </c>
      <c r="D3019">
        <v>5.4879449999999999</v>
      </c>
      <c r="E3019">
        <v>0.52778579999999997</v>
      </c>
      <c r="F3019" t="s">
        <v>42</v>
      </c>
      <c r="G3019">
        <v>-224.3449</v>
      </c>
      <c r="H3019">
        <v>1.0345899999999999</v>
      </c>
      <c r="I3019">
        <v>-57.489269999999998</v>
      </c>
      <c r="J3019">
        <v>-224.81710000000001</v>
      </c>
      <c r="K3019">
        <v>1.103952</v>
      </c>
      <c r="L3019">
        <v>-57.453769999999999</v>
      </c>
      <c r="M3019">
        <v>0.99992809999999999</v>
      </c>
      <c r="N3019">
        <v>0</v>
      </c>
      <c r="O3019">
        <v>-3.2517449999999999E-3</v>
      </c>
      <c r="P3019">
        <v>0.9915794</v>
      </c>
      <c r="Q3019">
        <v>0.1263174</v>
      </c>
      <c r="R3019">
        <v>2.853793E-2</v>
      </c>
      <c r="S3019">
        <v>3.0612789999999999</v>
      </c>
      <c r="T3019">
        <v>-0.2500424</v>
      </c>
      <c r="U3019">
        <v>-0.1321716</v>
      </c>
      <c r="V3019">
        <v>-3.1746480000000001E-2</v>
      </c>
      <c r="W3019">
        <v>0.13776679999999999</v>
      </c>
      <c r="X3019">
        <v>0.98995580000000005</v>
      </c>
      <c r="Y3019">
        <v>3.9764580000000001E-2</v>
      </c>
      <c r="Z3019">
        <v>-1.3554680000000001E-3</v>
      </c>
      <c r="AA3019">
        <v>0.99920819999999999</v>
      </c>
      <c r="AB3019">
        <v>36</v>
      </c>
      <c r="AC3019">
        <v>0.472200000000015</v>
      </c>
      <c r="AD3019">
        <v>-6.9362000000000104E-2</v>
      </c>
      <c r="AE3019">
        <v>-3.54999999999989E-2</v>
      </c>
      <c r="AF3019">
        <v>3.3250815141816603E-2</v>
      </c>
      <c r="AG3019">
        <v>-6.9362000000000104E-2</v>
      </c>
      <c r="AH3019">
        <v>0.46239198525823899</v>
      </c>
      <c r="AI3019">
        <v>98.509503167184207</v>
      </c>
      <c r="AJ3019">
        <v>85.886914777995599</v>
      </c>
      <c r="AK3019">
        <v>0.46874625521986901</v>
      </c>
      <c r="AL3019">
        <v>82.081358940879596</v>
      </c>
      <c r="AM3019">
        <v>91.836765009179004</v>
      </c>
      <c r="AN3019">
        <v>1.00000000806413</v>
      </c>
    </row>
    <row r="3020" spans="1:40" x14ac:dyDescent="0.3">
      <c r="A3020" t="str">
        <f>"20200111150413137"</f>
        <v>20200111150413137</v>
      </c>
      <c r="B3020" t="str">
        <f>"1578726253131565"</f>
        <v>1578726253131565</v>
      </c>
      <c r="C3020" t="s">
        <v>40</v>
      </c>
      <c r="D3020">
        <v>5.4375260000000001</v>
      </c>
      <c r="E3020">
        <v>0.52765419999999996</v>
      </c>
      <c r="F3020" t="s">
        <v>42</v>
      </c>
      <c r="G3020">
        <v>-224.01920000000001</v>
      </c>
      <c r="H3020">
        <v>1.0387059999999999</v>
      </c>
      <c r="I3020">
        <v>-57.487139999999997</v>
      </c>
      <c r="J3020">
        <v>-224.61179999999999</v>
      </c>
      <c r="K3020">
        <v>1.103958</v>
      </c>
      <c r="L3020">
        <v>-57.454439999999998</v>
      </c>
      <c r="M3020">
        <v>0.99992789999999998</v>
      </c>
      <c r="N3020">
        <v>0</v>
      </c>
      <c r="O3020">
        <v>-3.2566639999999998E-3</v>
      </c>
      <c r="P3020">
        <v>0.99159459999999999</v>
      </c>
      <c r="Q3020">
        <v>0.1261659</v>
      </c>
      <c r="R3020">
        <v>2.8680710000000002E-2</v>
      </c>
      <c r="S3020">
        <v>3.061035</v>
      </c>
      <c r="T3020">
        <v>-0.25027749999999999</v>
      </c>
      <c r="U3020">
        <v>-0.1278687</v>
      </c>
      <c r="V3020">
        <v>-3.1895769999999997E-2</v>
      </c>
      <c r="W3020">
        <v>0.13763020000000001</v>
      </c>
      <c r="X3020">
        <v>0.98997000000000002</v>
      </c>
      <c r="Y3020">
        <v>3.8365410000000003E-2</v>
      </c>
      <c r="Z3020">
        <v>-1.299405E-3</v>
      </c>
      <c r="AA3020">
        <v>0.99926289999999995</v>
      </c>
      <c r="AB3020">
        <v>36</v>
      </c>
      <c r="AC3020">
        <v>0.59259999999997603</v>
      </c>
      <c r="AD3020">
        <v>-6.5252000000000004E-2</v>
      </c>
      <c r="AE3020">
        <v>-3.2699999999998397E-2</v>
      </c>
      <c r="AF3020">
        <v>3.0402304362572199E-2</v>
      </c>
      <c r="AG3020">
        <v>-6.5252000000000004E-2</v>
      </c>
      <c r="AH3020">
        <v>0.58562449867409705</v>
      </c>
      <c r="AI3020">
        <v>96.349359064664</v>
      </c>
      <c r="AJ3020">
        <v>87.028195760093496</v>
      </c>
      <c r="AK3020">
        <v>0.59003235255521502</v>
      </c>
      <c r="AL3020">
        <v>82.089260803587905</v>
      </c>
      <c r="AM3020">
        <v>91.845370112474399</v>
      </c>
      <c r="AN3020">
        <v>1.0000000064979599</v>
      </c>
    </row>
    <row r="3021" spans="1:40" x14ac:dyDescent="0.3">
      <c r="A3021" t="str">
        <f>"20200111150413147"</f>
        <v>20200111150413147</v>
      </c>
      <c r="B3021" t="str">
        <f>"1578726253141325"</f>
        <v>1578726253141325</v>
      </c>
      <c r="C3021" t="s">
        <v>40</v>
      </c>
      <c r="D3021">
        <v>5.9804810000000002</v>
      </c>
      <c r="E3021">
        <v>0.52765419999999996</v>
      </c>
      <c r="F3021" t="s">
        <v>42</v>
      </c>
      <c r="G3021">
        <v>-223.69970000000001</v>
      </c>
      <c r="H3021">
        <v>1.030402</v>
      </c>
      <c r="I3021">
        <v>-57.492310000000003</v>
      </c>
      <c r="J3021">
        <v>-224.4349</v>
      </c>
      <c r="K3021">
        <v>1.103961</v>
      </c>
      <c r="L3021">
        <v>-57.455019999999998</v>
      </c>
      <c r="M3021">
        <v>0.99992769999999997</v>
      </c>
      <c r="N3021">
        <v>0</v>
      </c>
      <c r="O3021">
        <v>-3.2611089999999999E-3</v>
      </c>
      <c r="P3021">
        <v>0.99158109999999999</v>
      </c>
      <c r="Q3021">
        <v>0.12626099999999901</v>
      </c>
      <c r="R3021">
        <v>2.8727289999999999E-2</v>
      </c>
      <c r="S3021">
        <v>3.0605159999999998</v>
      </c>
      <c r="T3021">
        <v>-0.24682119999999999</v>
      </c>
      <c r="U3021">
        <v>-0.12649540000000001</v>
      </c>
      <c r="V3021">
        <v>-3.1947700000000002E-2</v>
      </c>
      <c r="W3021">
        <v>0.137738</v>
      </c>
      <c r="X3021">
        <v>0.98995330000000004</v>
      </c>
      <c r="Y3021">
        <v>3.7925010000000002E-2</v>
      </c>
      <c r="Z3021">
        <v>-1.263667E-3</v>
      </c>
      <c r="AA3021">
        <v>0.99927980000000005</v>
      </c>
      <c r="AB3021">
        <v>36</v>
      </c>
      <c r="AC3021">
        <v>0.73519999999999097</v>
      </c>
      <c r="AD3021">
        <v>-7.3558999999999902E-2</v>
      </c>
      <c r="AE3021">
        <v>-3.7289999999998699E-2</v>
      </c>
      <c r="AF3021">
        <v>3.4547123313938603E-2</v>
      </c>
      <c r="AG3021">
        <v>-7.3558999999999902E-2</v>
      </c>
      <c r="AH3021">
        <v>0.72804819844252899</v>
      </c>
      <c r="AI3021">
        <v>95.762911048512194</v>
      </c>
      <c r="AJ3021">
        <v>87.283255810018105</v>
      </c>
      <c r="AK3021">
        <v>0.73256986661046897</v>
      </c>
      <c r="AL3021">
        <v>82.083024671829506</v>
      </c>
      <c r="AM3021">
        <v>91.848403665340399</v>
      </c>
      <c r="AN3021">
        <v>0.99999997418008901</v>
      </c>
    </row>
    <row r="3022" spans="1:40" x14ac:dyDescent="0.3">
      <c r="A3022" t="str">
        <f>"20200111150413170"</f>
        <v>20200111150413170</v>
      </c>
      <c r="B3022" t="str">
        <f>"1578726253161820"</f>
        <v>1578726253161820</v>
      </c>
      <c r="C3022" t="s">
        <v>40</v>
      </c>
      <c r="D3022">
        <v>5.5559859999999999</v>
      </c>
      <c r="E3022">
        <v>0.52751859999999995</v>
      </c>
      <c r="F3022" t="s">
        <v>42</v>
      </c>
      <c r="G3022">
        <v>-223.6918</v>
      </c>
      <c r="H3022">
        <v>1.0441009999999999</v>
      </c>
      <c r="I3022">
        <v>-57.485869999999998</v>
      </c>
      <c r="J3022">
        <v>-224.0641</v>
      </c>
      <c r="K3022">
        <v>1.1039650000000001</v>
      </c>
      <c r="L3022">
        <v>-57.456270000000004</v>
      </c>
      <c r="M3022">
        <v>0.99992729999999996</v>
      </c>
      <c r="N3022">
        <v>0</v>
      </c>
      <c r="O3022">
        <v>-3.2701449999999999E-3</v>
      </c>
      <c r="P3022">
        <v>0.99164010000000002</v>
      </c>
      <c r="Q3022">
        <v>0.12567429999999999</v>
      </c>
      <c r="R3022">
        <v>2.9264220000000001E-2</v>
      </c>
      <c r="S3022">
        <v>3.0605009999999999</v>
      </c>
      <c r="T3022">
        <v>-0.2465165</v>
      </c>
      <c r="U3022">
        <v>-0.12634280000000001</v>
      </c>
      <c r="V3022">
        <v>-3.2495450000000002E-2</v>
      </c>
      <c r="W3022">
        <v>0.1371792</v>
      </c>
      <c r="X3022">
        <v>0.99001309999999998</v>
      </c>
      <c r="Y3022">
        <v>3.7866940000000002E-2</v>
      </c>
      <c r="Z3022">
        <v>-1.2590590000000001E-3</v>
      </c>
      <c r="AA3022">
        <v>0.999282</v>
      </c>
      <c r="AB3022">
        <v>36</v>
      </c>
      <c r="AC3022">
        <v>0.37229999999999502</v>
      </c>
      <c r="AD3022">
        <v>-5.9863999999999903E-2</v>
      </c>
      <c r="AE3022">
        <v>-2.9600000000002E-2</v>
      </c>
      <c r="AF3022">
        <v>2.7671334986770001E-2</v>
      </c>
      <c r="AG3022">
        <v>-5.9863999999999903E-2</v>
      </c>
      <c r="AH3022">
        <v>0.36306666952528599</v>
      </c>
      <c r="AI3022">
        <v>99.336334082927493</v>
      </c>
      <c r="AJ3022">
        <v>85.641595239860706</v>
      </c>
      <c r="AK3022">
        <v>0.36900786955854098</v>
      </c>
      <c r="AL3022">
        <v>82.115348692630207</v>
      </c>
      <c r="AM3022">
        <v>91.879958899792996</v>
      </c>
      <c r="AN3022">
        <v>1.00000001267747</v>
      </c>
    </row>
    <row r="3023" spans="1:40" x14ac:dyDescent="0.3">
      <c r="A3023" t="str">
        <f>"20200111150413180"</f>
        <v>20200111150413180</v>
      </c>
      <c r="B3023" t="str">
        <f>"1578726253171581"</f>
        <v>1578726253171581</v>
      </c>
      <c r="C3023" t="s">
        <v>40</v>
      </c>
      <c r="D3023">
        <v>5.2598779999999996</v>
      </c>
      <c r="E3023">
        <v>0.52751320000000002</v>
      </c>
      <c r="F3023" t="s">
        <v>42</v>
      </c>
      <c r="G3023">
        <v>-223.05590000000001</v>
      </c>
      <c r="H3023">
        <v>1.0230570000000001</v>
      </c>
      <c r="I3023">
        <v>-57.497230000000002</v>
      </c>
      <c r="J3023">
        <v>-223.89920000000001</v>
      </c>
      <c r="K3023">
        <v>1.1039669999999999</v>
      </c>
      <c r="L3023">
        <v>-57.456789999999998</v>
      </c>
      <c r="M3023">
        <v>0.99992709999999996</v>
      </c>
      <c r="N3023">
        <v>0</v>
      </c>
      <c r="O3023">
        <v>-3.273897E-3</v>
      </c>
      <c r="P3023">
        <v>0.9916317</v>
      </c>
      <c r="Q3023">
        <v>0.12565989999999999</v>
      </c>
      <c r="R3023">
        <v>2.960256E-2</v>
      </c>
      <c r="S3023">
        <v>3.0600589999999999</v>
      </c>
      <c r="T3023">
        <v>-0.24554290000000001</v>
      </c>
      <c r="U3023">
        <v>-0.1238098</v>
      </c>
      <c r="V3023">
        <v>-3.2838180000000002E-2</v>
      </c>
      <c r="W3023">
        <v>0.1371773</v>
      </c>
      <c r="X3023">
        <v>0.99000200000000005</v>
      </c>
      <c r="Y3023">
        <v>3.7046849999999999E-2</v>
      </c>
      <c r="Z3023">
        <v>-1.221167E-3</v>
      </c>
      <c r="AA3023">
        <v>0.9993128</v>
      </c>
      <c r="AB3023">
        <v>36</v>
      </c>
      <c r="AC3023">
        <v>0.84329999999999905</v>
      </c>
      <c r="AD3023">
        <v>-8.0909999999999996E-2</v>
      </c>
      <c r="AE3023">
        <v>-4.0439999999996701E-2</v>
      </c>
      <c r="AF3023">
        <v>3.7335818768348697E-2</v>
      </c>
      <c r="AG3023">
        <v>-8.0909999999999996E-2</v>
      </c>
      <c r="AH3023">
        <v>0.83575214747327697</v>
      </c>
      <c r="AI3023">
        <v>95.524153941308001</v>
      </c>
      <c r="AJ3023">
        <v>87.442108300326296</v>
      </c>
      <c r="AK3023">
        <v>0.840489169156449</v>
      </c>
      <c r="AL3023">
        <v>82.115458166487201</v>
      </c>
      <c r="AM3023">
        <v>91.899793685704907</v>
      </c>
      <c r="AN3023">
        <v>0.99999995885250004</v>
      </c>
    </row>
    <row r="3024" spans="1:40" x14ac:dyDescent="0.3">
      <c r="A3024" t="str">
        <f>"20200111150413190"</f>
        <v>20200111150413190</v>
      </c>
      <c r="B3024" t="str">
        <f>"1578726253181341"</f>
        <v>1578726253181341</v>
      </c>
      <c r="C3024" t="s">
        <v>40</v>
      </c>
      <c r="D3024">
        <v>5.304964</v>
      </c>
      <c r="E3024">
        <v>0.52749290000000004</v>
      </c>
      <c r="F3024" t="s">
        <v>42</v>
      </c>
      <c r="G3024">
        <v>-223.04920000000001</v>
      </c>
      <c r="H3024">
        <v>1.036503</v>
      </c>
      <c r="I3024">
        <v>-57.491120000000002</v>
      </c>
      <c r="J3024">
        <v>-223.7449</v>
      </c>
      <c r="K3024">
        <v>1.103972</v>
      </c>
      <c r="L3024">
        <v>-57.45731</v>
      </c>
      <c r="M3024">
        <v>0.99992700000000001</v>
      </c>
      <c r="N3024">
        <v>0</v>
      </c>
      <c r="O3024">
        <v>-3.2777660000000001E-3</v>
      </c>
      <c r="P3024">
        <v>0.99164529999999995</v>
      </c>
      <c r="Q3024">
        <v>0.1255269</v>
      </c>
      <c r="R3024">
        <v>2.9709050000000001E-2</v>
      </c>
      <c r="S3024">
        <v>3.0597690000000002</v>
      </c>
      <c r="T3024">
        <v>-0.24285229999999999</v>
      </c>
      <c r="U3024">
        <v>-0.1229553</v>
      </c>
      <c r="V3024">
        <v>-3.2948249999999998E-2</v>
      </c>
      <c r="W3024">
        <v>0.13705729999999999</v>
      </c>
      <c r="X3024">
        <v>0.99001499999999998</v>
      </c>
      <c r="Y3024">
        <v>3.6771400000000003E-2</v>
      </c>
      <c r="Z3024">
        <v>-1.196733E-3</v>
      </c>
      <c r="AA3024">
        <v>0.99932299999999996</v>
      </c>
      <c r="AB3024">
        <v>36</v>
      </c>
      <c r="AC3024">
        <v>0.695699999999987</v>
      </c>
      <c r="AD3024">
        <v>-6.7468999999999696E-2</v>
      </c>
      <c r="AE3024">
        <v>-3.3809999999995399E-2</v>
      </c>
      <c r="AF3024">
        <v>3.1236233879841001E-2</v>
      </c>
      <c r="AG3024">
        <v>-6.7468999999999696E-2</v>
      </c>
      <c r="AH3024">
        <v>0.68933904793898104</v>
      </c>
      <c r="AI3024">
        <v>95.584321095932395</v>
      </c>
      <c r="AJ3024">
        <v>87.405513367547499</v>
      </c>
      <c r="AK3024">
        <v>0.69333692479300202</v>
      </c>
      <c r="AL3024">
        <v>82.122399509915596</v>
      </c>
      <c r="AM3024">
        <v>91.906131885746802</v>
      </c>
      <c r="AN3024">
        <v>0.99999999544317597</v>
      </c>
    </row>
    <row r="3025" spans="1:40" x14ac:dyDescent="0.3">
      <c r="A3025" t="str">
        <f>"20200111150413200"</f>
        <v>20200111150413200</v>
      </c>
      <c r="B3025" t="str">
        <f>"1578726253191101"</f>
        <v>1578726253191101</v>
      </c>
      <c r="C3025" t="s">
        <v>40</v>
      </c>
      <c r="D3025">
        <v>5.631456</v>
      </c>
      <c r="E3025">
        <v>0.52749290000000004</v>
      </c>
      <c r="F3025" t="s">
        <v>42</v>
      </c>
      <c r="G3025">
        <v>-222.7321</v>
      </c>
      <c r="H3025">
        <v>1.022994</v>
      </c>
      <c r="I3025">
        <v>-57.497860000000003</v>
      </c>
      <c r="J3025">
        <v>-223.56989999999999</v>
      </c>
      <c r="K3025">
        <v>1.1039730000000001</v>
      </c>
      <c r="L3025">
        <v>-57.457889999999999</v>
      </c>
      <c r="M3025">
        <v>0.9999268</v>
      </c>
      <c r="N3025">
        <v>0</v>
      </c>
      <c r="O3025">
        <v>-3.2816519999999999E-3</v>
      </c>
      <c r="P3025">
        <v>0.99166100000000001</v>
      </c>
      <c r="Q3025">
        <v>0.12535879999999999</v>
      </c>
      <c r="R3025">
        <v>2.9893590000000001E-2</v>
      </c>
      <c r="S3025">
        <v>3.0599210000000001</v>
      </c>
      <c r="T3025">
        <v>-0.24465870000000001</v>
      </c>
      <c r="U3025">
        <v>-0.1225281</v>
      </c>
      <c r="V3025">
        <v>-3.3137310000000003E-2</v>
      </c>
      <c r="W3025">
        <v>0.13690429999999901</v>
      </c>
      <c r="X3025">
        <v>0.99002990000000002</v>
      </c>
      <c r="Y3025">
        <v>3.6625119999999997E-2</v>
      </c>
      <c r="Z3025">
        <v>-1.1994039999999901E-3</v>
      </c>
      <c r="AA3025">
        <v>0.99932840000000001</v>
      </c>
      <c r="AB3025">
        <v>36</v>
      </c>
      <c r="AC3025">
        <v>0.837799999999987</v>
      </c>
      <c r="AD3025">
        <v>-8.0978999999999898E-2</v>
      </c>
      <c r="AE3025">
        <v>-3.9969999999996703E-2</v>
      </c>
      <c r="AF3025">
        <v>3.6876493182433599E-2</v>
      </c>
      <c r="AG3025">
        <v>-8.0978999999999898E-2</v>
      </c>
      <c r="AH3025">
        <v>0.83018822660354497</v>
      </c>
      <c r="AI3025">
        <v>95.565720547513706</v>
      </c>
      <c r="AJ3025">
        <v>87.456625648923193</v>
      </c>
      <c r="AK3025">
        <v>0.83494309134310096</v>
      </c>
      <c r="AL3025">
        <v>82.131249503326103</v>
      </c>
      <c r="AM3025">
        <v>91.917032472308193</v>
      </c>
      <c r="AN3025">
        <v>1.0000000357832599</v>
      </c>
    </row>
    <row r="3026" spans="1:40" x14ac:dyDescent="0.3">
      <c r="A3026" t="str">
        <f>"20200111150413213"</f>
        <v>20200111150413213</v>
      </c>
      <c r="B3026" t="str">
        <f>"1578726253201840"</f>
        <v>1578726253201840</v>
      </c>
      <c r="C3026" t="s">
        <v>40</v>
      </c>
      <c r="D3026">
        <v>6.0835720000000002</v>
      </c>
      <c r="E3026">
        <v>0.52057109999999995</v>
      </c>
      <c r="F3026" t="s">
        <v>42</v>
      </c>
      <c r="G3026">
        <v>-222.72550000000001</v>
      </c>
      <c r="H3026">
        <v>1.036327</v>
      </c>
      <c r="I3026">
        <v>-57.49156</v>
      </c>
      <c r="J3026">
        <v>-223.37739999999999</v>
      </c>
      <c r="K3026">
        <v>1.1039760000000001</v>
      </c>
      <c r="L3026">
        <v>-57.458530000000003</v>
      </c>
      <c r="M3026">
        <v>0.9999266</v>
      </c>
      <c r="N3026">
        <v>0</v>
      </c>
      <c r="O3026">
        <v>-3.2861420000000001E-3</v>
      </c>
      <c r="P3026">
        <v>0.99165689999999995</v>
      </c>
      <c r="Q3026">
        <v>0.12534890000000001</v>
      </c>
      <c r="R3026">
        <v>3.007396E-2</v>
      </c>
      <c r="S3026">
        <v>3.0598909999999999</v>
      </c>
      <c r="T3026">
        <v>-0.2451487</v>
      </c>
      <c r="U3026">
        <v>-0.1220093</v>
      </c>
      <c r="V3026">
        <v>-3.3322810000000001E-2</v>
      </c>
      <c r="W3026">
        <v>0.13691</v>
      </c>
      <c r="X3026">
        <v>0.99002279999999998</v>
      </c>
      <c r="Y3026">
        <v>3.645201E-2</v>
      </c>
      <c r="Z3026">
        <v>-1.1945339999999999E-3</v>
      </c>
      <c r="AA3026">
        <v>0.99933470000000002</v>
      </c>
      <c r="AB3026">
        <v>36</v>
      </c>
      <c r="AC3026">
        <v>0.65189999999998305</v>
      </c>
      <c r="AD3026">
        <v>-6.7649000000000001E-2</v>
      </c>
      <c r="AE3026">
        <v>-3.30299999999965E-2</v>
      </c>
      <c r="AF3026">
        <v>3.0559201629833901E-2</v>
      </c>
      <c r="AG3026">
        <v>-6.7649000000000001E-2</v>
      </c>
      <c r="AH3026">
        <v>0.64507622307530899</v>
      </c>
      <c r="AI3026">
        <v>95.980055227859495</v>
      </c>
      <c r="AJ3026">
        <v>87.287754259207404</v>
      </c>
      <c r="AK3026">
        <v>0.64933318533889695</v>
      </c>
      <c r="AL3026">
        <v>82.130919142732395</v>
      </c>
      <c r="AM3026">
        <v>91.927769606181997</v>
      </c>
      <c r="AN3026">
        <v>0.99999995114306595</v>
      </c>
    </row>
    <row r="3027" spans="1:40" x14ac:dyDescent="0.3">
      <c r="A3027" t="str">
        <f>"20200111150413224"</f>
        <v>20200111150413224</v>
      </c>
      <c r="B3027" t="str">
        <f>"1578726253221357"</f>
        <v>1578726253221357</v>
      </c>
      <c r="C3027" t="s">
        <v>40</v>
      </c>
      <c r="D3027">
        <v>5.448194</v>
      </c>
      <c r="E3027">
        <v>0.49555949999999999</v>
      </c>
      <c r="F3027" t="s">
        <v>66</v>
      </c>
      <c r="G3027">
        <v>-157.3501</v>
      </c>
      <c r="H3027">
        <v>21.958880000000001</v>
      </c>
      <c r="I3027">
        <v>-59.279429999999998</v>
      </c>
      <c r="J3027">
        <v>-223.20269999999999</v>
      </c>
      <c r="K3027">
        <v>1.103979</v>
      </c>
      <c r="L3027">
        <v>-57.459110000000003</v>
      </c>
      <c r="M3027">
        <v>0.99992650000000005</v>
      </c>
      <c r="N3027">
        <v>0</v>
      </c>
      <c r="O3027">
        <v>-3.2902679999999998E-3</v>
      </c>
      <c r="P3027">
        <v>0.99167169999999905</v>
      </c>
      <c r="Q3027">
        <v>0.1252048</v>
      </c>
      <c r="R3027">
        <v>3.0185549999999998E-2</v>
      </c>
      <c r="S3027">
        <v>2.911438</v>
      </c>
      <c r="T3027">
        <v>0.91958359999999995</v>
      </c>
      <c r="U3027">
        <v>-8.0291749999999995E-2</v>
      </c>
      <c r="V3027">
        <v>-3.3438139999999998E-2</v>
      </c>
      <c r="W3027">
        <v>0.1367806</v>
      </c>
      <c r="X3027">
        <v>0.99003680000000005</v>
      </c>
      <c r="Y3027">
        <v>2.330432E-2</v>
      </c>
      <c r="Z3027">
        <v>2.577832E-3</v>
      </c>
      <c r="AA3027">
        <v>0.99972510000000003</v>
      </c>
      <c r="AB3027">
        <v>36</v>
      </c>
      <c r="AC3027">
        <v>65.852599999999995</v>
      </c>
      <c r="AD3027">
        <v>20.854901000000002</v>
      </c>
      <c r="AE3027">
        <v>-1.8203199999999999</v>
      </c>
      <c r="AF3027">
        <v>1.45755209973224</v>
      </c>
      <c r="AG3027">
        <v>20.854901000000002</v>
      </c>
      <c r="AH3027">
        <v>59.859346457742497</v>
      </c>
      <c r="AI3027">
        <v>70.797019632624995</v>
      </c>
      <c r="AJ3027">
        <v>88.605145398896397</v>
      </c>
      <c r="AK3027">
        <v>63.404989647434498</v>
      </c>
      <c r="AL3027">
        <v>82.138403646818603</v>
      </c>
      <c r="AM3027">
        <v>91.9344092083726</v>
      </c>
      <c r="AN3027">
        <v>0.99999995354862803</v>
      </c>
    </row>
    <row r="3028" spans="1:40" x14ac:dyDescent="0.3">
      <c r="A3028" t="str">
        <f>"20200111150413235"</f>
        <v>20200111150413235</v>
      </c>
      <c r="B3028" t="str">
        <f>"1578726253231117"</f>
        <v>1578726253231117</v>
      </c>
      <c r="C3028" t="s">
        <v>40</v>
      </c>
      <c r="D3028">
        <v>5.2633710000000002</v>
      </c>
      <c r="E3028">
        <v>0.50416609999999995</v>
      </c>
      <c r="F3028" t="s">
        <v>42</v>
      </c>
      <c r="G3028">
        <v>-222.40790000000001</v>
      </c>
      <c r="H3028">
        <v>1.0164489999999999</v>
      </c>
      <c r="I3028">
        <v>-57.4242699999999</v>
      </c>
      <c r="J3028">
        <v>-223.01820000000001</v>
      </c>
      <c r="K3028">
        <v>1.103979</v>
      </c>
      <c r="L3028">
        <v>-57.459719999999997</v>
      </c>
      <c r="M3028">
        <v>0.99992619999999999</v>
      </c>
      <c r="N3028">
        <v>0</v>
      </c>
      <c r="O3028">
        <v>-3.2943970000000001E-3</v>
      </c>
      <c r="P3028">
        <v>0.99168639999999997</v>
      </c>
      <c r="Q3028">
        <v>0.12506400000000001</v>
      </c>
      <c r="R3028">
        <v>3.028349E-2</v>
      </c>
      <c r="S3028">
        <v>3.0637050000000001</v>
      </c>
      <c r="T3028">
        <v>-0.33743669999999998</v>
      </c>
      <c r="U3028">
        <v>0.13442989999999999</v>
      </c>
      <c r="V3028">
        <v>-3.35407E-2</v>
      </c>
      <c r="W3028">
        <v>0.1366549</v>
      </c>
      <c r="X3028">
        <v>0.99005069999999995</v>
      </c>
      <c r="Y3028">
        <v>-4.6824739999999997E-2</v>
      </c>
      <c r="Z3028">
        <v>2.9312510000000002E-3</v>
      </c>
      <c r="AA3028">
        <v>0.99889879999999998</v>
      </c>
      <c r="AB3028">
        <v>36</v>
      </c>
      <c r="AC3028">
        <v>0.61029999999999496</v>
      </c>
      <c r="AD3028">
        <v>-8.7530000000000094E-2</v>
      </c>
      <c r="AE3028">
        <v>3.5450000000004402E-2</v>
      </c>
      <c r="AF3028">
        <v>-3.6707983862144897E-2</v>
      </c>
      <c r="AG3028">
        <v>-8.7530000000000094E-2</v>
      </c>
      <c r="AH3028">
        <v>0.59792219455266105</v>
      </c>
      <c r="AI3028">
        <v>98.312956984099998</v>
      </c>
      <c r="AJ3028">
        <v>93.513126220091294</v>
      </c>
      <c r="AK3028">
        <v>0.60540889299538203</v>
      </c>
      <c r="AL3028">
        <v>82.145674080758198</v>
      </c>
      <c r="AM3028">
        <v>91.940310594411201</v>
      </c>
      <c r="AN3028">
        <v>0.99999996441049399</v>
      </c>
    </row>
    <row r="3029" spans="1:40" x14ac:dyDescent="0.3">
      <c r="A3029" t="str">
        <f>"20200111150413246"</f>
        <v>20200111150413246</v>
      </c>
      <c r="B3029" t="str">
        <f>"1578726253241853"</f>
        <v>1578726253241853</v>
      </c>
      <c r="C3029" t="s">
        <v>40</v>
      </c>
      <c r="D3029">
        <v>6.4940069999999999</v>
      </c>
      <c r="E3029">
        <v>0.50416609999999995</v>
      </c>
      <c r="F3029" t="s">
        <v>42</v>
      </c>
      <c r="G3029">
        <v>-222.0847</v>
      </c>
      <c r="H3029">
        <v>1.0196750000000001</v>
      </c>
      <c r="I3029">
        <v>-57.439830000000001</v>
      </c>
      <c r="J3029">
        <v>-222.82740000000001</v>
      </c>
      <c r="K3029">
        <v>1.103977</v>
      </c>
      <c r="L3029">
        <v>-57.460360000000001</v>
      </c>
      <c r="M3029">
        <v>0.99992599999999998</v>
      </c>
      <c r="N3029">
        <v>0</v>
      </c>
      <c r="O3029">
        <v>-3.2988840000000002E-3</v>
      </c>
      <c r="P3029">
        <v>0.99170939999999996</v>
      </c>
      <c r="Q3029">
        <v>0.1248114</v>
      </c>
      <c r="R3029">
        <v>3.0574509999999999E-2</v>
      </c>
      <c r="S3029">
        <v>3.0579830000000001</v>
      </c>
      <c r="T3029">
        <v>-0.2761673</v>
      </c>
      <c r="U3029">
        <v>6.5246579999999998E-2</v>
      </c>
      <c r="V3029">
        <v>-3.3836400000000003E-2</v>
      </c>
      <c r="W3029">
        <v>0.13641729999999899</v>
      </c>
      <c r="X3029">
        <v>0.99007339999999999</v>
      </c>
      <c r="Y3029">
        <v>-2.4516710000000001E-2</v>
      </c>
      <c r="Z3029">
        <v>1.401989E-3</v>
      </c>
      <c r="AA3029">
        <v>0.99969850000000005</v>
      </c>
      <c r="AB3029">
        <v>36</v>
      </c>
      <c r="AC3029">
        <v>0.74270000000001302</v>
      </c>
      <c r="AD3029">
        <v>-8.4301999999999794E-2</v>
      </c>
      <c r="AE3029">
        <v>2.0529999999986601E-2</v>
      </c>
      <c r="AF3029">
        <v>-2.2688048984727802E-2</v>
      </c>
      <c r="AG3029">
        <v>-8.4301999999999794E-2</v>
      </c>
      <c r="AH3029">
        <v>0.73318907123902899</v>
      </c>
      <c r="AI3029">
        <v>96.555948573274506</v>
      </c>
      <c r="AJ3029">
        <v>91.772414271781102</v>
      </c>
      <c r="AK3029">
        <v>0.73836832878657799</v>
      </c>
      <c r="AL3029">
        <v>82.159416214237993</v>
      </c>
      <c r="AM3029">
        <v>91.957358580426103</v>
      </c>
      <c r="AN3029">
        <v>0.99999995954590404</v>
      </c>
    </row>
    <row r="3030" spans="1:40" x14ac:dyDescent="0.3">
      <c r="A3030" t="str">
        <f>"20200111150413258"</f>
        <v>20200111150413258</v>
      </c>
      <c r="B3030" t="str">
        <f>"1578726253251613"</f>
        <v>1578726253251613</v>
      </c>
      <c r="C3030" t="s">
        <v>40</v>
      </c>
      <c r="D3030">
        <v>5.156231</v>
      </c>
      <c r="E3030">
        <v>0.50901289999999999</v>
      </c>
      <c r="F3030" t="s">
        <v>85</v>
      </c>
      <c r="G3030">
        <v>-210.63800000000001</v>
      </c>
      <c r="H3030" s="1">
        <v>-3.7454920000000001E-8</v>
      </c>
      <c r="I3030">
        <v>-57.198270000000001</v>
      </c>
      <c r="J3030">
        <v>-222.6481</v>
      </c>
      <c r="K3030">
        <v>1.1039779999999999</v>
      </c>
      <c r="L3030">
        <v>-57.460940000000001</v>
      </c>
      <c r="M3030">
        <v>0.99992590000000003</v>
      </c>
      <c r="N3030">
        <v>0</v>
      </c>
      <c r="O3030">
        <v>-3.303028E-3</v>
      </c>
      <c r="P3030">
        <v>0.99173250000000002</v>
      </c>
      <c r="Q3030">
        <v>0.12456109999999999</v>
      </c>
      <c r="R3030">
        <v>3.0846100000000001E-2</v>
      </c>
      <c r="S3030">
        <v>3.057922</v>
      </c>
      <c r="T3030">
        <v>-0.2769527</v>
      </c>
      <c r="U3030">
        <v>6.5734860000000006E-2</v>
      </c>
      <c r="V3030">
        <v>-3.4112740000000003E-2</v>
      </c>
      <c r="W3030">
        <v>0.13618350000000001</v>
      </c>
      <c r="X3030">
        <v>0.99009619999999998</v>
      </c>
      <c r="Y3030">
        <v>-2.4679510000000002E-2</v>
      </c>
      <c r="Z3030">
        <v>1.4137170000000001E-3</v>
      </c>
      <c r="AA3030">
        <v>0.99969439999999998</v>
      </c>
      <c r="AB3030">
        <v>36</v>
      </c>
      <c r="AC3030">
        <v>12.0100999999999</v>
      </c>
      <c r="AD3030">
        <v>-1.10397803745492</v>
      </c>
      <c r="AE3030">
        <v>0.26267000000000701</v>
      </c>
      <c r="AF3030">
        <v>-0.29980898173307902</v>
      </c>
      <c r="AG3030">
        <v>-1.10397803745492</v>
      </c>
      <c r="AH3030">
        <v>11.9085940369438</v>
      </c>
      <c r="AI3030">
        <v>95.294759709867805</v>
      </c>
      <c r="AJ3030">
        <v>91.442165331286901</v>
      </c>
      <c r="AK3030">
        <v>11.963413596020301</v>
      </c>
      <c r="AL3030">
        <v>82.172938912559502</v>
      </c>
      <c r="AM3030">
        <v>91.973286225953601</v>
      </c>
      <c r="AN3030">
        <v>1.00000005497849</v>
      </c>
    </row>
    <row r="3031" spans="1:40" x14ac:dyDescent="0.3">
      <c r="A3031" t="str">
        <f>"20200111150413271"</f>
        <v>20200111150413271</v>
      </c>
      <c r="B3031" t="str">
        <f>"1578726253261373"</f>
        <v>1578726253261373</v>
      </c>
      <c r="C3031" t="s">
        <v>40</v>
      </c>
      <c r="D3031">
        <v>5.2382999999999997</v>
      </c>
      <c r="E3031">
        <v>0.51193180000000005</v>
      </c>
      <c r="F3031" t="s">
        <v>42</v>
      </c>
      <c r="G3031">
        <v>-221.75299999999999</v>
      </c>
      <c r="H3031">
        <v>1.032394</v>
      </c>
      <c r="I3031">
        <v>-57.45308</v>
      </c>
      <c r="J3031">
        <v>-222.4332</v>
      </c>
      <c r="K3031">
        <v>1.103979</v>
      </c>
      <c r="L3031">
        <v>-57.461669999999998</v>
      </c>
      <c r="M3031">
        <v>0.99992559999999997</v>
      </c>
      <c r="N3031">
        <v>0</v>
      </c>
      <c r="O3031">
        <v>-3.3092460000000001E-3</v>
      </c>
      <c r="P3031">
        <v>0.99174929999999994</v>
      </c>
      <c r="Q3031">
        <v>0.1243491</v>
      </c>
      <c r="R3031">
        <v>3.1159590000000001E-2</v>
      </c>
      <c r="S3031">
        <v>3.0548250000000001</v>
      </c>
      <c r="T3031">
        <v>-0.2442859</v>
      </c>
      <c r="U3031">
        <v>2.7282710000000002E-2</v>
      </c>
      <c r="V3031">
        <v>-3.4432320000000002E-2</v>
      </c>
      <c r="W3031">
        <v>0.135995</v>
      </c>
      <c r="X3031">
        <v>0.99011099999999996</v>
      </c>
      <c r="Y3031">
        <v>-1.219049E-2</v>
      </c>
      <c r="Z3031">
        <v>7.5085649999999903E-4</v>
      </c>
      <c r="AA3031">
        <v>0.99992539999999996</v>
      </c>
      <c r="AB3031">
        <v>36</v>
      </c>
      <c r="AC3031">
        <v>0.68020000000001302</v>
      </c>
      <c r="AD3031">
        <v>-7.1584999999999996E-2</v>
      </c>
      <c r="AE3031">
        <v>8.5899999999909903E-3</v>
      </c>
      <c r="AF3031">
        <v>-1.0722319093884001E-2</v>
      </c>
      <c r="AG3031">
        <v>-7.1584999999999996E-2</v>
      </c>
      <c r="AH3031">
        <v>0.67271821608759896</v>
      </c>
      <c r="AI3031">
        <v>96.073310467342694</v>
      </c>
      <c r="AJ3031">
        <v>90.913148477648306</v>
      </c>
      <c r="AK3031">
        <v>0.67660119613242797</v>
      </c>
      <c r="AL3031">
        <v>82.183840223745904</v>
      </c>
      <c r="AM3031">
        <v>91.991728087789099</v>
      </c>
      <c r="AN3031">
        <v>1.0000000085032901</v>
      </c>
    </row>
    <row r="3032" spans="1:40" x14ac:dyDescent="0.3">
      <c r="A3032" t="str">
        <f>"20200111150413283"</f>
        <v>20200111150413283</v>
      </c>
      <c r="B3032" t="str">
        <f>"1578726253271133"</f>
        <v>1578726253271133</v>
      </c>
      <c r="C3032" t="s">
        <v>40</v>
      </c>
      <c r="D3032">
        <v>5.2291869999999996</v>
      </c>
      <c r="E3032">
        <v>0.51213799999999998</v>
      </c>
      <c r="F3032" t="s">
        <v>42</v>
      </c>
      <c r="G3032">
        <v>-221.43289999999999</v>
      </c>
      <c r="H3032">
        <v>1.0288980000000001</v>
      </c>
      <c r="I3032">
        <v>-57.460180000000001</v>
      </c>
      <c r="J3032">
        <v>-222.23439999999999</v>
      </c>
      <c r="K3032">
        <v>1.1039829999999999</v>
      </c>
      <c r="L3032">
        <v>-57.462339999999998</v>
      </c>
      <c r="M3032">
        <v>0.99992510000000001</v>
      </c>
      <c r="N3032">
        <v>0</v>
      </c>
      <c r="O3032">
        <v>-3.3192500000000002E-3</v>
      </c>
      <c r="P3032">
        <v>0.99176030000000004</v>
      </c>
      <c r="Q3032">
        <v>0.124311</v>
      </c>
      <c r="R3032">
        <v>3.0959919999999998E-2</v>
      </c>
      <c r="S3032">
        <v>3.0535429999999999</v>
      </c>
      <c r="T3032">
        <v>-0.2291888</v>
      </c>
      <c r="U3032">
        <v>4.8217770000000002E-3</v>
      </c>
      <c r="V3032">
        <v>-3.4242069999999999E-2</v>
      </c>
      <c r="W3032">
        <v>0.13599069999999999</v>
      </c>
      <c r="X3032">
        <v>0.99011819999999895</v>
      </c>
      <c r="Y3032">
        <v>-4.8754929999999998E-3</v>
      </c>
      <c r="Z3032">
        <v>4.3151110000000002E-4</v>
      </c>
      <c r="AA3032">
        <v>0.99998799999999999</v>
      </c>
      <c r="AB3032">
        <v>36</v>
      </c>
      <c r="AC3032">
        <v>0.80150000000000399</v>
      </c>
      <c r="AD3032">
        <v>-7.5084999999999999E-2</v>
      </c>
      <c r="AE3032">
        <v>2.1600000000034899E-3</v>
      </c>
      <c r="AF3032">
        <v>-4.7786145160242897E-3</v>
      </c>
      <c r="AG3032">
        <v>-7.5084999999999999E-2</v>
      </c>
      <c r="AH3032">
        <v>0.79451575108995498</v>
      </c>
      <c r="AI3032">
        <v>95.398555562564098</v>
      </c>
      <c r="AJ3032">
        <v>90.344601276881207</v>
      </c>
      <c r="AK3032">
        <v>0.79807009160331799</v>
      </c>
      <c r="AL3032">
        <v>82.184088995591694</v>
      </c>
      <c r="AM3032">
        <v>91.980717526973905</v>
      </c>
      <c r="AN3032">
        <v>1.0000000199078001</v>
      </c>
    </row>
    <row r="3033" spans="1:40" x14ac:dyDescent="0.3">
      <c r="A3033" t="str">
        <f>"20200111150413297"</f>
        <v>20200111150413297</v>
      </c>
      <c r="B3033" t="str">
        <f>"1578726253291628"</f>
        <v>1578726253291628</v>
      </c>
      <c r="C3033" t="s">
        <v>40</v>
      </c>
      <c r="D3033">
        <v>4.6815689999999996</v>
      </c>
      <c r="E3033">
        <v>0.51256009999999996</v>
      </c>
      <c r="F3033" t="s">
        <v>72</v>
      </c>
      <c r="G3033">
        <v>-207.16579999999999</v>
      </c>
      <c r="H3033" s="1">
        <v>-2.5543689999999998E-6</v>
      </c>
      <c r="I3033">
        <v>-57.447429999999997</v>
      </c>
      <c r="J3033">
        <v>-222.0196</v>
      </c>
      <c r="K3033">
        <v>1.1039939999999999</v>
      </c>
      <c r="L3033">
        <v>-57.463070000000002</v>
      </c>
      <c r="M3033">
        <v>0.99992449999999999</v>
      </c>
      <c r="N3033">
        <v>0</v>
      </c>
      <c r="O3033">
        <v>-3.3280150000000001E-3</v>
      </c>
      <c r="P3033">
        <v>0.99176430000000004</v>
      </c>
      <c r="Q3033">
        <v>0.1243841</v>
      </c>
      <c r="R3033">
        <v>3.0535489999999998E-2</v>
      </c>
      <c r="S3033">
        <v>3.0528719999999998</v>
      </c>
      <c r="T3033">
        <v>-0.2236649</v>
      </c>
      <c r="U3033">
        <v>3.0212400000000001E-3</v>
      </c>
      <c r="V3033">
        <v>-3.382603E-2</v>
      </c>
      <c r="W3033">
        <v>0.1361117</v>
      </c>
      <c r="X3033">
        <v>0.99011590000000005</v>
      </c>
      <c r="Y3033">
        <v>-4.2974409999999999E-3</v>
      </c>
      <c r="Z3033">
        <v>4.0072600000000001E-4</v>
      </c>
      <c r="AA3033">
        <v>0.99999070000000001</v>
      </c>
      <c r="AB3033">
        <v>36</v>
      </c>
      <c r="AC3033">
        <v>14.8538</v>
      </c>
      <c r="AD3033">
        <v>-1.103996554369</v>
      </c>
      <c r="AE3033">
        <v>1.5639999999990498E-2</v>
      </c>
      <c r="AF3033">
        <v>-6.4719525576915002E-2</v>
      </c>
      <c r="AG3033">
        <v>-1.103996554369</v>
      </c>
      <c r="AH3033">
        <v>14.7720636431528</v>
      </c>
      <c r="AI3033">
        <v>94.274038310754094</v>
      </c>
      <c r="AJ3033">
        <v>90.251023284997203</v>
      </c>
      <c r="AK3033">
        <v>14.813401408400599</v>
      </c>
      <c r="AL3033">
        <v>82.177091338932001</v>
      </c>
      <c r="AM3033">
        <v>91.956675238820097</v>
      </c>
      <c r="AN3033">
        <v>1.0000000453076201</v>
      </c>
    </row>
    <row r="3034" spans="1:40" x14ac:dyDescent="0.3">
      <c r="A3034" t="str">
        <f>"20200111150413309"</f>
        <v>20200111150413309</v>
      </c>
      <c r="B3034" t="str">
        <f>"1578726253301389"</f>
        <v>1578726253301389</v>
      </c>
      <c r="C3034" t="s">
        <v>40</v>
      </c>
      <c r="D3034">
        <v>5.356357</v>
      </c>
      <c r="E3034">
        <v>0.51256009999999996</v>
      </c>
      <c r="F3034" t="s">
        <v>42</v>
      </c>
      <c r="G3034">
        <v>-221.10480000000001</v>
      </c>
      <c r="H3034">
        <v>1.0351429999999999</v>
      </c>
      <c r="I3034">
        <v>-57.463470000000001</v>
      </c>
      <c r="J3034">
        <v>-221.82329999999999</v>
      </c>
      <c r="K3034">
        <v>1.104007</v>
      </c>
      <c r="L3034">
        <v>-57.463709999999999</v>
      </c>
      <c r="M3034">
        <v>0.99992389999999998</v>
      </c>
      <c r="N3034">
        <v>0</v>
      </c>
      <c r="O3034">
        <v>-3.3347630000000001E-3</v>
      </c>
      <c r="P3034">
        <v>0.99171520000000002</v>
      </c>
      <c r="Q3034">
        <v>0.1248148</v>
      </c>
      <c r="R3034">
        <v>3.0372099999999999E-2</v>
      </c>
      <c r="S3034">
        <v>3.0537869999999998</v>
      </c>
      <c r="T3034">
        <v>-0.2298607</v>
      </c>
      <c r="U3034">
        <v>-9.1552729999999996E-4</v>
      </c>
      <c r="V3034">
        <v>-3.3668919999999998E-2</v>
      </c>
      <c r="W3034">
        <v>0.13659260000000001</v>
      </c>
      <c r="X3034">
        <v>0.99005500000000002</v>
      </c>
      <c r="Y3034">
        <v>-3.0172300000000001E-3</v>
      </c>
      <c r="Z3034">
        <v>3.6406680000000002E-4</v>
      </c>
      <c r="AA3034">
        <v>0.99999539999999998</v>
      </c>
      <c r="AB3034">
        <v>36</v>
      </c>
      <c r="AC3034">
        <v>0.71849999999997705</v>
      </c>
      <c r="AD3034">
        <v>-6.8863999999999995E-2</v>
      </c>
      <c r="AE3034">
        <v>2.40000000005125E-4</v>
      </c>
      <c r="AF3034">
        <v>-2.6121990005381602E-3</v>
      </c>
      <c r="AG3034">
        <v>-6.8863999999999995E-2</v>
      </c>
      <c r="AH3034">
        <v>0.71195511712297599</v>
      </c>
      <c r="AI3034">
        <v>95.524722016732298</v>
      </c>
      <c r="AJ3034">
        <v>90.210220142784806</v>
      </c>
      <c r="AK3034">
        <v>0.71528257554424501</v>
      </c>
      <c r="AL3034">
        <v>82.149277825784907</v>
      </c>
      <c r="AM3034">
        <v>91.947713894100602</v>
      </c>
      <c r="AN3034">
        <v>1.0000000187868601</v>
      </c>
    </row>
    <row r="3035" spans="1:40" x14ac:dyDescent="0.3">
      <c r="A3035" t="str">
        <f>"20200111150413319"</f>
        <v>20200111150413319</v>
      </c>
      <c r="B3035" t="str">
        <f>"1578726253311149"</f>
        <v>1578726253311149</v>
      </c>
      <c r="C3035" t="s">
        <v>40</v>
      </c>
      <c r="D3035">
        <v>4.6703599999999996</v>
      </c>
      <c r="E3035">
        <v>0.51202799999999904</v>
      </c>
      <c r="F3035" t="s">
        <v>42</v>
      </c>
      <c r="G3035">
        <v>-220.7869</v>
      </c>
      <c r="H3035">
        <v>1.026419</v>
      </c>
      <c r="I3035">
        <v>-57.46416</v>
      </c>
      <c r="J3035">
        <v>-221.64150000000001</v>
      </c>
      <c r="K3035">
        <v>1.104025</v>
      </c>
      <c r="L3035">
        <v>-57.464320000000001</v>
      </c>
      <c r="M3035">
        <v>0.99992309999999995</v>
      </c>
      <c r="N3035">
        <v>0</v>
      </c>
      <c r="O3035">
        <v>-3.3390160000000002E-3</v>
      </c>
      <c r="P3035">
        <v>0.99173999999999995</v>
      </c>
      <c r="Q3035">
        <v>0.12471019999999899</v>
      </c>
      <c r="R3035">
        <v>2.9991469999999999E-2</v>
      </c>
      <c r="S3035">
        <v>3.0538639999999999</v>
      </c>
      <c r="T3035">
        <v>-0.2285944</v>
      </c>
      <c r="U3035">
        <v>-1.00708E-3</v>
      </c>
      <c r="V3035">
        <v>-3.3292799999999997E-2</v>
      </c>
      <c r="W3035">
        <v>0.13656190000000001</v>
      </c>
      <c r="X3035">
        <v>0.99007199999999995</v>
      </c>
      <c r="Y3035">
        <v>-2.9917709999999998E-3</v>
      </c>
      <c r="Z3035">
        <v>3.6142439999999997E-4</v>
      </c>
      <c r="AA3035">
        <v>0.99999550000000004</v>
      </c>
      <c r="AB3035">
        <v>36</v>
      </c>
      <c r="AC3035">
        <v>0.85460000000000402</v>
      </c>
      <c r="AD3035">
        <v>-7.7605999999999994E-2</v>
      </c>
      <c r="AE3035">
        <v>1.5999999999394201E-4</v>
      </c>
      <c r="AF3035">
        <v>-2.9890765794370801E-3</v>
      </c>
      <c r="AG3035">
        <v>-7.7605999999999994E-2</v>
      </c>
      <c r="AH3035">
        <v>0.84760500454180299</v>
      </c>
      <c r="AI3035">
        <v>95.2313351583242</v>
      </c>
      <c r="AJ3035">
        <v>90.202052561965104</v>
      </c>
      <c r="AK3035">
        <v>0.85115560829915704</v>
      </c>
      <c r="AL3035">
        <v>82.151053802845098</v>
      </c>
      <c r="AM3035">
        <v>91.925939156245306</v>
      </c>
      <c r="AN3035">
        <v>1.0000000641237199</v>
      </c>
    </row>
    <row r="3036" spans="1:40" x14ac:dyDescent="0.3">
      <c r="A3036" t="str">
        <f>"20200111150413330"</f>
        <v>20200111150413330</v>
      </c>
      <c r="B3036" t="str">
        <f>"1578726253321884"</f>
        <v>1578726253321884</v>
      </c>
      <c r="C3036" t="s">
        <v>40</v>
      </c>
      <c r="D3036">
        <v>5.9759200000000003</v>
      </c>
      <c r="E3036">
        <v>0.51202799999999904</v>
      </c>
      <c r="F3036" t="s">
        <v>42</v>
      </c>
      <c r="G3036">
        <v>-220.77699999999999</v>
      </c>
      <c r="H3036">
        <v>1.0399590000000001</v>
      </c>
      <c r="I3036">
        <v>-57.463869999999901</v>
      </c>
      <c r="J3036">
        <v>-221.4717</v>
      </c>
      <c r="K3036">
        <v>1.104047</v>
      </c>
      <c r="L3036">
        <v>-57.4649</v>
      </c>
      <c r="M3036">
        <v>0.99992219999999998</v>
      </c>
      <c r="N3036">
        <v>0</v>
      </c>
      <c r="O3036">
        <v>-3.3430249999999999E-3</v>
      </c>
      <c r="P3036">
        <v>0.99178010000000005</v>
      </c>
      <c r="Q3036">
        <v>0.12447850000000001</v>
      </c>
      <c r="R3036">
        <v>2.9624770000000002E-2</v>
      </c>
      <c r="S3036">
        <v>3.053375</v>
      </c>
      <c r="T3036">
        <v>-0.22626550000000001</v>
      </c>
      <c r="U3036">
        <v>1.9836430000000002E-3</v>
      </c>
      <c r="V3036">
        <v>-3.2930479999999998E-2</v>
      </c>
      <c r="W3036">
        <v>0.13640360000000001</v>
      </c>
      <c r="X3036">
        <v>0.99010589999999998</v>
      </c>
      <c r="Y3036">
        <v>-3.9728580000000001E-3</v>
      </c>
      <c r="Z3036">
        <v>3.9440770000000002E-4</v>
      </c>
      <c r="AA3036">
        <v>0.99999199999999999</v>
      </c>
      <c r="AB3036">
        <v>36</v>
      </c>
      <c r="AC3036">
        <v>0.694699999999983</v>
      </c>
      <c r="AD3036">
        <v>-6.4087999999999895E-2</v>
      </c>
      <c r="AE3036">
        <v>1.0300000000071901E-3</v>
      </c>
      <c r="AF3036">
        <v>-3.32427004437844E-3</v>
      </c>
      <c r="AG3036">
        <v>-6.4087999999999895E-2</v>
      </c>
      <c r="AH3036">
        <v>0.68883034537324805</v>
      </c>
      <c r="AI3036">
        <v>95.315371329231397</v>
      </c>
      <c r="AJ3036">
        <v>90.276505189054802</v>
      </c>
      <c r="AK3036">
        <v>0.69181324591421101</v>
      </c>
      <c r="AL3036">
        <v>82.1602090966541</v>
      </c>
      <c r="AM3036">
        <v>91.904929832554799</v>
      </c>
      <c r="AN3036">
        <v>1.0000000259103901</v>
      </c>
    </row>
    <row r="3037" spans="1:40" x14ac:dyDescent="0.3">
      <c r="A3037" t="str">
        <f>"20200111150413342"</f>
        <v>20200111150413342</v>
      </c>
      <c r="B3037" t="str">
        <f>"1578726253331645"</f>
        <v>1578726253331645</v>
      </c>
      <c r="C3037" t="s">
        <v>40</v>
      </c>
      <c r="D3037">
        <v>5.2909179999999996</v>
      </c>
      <c r="E3037">
        <v>0.51408999999999905</v>
      </c>
      <c r="F3037" t="s">
        <v>42</v>
      </c>
      <c r="G3037">
        <v>-220.4624</v>
      </c>
      <c r="H3037">
        <v>1.029047</v>
      </c>
      <c r="I3037">
        <v>-57.464970000000001</v>
      </c>
      <c r="J3037">
        <v>-221.2807</v>
      </c>
      <c r="K3037">
        <v>1.10407099999999</v>
      </c>
      <c r="L3037">
        <v>-57.46555</v>
      </c>
      <c r="M3037">
        <v>0.99992080000000005</v>
      </c>
      <c r="N3037">
        <v>0</v>
      </c>
      <c r="O3037">
        <v>-3.347671E-3</v>
      </c>
      <c r="P3037">
        <v>0.99183089999999996</v>
      </c>
      <c r="Q3037">
        <v>0.12418120000000001</v>
      </c>
      <c r="R3037">
        <v>2.916564E-2</v>
      </c>
      <c r="S3037">
        <v>3.0533139999999999</v>
      </c>
      <c r="T3037">
        <v>-0.2268783</v>
      </c>
      <c r="U3037">
        <v>1.8310550000000001E-4</v>
      </c>
      <c r="V3037">
        <v>-3.2476240000000003E-2</v>
      </c>
      <c r="W3037">
        <v>0.13620660000000001</v>
      </c>
      <c r="X3037">
        <v>0.99014800000000003</v>
      </c>
      <c r="Y3037">
        <v>-3.3893130000000001E-3</v>
      </c>
      <c r="Z3037">
        <v>3.7417519999999999E-4</v>
      </c>
      <c r="AA3037">
        <v>0.99999420000000006</v>
      </c>
      <c r="AB3037">
        <v>36</v>
      </c>
      <c r="AC3037">
        <v>0.81829999999999303</v>
      </c>
      <c r="AD3037">
        <v>-7.5023999999999702E-2</v>
      </c>
      <c r="AE3037">
        <v>5.8000000000646402E-4</v>
      </c>
      <c r="AF3037">
        <v>-3.2919265279876299E-3</v>
      </c>
      <c r="AG3037">
        <v>-7.5023999999999702E-2</v>
      </c>
      <c r="AH3037">
        <v>0.81147245893940601</v>
      </c>
      <c r="AI3037">
        <v>95.2821733874719</v>
      </c>
      <c r="AJ3037">
        <v>90.232432363880804</v>
      </c>
      <c r="AK3037">
        <v>0.81493986831755305</v>
      </c>
      <c r="AL3037">
        <v>82.171602521863406</v>
      </c>
      <c r="AM3037">
        <v>91.878592545542304</v>
      </c>
      <c r="AN3037">
        <v>1.0000000029760401</v>
      </c>
    </row>
    <row r="3038" spans="1:40" x14ac:dyDescent="0.3">
      <c r="A3038" t="str">
        <f>"20200111150413354"</f>
        <v>20200111150413354</v>
      </c>
      <c r="B3038" t="str">
        <f>"1578726253341404"</f>
        <v>1578726253341404</v>
      </c>
      <c r="C3038" t="s">
        <v>40</v>
      </c>
      <c r="D3038">
        <v>5.1813640000000003</v>
      </c>
      <c r="E3038">
        <v>0.50855530000000004</v>
      </c>
      <c r="F3038" t="s">
        <v>66</v>
      </c>
      <c r="G3038">
        <v>-169.244</v>
      </c>
      <c r="H3038">
        <v>8.2394219999999994</v>
      </c>
      <c r="I3038">
        <v>-57.906550000000003</v>
      </c>
      <c r="J3038">
        <v>-221.0993</v>
      </c>
      <c r="K3038">
        <v>1.1040939999999999</v>
      </c>
      <c r="L3038">
        <v>-57.466160000000002</v>
      </c>
      <c r="M3038">
        <v>0.99991960000000002</v>
      </c>
      <c r="N3038">
        <v>0</v>
      </c>
      <c r="O3038">
        <v>-3.3524620000000001E-3</v>
      </c>
      <c r="P3038">
        <v>0.99184260000000002</v>
      </c>
      <c r="Q3038">
        <v>0.12416530000000001</v>
      </c>
      <c r="R3038">
        <v>2.883343E-2</v>
      </c>
      <c r="S3038">
        <v>2.974396</v>
      </c>
      <c r="T3038">
        <v>0.40785179999999999</v>
      </c>
      <c r="U3038">
        <v>-2.5207520000000001E-2</v>
      </c>
      <c r="V3038">
        <v>-3.2149610000000002E-2</v>
      </c>
      <c r="W3038">
        <v>0.13629349999999901</v>
      </c>
      <c r="X3038">
        <v>0.99014669999999905</v>
      </c>
      <c r="Y3038">
        <v>5.105493E-3</v>
      </c>
      <c r="Z3038">
        <v>-1.09177E-4</v>
      </c>
      <c r="AA3038">
        <v>0.99998690000000001</v>
      </c>
      <c r="AB3038">
        <v>36</v>
      </c>
      <c r="AC3038">
        <v>51.8552999999999</v>
      </c>
      <c r="AD3038">
        <v>7.1353280000000003</v>
      </c>
      <c r="AE3038">
        <v>-0.440390000000007</v>
      </c>
      <c r="AF3038">
        <v>0.26157922629401498</v>
      </c>
      <c r="AG3038">
        <v>7.1353280000000003</v>
      </c>
      <c r="AH3038">
        <v>50.892949207314601</v>
      </c>
      <c r="AI3038">
        <v>82.019104365079002</v>
      </c>
      <c r="AJ3038">
        <v>89.705514144214703</v>
      </c>
      <c r="AK3038">
        <v>51.3913767900561</v>
      </c>
      <c r="AL3038">
        <v>82.166576638467703</v>
      </c>
      <c r="AM3038">
        <v>91.859714363211594</v>
      </c>
      <c r="AN3038">
        <v>1.0000000015431401</v>
      </c>
    </row>
    <row r="3039" spans="1:40" x14ac:dyDescent="0.3">
      <c r="A3039" t="str">
        <f>"20200111150413369"</f>
        <v>20200111150413369</v>
      </c>
      <c r="B3039" t="str">
        <f>"1578726253361900"</f>
        <v>1578726253361900</v>
      </c>
      <c r="C3039" t="s">
        <v>40</v>
      </c>
      <c r="D3039">
        <v>5.4562869999999997</v>
      </c>
      <c r="E3039">
        <v>0.50855530000000004</v>
      </c>
      <c r="F3039" t="s">
        <v>66</v>
      </c>
      <c r="G3039">
        <v>-167.99870000000001</v>
      </c>
      <c r="H3039">
        <v>9.6210939999999994</v>
      </c>
      <c r="I3039">
        <v>-57.158410000000003</v>
      </c>
      <c r="J3039">
        <v>-220.8443</v>
      </c>
      <c r="K3039">
        <v>1.1041319999999999</v>
      </c>
      <c r="L3039">
        <v>-57.467039999999997</v>
      </c>
      <c r="M3039">
        <v>0.99991750000000001</v>
      </c>
      <c r="N3039">
        <v>0</v>
      </c>
      <c r="O3039">
        <v>-3.3595119999999998E-3</v>
      </c>
      <c r="P3039">
        <v>0.99192179999999996</v>
      </c>
      <c r="Q3039">
        <v>0.12381350000000001</v>
      </c>
      <c r="R3039">
        <v>2.7587090000000002E-2</v>
      </c>
      <c r="S3039">
        <v>2.964661</v>
      </c>
      <c r="T3039">
        <v>0.47551060000000001</v>
      </c>
      <c r="U3039">
        <v>1.7181399999999999E-2</v>
      </c>
      <c r="V3039">
        <v>-3.091056E-2</v>
      </c>
      <c r="W3039">
        <v>0.13610269999999999</v>
      </c>
      <c r="X3039">
        <v>0.99021239999999999</v>
      </c>
      <c r="Y3039">
        <v>-8.9970540000000009E-3</v>
      </c>
      <c r="Z3039">
        <v>-1.2524019999999999E-3</v>
      </c>
      <c r="AA3039">
        <v>0.99995880000000004</v>
      </c>
      <c r="AB3039">
        <v>36</v>
      </c>
      <c r="AC3039">
        <v>52.845599999999898</v>
      </c>
      <c r="AD3039">
        <v>8.5169619999999995</v>
      </c>
      <c r="AE3039">
        <v>0.30863000000000701</v>
      </c>
      <c r="AF3039">
        <v>-0.47386910871543803</v>
      </c>
      <c r="AG3039">
        <v>8.5169619999999995</v>
      </c>
      <c r="AH3039">
        <v>51.506442319443998</v>
      </c>
      <c r="AI3039">
        <v>80.611081695458495</v>
      </c>
      <c r="AJ3039">
        <v>90.527117244828801</v>
      </c>
      <c r="AK3039">
        <v>52.208014653382897</v>
      </c>
      <c r="AL3039">
        <v>82.177611506872694</v>
      </c>
      <c r="AM3039">
        <v>91.787969636647802</v>
      </c>
      <c r="AN3039">
        <v>1.00000000239028</v>
      </c>
    </row>
    <row r="3040" spans="1:40" x14ac:dyDescent="0.3">
      <c r="A3040" t="str">
        <f>"20200111150413380"</f>
        <v>20200111150413380</v>
      </c>
      <c r="B3040" t="str">
        <f>"1578726253371660"</f>
        <v>1578726253371660</v>
      </c>
      <c r="C3040" t="s">
        <v>40</v>
      </c>
      <c r="D3040">
        <v>6.0043850000000001</v>
      </c>
      <c r="E3040">
        <v>0.51163729999999996</v>
      </c>
      <c r="F3040" t="s">
        <v>66</v>
      </c>
      <c r="G3040">
        <v>-167.99870000000001</v>
      </c>
      <c r="H3040">
        <v>9.5597949999999994</v>
      </c>
      <c r="I3040">
        <v>-57.227699999999999</v>
      </c>
      <c r="J3040">
        <v>-220.66329999999999</v>
      </c>
      <c r="K3040">
        <v>1.104152</v>
      </c>
      <c r="L3040">
        <v>-57.467649999999999</v>
      </c>
      <c r="M3040">
        <v>0.99991589999999997</v>
      </c>
      <c r="N3040">
        <v>0</v>
      </c>
      <c r="O3040">
        <v>-3.3645490000000001E-3</v>
      </c>
      <c r="P3040">
        <v>0.99195449999999996</v>
      </c>
      <c r="Q3040">
        <v>0.1236092</v>
      </c>
      <c r="R3040">
        <v>2.732828E-2</v>
      </c>
      <c r="S3040">
        <v>2.9648439999999998</v>
      </c>
      <c r="T3040">
        <v>0.47439369999999997</v>
      </c>
      <c r="U3040">
        <v>1.3427730000000001E-2</v>
      </c>
      <c r="V3040">
        <v>-3.065783E-2</v>
      </c>
      <c r="W3040">
        <v>0.13601949999999999</v>
      </c>
      <c r="X3040">
        <v>0.99023170000000005</v>
      </c>
      <c r="Y3040">
        <v>-7.7522839999999999E-3</v>
      </c>
      <c r="Z3040">
        <v>-1.1512709999999999E-3</v>
      </c>
      <c r="AA3040">
        <v>0.99996929999999995</v>
      </c>
      <c r="AB3040">
        <v>36</v>
      </c>
      <c r="AC3040">
        <v>52.664599999999901</v>
      </c>
      <c r="AD3040">
        <v>8.4556429999999896</v>
      </c>
      <c r="AE3040">
        <v>0.23995</v>
      </c>
      <c r="AF3040">
        <v>-0.40667203833466098</v>
      </c>
      <c r="AG3040">
        <v>8.4556429999999896</v>
      </c>
      <c r="AH3040">
        <v>51.3400581911174</v>
      </c>
      <c r="AI3040">
        <v>80.647707269370997</v>
      </c>
      <c r="AJ3040">
        <v>90.453838677897494</v>
      </c>
      <c r="AK3040">
        <v>52.033305254976199</v>
      </c>
      <c r="AL3040">
        <v>82.182423348737004</v>
      </c>
      <c r="AM3040">
        <v>91.773325723937404</v>
      </c>
      <c r="AN3040">
        <v>1.00000001330272</v>
      </c>
    </row>
    <row r="3041" spans="1:40" x14ac:dyDescent="0.3">
      <c r="A3041" t="str">
        <f>"20200111150413391"</f>
        <v>20200111150413391</v>
      </c>
      <c r="B3041" t="str">
        <f>"1578726253381422"</f>
        <v>1578726253381422</v>
      </c>
      <c r="C3041" t="s">
        <v>40</v>
      </c>
      <c r="D3041">
        <v>5.2482920000000002</v>
      </c>
      <c r="E3041">
        <v>0.50386260000000005</v>
      </c>
      <c r="F3041" t="s">
        <v>66</v>
      </c>
      <c r="G3041">
        <v>-167.99870000000001</v>
      </c>
      <c r="H3041">
        <v>10.06822</v>
      </c>
      <c r="I3041">
        <v>-57.685789999999997</v>
      </c>
      <c r="J3041">
        <v>-220.49430000000001</v>
      </c>
      <c r="K3041">
        <v>1.1041729999999901</v>
      </c>
      <c r="L3041">
        <v>-57.468229999999998</v>
      </c>
      <c r="M3041">
        <v>0.99991450000000004</v>
      </c>
      <c r="N3041">
        <v>0</v>
      </c>
      <c r="O3041">
        <v>-3.3690640000000002E-3</v>
      </c>
      <c r="P3041">
        <v>0.99198319999999995</v>
      </c>
      <c r="Q3041">
        <v>0.1233732</v>
      </c>
      <c r="R3041">
        <v>2.7357059999999999E-2</v>
      </c>
      <c r="S3041">
        <v>2.9618530000000001</v>
      </c>
      <c r="T3041">
        <v>0.50413629999999998</v>
      </c>
      <c r="U3041">
        <v>-1.2268070000000001E-2</v>
      </c>
      <c r="V3041">
        <v>-3.0691409999999999E-2</v>
      </c>
      <c r="W3041">
        <v>0.1358953</v>
      </c>
      <c r="X3041">
        <v>0.99024769999999895</v>
      </c>
      <c r="Y3041">
        <v>8.0947679999999903E-4</v>
      </c>
      <c r="Z3041">
        <v>-5.009964E-4</v>
      </c>
      <c r="AA3041">
        <v>0.99999950000000004</v>
      </c>
      <c r="AB3041">
        <v>36</v>
      </c>
      <c r="AC3041">
        <v>52.495600000000003</v>
      </c>
      <c r="AD3041">
        <v>8.9640470000000008</v>
      </c>
      <c r="AE3041">
        <v>-0.217559999999998</v>
      </c>
      <c r="AF3041">
        <v>3.9530973217675E-2</v>
      </c>
      <c r="AG3041">
        <v>8.9640470000000008</v>
      </c>
      <c r="AH3041">
        <v>51.008731865112203</v>
      </c>
      <c r="AI3041">
        <v>80.032871533082798</v>
      </c>
      <c r="AJ3041">
        <v>89.955596671605903</v>
      </c>
      <c r="AK3041">
        <v>51.790408646804103</v>
      </c>
      <c r="AL3041">
        <v>82.189606084843703</v>
      </c>
      <c r="AM3041">
        <v>91.775238167430004</v>
      </c>
      <c r="AN3041">
        <v>1.00000000128258</v>
      </c>
    </row>
    <row r="3042" spans="1:40" x14ac:dyDescent="0.3">
      <c r="A3042" t="str">
        <f>"20200111150413402"</f>
        <v>20200111150413402</v>
      </c>
      <c r="B3042" t="str">
        <f>"1578726253391181"</f>
        <v>1578726253391181</v>
      </c>
      <c r="C3042" t="s">
        <v>40</v>
      </c>
      <c r="D3042">
        <v>5.1775440000000001</v>
      </c>
      <c r="E3042">
        <v>0.50480349999999996</v>
      </c>
      <c r="F3042" t="s">
        <v>66</v>
      </c>
      <c r="G3042">
        <v>-167.99870000000001</v>
      </c>
      <c r="H3042">
        <v>10.70093</v>
      </c>
      <c r="I3042">
        <v>-56.58961</v>
      </c>
      <c r="J3042">
        <v>-220.30510000000001</v>
      </c>
      <c r="K3042">
        <v>1.104195</v>
      </c>
      <c r="L3042">
        <v>-57.468870000000003</v>
      </c>
      <c r="M3042">
        <v>0.99991289999999999</v>
      </c>
      <c r="N3042">
        <v>0</v>
      </c>
      <c r="O3042">
        <v>-3.3739019999999998E-3</v>
      </c>
      <c r="P3042">
        <v>0.99200250000000001</v>
      </c>
      <c r="Q3042">
        <v>0.12318800000000001</v>
      </c>
      <c r="R3042">
        <v>2.7491709999999999E-2</v>
      </c>
      <c r="S3042">
        <v>2.955673</v>
      </c>
      <c r="T3042">
        <v>0.54032619999999998</v>
      </c>
      <c r="U3042">
        <v>4.9468989999999997E-2</v>
      </c>
      <c r="V3042">
        <v>-3.0830969999999999E-2</v>
      </c>
      <c r="W3042">
        <v>0.13583439999999999</v>
      </c>
      <c r="X3042">
        <v>0.99025169999999996</v>
      </c>
      <c r="Y3042">
        <v>-1.9725510000000002E-2</v>
      </c>
      <c r="Z3042">
        <v>-2.3997950000000001E-3</v>
      </c>
      <c r="AA3042">
        <v>0.99980250000000004</v>
      </c>
      <c r="AB3042">
        <v>36</v>
      </c>
      <c r="AC3042">
        <v>52.306399999999996</v>
      </c>
      <c r="AD3042">
        <v>9.5967350000000007</v>
      </c>
      <c r="AE3042">
        <v>0.87925999999999405</v>
      </c>
      <c r="AF3042">
        <v>-1.0213744396769799</v>
      </c>
      <c r="AG3042">
        <v>9.5967350000000007</v>
      </c>
      <c r="AH3042">
        <v>50.600318784093602</v>
      </c>
      <c r="AI3042">
        <v>79.263104897226796</v>
      </c>
      <c r="AJ3042">
        <v>91.1563662085819</v>
      </c>
      <c r="AK3042">
        <v>51.5124527610378</v>
      </c>
      <c r="AL3042">
        <v>82.193127897505704</v>
      </c>
      <c r="AM3042">
        <v>91.783298132276101</v>
      </c>
      <c r="AN3042">
        <v>0.99999998114369504</v>
      </c>
    </row>
    <row r="3043" spans="1:40" x14ac:dyDescent="0.3">
      <c r="A3043" t="str">
        <f>"20200111150413414"</f>
        <v>20200111150413414</v>
      </c>
      <c r="B3043" t="str">
        <f>"1578726253401916"</f>
        <v>1578726253401916</v>
      </c>
      <c r="C3043" t="s">
        <v>40</v>
      </c>
      <c r="D3043">
        <v>5.2398809999999996</v>
      </c>
      <c r="E3043">
        <v>0.50264589999999998</v>
      </c>
      <c r="F3043" t="s">
        <v>66</v>
      </c>
      <c r="G3043">
        <v>-167.99870000000001</v>
      </c>
      <c r="H3043">
        <v>11.484080000000001</v>
      </c>
      <c r="I3043">
        <v>-56.724379999999996</v>
      </c>
      <c r="J3043">
        <v>-220.1259</v>
      </c>
      <c r="K3043">
        <v>1.1042149999999999</v>
      </c>
      <c r="L3043">
        <v>-57.469479999999997</v>
      </c>
      <c r="M3043">
        <v>0.99991140000000001</v>
      </c>
      <c r="N3043">
        <v>0</v>
      </c>
      <c r="O3043">
        <v>-3.3780899999999998E-3</v>
      </c>
      <c r="P3043">
        <v>0.99195089999999997</v>
      </c>
      <c r="Q3043">
        <v>0.1235083</v>
      </c>
      <c r="R3043">
        <v>2.7913460000000001E-2</v>
      </c>
      <c r="S3043">
        <v>2.9503020000000002</v>
      </c>
      <c r="T3043">
        <v>0.58546659999999995</v>
      </c>
      <c r="U3043">
        <v>4.1992189999999999E-2</v>
      </c>
      <c r="V3043">
        <v>-3.125642E-2</v>
      </c>
      <c r="W3043">
        <v>0.1362671</v>
      </c>
      <c r="X3043">
        <v>0.99017889999999997</v>
      </c>
      <c r="Y3043">
        <v>-1.7208330000000001E-2</v>
      </c>
      <c r="Z3043">
        <v>-2.3547770000000002E-3</v>
      </c>
      <c r="AA3043">
        <v>0.99984910000000005</v>
      </c>
      <c r="AB3043">
        <v>36</v>
      </c>
      <c r="AC3043">
        <v>52.127199999999903</v>
      </c>
      <c r="AD3043">
        <v>10.379864999999899</v>
      </c>
      <c r="AE3043">
        <v>0.74509999999999998</v>
      </c>
      <c r="AF3043">
        <v>-0.88607413238777599</v>
      </c>
      <c r="AG3043">
        <v>10.379864999999899</v>
      </c>
      <c r="AH3043">
        <v>50.136814410492903</v>
      </c>
      <c r="AI3043">
        <v>78.305030623389001</v>
      </c>
      <c r="AJ3043">
        <v>91.012490004852907</v>
      </c>
      <c r="AK3043">
        <v>51.207683837667503</v>
      </c>
      <c r="AL3043">
        <v>82.168103244845</v>
      </c>
      <c r="AM3043">
        <v>91.808023252762794</v>
      </c>
      <c r="AN3043">
        <v>0.999999970169417</v>
      </c>
    </row>
    <row r="3044" spans="1:40" x14ac:dyDescent="0.3">
      <c r="A3044" t="str">
        <f>"20200111150413425"</f>
        <v>20200111150413425</v>
      </c>
      <c r="B3044" t="str">
        <f>"1578726253421438"</f>
        <v>1578726253421438</v>
      </c>
      <c r="C3044" t="s">
        <v>40</v>
      </c>
      <c r="D3044">
        <v>5.273631</v>
      </c>
      <c r="E3044">
        <v>0.5052915</v>
      </c>
      <c r="F3044" t="s">
        <v>66</v>
      </c>
      <c r="G3044">
        <v>-167.99870000000001</v>
      </c>
      <c r="H3044">
        <v>10.87885</v>
      </c>
      <c r="I3044">
        <v>-56.396619999999999</v>
      </c>
      <c r="J3044">
        <v>-219.9434</v>
      </c>
      <c r="K3044">
        <v>1.1042320000000001</v>
      </c>
      <c r="L3044">
        <v>-57.470089999999999</v>
      </c>
      <c r="M3044">
        <v>0.99991010000000002</v>
      </c>
      <c r="N3044">
        <v>0</v>
      </c>
      <c r="O3044">
        <v>-3.3820399999999998E-3</v>
      </c>
      <c r="P3044">
        <v>0.99189360000000004</v>
      </c>
      <c r="Q3044">
        <v>0.1238799</v>
      </c>
      <c r="R3044">
        <v>2.8303200000000001E-2</v>
      </c>
      <c r="S3044">
        <v>2.9536739999999999</v>
      </c>
      <c r="T3044">
        <v>0.55385549999999995</v>
      </c>
      <c r="U3044">
        <v>6.0791020000000001E-2</v>
      </c>
      <c r="V3044">
        <v>-3.1649950000000003E-2</v>
      </c>
      <c r="W3044">
        <v>0.13674979999999901</v>
      </c>
      <c r="X3044">
        <v>0.99009979999999997</v>
      </c>
      <c r="Y3044">
        <v>-2.349045E-2</v>
      </c>
      <c r="Z3044">
        <v>-2.8118370000000002E-3</v>
      </c>
      <c r="AA3044">
        <v>0.9997201</v>
      </c>
      <c r="AB3044">
        <v>36</v>
      </c>
      <c r="AC3044">
        <v>51.944699999999898</v>
      </c>
      <c r="AD3044">
        <v>9.7746179999999896</v>
      </c>
      <c r="AE3044">
        <v>1.0734699999999999</v>
      </c>
      <c r="AF3044">
        <v>-1.20645619346783</v>
      </c>
      <c r="AG3044">
        <v>9.7746179999999896</v>
      </c>
      <c r="AH3044">
        <v>50.165216120261199</v>
      </c>
      <c r="AI3044">
        <v>78.977261734280304</v>
      </c>
      <c r="AJ3044">
        <v>91.377678221564693</v>
      </c>
      <c r="AK3044">
        <v>51.122867701110003</v>
      </c>
      <c r="AL3044">
        <v>82.140184835292303</v>
      </c>
      <c r="AM3044">
        <v>91.830917708178404</v>
      </c>
      <c r="AN3044">
        <v>0.99999992054753795</v>
      </c>
    </row>
    <row r="3045" spans="1:40" x14ac:dyDescent="0.3">
      <c r="A3045" t="str">
        <f>"20200111150413439"</f>
        <v>20200111150413439</v>
      </c>
      <c r="B3045" t="str">
        <f>"1578726253431197"</f>
        <v>1578726253431197</v>
      </c>
      <c r="C3045" t="s">
        <v>40</v>
      </c>
      <c r="D3045">
        <v>5.1174650000000002</v>
      </c>
      <c r="E3045">
        <v>0.5052915</v>
      </c>
      <c r="F3045" t="s">
        <v>66</v>
      </c>
      <c r="G3045">
        <v>-167.99870000000001</v>
      </c>
      <c r="H3045">
        <v>11.452059999999999</v>
      </c>
      <c r="I3045">
        <v>-56.755920000000003</v>
      </c>
      <c r="J3045">
        <v>-219.739</v>
      </c>
      <c r="K3045">
        <v>1.104247</v>
      </c>
      <c r="L3045">
        <v>-57.470759999999999</v>
      </c>
      <c r="M3045">
        <v>0.99990860000000004</v>
      </c>
      <c r="N3045">
        <v>0</v>
      </c>
      <c r="O3045">
        <v>-3.3861609999999999E-3</v>
      </c>
      <c r="P3045">
        <v>0.99182680000000001</v>
      </c>
      <c r="Q3045">
        <v>0.12430099999999999</v>
      </c>
      <c r="R3045">
        <v>2.8796530000000001E-2</v>
      </c>
      <c r="S3045">
        <v>2.9499819999999999</v>
      </c>
      <c r="T3045">
        <v>0.58765900000000004</v>
      </c>
      <c r="U3045">
        <v>4.0557860000000001E-2</v>
      </c>
      <c r="V3045">
        <v>-3.2147040000000002E-2</v>
      </c>
      <c r="W3045">
        <v>0.137288299999999</v>
      </c>
      <c r="X3045">
        <v>0.99000940000000004</v>
      </c>
      <c r="Y3045">
        <v>-1.673792E-2</v>
      </c>
      <c r="Z3045">
        <v>-2.318882E-3</v>
      </c>
      <c r="AA3045">
        <v>0.9998572</v>
      </c>
      <c r="AB3045">
        <v>36</v>
      </c>
      <c r="AC3045">
        <v>51.740299999999898</v>
      </c>
      <c r="AD3045">
        <v>10.347813</v>
      </c>
      <c r="AE3045">
        <v>0.71484000000000203</v>
      </c>
      <c r="AF3045">
        <v>-0.85582698485906294</v>
      </c>
      <c r="AG3045">
        <v>10.347813</v>
      </c>
      <c r="AH3045">
        <v>49.748132008428499</v>
      </c>
      <c r="AI3045">
        <v>78.251483963801803</v>
      </c>
      <c r="AJ3045">
        <v>90.985573443158202</v>
      </c>
      <c r="AK3045">
        <v>50.820136875445399</v>
      </c>
      <c r="AL3045">
        <v>82.109038397995306</v>
      </c>
      <c r="AM3045">
        <v>91.859823518134505</v>
      </c>
      <c r="AN3045">
        <v>1.000000060793</v>
      </c>
    </row>
    <row r="3046" spans="1:40" x14ac:dyDescent="0.3">
      <c r="A3046" t="str">
        <f>"20200111150413451"</f>
        <v>20200111150413451</v>
      </c>
      <c r="B3046" t="str">
        <f>"1578726253441932"</f>
        <v>1578726253441932</v>
      </c>
      <c r="C3046" t="s">
        <v>40</v>
      </c>
      <c r="D3046">
        <v>6.0306739999999897</v>
      </c>
      <c r="E3046">
        <v>0.50544480000000003</v>
      </c>
      <c r="F3046" t="s">
        <v>66</v>
      </c>
      <c r="G3046">
        <v>-167.99870000000001</v>
      </c>
      <c r="H3046">
        <v>11.434530000000001</v>
      </c>
      <c r="I3046">
        <v>-56.734180000000002</v>
      </c>
      <c r="J3046">
        <v>-219.53399999999999</v>
      </c>
      <c r="K3046">
        <v>1.1042620000000001</v>
      </c>
      <c r="L3046">
        <v>-57.471469999999997</v>
      </c>
      <c r="M3046">
        <v>0.99990699999999999</v>
      </c>
      <c r="N3046">
        <v>0</v>
      </c>
      <c r="O3046">
        <v>-3.3901460000000001E-3</v>
      </c>
      <c r="P3046">
        <v>0.99173719999999999</v>
      </c>
      <c r="Q3046">
        <v>0.1248624</v>
      </c>
      <c r="R3046">
        <v>2.9446050000000001E-2</v>
      </c>
      <c r="S3046">
        <v>2.9497070000000001</v>
      </c>
      <c r="T3046">
        <v>0.58892489999999997</v>
      </c>
      <c r="U3046">
        <v>4.1992189999999999E-2</v>
      </c>
      <c r="V3046">
        <v>-3.280011E-2</v>
      </c>
      <c r="W3046">
        <v>0.13796320000000001</v>
      </c>
      <c r="X3046">
        <v>0.9898941</v>
      </c>
      <c r="Y3046">
        <v>-1.7217969999999999E-2</v>
      </c>
      <c r="Z3046">
        <v>-2.3722259999999998E-3</v>
      </c>
      <c r="AA3046">
        <v>0.99984899999999999</v>
      </c>
      <c r="AB3046">
        <v>36</v>
      </c>
      <c r="AC3046">
        <v>51.535299999999999</v>
      </c>
      <c r="AD3046">
        <v>10.330267999999901</v>
      </c>
      <c r="AE3046">
        <v>0.73728999999999401</v>
      </c>
      <c r="AF3046">
        <v>-0.87679066501750202</v>
      </c>
      <c r="AG3046">
        <v>10.330267999999901</v>
      </c>
      <c r="AH3046">
        <v>49.542285739374499</v>
      </c>
      <c r="AI3046">
        <v>78.223574509410398</v>
      </c>
      <c r="AJ3046">
        <v>91.013904787793194</v>
      </c>
      <c r="AK3046">
        <v>50.615425268428901</v>
      </c>
      <c r="AL3046">
        <v>82.069997579749597</v>
      </c>
      <c r="AM3046">
        <v>91.8977995149896</v>
      </c>
      <c r="AN3046">
        <v>1.00000001049253</v>
      </c>
    </row>
    <row r="3047" spans="1:40" x14ac:dyDescent="0.3">
      <c r="A3047" t="str">
        <f>"20200111150413463"</f>
        <v>20200111150413463</v>
      </c>
      <c r="B3047" t="str">
        <f>"1578726253451693"</f>
        <v>1578726253451693</v>
      </c>
      <c r="C3047" t="s">
        <v>40</v>
      </c>
      <c r="D3047">
        <v>5.4089970000000003</v>
      </c>
      <c r="E3047">
        <v>0.50544480000000003</v>
      </c>
      <c r="F3047" t="s">
        <v>66</v>
      </c>
      <c r="G3047">
        <v>-167.99870000000001</v>
      </c>
      <c r="H3047">
        <v>11.6183</v>
      </c>
      <c r="I3047">
        <v>-56.727240000000002</v>
      </c>
      <c r="J3047">
        <v>-219.34180000000001</v>
      </c>
      <c r="K3047">
        <v>1.1042749999999999</v>
      </c>
      <c r="L3047">
        <v>-57.472110000000001</v>
      </c>
      <c r="M3047">
        <v>0.9999055</v>
      </c>
      <c r="N3047">
        <v>0</v>
      </c>
      <c r="O3047">
        <v>-3.393563E-3</v>
      </c>
      <c r="P3047">
        <v>0.99165420000000004</v>
      </c>
      <c r="Q3047">
        <v>0.1254197</v>
      </c>
      <c r="R3047">
        <v>2.9863939999999999E-2</v>
      </c>
      <c r="S3047">
        <v>2.948013</v>
      </c>
      <c r="T3047">
        <v>0.60144010000000003</v>
      </c>
      <c r="U3047">
        <v>4.2572020000000002E-2</v>
      </c>
      <c r="V3047">
        <v>-3.3220899999999998E-2</v>
      </c>
      <c r="W3047">
        <v>0.1386192</v>
      </c>
      <c r="X3047">
        <v>0.98978840000000001</v>
      </c>
      <c r="Y3047">
        <v>-1.74045E-2</v>
      </c>
      <c r="Z3047">
        <v>-2.4425150000000001E-3</v>
      </c>
      <c r="AA3047">
        <v>0.9998456</v>
      </c>
      <c r="AB3047">
        <v>36</v>
      </c>
      <c r="AC3047">
        <v>51.3430999999999</v>
      </c>
      <c r="AD3047">
        <v>10.514025</v>
      </c>
      <c r="AE3047">
        <v>0.74486999999999803</v>
      </c>
      <c r="AF3047">
        <v>-0.88213299441686799</v>
      </c>
      <c r="AG3047">
        <v>10.514025</v>
      </c>
      <c r="AH3047">
        <v>49.274402436411499</v>
      </c>
      <c r="AI3047">
        <v>77.956904335448499</v>
      </c>
      <c r="AJ3047">
        <v>91.025625811736504</v>
      </c>
      <c r="AK3047">
        <v>50.391364496170397</v>
      </c>
      <c r="AL3047">
        <v>82.032046769267893</v>
      </c>
      <c r="AM3047">
        <v>91.922333197491298</v>
      </c>
      <c r="AN3047">
        <v>0.99999999379000404</v>
      </c>
    </row>
    <row r="3048" spans="1:40" x14ac:dyDescent="0.3">
      <c r="A3048" t="str">
        <f>"20200111150413475"</f>
        <v>20200111150413475</v>
      </c>
      <c r="B3048" t="str">
        <f>"1578726253471213"</f>
        <v>1578726253471213</v>
      </c>
      <c r="C3048" t="s">
        <v>40</v>
      </c>
      <c r="D3048">
        <v>5.2248729999999997</v>
      </c>
      <c r="E3048">
        <v>0.50654409999999905</v>
      </c>
      <c r="F3048" t="s">
        <v>66</v>
      </c>
      <c r="G3048">
        <v>-167.99870000000001</v>
      </c>
      <c r="H3048">
        <v>11.60882</v>
      </c>
      <c r="I3048">
        <v>-56.708770000000001</v>
      </c>
      <c r="J3048">
        <v>-219.14580000000001</v>
      </c>
      <c r="K3048">
        <v>1.1042879999999999</v>
      </c>
      <c r="L3048">
        <v>-57.47278</v>
      </c>
      <c r="M3048">
        <v>0.99990429999999997</v>
      </c>
      <c r="N3048">
        <v>0</v>
      </c>
      <c r="O3048">
        <v>-3.3972020000000002E-3</v>
      </c>
      <c r="P3048">
        <v>0.99159269999999999</v>
      </c>
      <c r="Q3048">
        <v>0.12578539999999999</v>
      </c>
      <c r="R3048">
        <v>3.0368559999999999E-2</v>
      </c>
      <c r="S3048">
        <v>2.947632</v>
      </c>
      <c r="T3048">
        <v>0.60306879999999996</v>
      </c>
      <c r="U3048">
        <v>4.3823239999999999E-2</v>
      </c>
      <c r="V3048">
        <v>-3.3728880000000003E-2</v>
      </c>
      <c r="W3048">
        <v>0.13908199999999901</v>
      </c>
      <c r="X3048">
        <v>0.98970630000000004</v>
      </c>
      <c r="Y3048">
        <v>-1.7823180000000001E-2</v>
      </c>
      <c r="Z3048">
        <v>-2.4924249999999999E-3</v>
      </c>
      <c r="AA3048">
        <v>0.99983809999999995</v>
      </c>
      <c r="AB3048">
        <v>36</v>
      </c>
      <c r="AC3048">
        <v>51.147100000000002</v>
      </c>
      <c r="AD3048">
        <v>10.504531999999999</v>
      </c>
      <c r="AE3048">
        <v>0.76401000000001296</v>
      </c>
      <c r="AF3048">
        <v>-0.89983140587249</v>
      </c>
      <c r="AG3048">
        <v>10.504531999999999</v>
      </c>
      <c r="AH3048">
        <v>49.074677990787698</v>
      </c>
      <c r="AI3048">
        <v>77.9200184383741</v>
      </c>
      <c r="AJ3048">
        <v>91.050455493693804</v>
      </c>
      <c r="AK3048">
        <v>50.1944111330886</v>
      </c>
      <c r="AL3048">
        <v>82.005270964766297</v>
      </c>
      <c r="AM3048">
        <v>91.951866763562094</v>
      </c>
      <c r="AN3048">
        <v>1.0000000001648699</v>
      </c>
    </row>
    <row r="3049" spans="1:40" x14ac:dyDescent="0.3">
      <c r="A3049" t="str">
        <f>"20200111150413497"</f>
        <v>20200111150413497</v>
      </c>
      <c r="B3049" t="str">
        <f>"1578726253491709"</f>
        <v>1578726253491709</v>
      </c>
      <c r="C3049" t="s">
        <v>40</v>
      </c>
      <c r="D3049">
        <v>5.2001499999999998</v>
      </c>
      <c r="E3049">
        <v>0.50632879999999902</v>
      </c>
      <c r="F3049" t="s">
        <v>42</v>
      </c>
      <c r="G3049">
        <v>-218.21010000000001</v>
      </c>
      <c r="H3049">
        <v>1.026416</v>
      </c>
      <c r="I3049">
        <v>-57.458979999999997</v>
      </c>
      <c r="J3049">
        <v>-218.78749999999999</v>
      </c>
      <c r="K3049">
        <v>1.104311</v>
      </c>
      <c r="L3049">
        <v>-57.473999999999997</v>
      </c>
      <c r="M3049">
        <v>0.99990190000000001</v>
      </c>
      <c r="N3049">
        <v>0</v>
      </c>
      <c r="O3049">
        <v>-3.404275E-3</v>
      </c>
      <c r="P3049">
        <v>0.99139010000000005</v>
      </c>
      <c r="Q3049">
        <v>0.12717439999999999</v>
      </c>
      <c r="R3049">
        <v>3.1185290000000001E-2</v>
      </c>
      <c r="S3049">
        <v>3.0563199999999999</v>
      </c>
      <c r="T3049">
        <v>-0.2543338</v>
      </c>
      <c r="U3049">
        <v>4.5379639999999999E-2</v>
      </c>
      <c r="V3049">
        <v>-3.4552289999999999E-2</v>
      </c>
      <c r="W3049">
        <v>0.1406316</v>
      </c>
      <c r="X3049">
        <v>0.98945890000000003</v>
      </c>
      <c r="Y3049">
        <v>-1.8175719999999999E-2</v>
      </c>
      <c r="Z3049">
        <v>1.0377190000000001E-3</v>
      </c>
      <c r="AA3049">
        <v>0.99983429999999995</v>
      </c>
      <c r="AB3049">
        <v>36</v>
      </c>
      <c r="AC3049">
        <v>0.57739999999998204</v>
      </c>
      <c r="AD3049">
        <v>-7.7895000000000006E-2</v>
      </c>
      <c r="AE3049">
        <v>1.5019999999992701E-2</v>
      </c>
      <c r="AF3049">
        <v>-1.6682314028672901E-2</v>
      </c>
      <c r="AG3049">
        <v>-7.7895000000000006E-2</v>
      </c>
      <c r="AH3049">
        <v>0.567032638651499</v>
      </c>
      <c r="AI3049">
        <v>97.818596228994807</v>
      </c>
      <c r="AJ3049">
        <v>91.685177342238205</v>
      </c>
      <c r="AK3049">
        <v>0.57260103381187899</v>
      </c>
      <c r="AL3049">
        <v>81.915604236498595</v>
      </c>
      <c r="AM3049">
        <v>91.999978244053906</v>
      </c>
      <c r="AN3049">
        <v>1.0000000112259999</v>
      </c>
    </row>
    <row r="3050" spans="1:40" x14ac:dyDescent="0.3">
      <c r="A3050" t="str">
        <f>"20200111150413508"</f>
        <v>20200111150413508</v>
      </c>
      <c r="B3050" t="str">
        <f>"1578726253501470"</f>
        <v>1578726253501470</v>
      </c>
      <c r="C3050" t="s">
        <v>40</v>
      </c>
      <c r="D3050">
        <v>8.2622250000000008</v>
      </c>
      <c r="E3050">
        <v>0.50632879999999902</v>
      </c>
      <c r="F3050" t="s">
        <v>42</v>
      </c>
      <c r="G3050">
        <v>-217.88740000000001</v>
      </c>
      <c r="H3050">
        <v>1.0292220000000001</v>
      </c>
      <c r="I3050">
        <v>-57.459600000000002</v>
      </c>
      <c r="J3050">
        <v>-218.61099999999999</v>
      </c>
      <c r="K3050">
        <v>1.1043210000000001</v>
      </c>
      <c r="L3050">
        <v>-57.474609999999998</v>
      </c>
      <c r="M3050">
        <v>0.99990089999999998</v>
      </c>
      <c r="N3050">
        <v>0</v>
      </c>
      <c r="O3050">
        <v>-3.408131E-3</v>
      </c>
      <c r="P3050">
        <v>0.99126170000000002</v>
      </c>
      <c r="Q3050">
        <v>0.12804579999999999</v>
      </c>
      <c r="R3050">
        <v>3.169367E-2</v>
      </c>
      <c r="S3050">
        <v>3.05722</v>
      </c>
      <c r="T3050">
        <v>-0.2549999</v>
      </c>
      <c r="U3050">
        <v>4.9530030000000003E-2</v>
      </c>
      <c r="V3050">
        <v>-3.506368E-2</v>
      </c>
      <c r="W3050">
        <v>0.14157620000000001</v>
      </c>
      <c r="X3050">
        <v>0.98930620000000002</v>
      </c>
      <c r="Y3050">
        <v>-1.9527159999999998E-2</v>
      </c>
      <c r="Z3050">
        <v>1.096692E-3</v>
      </c>
      <c r="AA3050">
        <v>0.99980869999999999</v>
      </c>
      <c r="AB3050">
        <v>36</v>
      </c>
      <c r="AC3050">
        <v>0.72359999999997604</v>
      </c>
      <c r="AD3050">
        <v>-7.5098999999999999E-2</v>
      </c>
      <c r="AE3050">
        <v>1.5009999999996601E-2</v>
      </c>
      <c r="AF3050">
        <v>-1.7290108334512801E-2</v>
      </c>
      <c r="AG3050">
        <v>-7.5098999999999999E-2</v>
      </c>
      <c r="AH3050">
        <v>0.71583739844599303</v>
      </c>
      <c r="AI3050">
        <v>95.987298430029398</v>
      </c>
      <c r="AJ3050">
        <v>91.383634964999999</v>
      </c>
      <c r="AK3050">
        <v>0.71997360275300903</v>
      </c>
      <c r="AL3050">
        <v>81.860935740799903</v>
      </c>
      <c r="AM3050">
        <v>92.029867280957504</v>
      </c>
      <c r="AN3050">
        <v>1.0000000197100101</v>
      </c>
    </row>
    <row r="3051" spans="1:40" x14ac:dyDescent="0.3">
      <c r="A3051" t="str">
        <f>"20200111150413519"</f>
        <v>20200111150413519</v>
      </c>
      <c r="B3051" t="str">
        <f>"1578726253511229"</f>
        <v>1578726253511229</v>
      </c>
      <c r="C3051" t="s">
        <v>40</v>
      </c>
      <c r="D3051">
        <v>5.2937419999999999</v>
      </c>
      <c r="E3051">
        <v>0.48061229999999999</v>
      </c>
      <c r="F3051" t="s">
        <v>72</v>
      </c>
      <c r="G3051">
        <v>-205.2286</v>
      </c>
      <c r="H3051" s="1">
        <v>-3.722803E-6</v>
      </c>
      <c r="I3051">
        <v>-57.252070000000003</v>
      </c>
      <c r="J3051">
        <v>-218.4461</v>
      </c>
      <c r="K3051">
        <v>1.1043289999999999</v>
      </c>
      <c r="L3051">
        <v>-57.475160000000002</v>
      </c>
      <c r="M3051">
        <v>0.99990000000000001</v>
      </c>
      <c r="N3051">
        <v>0</v>
      </c>
      <c r="O3051">
        <v>-3.411786E-3</v>
      </c>
      <c r="P3051">
        <v>0.99116919999999997</v>
      </c>
      <c r="Q3051">
        <v>0.12875010000000001</v>
      </c>
      <c r="R3051">
        <v>3.1741150000000003E-2</v>
      </c>
      <c r="S3051">
        <v>3.057404</v>
      </c>
      <c r="T3051">
        <v>-0.25229869999999999</v>
      </c>
      <c r="U3051">
        <v>5.0842289999999998E-2</v>
      </c>
      <c r="V3051">
        <v>-3.5114979999999997E-2</v>
      </c>
      <c r="W3051">
        <v>0.14234269999999999</v>
      </c>
      <c r="X3051">
        <v>0.98919440000000003</v>
      </c>
      <c r="Y3051">
        <v>-1.9959060000000001E-2</v>
      </c>
      <c r="Z3051">
        <v>1.1031369999999999E-3</v>
      </c>
      <c r="AA3051">
        <v>0.99980020000000003</v>
      </c>
      <c r="AB3051">
        <v>36</v>
      </c>
      <c r="AC3051">
        <v>13.217499999999999</v>
      </c>
      <c r="AD3051">
        <v>-1.104332722803</v>
      </c>
      <c r="AE3051">
        <v>0.22308999999999901</v>
      </c>
      <c r="AF3051">
        <v>-0.26632958308706101</v>
      </c>
      <c r="AG3051">
        <v>-1.104332722803</v>
      </c>
      <c r="AH3051">
        <v>13.125065322208</v>
      </c>
      <c r="AI3051">
        <v>94.808508719233799</v>
      </c>
      <c r="AJ3051">
        <v>91.162467906056506</v>
      </c>
      <c r="AK3051">
        <v>13.1741345796113</v>
      </c>
      <c r="AL3051">
        <v>81.816569316093705</v>
      </c>
      <c r="AM3051">
        <v>92.033064153999604</v>
      </c>
      <c r="AN3051">
        <v>1.0000000335275201</v>
      </c>
    </row>
    <row r="3052" spans="1:40" x14ac:dyDescent="0.3">
      <c r="A3052" t="str">
        <f>"20200111150413529"</f>
        <v>20200111150413529</v>
      </c>
      <c r="B3052" t="str">
        <f>"1578726253520989"</f>
        <v>1578726253520989</v>
      </c>
      <c r="C3052" t="s">
        <v>40</v>
      </c>
      <c r="D3052">
        <v>6.0144880000000001</v>
      </c>
      <c r="E3052">
        <v>0.48061229999999999</v>
      </c>
      <c r="F3052" t="s">
        <v>66</v>
      </c>
      <c r="G3052">
        <v>-157.9383</v>
      </c>
      <c r="H3052">
        <v>22.750319999999999</v>
      </c>
      <c r="I3052">
        <v>-52.360210000000002</v>
      </c>
      <c r="J3052">
        <v>-218.27</v>
      </c>
      <c r="K3052">
        <v>1.104341</v>
      </c>
      <c r="L3052">
        <v>-57.475769999999997</v>
      </c>
      <c r="M3052">
        <v>0.99989910000000004</v>
      </c>
      <c r="N3052">
        <v>0</v>
      </c>
      <c r="O3052">
        <v>-3.4155850000000001E-3</v>
      </c>
      <c r="P3052">
        <v>0.99109630000000004</v>
      </c>
      <c r="Q3052">
        <v>0.12921350000000001</v>
      </c>
      <c r="R3052">
        <v>3.2129280000000003E-2</v>
      </c>
      <c r="S3052">
        <v>2.8848419999999999</v>
      </c>
      <c r="T3052">
        <v>1.0320180000000001</v>
      </c>
      <c r="U3052">
        <v>0.243866</v>
      </c>
      <c r="V3052">
        <v>-3.5506099999999999E-2</v>
      </c>
      <c r="W3052">
        <v>0.14287179999999999</v>
      </c>
      <c r="X3052">
        <v>0.98910419999999999</v>
      </c>
      <c r="Y3052">
        <v>-8.234988E-2</v>
      </c>
      <c r="Z3052">
        <v>-1.5446619999999999E-2</v>
      </c>
      <c r="AA3052">
        <v>0.99648369999999997</v>
      </c>
      <c r="AB3052">
        <v>36</v>
      </c>
      <c r="AC3052">
        <v>60.331699999999998</v>
      </c>
      <c r="AD3052">
        <v>21.645979000000001</v>
      </c>
      <c r="AE3052">
        <v>5.1155600000000003</v>
      </c>
      <c r="AF3052">
        <v>-4.7185566505133796</v>
      </c>
      <c r="AG3052">
        <v>21.645979000000001</v>
      </c>
      <c r="AH3052">
        <v>53.478930817358503</v>
      </c>
      <c r="AI3052">
        <v>68.041162133776695</v>
      </c>
      <c r="AJ3052">
        <v>95.042267643607104</v>
      </c>
      <c r="AK3052">
        <v>57.8861747319717</v>
      </c>
      <c r="AL3052">
        <v>81.785941434198307</v>
      </c>
      <c r="AM3052">
        <v>92.0558769475156</v>
      </c>
      <c r="AN3052">
        <v>1.0000000764150401</v>
      </c>
    </row>
    <row r="3053" spans="1:40" x14ac:dyDescent="0.3">
      <c r="A3053" t="str">
        <f>"20200111150413551"</f>
        <v>20200111150413551</v>
      </c>
      <c r="B3053" t="str">
        <f>"1578726253541485"</f>
        <v>1578726253541485</v>
      </c>
      <c r="C3053" t="s">
        <v>40</v>
      </c>
      <c r="D3053">
        <v>5.1495369999999996</v>
      </c>
      <c r="E3053">
        <v>0.48061229999999999</v>
      </c>
      <c r="F3053" t="s">
        <v>66</v>
      </c>
      <c r="G3053">
        <v>-157.9383</v>
      </c>
      <c r="H3053">
        <v>22.717379999999999</v>
      </c>
      <c r="I3053">
        <v>-52.346609999999998</v>
      </c>
      <c r="J3053">
        <v>-217.9254</v>
      </c>
      <c r="K3053">
        <v>1.104355</v>
      </c>
      <c r="L3053">
        <v>-57.476959999999998</v>
      </c>
      <c r="M3053">
        <v>0.99989740000000005</v>
      </c>
      <c r="N3053">
        <v>0</v>
      </c>
      <c r="O3053">
        <v>-3.423546E-3</v>
      </c>
      <c r="P3053">
        <v>0.99099300000000001</v>
      </c>
      <c r="Q3053">
        <v>0.12997549999999999</v>
      </c>
      <c r="R3053">
        <v>3.2238250000000003E-2</v>
      </c>
      <c r="S3053">
        <v>2.884277</v>
      </c>
      <c r="T3053">
        <v>1.0332509999999999</v>
      </c>
      <c r="U3053">
        <v>0.2452087</v>
      </c>
      <c r="V3053">
        <v>-3.5622750000000002E-2</v>
      </c>
      <c r="W3053">
        <v>0.14374809999999999</v>
      </c>
      <c r="X3053">
        <v>0.98897299999999999</v>
      </c>
      <c r="Y3053">
        <v>-8.2792870000000005E-2</v>
      </c>
      <c r="Z3053">
        <v>-1.554616E-2</v>
      </c>
      <c r="AA3053">
        <v>0.99644549999999998</v>
      </c>
      <c r="AB3053">
        <v>36</v>
      </c>
      <c r="AC3053">
        <v>59.987099999999998</v>
      </c>
      <c r="AD3053">
        <v>21.613025</v>
      </c>
      <c r="AE3053">
        <v>5.13035</v>
      </c>
      <c r="AF3053">
        <v>-4.7265942790450302</v>
      </c>
      <c r="AG3053">
        <v>21.613025</v>
      </c>
      <c r="AH3053">
        <v>53.123217187913802</v>
      </c>
      <c r="AI3053">
        <v>67.939936022174905</v>
      </c>
      <c r="AJ3053">
        <v>95.084455897116399</v>
      </c>
      <c r="AK3053">
        <v>57.545979421012497</v>
      </c>
      <c r="AL3053">
        <v>81.735209226216298</v>
      </c>
      <c r="AM3053">
        <v>92.062898797731194</v>
      </c>
      <c r="AN3053">
        <v>1.0000000456500799</v>
      </c>
    </row>
    <row r="3054" spans="1:40" x14ac:dyDescent="0.3">
      <c r="A3054" t="str">
        <f>"20200111150413561"</f>
        <v>20200111150413561</v>
      </c>
      <c r="B3054" t="str">
        <f>"1578726253551245"</f>
        <v>1578726253551245</v>
      </c>
      <c r="C3054" t="s">
        <v>40</v>
      </c>
      <c r="D3054">
        <v>5.1702640000000004</v>
      </c>
      <c r="E3054">
        <v>0.51177589999999995</v>
      </c>
      <c r="F3054" t="s">
        <v>66</v>
      </c>
      <c r="G3054">
        <v>-157.9383</v>
      </c>
      <c r="H3054">
        <v>22.648019999999999</v>
      </c>
      <c r="I3054">
        <v>-52.377549999999999</v>
      </c>
      <c r="J3054">
        <v>-217.7636</v>
      </c>
      <c r="K3054">
        <v>1.1043590000000001</v>
      </c>
      <c r="L3054">
        <v>-57.477510000000002</v>
      </c>
      <c r="M3054">
        <v>0.99989680000000003</v>
      </c>
      <c r="N3054">
        <v>0</v>
      </c>
      <c r="O3054">
        <v>-3.427228E-3</v>
      </c>
      <c r="P3054">
        <v>0.99102760000000001</v>
      </c>
      <c r="Q3054">
        <v>0.12969169999999999</v>
      </c>
      <c r="R3054">
        <v>3.2316310000000001E-2</v>
      </c>
      <c r="S3054">
        <v>2.8834529999999998</v>
      </c>
      <c r="T3054">
        <v>1.0355559999999999</v>
      </c>
      <c r="U3054">
        <v>0.24511720000000001</v>
      </c>
      <c r="V3054">
        <v>-3.5704609999999998E-2</v>
      </c>
      <c r="W3054">
        <v>0.14351410000000001</v>
      </c>
      <c r="X3054">
        <v>0.98900399999999999</v>
      </c>
      <c r="Y3054">
        <v>-8.2764619999999997E-2</v>
      </c>
      <c r="Z3054">
        <v>-1.557937E-2</v>
      </c>
      <c r="AA3054">
        <v>0.99644730000000004</v>
      </c>
      <c r="AB3054">
        <v>36</v>
      </c>
      <c r="AC3054">
        <v>59.825299999999999</v>
      </c>
      <c r="AD3054">
        <v>21.543661</v>
      </c>
      <c r="AE3054">
        <v>5.0999599999999896</v>
      </c>
      <c r="AF3054">
        <v>-4.6999038922787904</v>
      </c>
      <c r="AG3054">
        <v>21.543661</v>
      </c>
      <c r="AH3054">
        <v>52.985890702412199</v>
      </c>
      <c r="AI3054">
        <v>67.951940411643605</v>
      </c>
      <c r="AJ3054">
        <v>95.068929410809204</v>
      </c>
      <c r="AK3054">
        <v>57.390966531393701</v>
      </c>
      <c r="AL3054">
        <v>81.748756647319098</v>
      </c>
      <c r="AM3054">
        <v>92.067570413749095</v>
      </c>
      <c r="AN3054">
        <v>1.00000001404503</v>
      </c>
    </row>
    <row r="3055" spans="1:40" x14ac:dyDescent="0.3">
      <c r="A3055" t="str">
        <f>"20200111150413571"</f>
        <v>20200111150413571</v>
      </c>
      <c r="B3055" t="str">
        <f>"1578726253561981"</f>
        <v>1578726253561981</v>
      </c>
      <c r="C3055" t="s">
        <v>40</v>
      </c>
      <c r="D3055">
        <v>5.4065690000000002</v>
      </c>
      <c r="E3055">
        <v>0.51047180000000003</v>
      </c>
      <c r="F3055" t="s">
        <v>42</v>
      </c>
      <c r="G3055">
        <v>-216.93719999999999</v>
      </c>
      <c r="H3055">
        <v>1.0182209999999901</v>
      </c>
      <c r="I3055">
        <v>-57.474989999999998</v>
      </c>
      <c r="J3055">
        <v>-217.59880000000001</v>
      </c>
      <c r="K3055">
        <v>1.1043620000000001</v>
      </c>
      <c r="L3055">
        <v>-57.478059999999999</v>
      </c>
      <c r="M3055">
        <v>0.99989600000000001</v>
      </c>
      <c r="N3055">
        <v>0</v>
      </c>
      <c r="O3055">
        <v>-3.4307869999999998E-3</v>
      </c>
      <c r="P3055">
        <v>0.99105900000000002</v>
      </c>
      <c r="Q3055">
        <v>0.1295298</v>
      </c>
      <c r="R3055">
        <v>3.2002849999999999E-2</v>
      </c>
      <c r="S3055">
        <v>3.0687099999999998</v>
      </c>
      <c r="T3055">
        <v>-0.31980530000000001</v>
      </c>
      <c r="U3055">
        <v>9.7961430000000002E-3</v>
      </c>
      <c r="V3055">
        <v>-3.5394879999999997E-2</v>
      </c>
      <c r="W3055">
        <v>0.14340079999999999</v>
      </c>
      <c r="X3055">
        <v>0.98903160000000001</v>
      </c>
      <c r="Y3055">
        <v>-6.5691789999999996E-3</v>
      </c>
      <c r="Z3055">
        <v>6.9798530000000003E-4</v>
      </c>
      <c r="AA3055">
        <v>0.99997820000000004</v>
      </c>
      <c r="AB3055">
        <v>36</v>
      </c>
      <c r="AC3055">
        <v>0.66160000000002095</v>
      </c>
      <c r="AD3055">
        <v>-8.6141000000000204E-2</v>
      </c>
      <c r="AE3055">
        <v>3.0699999999939101E-3</v>
      </c>
      <c r="AF3055">
        <v>-5.25099870186753E-3</v>
      </c>
      <c r="AG3055">
        <v>-8.6141000000000204E-2</v>
      </c>
      <c r="AH3055">
        <v>0.65055736099684702</v>
      </c>
      <c r="AI3055">
        <v>97.542475774230795</v>
      </c>
      <c r="AJ3055">
        <v>90.462455040074005</v>
      </c>
      <c r="AK3055">
        <v>0.65625659982627904</v>
      </c>
      <c r="AL3055">
        <v>81.755316375397598</v>
      </c>
      <c r="AM3055">
        <v>92.049592890028507</v>
      </c>
      <c r="AN3055">
        <v>1.0000000463847001</v>
      </c>
    </row>
    <row r="3056" spans="1:40" x14ac:dyDescent="0.3">
      <c r="A3056" t="str">
        <f>"20200111150413582"</f>
        <v>20200111150413582</v>
      </c>
      <c r="B3056" t="str">
        <f>"1578726253571741"</f>
        <v>1578726253571741</v>
      </c>
      <c r="C3056" t="s">
        <v>40</v>
      </c>
      <c r="D3056">
        <v>5.1519459999999997</v>
      </c>
      <c r="E3056">
        <v>0.51076149999999998</v>
      </c>
      <c r="F3056" t="s">
        <v>42</v>
      </c>
      <c r="G3056">
        <v>-216.62219999999999</v>
      </c>
      <c r="H3056">
        <v>1.010464</v>
      </c>
      <c r="I3056">
        <v>-57.472219999999901</v>
      </c>
      <c r="J3056">
        <v>-217.42400000000001</v>
      </c>
      <c r="K3056">
        <v>1.104365</v>
      </c>
      <c r="L3056">
        <v>-57.478670000000001</v>
      </c>
      <c r="M3056">
        <v>0.99989530000000004</v>
      </c>
      <c r="N3056">
        <v>0</v>
      </c>
      <c r="O3056">
        <v>-3.4346960000000001E-3</v>
      </c>
      <c r="P3056">
        <v>0.99103759999999996</v>
      </c>
      <c r="Q3056">
        <v>0.12981219999999999</v>
      </c>
      <c r="R3056">
        <v>3.1520689999999997E-2</v>
      </c>
      <c r="S3056">
        <v>3.0649869999999999</v>
      </c>
      <c r="T3056">
        <v>-0.294666599999999</v>
      </c>
      <c r="U3056">
        <v>1.8676760000000001E-2</v>
      </c>
      <c r="V3056">
        <v>-3.49164E-2</v>
      </c>
      <c r="W3056">
        <v>0.14372969999999999</v>
      </c>
      <c r="X3056">
        <v>0.98900080000000001</v>
      </c>
      <c r="Y3056">
        <v>-9.468911E-3</v>
      </c>
      <c r="Z3056">
        <v>7.835982E-4</v>
      </c>
      <c r="AA3056">
        <v>0.99995489999999998</v>
      </c>
      <c r="AB3056">
        <v>36</v>
      </c>
      <c r="AC3056">
        <v>0.80180000000001395</v>
      </c>
      <c r="AD3056">
        <v>-9.3900999999999998E-2</v>
      </c>
      <c r="AE3056">
        <v>6.4500000000009498E-3</v>
      </c>
      <c r="AF3056">
        <v>-9.0796503813254503E-3</v>
      </c>
      <c r="AG3056">
        <v>-9.3900999999999998E-2</v>
      </c>
      <c r="AH3056">
        <v>0.79092595340242999</v>
      </c>
      <c r="AI3056">
        <v>96.770185253683096</v>
      </c>
      <c r="AJ3056">
        <v>90.657713649672502</v>
      </c>
      <c r="AK3056">
        <v>0.796532297912389</v>
      </c>
      <c r="AL3056">
        <v>81.736274001561796</v>
      </c>
      <c r="AM3056">
        <v>92.021971867146505</v>
      </c>
      <c r="AN3056">
        <v>0.99999998202584395</v>
      </c>
    </row>
    <row r="3057" spans="1:40" x14ac:dyDescent="0.3">
      <c r="A3057" t="str">
        <f>"20200111150413594"</f>
        <v>20200111150413594</v>
      </c>
      <c r="B3057" t="str">
        <f>"1578726253581501"</f>
        <v>1578726253581501</v>
      </c>
      <c r="C3057" t="s">
        <v>40</v>
      </c>
      <c r="D3057">
        <v>5.33697</v>
      </c>
      <c r="E3057">
        <v>0.51025379999999998</v>
      </c>
      <c r="F3057" t="s">
        <v>42</v>
      </c>
      <c r="G3057">
        <v>-216.6183</v>
      </c>
      <c r="H3057">
        <v>1.0185690000000001</v>
      </c>
      <c r="I3057">
        <v>-57.474850000000004</v>
      </c>
      <c r="J3057">
        <v>-217.2567</v>
      </c>
      <c r="K3057">
        <v>1.104374</v>
      </c>
      <c r="L3057">
        <v>-57.47925</v>
      </c>
      <c r="M3057">
        <v>0.99989479999999997</v>
      </c>
      <c r="N3057">
        <v>0</v>
      </c>
      <c r="O3057">
        <v>-3.438455E-3</v>
      </c>
      <c r="P3057">
        <v>0.99093290000000001</v>
      </c>
      <c r="Q3057">
        <v>0.1307075</v>
      </c>
      <c r="R3057">
        <v>3.110812E-2</v>
      </c>
      <c r="S3057">
        <v>3.069458</v>
      </c>
      <c r="T3057">
        <v>-0.32681100000000002</v>
      </c>
      <c r="U3057">
        <v>1.498413E-2</v>
      </c>
      <c r="V3057">
        <v>-3.450748E-2</v>
      </c>
      <c r="W3057">
        <v>0.14466589999999999</v>
      </c>
      <c r="X3057">
        <v>0.9888787</v>
      </c>
      <c r="Y3057">
        <v>-8.2542650000000002E-3</v>
      </c>
      <c r="Z3057">
        <v>8.0328409999999995E-4</v>
      </c>
      <c r="AA3057">
        <v>0.99996560000000001</v>
      </c>
      <c r="AB3057">
        <v>36</v>
      </c>
      <c r="AC3057">
        <v>0.63839999999998998</v>
      </c>
      <c r="AD3057">
        <v>-8.5804999999999895E-2</v>
      </c>
      <c r="AE3057">
        <v>4.39999999999685E-3</v>
      </c>
      <c r="AF3057">
        <v>-6.4782767199988997E-3</v>
      </c>
      <c r="AG3057">
        <v>-8.5804999999999895E-2</v>
      </c>
      <c r="AH3057">
        <v>0.62705386631427795</v>
      </c>
      <c r="AI3057">
        <v>97.791454704803201</v>
      </c>
      <c r="AJ3057">
        <v>90.591918381167901</v>
      </c>
      <c r="AK3057">
        <v>0.63293049962373005</v>
      </c>
      <c r="AL3057">
        <v>81.682067620384203</v>
      </c>
      <c r="AM3057">
        <v>91.998557591473499</v>
      </c>
      <c r="AN3057">
        <v>1.00000003605622</v>
      </c>
    </row>
    <row r="3058" spans="1:40" x14ac:dyDescent="0.3">
      <c r="A3058" t="str">
        <f>"20200111150413606"</f>
        <v>20200111150413606</v>
      </c>
      <c r="B3058" t="str">
        <f>"1578726253601996"</f>
        <v>1578726253601996</v>
      </c>
      <c r="C3058" t="s">
        <v>40</v>
      </c>
      <c r="D3058">
        <v>5.2719050000000003</v>
      </c>
      <c r="E3058">
        <v>0.5095615</v>
      </c>
      <c r="F3058" t="s">
        <v>42</v>
      </c>
      <c r="G3058">
        <v>-216.30449999999999</v>
      </c>
      <c r="H3058">
        <v>1.009047</v>
      </c>
      <c r="I3058">
        <v>-57.47383</v>
      </c>
      <c r="J3058">
        <v>-217.0505</v>
      </c>
      <c r="K3058">
        <v>1.104385</v>
      </c>
      <c r="L3058">
        <v>-57.479979999999998</v>
      </c>
      <c r="M3058">
        <v>0.99989399999999995</v>
      </c>
      <c r="N3058">
        <v>0</v>
      </c>
      <c r="O3058">
        <v>-3.4428570000000001E-3</v>
      </c>
      <c r="P3058">
        <v>0.99070570000000002</v>
      </c>
      <c r="Q3058">
        <v>0.13258399999999901</v>
      </c>
      <c r="R3058">
        <v>3.0394689999999999E-2</v>
      </c>
      <c r="S3058">
        <v>3.0673979999999998</v>
      </c>
      <c r="T3058">
        <v>-0.30709320000000001</v>
      </c>
      <c r="U3058">
        <v>1.7608639999999998E-2</v>
      </c>
      <c r="V3058">
        <v>-3.3797580000000001E-2</v>
      </c>
      <c r="W3058">
        <v>0.14658779999999999</v>
      </c>
      <c r="X3058">
        <v>0.9886201</v>
      </c>
      <c r="Y3058">
        <v>-9.1207909999999996E-3</v>
      </c>
      <c r="Z3058">
        <v>7.9927789999999904E-4</v>
      </c>
      <c r="AA3058">
        <v>0.99995809999999996</v>
      </c>
      <c r="AB3058">
        <v>36</v>
      </c>
      <c r="AC3058">
        <v>0.74600000000000899</v>
      </c>
      <c r="AD3058">
        <v>-9.5337999999999895E-2</v>
      </c>
      <c r="AE3058">
        <v>6.1499999999980997E-3</v>
      </c>
      <c r="AF3058">
        <v>-8.5784926407260001E-3</v>
      </c>
      <c r="AG3058">
        <v>-9.5337999999999895E-2</v>
      </c>
      <c r="AH3058">
        <v>0.733987320540751</v>
      </c>
      <c r="AI3058">
        <v>97.400244141784995</v>
      </c>
      <c r="AJ3058">
        <v>90.6696151706238</v>
      </c>
      <c r="AK3058">
        <v>0.74020288535953305</v>
      </c>
      <c r="AL3058">
        <v>81.5707638392402</v>
      </c>
      <c r="AM3058">
        <v>91.957986515166695</v>
      </c>
      <c r="AN3058">
        <v>0.99999998082335295</v>
      </c>
    </row>
    <row r="3059" spans="1:40" x14ac:dyDescent="0.3">
      <c r="A3059" t="str">
        <f>"20200111150413618"</f>
        <v>20200111150413618</v>
      </c>
      <c r="B3059" t="str">
        <f>"1578726253611757"</f>
        <v>1578726253611757</v>
      </c>
      <c r="C3059" t="s">
        <v>40</v>
      </c>
      <c r="D3059">
        <v>5.0373760000000001</v>
      </c>
      <c r="E3059">
        <v>0.50934389999999996</v>
      </c>
      <c r="F3059" t="s">
        <v>42</v>
      </c>
      <c r="G3059">
        <v>-216.29339999999999</v>
      </c>
      <c r="H3059">
        <v>1.029868</v>
      </c>
      <c r="I3059">
        <v>-57.474829999999997</v>
      </c>
      <c r="J3059">
        <v>-216.86179999999999</v>
      </c>
      <c r="K3059">
        <v>1.1043970000000001</v>
      </c>
      <c r="L3059">
        <v>-57.480649999999997</v>
      </c>
      <c r="M3059">
        <v>0.99989349999999999</v>
      </c>
      <c r="N3059">
        <v>0</v>
      </c>
      <c r="O3059">
        <v>-3.4470799999999999E-3</v>
      </c>
      <c r="P3059">
        <v>0.9904792</v>
      </c>
      <c r="Q3059">
        <v>0.13439670000000001</v>
      </c>
      <c r="R3059">
        <v>2.9810360000000001E-2</v>
      </c>
      <c r="S3059">
        <v>3.0679020000000001</v>
      </c>
      <c r="T3059">
        <v>-0.30192590000000002</v>
      </c>
      <c r="U3059">
        <v>2.105713E-2</v>
      </c>
      <c r="V3059">
        <v>-3.3216490000000001E-2</v>
      </c>
      <c r="W3059">
        <v>0.14843700000000001</v>
      </c>
      <c r="X3059">
        <v>0.98836389999999996</v>
      </c>
      <c r="Y3059">
        <v>-1.0244690000000001E-2</v>
      </c>
      <c r="Z3059">
        <v>8.4134770000000002E-4</v>
      </c>
      <c r="AA3059">
        <v>0.99994720000000004</v>
      </c>
      <c r="AB3059">
        <v>36</v>
      </c>
      <c r="AC3059">
        <v>0.56839999999999602</v>
      </c>
      <c r="AD3059">
        <v>-7.4528999999999804E-2</v>
      </c>
      <c r="AE3059">
        <v>5.81999999999283E-3</v>
      </c>
      <c r="AF3059">
        <v>-7.6480071202053501E-3</v>
      </c>
      <c r="AG3059">
        <v>-7.4528999999999804E-2</v>
      </c>
      <c r="AH3059">
        <v>0.55877082246885901</v>
      </c>
      <c r="AI3059">
        <v>97.596582106090196</v>
      </c>
      <c r="AJ3059">
        <v>90.784169736821895</v>
      </c>
      <c r="AK3059">
        <v>0.56377113787106503</v>
      </c>
      <c r="AL3059">
        <v>81.463641054669196</v>
      </c>
      <c r="AM3059">
        <v>91.924846356235506</v>
      </c>
      <c r="AN3059">
        <v>1.00000003850006</v>
      </c>
    </row>
    <row r="3060" spans="1:40" x14ac:dyDescent="0.3">
      <c r="A3060" t="str">
        <f>"20200111150413629"</f>
        <v>20200111150413629</v>
      </c>
      <c r="B3060" t="str">
        <f>"1578726253621516"</f>
        <v>1578726253621516</v>
      </c>
      <c r="C3060" t="s">
        <v>40</v>
      </c>
      <c r="D3060">
        <v>5.050351</v>
      </c>
      <c r="E3060">
        <v>0.50942920000000003</v>
      </c>
      <c r="F3060" t="s">
        <v>42</v>
      </c>
      <c r="G3060">
        <v>-215.98009999999999</v>
      </c>
      <c r="H3060">
        <v>1.022348</v>
      </c>
      <c r="I3060">
        <v>-57.47475</v>
      </c>
      <c r="J3060">
        <v>-216.69390000000001</v>
      </c>
      <c r="K3060">
        <v>1.1044020000000001</v>
      </c>
      <c r="L3060">
        <v>-57.481229999999996</v>
      </c>
      <c r="M3060">
        <v>0.99989300000000003</v>
      </c>
      <c r="N3060">
        <v>0</v>
      </c>
      <c r="O3060">
        <v>-3.4506680000000001E-3</v>
      </c>
      <c r="P3060">
        <v>0.99035910000000005</v>
      </c>
      <c r="Q3060">
        <v>0.13534260000000001</v>
      </c>
      <c r="R3060">
        <v>2.9525240000000001E-2</v>
      </c>
      <c r="S3060">
        <v>3.0669249999999999</v>
      </c>
      <c r="T3060">
        <v>-0.28536739999999999</v>
      </c>
      <c r="U3060">
        <v>2.105713E-2</v>
      </c>
      <c r="V3060">
        <v>-3.2934459999999999E-2</v>
      </c>
      <c r="W3060">
        <v>0.14941589999999999</v>
      </c>
      <c r="X3060">
        <v>0.98822580000000004</v>
      </c>
      <c r="Y3060">
        <v>-1.02574E-2</v>
      </c>
      <c r="Z3060">
        <v>7.9658539999999996E-4</v>
      </c>
      <c r="AA3060">
        <v>0.99994709999999998</v>
      </c>
      <c r="AB3060">
        <v>36</v>
      </c>
      <c r="AC3060">
        <v>0.71380000000001997</v>
      </c>
      <c r="AD3060">
        <v>-8.2054000000000002E-2</v>
      </c>
      <c r="AE3060">
        <v>6.4800000000033702E-3</v>
      </c>
      <c r="AF3060">
        <v>-8.8266679070983997E-3</v>
      </c>
      <c r="AG3060">
        <v>-8.2054000000000002E-2</v>
      </c>
      <c r="AH3060">
        <v>0.70446509240630795</v>
      </c>
      <c r="AI3060">
        <v>96.643188420405394</v>
      </c>
      <c r="AJ3060">
        <v>90.717855804538999</v>
      </c>
      <c r="AK3060">
        <v>0.70928262025892796</v>
      </c>
      <c r="AL3060">
        <v>81.406921457464094</v>
      </c>
      <c r="AM3060">
        <v>91.908781782803402</v>
      </c>
      <c r="AN3060">
        <v>1.00000001080697</v>
      </c>
    </row>
    <row r="3061" spans="1:40" x14ac:dyDescent="0.3">
      <c r="A3061" t="str">
        <f>"20200111150413639"</f>
        <v>20200111150413639</v>
      </c>
      <c r="B3061" t="str">
        <f>"1578726253631277"</f>
        <v>1578726253631277</v>
      </c>
      <c r="C3061" t="s">
        <v>40</v>
      </c>
      <c r="D3061">
        <v>6.532743</v>
      </c>
      <c r="E3061">
        <v>0.50942920000000003</v>
      </c>
      <c r="F3061" t="s">
        <v>42</v>
      </c>
      <c r="G3061">
        <v>-215.6677</v>
      </c>
      <c r="H3061">
        <v>1.0115479999999999</v>
      </c>
      <c r="I3061">
        <v>-57.474780000000003</v>
      </c>
      <c r="J3061">
        <v>-216.52019999999999</v>
      </c>
      <c r="K3061">
        <v>1.1044039999999999</v>
      </c>
      <c r="L3061">
        <v>-57.481839999999998</v>
      </c>
      <c r="M3061">
        <v>0.99989249999999996</v>
      </c>
      <c r="N3061">
        <v>0</v>
      </c>
      <c r="O3061">
        <v>-3.4544710000000002E-3</v>
      </c>
      <c r="P3061">
        <v>0.99034120000000003</v>
      </c>
      <c r="Q3061">
        <v>0.13554820000000001</v>
      </c>
      <c r="R3061">
        <v>2.917968E-2</v>
      </c>
      <c r="S3061">
        <v>3.0665439999999999</v>
      </c>
      <c r="T3061">
        <v>-0.27746589999999999</v>
      </c>
      <c r="U3061">
        <v>1.9561769999999999E-2</v>
      </c>
      <c r="V3061">
        <v>-3.2592120000000002E-2</v>
      </c>
      <c r="W3061">
        <v>0.1496526</v>
      </c>
      <c r="X3061">
        <v>0.98820129999999995</v>
      </c>
      <c r="Y3061">
        <v>-9.7796170000000009E-3</v>
      </c>
      <c r="Z3061">
        <v>7.5348959999999997E-4</v>
      </c>
      <c r="AA3061">
        <v>0.9999519</v>
      </c>
      <c r="AB3061">
        <v>36</v>
      </c>
      <c r="AC3061">
        <v>0.85249999999999204</v>
      </c>
      <c r="AD3061">
        <v>-9.2856000000000202E-2</v>
      </c>
      <c r="AE3061">
        <v>7.0600000000027299E-3</v>
      </c>
      <c r="AF3061">
        <v>-9.8878915237030993E-3</v>
      </c>
      <c r="AG3061">
        <v>-9.2856000000000202E-2</v>
      </c>
      <c r="AH3061">
        <v>0.84247606999336999</v>
      </c>
      <c r="AI3061">
        <v>96.289207818817005</v>
      </c>
      <c r="AJ3061">
        <v>90.672432679701103</v>
      </c>
      <c r="AK3061">
        <v>0.847635496924391</v>
      </c>
      <c r="AL3061">
        <v>81.393205046696394</v>
      </c>
      <c r="AM3061">
        <v>91.889002038230799</v>
      </c>
      <c r="AN3061">
        <v>0.99999997814727104</v>
      </c>
    </row>
    <row r="3062" spans="1:40" x14ac:dyDescent="0.3">
      <c r="A3062" t="str">
        <f>"20200111150413650"</f>
        <v>20200111150413650</v>
      </c>
      <c r="B3062" t="str">
        <f>"1578726253642013"</f>
        <v>1578726253642013</v>
      </c>
      <c r="C3062" t="s">
        <v>40</v>
      </c>
      <c r="D3062">
        <v>5.0006110000000001</v>
      </c>
      <c r="E3062">
        <v>0.50944140000000004</v>
      </c>
      <c r="F3062" t="s">
        <v>42</v>
      </c>
      <c r="G3062">
        <v>-215.66040000000001</v>
      </c>
      <c r="H3062">
        <v>1.0267729999999999</v>
      </c>
      <c r="I3062">
        <v>-57.476700000000001</v>
      </c>
      <c r="J3062">
        <v>-216.34370000000001</v>
      </c>
      <c r="K3062">
        <v>1.1044069999999999</v>
      </c>
      <c r="L3062">
        <v>-57.48245</v>
      </c>
      <c r="M3062">
        <v>0.99989189999999994</v>
      </c>
      <c r="N3062">
        <v>0</v>
      </c>
      <c r="O3062">
        <v>-3.458273E-3</v>
      </c>
      <c r="P3062">
        <v>0.99037759999999997</v>
      </c>
      <c r="Q3062">
        <v>0.1353983</v>
      </c>
      <c r="R3062">
        <v>2.8622700000000001E-2</v>
      </c>
      <c r="S3062">
        <v>3.066605</v>
      </c>
      <c r="T3062">
        <v>-0.27686480000000002</v>
      </c>
      <c r="U3062">
        <v>1.8676760000000001E-2</v>
      </c>
      <c r="V3062">
        <v>-3.2039020000000001E-2</v>
      </c>
      <c r="W3062">
        <v>0.14953429999999901</v>
      </c>
      <c r="X3062">
        <v>0.98823729999999999</v>
      </c>
      <c r="Y3062">
        <v>-9.4960930000000006E-3</v>
      </c>
      <c r="Z3062">
        <v>7.3941950000000001E-4</v>
      </c>
      <c r="AA3062">
        <v>0.99995460000000003</v>
      </c>
      <c r="AB3062">
        <v>36</v>
      </c>
      <c r="AC3062">
        <v>0.68330000000000202</v>
      </c>
      <c r="AD3062">
        <v>-7.7633999999999898E-2</v>
      </c>
      <c r="AE3062">
        <v>5.7499999999990302E-3</v>
      </c>
      <c r="AF3062">
        <v>-8.0098557222506601E-3</v>
      </c>
      <c r="AG3062">
        <v>-7.7633999999999898E-2</v>
      </c>
      <c r="AH3062">
        <v>0.67456886404984695</v>
      </c>
      <c r="AI3062">
        <v>96.564648336835802</v>
      </c>
      <c r="AJ3062">
        <v>90.680300240686094</v>
      </c>
      <c r="AK3062">
        <v>0.67906873590984296</v>
      </c>
      <c r="AL3062">
        <v>81.400060320875895</v>
      </c>
      <c r="AM3062">
        <v>91.856900032696899</v>
      </c>
      <c r="AN3062">
        <v>0.99999998339517004</v>
      </c>
    </row>
    <row r="3063" spans="1:40" x14ac:dyDescent="0.3">
      <c r="A3063" t="str">
        <f>"20200111150413661"</f>
        <v>20200111150413661</v>
      </c>
      <c r="B3063" t="str">
        <f>"1578726253651773"</f>
        <v>1578726253651773</v>
      </c>
      <c r="C3063" t="s">
        <v>40</v>
      </c>
      <c r="D3063">
        <v>5.3148239999999998</v>
      </c>
      <c r="E3063">
        <v>0.50919499999999995</v>
      </c>
      <c r="F3063" t="s">
        <v>42</v>
      </c>
      <c r="G3063">
        <v>-215.351</v>
      </c>
      <c r="H3063">
        <v>1.0107600000000001</v>
      </c>
      <c r="I3063">
        <v>-57.47701</v>
      </c>
      <c r="J3063">
        <v>-216.16309999999999</v>
      </c>
      <c r="K3063">
        <v>1.104409</v>
      </c>
      <c r="L3063">
        <v>-57.483089999999997</v>
      </c>
      <c r="M3063">
        <v>0.99989159999999999</v>
      </c>
      <c r="N3063">
        <v>0</v>
      </c>
      <c r="O3063">
        <v>-3.4622939999999999E-3</v>
      </c>
      <c r="P3063">
        <v>0.99034869999999997</v>
      </c>
      <c r="Q3063">
        <v>0.13567989999999999</v>
      </c>
      <c r="R3063">
        <v>2.8292089999999999E-2</v>
      </c>
      <c r="S3063">
        <v>3.0681919999999998</v>
      </c>
      <c r="T3063">
        <v>-0.28938009999999997</v>
      </c>
      <c r="U3063">
        <v>1.748657E-2</v>
      </c>
      <c r="V3063">
        <v>-3.1712360000000002E-2</v>
      </c>
      <c r="W3063">
        <v>0.14984449999999999</v>
      </c>
      <c r="X3063">
        <v>0.98820079999999999</v>
      </c>
      <c r="Y3063">
        <v>-9.105999E-3</v>
      </c>
      <c r="Z3063">
        <v>7.5432570000000005E-4</v>
      </c>
      <c r="AA3063">
        <v>0.99995829999999997</v>
      </c>
      <c r="AB3063">
        <v>36</v>
      </c>
      <c r="AC3063">
        <v>0.81209999999998606</v>
      </c>
      <c r="AD3063">
        <v>-9.3648999999999802E-2</v>
      </c>
      <c r="AE3063">
        <v>6.0800000000042998E-3</v>
      </c>
      <c r="AF3063">
        <v>-8.7752929172740003E-3</v>
      </c>
      <c r="AG3063">
        <v>-9.3648999999999802E-2</v>
      </c>
      <c r="AH3063">
        <v>0.80141740421057495</v>
      </c>
      <c r="AI3063">
        <v>96.664630205040993</v>
      </c>
      <c r="AJ3063">
        <v>90.627347438236299</v>
      </c>
      <c r="AK3063">
        <v>0.80691820944777204</v>
      </c>
      <c r="AL3063">
        <v>81.382084214695496</v>
      </c>
      <c r="AM3063">
        <v>91.838048543852594</v>
      </c>
      <c r="AN3063">
        <v>0.99999993453882696</v>
      </c>
    </row>
    <row r="3064" spans="1:40" x14ac:dyDescent="0.3">
      <c r="A3064" t="str">
        <f>"20200111150413673"</f>
        <v>20200111150413673</v>
      </c>
      <c r="B3064" t="str">
        <f>"1578726253661533"</f>
        <v>1578726253661533</v>
      </c>
      <c r="C3064" t="s">
        <v>40</v>
      </c>
      <c r="D3064">
        <v>4.6629310000000004</v>
      </c>
      <c r="E3064">
        <v>0.50850329999999999</v>
      </c>
      <c r="F3064" t="s">
        <v>42</v>
      </c>
      <c r="G3064">
        <v>-215.34219999999999</v>
      </c>
      <c r="H3064">
        <v>1.0280769999999999</v>
      </c>
      <c r="I3064">
        <v>-57.478299999999997</v>
      </c>
      <c r="J3064">
        <v>-215.999</v>
      </c>
      <c r="K3064">
        <v>1.1044130000000001</v>
      </c>
      <c r="L3064">
        <v>-57.483669999999996</v>
      </c>
      <c r="M3064">
        <v>0.99989119999999998</v>
      </c>
      <c r="N3064">
        <v>0</v>
      </c>
      <c r="O3064">
        <v>-3.4660490000000001E-3</v>
      </c>
      <c r="P3064">
        <v>0.9903208</v>
      </c>
      <c r="Q3064">
        <v>0.13586039999999999</v>
      </c>
      <c r="R3064">
        <v>2.840852E-2</v>
      </c>
      <c r="S3064">
        <v>3.0677639999999999</v>
      </c>
      <c r="T3064">
        <v>-0.28516909999999901</v>
      </c>
      <c r="U3064">
        <v>1.870728E-2</v>
      </c>
      <c r="V3064">
        <v>-3.1832470000000002E-2</v>
      </c>
      <c r="W3064">
        <v>0.15004909999999999</v>
      </c>
      <c r="X3064">
        <v>0.98816599999999999</v>
      </c>
      <c r="Y3064">
        <v>-9.5082719999999999E-3</v>
      </c>
      <c r="Z3064">
        <v>7.6250350000000005E-4</v>
      </c>
      <c r="AA3064">
        <v>0.99995449999999997</v>
      </c>
      <c r="AB3064">
        <v>36</v>
      </c>
      <c r="AC3064">
        <v>0.65680000000003202</v>
      </c>
      <c r="AD3064">
        <v>-7.6335999999999696E-2</v>
      </c>
      <c r="AE3064">
        <v>5.3699999999992096E-3</v>
      </c>
      <c r="AF3064">
        <v>-7.5447941425920498E-3</v>
      </c>
      <c r="AG3064">
        <v>-7.6335999999999696E-2</v>
      </c>
      <c r="AH3064">
        <v>0.64802448038492999</v>
      </c>
      <c r="AI3064">
        <v>96.717916811739997</v>
      </c>
      <c r="AJ3064">
        <v>90.667050927407303</v>
      </c>
      <c r="AK3064">
        <v>0.65254872307959699</v>
      </c>
      <c r="AL3064">
        <v>81.370228371794994</v>
      </c>
      <c r="AM3064">
        <v>91.845070247857294</v>
      </c>
      <c r="AN3064">
        <v>1.0000000410565499</v>
      </c>
    </row>
    <row r="3065" spans="1:40" x14ac:dyDescent="0.3">
      <c r="A3065" t="str">
        <f>"20200111150413683"</f>
        <v>20200111150413683</v>
      </c>
      <c r="B3065" t="str">
        <f>"1578726253671292"</f>
        <v>1578726253671292</v>
      </c>
      <c r="C3065" t="s">
        <v>40</v>
      </c>
      <c r="D3065">
        <v>4.8099780000000001</v>
      </c>
      <c r="E3065">
        <v>0.50926720000000003</v>
      </c>
      <c r="F3065" t="s">
        <v>42</v>
      </c>
      <c r="G3065">
        <v>-215.02950000000001</v>
      </c>
      <c r="H3065">
        <v>1.020095</v>
      </c>
      <c r="I3065">
        <v>-57.476059999999997</v>
      </c>
      <c r="J3065">
        <v>-215.8175</v>
      </c>
      <c r="K3065">
        <v>1.104419</v>
      </c>
      <c r="L3065">
        <v>-57.484279999999998</v>
      </c>
      <c r="M3065">
        <v>0.99989079999999997</v>
      </c>
      <c r="N3065">
        <v>0</v>
      </c>
      <c r="O3065">
        <v>-3.4699269999999998E-3</v>
      </c>
      <c r="P3065">
        <v>0.99026340000000002</v>
      </c>
      <c r="Q3065">
        <v>0.13632939999999999</v>
      </c>
      <c r="R3065">
        <v>2.815759E-2</v>
      </c>
      <c r="S3065">
        <v>3.0651700000000002</v>
      </c>
      <c r="T3065">
        <v>-0.26656190000000002</v>
      </c>
      <c r="U3065">
        <v>2.44751E-2</v>
      </c>
      <c r="V3065">
        <v>-3.1585050000000003E-2</v>
      </c>
      <c r="W3065">
        <v>0.15054219999999999</v>
      </c>
      <c r="X3065">
        <v>0.9880989</v>
      </c>
      <c r="Y3065">
        <v>-1.139866E-2</v>
      </c>
      <c r="Z3065">
        <v>7.9591989999999995E-4</v>
      </c>
      <c r="AA3065">
        <v>0.99993469999999995</v>
      </c>
      <c r="AB3065">
        <v>35</v>
      </c>
      <c r="AC3065">
        <v>0.78799999999998205</v>
      </c>
      <c r="AD3065">
        <v>-8.4323999999999996E-2</v>
      </c>
      <c r="AE3065">
        <v>8.2200000000085503E-3</v>
      </c>
      <c r="AF3065">
        <v>-1.08305263977461E-2</v>
      </c>
      <c r="AG3065">
        <v>-8.4323999999999996E-2</v>
      </c>
      <c r="AH3065">
        <v>0.77904670167076495</v>
      </c>
      <c r="AI3065">
        <v>96.177051163550999</v>
      </c>
      <c r="AJ3065">
        <v>90.796490733629</v>
      </c>
      <c r="AK3065">
        <v>0.78367187053137899</v>
      </c>
      <c r="AL3065">
        <v>81.341650884643798</v>
      </c>
      <c r="AM3065">
        <v>91.830863350806695</v>
      </c>
      <c r="AN3065">
        <v>1.00000000277277</v>
      </c>
    </row>
    <row r="3066" spans="1:40" x14ac:dyDescent="0.3">
      <c r="A3066" t="str">
        <f>"20200111150413695"</f>
        <v>20200111150413695</v>
      </c>
      <c r="B3066" t="str">
        <f>"1578726253691788"</f>
        <v>1578726253691788</v>
      </c>
      <c r="C3066" t="s">
        <v>40</v>
      </c>
      <c r="D3066">
        <v>4.9662179999999996</v>
      </c>
      <c r="E3066">
        <v>0.50956109999999999</v>
      </c>
      <c r="F3066" t="s">
        <v>42</v>
      </c>
      <c r="G3066">
        <v>-215.0214</v>
      </c>
      <c r="H3066">
        <v>1.032856</v>
      </c>
      <c r="I3066">
        <v>-57.479810000000001</v>
      </c>
      <c r="J3066">
        <v>-215.64349999999999</v>
      </c>
      <c r="K3066">
        <v>1.1044229999999999</v>
      </c>
      <c r="L3066">
        <v>-57.48489</v>
      </c>
      <c r="M3066">
        <v>0.99989050000000002</v>
      </c>
      <c r="N3066">
        <v>0</v>
      </c>
      <c r="O3066">
        <v>-3.4737840000000002E-3</v>
      </c>
      <c r="P3066">
        <v>0.99015469999999906</v>
      </c>
      <c r="Q3066">
        <v>0.13709449999999901</v>
      </c>
      <c r="R3066">
        <v>2.82647E-2</v>
      </c>
      <c r="S3066">
        <v>3.0669559999999998</v>
      </c>
      <c r="T3066">
        <v>-0.27563500000000002</v>
      </c>
      <c r="U3066">
        <v>1.773071E-2</v>
      </c>
      <c r="V3066">
        <v>-3.16957E-2</v>
      </c>
      <c r="W3066">
        <v>0.15132799999999999</v>
      </c>
      <c r="X3066">
        <v>0.9879753</v>
      </c>
      <c r="Y3066">
        <v>-9.2040690000000005E-3</v>
      </c>
      <c r="Z3066">
        <v>7.2436099999999997E-4</v>
      </c>
      <c r="AA3066">
        <v>0.9999574</v>
      </c>
      <c r="AB3066">
        <v>35</v>
      </c>
      <c r="AC3066">
        <v>0.622099999999989</v>
      </c>
      <c r="AD3066">
        <v>-7.1566999999999895E-2</v>
      </c>
      <c r="AE3066">
        <v>5.0799999999995198E-3</v>
      </c>
      <c r="AF3066">
        <v>-7.1466583471978202E-3</v>
      </c>
      <c r="AG3066">
        <v>-7.1566999999999895E-2</v>
      </c>
      <c r="AH3066">
        <v>0.61395381046841901</v>
      </c>
      <c r="AI3066">
        <v>96.648367475672202</v>
      </c>
      <c r="AJ3066">
        <v>90.666914776143699</v>
      </c>
      <c r="AK3066">
        <v>0.61815223982707002</v>
      </c>
      <c r="AL3066">
        <v>81.296105947252201</v>
      </c>
      <c r="AM3066">
        <v>91.837502608947801</v>
      </c>
      <c r="AN3066">
        <v>0.99999998719628902</v>
      </c>
    </row>
    <row r="3067" spans="1:40" x14ac:dyDescent="0.3">
      <c r="A3067" t="str">
        <f>"20200111150413706"</f>
        <v>20200111150413706</v>
      </c>
      <c r="B3067" t="str">
        <f>"1578726253701549"</f>
        <v>1578726253701549</v>
      </c>
      <c r="C3067" t="s">
        <v>40</v>
      </c>
      <c r="D3067">
        <v>5.0001889999999998</v>
      </c>
      <c r="E3067">
        <v>0.50954790000000005</v>
      </c>
      <c r="F3067" t="s">
        <v>42</v>
      </c>
      <c r="G3067">
        <v>-214.7148</v>
      </c>
      <c r="H3067">
        <v>1.016632</v>
      </c>
      <c r="I3067">
        <v>-57.480179999999997</v>
      </c>
      <c r="J3067">
        <v>-215.4648</v>
      </c>
      <c r="K3067">
        <v>1.1044259999999999</v>
      </c>
      <c r="L3067">
        <v>-57.485529999999997</v>
      </c>
      <c r="M3067">
        <v>0.99989019999999995</v>
      </c>
      <c r="N3067">
        <v>0</v>
      </c>
      <c r="O3067">
        <v>-3.4778750000000001E-3</v>
      </c>
      <c r="P3067">
        <v>0.99007579999999995</v>
      </c>
      <c r="Q3067">
        <v>0.13774169999999999</v>
      </c>
      <c r="R3067">
        <v>2.788119E-2</v>
      </c>
      <c r="S3067">
        <v>3.0695190000000001</v>
      </c>
      <c r="T3067">
        <v>-0.29015869999999999</v>
      </c>
      <c r="U3067">
        <v>1.6052250000000001E-2</v>
      </c>
      <c r="V3067">
        <v>-3.1316040000000003E-2</v>
      </c>
      <c r="W3067">
        <v>0.1519954</v>
      </c>
      <c r="X3067">
        <v>0.98788500000000001</v>
      </c>
      <c r="Y3067">
        <v>-8.6535669999999992E-3</v>
      </c>
      <c r="Z3067">
        <v>7.3615539999999998E-4</v>
      </c>
      <c r="AA3067">
        <v>0.99996229999999997</v>
      </c>
      <c r="AB3067">
        <v>35</v>
      </c>
      <c r="AC3067">
        <v>0.75</v>
      </c>
      <c r="AD3067">
        <v>-8.7794000000000094E-2</v>
      </c>
      <c r="AE3067">
        <v>5.3499999999999598E-3</v>
      </c>
      <c r="AF3067">
        <v>-7.8510689265761501E-3</v>
      </c>
      <c r="AG3067">
        <v>-8.7794000000000094E-2</v>
      </c>
      <c r="AH3067">
        <v>0.73983954782493999</v>
      </c>
      <c r="AI3067">
        <v>96.767051809811505</v>
      </c>
      <c r="AJ3067">
        <v>90.607991599220895</v>
      </c>
      <c r="AK3067">
        <v>0.74507179670492296</v>
      </c>
      <c r="AL3067">
        <v>81.257419650332594</v>
      </c>
      <c r="AM3067">
        <v>91.815673145072097</v>
      </c>
      <c r="AN3067">
        <v>1.0000000346037199</v>
      </c>
    </row>
    <row r="3068" spans="1:40" x14ac:dyDescent="0.3">
      <c r="A3068" t="str">
        <f>"20200111150413718"</f>
        <v>20200111150413718</v>
      </c>
      <c r="B3068" t="str">
        <f>"1578726253711308"</f>
        <v>1578726253711308</v>
      </c>
      <c r="C3068" t="s">
        <v>40</v>
      </c>
      <c r="D3068">
        <v>4.9798280000000004</v>
      </c>
      <c r="E3068">
        <v>0.5095712</v>
      </c>
      <c r="F3068" t="s">
        <v>42</v>
      </c>
      <c r="G3068">
        <v>-214.7064</v>
      </c>
      <c r="H3068">
        <v>1.031347</v>
      </c>
      <c r="I3068">
        <v>-57.481969999999997</v>
      </c>
      <c r="J3068">
        <v>-215.28980000000001</v>
      </c>
      <c r="K3068">
        <v>1.1044309999999999</v>
      </c>
      <c r="L3068">
        <v>-57.486150000000002</v>
      </c>
      <c r="M3068">
        <v>0.9998899</v>
      </c>
      <c r="N3068">
        <v>0</v>
      </c>
      <c r="O3068">
        <v>-3.4815879999999999E-3</v>
      </c>
      <c r="P3068">
        <v>0.99000330000000003</v>
      </c>
      <c r="Q3068">
        <v>0.13829839999999999</v>
      </c>
      <c r="R3068">
        <v>2.7701179999999999E-2</v>
      </c>
      <c r="S3068">
        <v>3.0708160000000002</v>
      </c>
      <c r="T3068">
        <v>-0.29585850000000002</v>
      </c>
      <c r="U3068">
        <v>1.5014649999999999E-2</v>
      </c>
      <c r="V3068">
        <v>-3.113989E-2</v>
      </c>
      <c r="W3068">
        <v>0.15256979999999901</v>
      </c>
      <c r="X3068">
        <v>0.98780199999999996</v>
      </c>
      <c r="Y3068">
        <v>-8.3166560000000004E-3</v>
      </c>
      <c r="Z3068">
        <v>7.3439999999999996E-4</v>
      </c>
      <c r="AA3068">
        <v>0.99996510000000005</v>
      </c>
      <c r="AB3068">
        <v>35</v>
      </c>
      <c r="AC3068">
        <v>0.58340000000001102</v>
      </c>
      <c r="AD3068">
        <v>-7.3083999999999899E-2</v>
      </c>
      <c r="AE3068">
        <v>4.1800000000051796E-3</v>
      </c>
      <c r="AF3068">
        <v>-6.1153794376044603E-3</v>
      </c>
      <c r="AG3068">
        <v>-7.3083999999999899E-2</v>
      </c>
      <c r="AH3068">
        <v>0.57436868357880799</v>
      </c>
      <c r="AI3068">
        <v>97.251073182738196</v>
      </c>
      <c r="AJ3068">
        <v>90.610012702204997</v>
      </c>
      <c r="AK3068">
        <v>0.57903199704137098</v>
      </c>
      <c r="AL3068">
        <v>81.224120405003603</v>
      </c>
      <c r="AM3068">
        <v>91.805618523972399</v>
      </c>
      <c r="AN3068">
        <v>1.0000000139126199</v>
      </c>
    </row>
    <row r="3069" spans="1:40" x14ac:dyDescent="0.3">
      <c r="A3069" t="str">
        <f>"20200111150413726"</f>
        <v>20200111150413726</v>
      </c>
      <c r="B3069" t="str">
        <f>"1578726253722044"</f>
        <v>1578726253722044</v>
      </c>
      <c r="C3069" t="s">
        <v>40</v>
      </c>
      <c r="D3069">
        <v>5.0525859999999998</v>
      </c>
      <c r="E3069">
        <v>0.50978400000000001</v>
      </c>
      <c r="F3069" t="s">
        <v>42</v>
      </c>
      <c r="G3069">
        <v>-214.39840000000001</v>
      </c>
      <c r="H3069">
        <v>1.017239</v>
      </c>
      <c r="I3069">
        <v>-57.481999999999999</v>
      </c>
      <c r="J3069">
        <v>-215.13339999999999</v>
      </c>
      <c r="K3069">
        <v>1.104433</v>
      </c>
      <c r="L3069">
        <v>-57.486690000000003</v>
      </c>
      <c r="M3069">
        <v>0.99988960000000005</v>
      </c>
      <c r="N3069">
        <v>0</v>
      </c>
      <c r="O3069">
        <v>-3.4849260000000002E-3</v>
      </c>
      <c r="P3069">
        <v>0.98997550000000001</v>
      </c>
      <c r="Q3069">
        <v>0.1385586</v>
      </c>
      <c r="R3069">
        <v>2.739281E-2</v>
      </c>
      <c r="S3069">
        <v>3.071869</v>
      </c>
      <c r="T3069">
        <v>-0.30047239999999997</v>
      </c>
      <c r="U3069">
        <v>1.446533E-2</v>
      </c>
      <c r="V3069">
        <v>-3.083429E-2</v>
      </c>
      <c r="W3069">
        <v>0.1528455</v>
      </c>
      <c r="X3069">
        <v>0.98776889999999995</v>
      </c>
      <c r="Y3069">
        <v>-8.1386669999999901E-3</v>
      </c>
      <c r="Z3069">
        <v>7.3718639999999897E-4</v>
      </c>
      <c r="AA3069">
        <v>0.99996660000000004</v>
      </c>
      <c r="AB3069">
        <v>35</v>
      </c>
      <c r="AC3069">
        <v>0.734999999999985</v>
      </c>
      <c r="AD3069">
        <v>-8.7193999999999994E-2</v>
      </c>
      <c r="AE3069">
        <v>4.6900000000036296E-3</v>
      </c>
      <c r="AF3069">
        <v>-7.1510243665464397E-3</v>
      </c>
      <c r="AG3069">
        <v>-8.7193999999999994E-2</v>
      </c>
      <c r="AH3069">
        <v>0.72477950518612</v>
      </c>
      <c r="AI3069">
        <v>96.859622610619198</v>
      </c>
      <c r="AJ3069">
        <v>90.565289468120199</v>
      </c>
      <c r="AK3069">
        <v>0.73004058923002901</v>
      </c>
      <c r="AL3069">
        <v>81.208135924081603</v>
      </c>
      <c r="AM3069">
        <v>91.787970014323193</v>
      </c>
      <c r="AN3069">
        <v>0.99999995005862996</v>
      </c>
    </row>
    <row r="3070" spans="1:40" x14ac:dyDescent="0.3">
      <c r="A3070" t="str">
        <f>"20200111150413738"</f>
        <v>20200111150413738</v>
      </c>
      <c r="B3070" t="str">
        <f>"1578726253731805"</f>
        <v>1578726253731805</v>
      </c>
      <c r="C3070" t="s">
        <v>40</v>
      </c>
      <c r="D3070">
        <v>5.0538800000000004</v>
      </c>
      <c r="E3070">
        <v>0.51010310000000003</v>
      </c>
      <c r="F3070" t="s">
        <v>42</v>
      </c>
      <c r="G3070">
        <v>-214.39109999999999</v>
      </c>
      <c r="H3070">
        <v>1.0306109999999999</v>
      </c>
      <c r="I3070">
        <v>-57.483879999999999</v>
      </c>
      <c r="J3070">
        <v>-214.96729999999999</v>
      </c>
      <c r="K3070">
        <v>1.104436</v>
      </c>
      <c r="L3070">
        <v>-57.487270000000002</v>
      </c>
      <c r="M3070">
        <v>0.99988940000000004</v>
      </c>
      <c r="N3070">
        <v>0</v>
      </c>
      <c r="O3070">
        <v>-3.488732E-3</v>
      </c>
      <c r="P3070">
        <v>0.98996830000000002</v>
      </c>
      <c r="Q3070">
        <v>0.13865</v>
      </c>
      <c r="R3070">
        <v>2.7184529999999998E-2</v>
      </c>
      <c r="S3070">
        <v>3.0728</v>
      </c>
      <c r="T3070">
        <v>-0.30553200000000003</v>
      </c>
      <c r="U3070">
        <v>1.190186E-2</v>
      </c>
      <c r="V3070">
        <v>-3.062935E-2</v>
      </c>
      <c r="W3070">
        <v>0.15295249999999999</v>
      </c>
      <c r="X3070">
        <v>0.98775880000000005</v>
      </c>
      <c r="Y3070">
        <v>-7.309065E-3</v>
      </c>
      <c r="Z3070">
        <v>7.0854969999999996E-4</v>
      </c>
      <c r="AA3070">
        <v>0.99997309999999995</v>
      </c>
      <c r="AB3070">
        <v>35</v>
      </c>
      <c r="AC3070">
        <v>0.57620000000000005</v>
      </c>
      <c r="AD3070">
        <v>-7.3824999999999794E-2</v>
      </c>
      <c r="AE3070">
        <v>3.3899999999889002E-3</v>
      </c>
      <c r="AF3070">
        <v>-5.3131801080159198E-3</v>
      </c>
      <c r="AG3070">
        <v>-7.3824999999999794E-2</v>
      </c>
      <c r="AH3070">
        <v>0.56687924578826399</v>
      </c>
      <c r="AI3070">
        <v>97.419579901235807</v>
      </c>
      <c r="AJ3070">
        <v>90.536999518826605</v>
      </c>
      <c r="AK3070">
        <v>0.57169086035490502</v>
      </c>
      <c r="AL3070">
        <v>81.201933091493302</v>
      </c>
      <c r="AM3070">
        <v>91.7761120639843</v>
      </c>
      <c r="AN3070">
        <v>1.00000003565755</v>
      </c>
    </row>
    <row r="3071" spans="1:40" x14ac:dyDescent="0.3">
      <c r="A3071" t="str">
        <f>"20200111150413750"</f>
        <v>20200111150413750</v>
      </c>
      <c r="B3071" t="str">
        <f>"1578726253741564"</f>
        <v>1578726253741564</v>
      </c>
      <c r="C3071" t="s">
        <v>40</v>
      </c>
      <c r="D3071">
        <v>5.1255980000000001</v>
      </c>
      <c r="E3071">
        <v>0.51112599999999997</v>
      </c>
      <c r="F3071" t="s">
        <v>42</v>
      </c>
      <c r="G3071">
        <v>-214.08349999999999</v>
      </c>
      <c r="H3071">
        <v>1.0157099999999999</v>
      </c>
      <c r="I3071">
        <v>-57.484999999999999</v>
      </c>
      <c r="J3071">
        <v>-214.77780000000001</v>
      </c>
      <c r="K3071">
        <v>1.1044389999999999</v>
      </c>
      <c r="L3071">
        <v>-57.487920000000003</v>
      </c>
      <c r="M3071">
        <v>0.99988929999999998</v>
      </c>
      <c r="N3071">
        <v>0</v>
      </c>
      <c r="O3071">
        <v>-3.4930260000000002E-3</v>
      </c>
      <c r="P3071">
        <v>0.98998869999999894</v>
      </c>
      <c r="Q3071">
        <v>0.13853570000000001</v>
      </c>
      <c r="R3071">
        <v>2.702502E-2</v>
      </c>
      <c r="S3071">
        <v>3.0733489999999999</v>
      </c>
      <c r="T3071">
        <v>-0.30848009999999998</v>
      </c>
      <c r="U3071">
        <v>8.5449219999999999E-3</v>
      </c>
      <c r="V3071">
        <v>-3.0474390000000001E-2</v>
      </c>
      <c r="W3071">
        <v>0.15285499999999999</v>
      </c>
      <c r="X3071">
        <v>0.98777870000000001</v>
      </c>
      <c r="Y3071">
        <v>-6.2248490000000002E-3</v>
      </c>
      <c r="Z3071">
        <v>6.6138009999999997E-4</v>
      </c>
      <c r="AA3071">
        <v>0.99998039999999999</v>
      </c>
      <c r="AB3071">
        <v>35</v>
      </c>
      <c r="AC3071">
        <v>0.69430000000002601</v>
      </c>
      <c r="AD3071">
        <v>-8.8728999999999794E-2</v>
      </c>
      <c r="AE3071">
        <v>2.9199999999960299E-3</v>
      </c>
      <c r="AF3071">
        <v>-5.2595469332183597E-3</v>
      </c>
      <c r="AG3071">
        <v>-8.8728999999999794E-2</v>
      </c>
      <c r="AH3071">
        <v>0.68312896279572299</v>
      </c>
      <c r="AI3071">
        <v>97.400281166107106</v>
      </c>
      <c r="AJ3071">
        <v>90.441122984980794</v>
      </c>
      <c r="AK3071">
        <v>0.68888727531091998</v>
      </c>
      <c r="AL3071">
        <v>81.207586026222899</v>
      </c>
      <c r="AM3071">
        <v>91.767096491615504</v>
      </c>
      <c r="AN3071">
        <v>1.0000000498222701</v>
      </c>
    </row>
    <row r="3072" spans="1:40" x14ac:dyDescent="0.3">
      <c r="A3072" t="str">
        <f>"20200111150413760"</f>
        <v>20200111150413760</v>
      </c>
      <c r="B3072" t="str">
        <f>"1578726253751325"</f>
        <v>1578726253751325</v>
      </c>
      <c r="C3072" t="s">
        <v>40</v>
      </c>
      <c r="D3072">
        <v>5.0924239999999896</v>
      </c>
      <c r="E3072">
        <v>0.51212570000000002</v>
      </c>
      <c r="F3072" t="s">
        <v>42</v>
      </c>
      <c r="G3072">
        <v>-213.774</v>
      </c>
      <c r="H3072">
        <v>1.003633</v>
      </c>
      <c r="I3072">
        <v>-57.487990000000003</v>
      </c>
      <c r="J3072">
        <v>-214.60679999999999</v>
      </c>
      <c r="K3072">
        <v>1.1044400000000001</v>
      </c>
      <c r="L3072">
        <v>-57.488529999999997</v>
      </c>
      <c r="M3072">
        <v>0.99988900000000003</v>
      </c>
      <c r="N3072">
        <v>0</v>
      </c>
      <c r="O3072">
        <v>-3.4968180000000001E-3</v>
      </c>
      <c r="P3072">
        <v>0.99002590000000001</v>
      </c>
      <c r="Q3072">
        <v>0.13828480000000001</v>
      </c>
      <c r="R3072">
        <v>2.6956150000000002E-2</v>
      </c>
      <c r="S3072">
        <v>3.0735320000000002</v>
      </c>
      <c r="T3072">
        <v>-0.30864940000000002</v>
      </c>
      <c r="U3072" s="1">
        <v>-6.1035159999999999E-5</v>
      </c>
      <c r="V3072">
        <v>-3.040957E-2</v>
      </c>
      <c r="W3072">
        <v>0.152617899999999</v>
      </c>
      <c r="X3072">
        <v>0.98781730000000001</v>
      </c>
      <c r="Y3072">
        <v>-3.442423E-3</v>
      </c>
      <c r="Z3072">
        <v>5.2272519999999999E-4</v>
      </c>
      <c r="AA3072">
        <v>0.99999389999999999</v>
      </c>
      <c r="AB3072">
        <v>35</v>
      </c>
      <c r="AC3072">
        <v>0.83279999999999099</v>
      </c>
      <c r="AD3072">
        <v>-0.10080699999999899</v>
      </c>
      <c r="AE3072">
        <v>5.4000000000087301E-4</v>
      </c>
      <c r="AF3072">
        <v>-3.4025970231314701E-3</v>
      </c>
      <c r="AG3072">
        <v>-0.10080699999999899</v>
      </c>
      <c r="AH3072">
        <v>0.82076706076990202</v>
      </c>
      <c r="AI3072">
        <v>97.001967566062703</v>
      </c>
      <c r="AJ3072">
        <v>90.237525774721405</v>
      </c>
      <c r="AK3072">
        <v>0.82694147130275497</v>
      </c>
      <c r="AL3072">
        <v>81.221331624921802</v>
      </c>
      <c r="AM3072">
        <v>91.763271335585202</v>
      </c>
      <c r="AN3072">
        <v>0.99999999176364196</v>
      </c>
    </row>
    <row r="3073" spans="1:40" x14ac:dyDescent="0.3">
      <c r="A3073" t="str">
        <f>"20200111150413771"</f>
        <v>20200111150413771</v>
      </c>
      <c r="B3073" t="str">
        <f>"1578726253762061"</f>
        <v>1578726253762061</v>
      </c>
      <c r="C3073" t="s">
        <v>40</v>
      </c>
      <c r="D3073">
        <v>5.1243930000000004</v>
      </c>
      <c r="E3073">
        <v>0.51310679999999997</v>
      </c>
      <c r="F3073" t="s">
        <v>42</v>
      </c>
      <c r="G3073">
        <v>-213.76599999999999</v>
      </c>
      <c r="H3073">
        <v>1.020286</v>
      </c>
      <c r="I3073">
        <v>-57.490859999999998</v>
      </c>
      <c r="J3073">
        <v>-214.43989999999999</v>
      </c>
      <c r="K3073">
        <v>1.1044430000000001</v>
      </c>
      <c r="L3073">
        <v>-57.489139999999999</v>
      </c>
      <c r="M3073">
        <v>0.99988880000000002</v>
      </c>
      <c r="N3073">
        <v>0</v>
      </c>
      <c r="O3073">
        <v>-3.5007240000000002E-3</v>
      </c>
      <c r="P3073">
        <v>0.99005010000000004</v>
      </c>
      <c r="Q3073">
        <v>0.13810899999999901</v>
      </c>
      <c r="R3073">
        <v>2.696279E-2</v>
      </c>
      <c r="S3073">
        <v>3.07341</v>
      </c>
      <c r="T3073">
        <v>-0.3075464</v>
      </c>
      <c r="U3073">
        <v>-8.3312990000000003E-3</v>
      </c>
      <c r="V3073">
        <v>-3.0419769999999999E-2</v>
      </c>
      <c r="W3073">
        <v>0.152454799999999</v>
      </c>
      <c r="X3073">
        <v>0.9878422</v>
      </c>
      <c r="Y3073">
        <v>-7.6901270000000004E-4</v>
      </c>
      <c r="Z3073">
        <v>3.878493E-4</v>
      </c>
      <c r="AA3073">
        <v>0.99999959999999999</v>
      </c>
      <c r="AB3073">
        <v>35</v>
      </c>
      <c r="AC3073">
        <v>0.67390000000000305</v>
      </c>
      <c r="AD3073">
        <v>-8.4156999999999996E-2</v>
      </c>
      <c r="AE3073">
        <v>-1.7199999999988301E-3</v>
      </c>
      <c r="AF3073">
        <v>-6.2957804947329199E-4</v>
      </c>
      <c r="AG3073">
        <v>-8.4156999999999996E-2</v>
      </c>
      <c r="AH3073">
        <v>0.66355373845565802</v>
      </c>
      <c r="AI3073">
        <v>97.228098726448493</v>
      </c>
      <c r="AJ3073">
        <v>90.054362069255404</v>
      </c>
      <c r="AK3073">
        <v>0.66886946472088304</v>
      </c>
      <c r="AL3073">
        <v>81.230787469303706</v>
      </c>
      <c r="AM3073">
        <v>91.763817967152093</v>
      </c>
      <c r="AN3073">
        <v>1.0000000202753601</v>
      </c>
    </row>
    <row r="3074" spans="1:40" x14ac:dyDescent="0.3">
      <c r="A3074" t="str">
        <f>"20200111150413793"</f>
        <v>20200111150413793</v>
      </c>
      <c r="B3074" t="str">
        <f>"1578726253781580"</f>
        <v>1578726253781580</v>
      </c>
      <c r="C3074" t="s">
        <v>40</v>
      </c>
      <c r="D3074">
        <v>5.1084239999999896</v>
      </c>
      <c r="E3074">
        <v>0.51401490000000005</v>
      </c>
      <c r="F3074" t="s">
        <v>42</v>
      </c>
      <c r="G3074">
        <v>-213.4579</v>
      </c>
      <c r="H3074">
        <v>1.00631</v>
      </c>
      <c r="I3074">
        <v>-57.49456</v>
      </c>
      <c r="J3074">
        <v>-214.1</v>
      </c>
      <c r="K3074">
        <v>1.1044430000000001</v>
      </c>
      <c r="L3074">
        <v>-57.490299999999998</v>
      </c>
      <c r="M3074">
        <v>0.99988840000000001</v>
      </c>
      <c r="N3074">
        <v>0</v>
      </c>
      <c r="O3074">
        <v>-3.507919E-3</v>
      </c>
      <c r="P3074">
        <v>0.99005600000000005</v>
      </c>
      <c r="Q3074">
        <v>0.13806070000000001</v>
      </c>
      <c r="R3074">
        <v>2.6987569999999999E-2</v>
      </c>
      <c r="S3074">
        <v>3.0734409999999999</v>
      </c>
      <c r="T3074">
        <v>-0.30709589999999998</v>
      </c>
      <c r="U3074">
        <v>-1.6235349999999999E-2</v>
      </c>
      <c r="V3074">
        <v>-3.0451929999999999E-2</v>
      </c>
      <c r="W3074">
        <v>0.15242890000000001</v>
      </c>
      <c r="X3074">
        <v>0.98784519999999998</v>
      </c>
      <c r="Y3074">
        <v>1.7827139999999999E-3</v>
      </c>
      <c r="Z3074">
        <v>2.6082939999999999E-4</v>
      </c>
      <c r="AA3074">
        <v>0.99999839999999995</v>
      </c>
      <c r="AB3074">
        <v>35</v>
      </c>
      <c r="AC3074">
        <v>0.642099999999999</v>
      </c>
      <c r="AD3074">
        <v>-9.8132999999999998E-2</v>
      </c>
      <c r="AE3074">
        <v>-4.2600000000021501E-3</v>
      </c>
      <c r="AF3074">
        <v>1.9614881767059302E-3</v>
      </c>
      <c r="AG3074">
        <v>-9.8132999999999998E-2</v>
      </c>
      <c r="AH3074">
        <v>0.62745589006381997</v>
      </c>
      <c r="AI3074">
        <v>98.888907607861199</v>
      </c>
      <c r="AJ3074">
        <v>89.8208884006376</v>
      </c>
      <c r="AK3074">
        <v>0.63508647214426495</v>
      </c>
      <c r="AL3074">
        <v>81.232288926843196</v>
      </c>
      <c r="AM3074">
        <v>91.765676149635993</v>
      </c>
      <c r="AN3074">
        <v>1.0000000143794801</v>
      </c>
    </row>
    <row r="3075" spans="1:40" x14ac:dyDescent="0.3">
      <c r="A3075" t="str">
        <f>"20200111150413804"</f>
        <v>20200111150413804</v>
      </c>
      <c r="B3075" t="str">
        <f>"1578726253802076"</f>
        <v>1578726253802076</v>
      </c>
      <c r="C3075" t="s">
        <v>40</v>
      </c>
      <c r="D3075">
        <v>5.1438449999999998</v>
      </c>
      <c r="E3075">
        <v>0.51538349999999999</v>
      </c>
      <c r="F3075" t="s">
        <v>42</v>
      </c>
      <c r="G3075">
        <v>-213.14189999999999</v>
      </c>
      <c r="H3075">
        <v>1.0090749999999999</v>
      </c>
      <c r="I3075">
        <v>-57.497810000000001</v>
      </c>
      <c r="J3075">
        <v>-213.92269999999999</v>
      </c>
      <c r="K3075">
        <v>1.104447</v>
      </c>
      <c r="L3075">
        <v>-57.490940000000002</v>
      </c>
      <c r="M3075">
        <v>0.99988840000000001</v>
      </c>
      <c r="N3075">
        <v>0</v>
      </c>
      <c r="O3075">
        <v>-3.5120469999999999E-3</v>
      </c>
      <c r="P3075">
        <v>0.99000080000000001</v>
      </c>
      <c r="Q3075">
        <v>0.1384301</v>
      </c>
      <c r="R3075">
        <v>2.712386E-2</v>
      </c>
      <c r="S3075">
        <v>3.0734409999999999</v>
      </c>
      <c r="T3075">
        <v>-0.3059133</v>
      </c>
      <c r="U3075">
        <v>-2.3742679999999999E-2</v>
      </c>
      <c r="V3075">
        <v>-3.0592370000000001E-2</v>
      </c>
      <c r="W3075">
        <v>0.15280779999999999</v>
      </c>
      <c r="X3075">
        <v>0.9877823</v>
      </c>
      <c r="Y3075">
        <v>4.2090799999999996E-3</v>
      </c>
      <c r="Z3075">
        <v>1.397832E-4</v>
      </c>
      <c r="AA3075">
        <v>0.99999110000000002</v>
      </c>
      <c r="AB3075">
        <v>35</v>
      </c>
      <c r="AC3075">
        <v>0.78079999999999905</v>
      </c>
      <c r="AD3075">
        <v>-9.5371999999999998E-2</v>
      </c>
      <c r="AE3075">
        <v>-6.8699999999992604E-3</v>
      </c>
      <c r="AF3075">
        <v>4.0667912778406499E-3</v>
      </c>
      <c r="AG3075">
        <v>-9.5371999999999998E-2</v>
      </c>
      <c r="AH3075">
        <v>0.76934179863198904</v>
      </c>
      <c r="AI3075">
        <v>97.066562289454893</v>
      </c>
      <c r="AJ3075">
        <v>89.697133567240698</v>
      </c>
      <c r="AK3075">
        <v>0.77524135615793899</v>
      </c>
      <c r="AL3075">
        <v>81.210322044665801</v>
      </c>
      <c r="AM3075">
        <v>91.773926889178</v>
      </c>
      <c r="AN3075">
        <v>0.99999999451817301</v>
      </c>
    </row>
    <row r="3076" spans="1:40" x14ac:dyDescent="0.3">
      <c r="A3076" t="str">
        <f>"20200111150413816"</f>
        <v>20200111150413816</v>
      </c>
      <c r="B3076" t="str">
        <f>"1578726253811836"</f>
        <v>1578726253811836</v>
      </c>
      <c r="C3076" t="s">
        <v>40</v>
      </c>
      <c r="D3076">
        <v>5.033207</v>
      </c>
      <c r="E3076">
        <v>0.51598069999999996</v>
      </c>
      <c r="F3076" t="s">
        <v>42</v>
      </c>
      <c r="G3076">
        <v>-213.13470000000001</v>
      </c>
      <c r="H3076">
        <v>1.0240100000000001</v>
      </c>
      <c r="I3076">
        <v>-57.499740000000003</v>
      </c>
      <c r="J3076">
        <v>-213.7439</v>
      </c>
      <c r="K3076">
        <v>1.1044510000000001</v>
      </c>
      <c r="L3076">
        <v>-57.491549999999997</v>
      </c>
      <c r="M3076">
        <v>0.999888</v>
      </c>
      <c r="N3076">
        <v>0</v>
      </c>
      <c r="O3076">
        <v>-3.5158110000000002E-3</v>
      </c>
      <c r="P3076">
        <v>0.98994859999999896</v>
      </c>
      <c r="Q3076">
        <v>0.1387747</v>
      </c>
      <c r="R3076">
        <v>2.7263880000000001E-2</v>
      </c>
      <c r="S3076">
        <v>3.0751189999999999</v>
      </c>
      <c r="T3076">
        <v>-0.31385269999999998</v>
      </c>
      <c r="U3076">
        <v>-3.3905030000000003E-2</v>
      </c>
      <c r="V3076">
        <v>-3.0735740000000001E-2</v>
      </c>
      <c r="W3076">
        <v>0.15316080000000001</v>
      </c>
      <c r="X3076">
        <v>0.98772320000000002</v>
      </c>
      <c r="Y3076">
        <v>7.48826099999999E-3</v>
      </c>
      <c r="Z3076" s="1">
        <v>-2.3206000000000001E-5</v>
      </c>
      <c r="AA3076">
        <v>0.99997199999999997</v>
      </c>
      <c r="AB3076">
        <v>35</v>
      </c>
      <c r="AC3076">
        <v>0.60919999999998697</v>
      </c>
      <c r="AD3076">
        <v>-8.0440999999999901E-2</v>
      </c>
      <c r="AE3076">
        <v>-8.1900000000061299E-3</v>
      </c>
      <c r="AF3076">
        <v>5.9442679117383997E-3</v>
      </c>
      <c r="AG3076">
        <v>-8.0440999999999901E-2</v>
      </c>
      <c r="AH3076">
        <v>0.598786754267572</v>
      </c>
      <c r="AI3076">
        <v>97.650932455091805</v>
      </c>
      <c r="AJ3076">
        <v>89.431232782154495</v>
      </c>
      <c r="AK3076">
        <v>0.60419505616009495</v>
      </c>
      <c r="AL3076">
        <v>81.189855926697902</v>
      </c>
      <c r="AM3076">
        <v>91.782341552763299</v>
      </c>
      <c r="AN3076">
        <v>1.00000001809411</v>
      </c>
    </row>
    <row r="3077" spans="1:40" x14ac:dyDescent="0.3">
      <c r="A3077" t="str">
        <f>"20200111150413827"</f>
        <v>20200111150413827</v>
      </c>
      <c r="B3077" t="str">
        <f>"1578726253821596"</f>
        <v>1578726253821596</v>
      </c>
      <c r="C3077" t="s">
        <v>40</v>
      </c>
      <c r="D3077">
        <v>5.0987090000000004</v>
      </c>
      <c r="E3077">
        <v>0.51672010000000002</v>
      </c>
      <c r="F3077" t="s">
        <v>42</v>
      </c>
      <c r="G3077">
        <v>-212.82660000000001</v>
      </c>
      <c r="H3077">
        <v>1.0113859999999999</v>
      </c>
      <c r="I3077">
        <v>-57.502980000000001</v>
      </c>
      <c r="J3077">
        <v>-213.56100000000001</v>
      </c>
      <c r="K3077">
        <v>1.1044529999999999</v>
      </c>
      <c r="L3077">
        <v>-57.492220000000003</v>
      </c>
      <c r="M3077">
        <v>0.999888</v>
      </c>
      <c r="N3077">
        <v>0</v>
      </c>
      <c r="O3077">
        <v>-3.5199300000000001E-3</v>
      </c>
      <c r="P3077">
        <v>0.989923</v>
      </c>
      <c r="Q3077">
        <v>0.1389473</v>
      </c>
      <c r="R3077">
        <v>2.732147E-2</v>
      </c>
      <c r="S3077">
        <v>3.0752259999999998</v>
      </c>
      <c r="T3077">
        <v>-0.3119461</v>
      </c>
      <c r="U3077">
        <v>-3.771973E-2</v>
      </c>
      <c r="V3077">
        <v>-3.0797040000000001E-2</v>
      </c>
      <c r="W3077">
        <v>0.15334220000000001</v>
      </c>
      <c r="X3077">
        <v>0.98769309999999999</v>
      </c>
      <c r="Y3077">
        <v>8.7179739999999999E-3</v>
      </c>
      <c r="Z3077" s="1">
        <v>-8.4856289999999995E-5</v>
      </c>
      <c r="AA3077">
        <v>0.99996200000000002</v>
      </c>
      <c r="AB3077">
        <v>35</v>
      </c>
      <c r="AC3077">
        <v>0.73439999999996497</v>
      </c>
      <c r="AD3077">
        <v>-9.3066999999999997E-2</v>
      </c>
      <c r="AE3077">
        <v>-1.07600000000118E-2</v>
      </c>
      <c r="AF3077">
        <v>8.0454468381167994E-3</v>
      </c>
      <c r="AG3077">
        <v>-9.3066999999999997E-2</v>
      </c>
      <c r="AH3077">
        <v>0.72282772575946197</v>
      </c>
      <c r="AI3077">
        <v>97.336250454623098</v>
      </c>
      <c r="AJ3077">
        <v>89.362294642526393</v>
      </c>
      <c r="AK3077">
        <v>0.72883888262799301</v>
      </c>
      <c r="AL3077">
        <v>81.179337836100203</v>
      </c>
      <c r="AM3077">
        <v>91.785948382172904</v>
      </c>
      <c r="AN3077">
        <v>0.99999997388060502</v>
      </c>
    </row>
    <row r="3078" spans="1:40" x14ac:dyDescent="0.3">
      <c r="A3078" t="str">
        <f>"20200111150413839"</f>
        <v>20200111150413839</v>
      </c>
      <c r="B3078" t="str">
        <f>"1578726253831357"</f>
        <v>1578726253831357</v>
      </c>
      <c r="C3078" t="s">
        <v>40</v>
      </c>
      <c r="D3078">
        <v>5.0992949999999997</v>
      </c>
      <c r="E3078">
        <v>0.51740819999999998</v>
      </c>
      <c r="F3078" t="s">
        <v>42</v>
      </c>
      <c r="G3078">
        <v>-212.81780000000001</v>
      </c>
      <c r="H3078">
        <v>1.0292680000000001</v>
      </c>
      <c r="I3078">
        <v>-57.5028199999999</v>
      </c>
      <c r="J3078">
        <v>-213.37889999999999</v>
      </c>
      <c r="K3078">
        <v>1.104454</v>
      </c>
      <c r="L3078">
        <v>-57.49286</v>
      </c>
      <c r="M3078">
        <v>0.99988779999999999</v>
      </c>
      <c r="N3078">
        <v>0</v>
      </c>
      <c r="O3078">
        <v>-3.52404E-3</v>
      </c>
      <c r="P3078">
        <v>0.98989740000000004</v>
      </c>
      <c r="Q3078">
        <v>0.13909070000000001</v>
      </c>
      <c r="R3078">
        <v>2.7518009999999999E-2</v>
      </c>
      <c r="S3078">
        <v>3.0753780000000002</v>
      </c>
      <c r="T3078">
        <v>-0.3110329</v>
      </c>
      <c r="U3078">
        <v>-4.3121340000000001E-2</v>
      </c>
      <c r="V3078">
        <v>-3.0997879999999998E-2</v>
      </c>
      <c r="W3078">
        <v>0.1534925</v>
      </c>
      <c r="X3078">
        <v>0.98766350000000003</v>
      </c>
      <c r="Y3078">
        <v>1.0460560000000001E-2</v>
      </c>
      <c r="Z3078">
        <v>-1.7208099999999901E-4</v>
      </c>
      <c r="AA3078">
        <v>0.99994530000000004</v>
      </c>
      <c r="AB3078">
        <v>35</v>
      </c>
      <c r="AC3078">
        <v>0.56109999999998195</v>
      </c>
      <c r="AD3078">
        <v>-7.5185999999999906E-2</v>
      </c>
      <c r="AE3078">
        <v>-9.9599999999924194E-3</v>
      </c>
      <c r="AF3078">
        <v>7.8416348947923202E-3</v>
      </c>
      <c r="AG3078">
        <v>-7.5185999999999906E-2</v>
      </c>
      <c r="AH3078">
        <v>0.55123709137919097</v>
      </c>
      <c r="AI3078">
        <v>97.766155765658397</v>
      </c>
      <c r="AJ3078">
        <v>89.184992650965199</v>
      </c>
      <c r="AK3078">
        <v>0.55639622279991596</v>
      </c>
      <c r="AL3078">
        <v>81.170623367058994</v>
      </c>
      <c r="AM3078">
        <v>91.797641497850094</v>
      </c>
      <c r="AN3078">
        <v>1.0000000026764899</v>
      </c>
    </row>
    <row r="3079" spans="1:40" x14ac:dyDescent="0.3">
      <c r="A3079" t="str">
        <f>"20200111150413850"</f>
        <v>20200111150413850</v>
      </c>
      <c r="B3079" t="str">
        <f>"1578726253841117"</f>
        <v>1578726253841117</v>
      </c>
      <c r="C3079" t="s">
        <v>40</v>
      </c>
      <c r="D3079">
        <v>5.0848950000000004</v>
      </c>
      <c r="E3079">
        <v>0.51791999999999905</v>
      </c>
      <c r="F3079" t="s">
        <v>42</v>
      </c>
      <c r="G3079">
        <v>-212.51009999999999</v>
      </c>
      <c r="H3079">
        <v>1.0167600000000001</v>
      </c>
      <c r="I3079">
        <v>-57.506390000000003</v>
      </c>
      <c r="J3079">
        <v>-213.20140000000001</v>
      </c>
      <c r="K3079">
        <v>1.104455</v>
      </c>
      <c r="L3079">
        <v>-57.493499999999997</v>
      </c>
      <c r="M3079">
        <v>0.99988759999999999</v>
      </c>
      <c r="N3079">
        <v>0</v>
      </c>
      <c r="O3079">
        <v>-3.5280260000000001E-3</v>
      </c>
      <c r="P3079">
        <v>0.98991960000000001</v>
      </c>
      <c r="Q3079">
        <v>0.1388954</v>
      </c>
      <c r="R3079">
        <v>2.7701969999999999E-2</v>
      </c>
      <c r="S3079">
        <v>3.0755460000000001</v>
      </c>
      <c r="T3079">
        <v>-0.31037239999999999</v>
      </c>
      <c r="U3079">
        <v>-4.7576899999999998E-2</v>
      </c>
      <c r="V3079">
        <v>-3.1186229999999999E-2</v>
      </c>
      <c r="W3079">
        <v>0.15330450000000001</v>
      </c>
      <c r="X3079">
        <v>0.98768679999999998</v>
      </c>
      <c r="Y3079">
        <v>1.1897E-2</v>
      </c>
      <c r="Z3079">
        <v>-2.4359690000000001E-4</v>
      </c>
      <c r="AA3079">
        <v>0.99992919999999996</v>
      </c>
      <c r="AB3079">
        <v>35</v>
      </c>
      <c r="AC3079">
        <v>0.69130000000001202</v>
      </c>
      <c r="AD3079">
        <v>-8.7694999999999801E-2</v>
      </c>
      <c r="AE3079">
        <v>-1.28900000000058E-2</v>
      </c>
      <c r="AF3079">
        <v>1.0285280705925499E-2</v>
      </c>
      <c r="AG3079">
        <v>-8.7694999999999801E-2</v>
      </c>
      <c r="AH3079">
        <v>0.680395888071747</v>
      </c>
      <c r="AI3079">
        <v>97.343430532637399</v>
      </c>
      <c r="AJ3079">
        <v>89.133947890584494</v>
      </c>
      <c r="AK3079">
        <v>0.68610113287265595</v>
      </c>
      <c r="AL3079">
        <v>81.181524256457493</v>
      </c>
      <c r="AM3079">
        <v>91.808514498129298</v>
      </c>
      <c r="AN3079">
        <v>1.0000000327780501</v>
      </c>
    </row>
    <row r="3080" spans="1:40" x14ac:dyDescent="0.3">
      <c r="A3080" t="str">
        <f>"20200111150413861"</f>
        <v>20200111150413861</v>
      </c>
      <c r="B3080" t="str">
        <f>"1578726253851852"</f>
        <v>1578726253851852</v>
      </c>
      <c r="C3080" t="s">
        <v>40</v>
      </c>
      <c r="D3080">
        <v>5.0850109999999997</v>
      </c>
      <c r="E3080">
        <v>0.51845249999999998</v>
      </c>
      <c r="F3080" t="s">
        <v>42</v>
      </c>
      <c r="G3080">
        <v>-212.203</v>
      </c>
      <c r="H3080">
        <v>1.0035540000000001</v>
      </c>
      <c r="I3080">
        <v>-57.51023</v>
      </c>
      <c r="J3080">
        <v>-213.0189</v>
      </c>
      <c r="K3080">
        <v>1.104454</v>
      </c>
      <c r="L3080">
        <v>-57.494140000000002</v>
      </c>
      <c r="M3080">
        <v>0.99988750000000004</v>
      </c>
      <c r="N3080">
        <v>0</v>
      </c>
      <c r="O3080">
        <v>-3.531887E-3</v>
      </c>
      <c r="P3080">
        <v>0.98991700000000005</v>
      </c>
      <c r="Q3080">
        <v>0.1389039</v>
      </c>
      <c r="R3080">
        <v>2.7747649999999999E-2</v>
      </c>
      <c r="S3080">
        <v>3.075577</v>
      </c>
      <c r="T3080">
        <v>-0.31081959999999997</v>
      </c>
      <c r="U3080">
        <v>-5.1055910000000003E-2</v>
      </c>
      <c r="V3080">
        <v>-3.123561E-2</v>
      </c>
      <c r="W3080">
        <v>0.1533195</v>
      </c>
      <c r="X3080">
        <v>0.98768290000000003</v>
      </c>
      <c r="Y3080">
        <v>1.301797E-2</v>
      </c>
      <c r="Z3080">
        <v>-3.000476E-4</v>
      </c>
      <c r="AA3080">
        <v>0.9999152</v>
      </c>
      <c r="AB3080">
        <v>35</v>
      </c>
      <c r="AC3080">
        <v>0.81589999999999896</v>
      </c>
      <c r="AD3080">
        <v>-0.1009</v>
      </c>
      <c r="AE3080">
        <v>-1.6090000000005399E-2</v>
      </c>
      <c r="AF3080">
        <v>1.3009049496810201E-2</v>
      </c>
      <c r="AG3080">
        <v>-0.1009</v>
      </c>
      <c r="AH3080">
        <v>0.803665617419836</v>
      </c>
      <c r="AI3080">
        <v>97.155099170368501</v>
      </c>
      <c r="AJ3080">
        <v>89.072626071370607</v>
      </c>
      <c r="AK3080">
        <v>0.81007929858231598</v>
      </c>
      <c r="AL3080">
        <v>81.180654439198406</v>
      </c>
      <c r="AM3080">
        <v>91.811383325478502</v>
      </c>
      <c r="AN3080">
        <v>1.0000000216823599</v>
      </c>
    </row>
    <row r="3081" spans="1:40" x14ac:dyDescent="0.3">
      <c r="A3081" t="str">
        <f>"20200111150413871"</f>
        <v>20200111150413871</v>
      </c>
      <c r="B3081" t="str">
        <f>"1578726253861613"</f>
        <v>1578726253861613</v>
      </c>
      <c r="C3081" t="s">
        <v>40</v>
      </c>
      <c r="D3081">
        <v>5.0771629999999996</v>
      </c>
      <c r="E3081">
        <v>0.51895729999999995</v>
      </c>
      <c r="F3081" t="s">
        <v>42</v>
      </c>
      <c r="G3081">
        <v>-212.1944</v>
      </c>
      <c r="H3081">
        <v>1.0211520000000001</v>
      </c>
      <c r="I3081">
        <v>-57.509039999999999</v>
      </c>
      <c r="J3081">
        <v>-212.8665</v>
      </c>
      <c r="K3081">
        <v>1.1044560000000001</v>
      </c>
      <c r="L3081">
        <v>-57.494660000000003</v>
      </c>
      <c r="M3081">
        <v>0.99988750000000004</v>
      </c>
      <c r="N3081">
        <v>0</v>
      </c>
      <c r="O3081">
        <v>-3.5355E-3</v>
      </c>
      <c r="P3081">
        <v>0.98994950000000004</v>
      </c>
      <c r="Q3081">
        <v>0.1386522</v>
      </c>
      <c r="R3081">
        <v>2.7854230000000001E-2</v>
      </c>
      <c r="S3081">
        <v>3.0756839999999999</v>
      </c>
      <c r="T3081">
        <v>-0.31070130000000001</v>
      </c>
      <c r="U3081">
        <v>-5.4992680000000002E-2</v>
      </c>
      <c r="V3081">
        <v>-3.1345619999999998E-2</v>
      </c>
      <c r="W3081">
        <v>0.1530736</v>
      </c>
      <c r="X3081">
        <v>0.98771750000000003</v>
      </c>
      <c r="Y3081">
        <v>1.428685E-2</v>
      </c>
      <c r="Z3081">
        <v>-3.6347890000000001E-4</v>
      </c>
      <c r="AA3081">
        <v>0.99989790000000001</v>
      </c>
      <c r="AB3081">
        <v>35</v>
      </c>
      <c r="AC3081">
        <v>0.67210000000000003</v>
      </c>
      <c r="AD3081">
        <v>-8.3303999999999795E-2</v>
      </c>
      <c r="AE3081">
        <v>-1.43800000000027E-2</v>
      </c>
      <c r="AF3081">
        <v>1.18219161270388E-2</v>
      </c>
      <c r="AG3081">
        <v>-8.3303999999999795E-2</v>
      </c>
      <c r="AH3081">
        <v>0.66198155865011399</v>
      </c>
      <c r="AI3081">
        <v>97.171288420338797</v>
      </c>
      <c r="AJ3081">
        <v>88.976899132594497</v>
      </c>
      <c r="AK3081">
        <v>0.66730719920419701</v>
      </c>
      <c r="AL3081">
        <v>81.194911286221597</v>
      </c>
      <c r="AM3081">
        <v>91.817695005789602</v>
      </c>
      <c r="AN3081">
        <v>0.99999996735819596</v>
      </c>
    </row>
    <row r="3082" spans="1:40" x14ac:dyDescent="0.3">
      <c r="A3082" t="str">
        <f>"20200111150413883"</f>
        <v>20200111150413883</v>
      </c>
      <c r="B3082" t="str">
        <f>"1578726253871373"</f>
        <v>1578726253871373</v>
      </c>
      <c r="C3082" t="s">
        <v>40</v>
      </c>
      <c r="D3082">
        <v>5.1472720000000001</v>
      </c>
      <c r="E3082">
        <v>0.51953419999999995</v>
      </c>
      <c r="F3082" t="s">
        <v>42</v>
      </c>
      <c r="G3082">
        <v>-211.88900000000001</v>
      </c>
      <c r="H3082">
        <v>1.0054019999999999</v>
      </c>
      <c r="I3082">
        <v>-57.513350000000003</v>
      </c>
      <c r="J3082">
        <v>-212.68209999999999</v>
      </c>
      <c r="K3082">
        <v>1.104454</v>
      </c>
      <c r="L3082">
        <v>-57.495330000000003</v>
      </c>
      <c r="M3082">
        <v>0.99988750000000004</v>
      </c>
      <c r="N3082">
        <v>0</v>
      </c>
      <c r="O3082">
        <v>-3.5395930000000002E-3</v>
      </c>
      <c r="P3082">
        <v>0.98998710000000001</v>
      </c>
      <c r="Q3082">
        <v>0.13834769999999999</v>
      </c>
      <c r="R3082">
        <v>2.8033679999999998E-2</v>
      </c>
      <c r="S3082">
        <v>3.0757599999999998</v>
      </c>
      <c r="T3082">
        <v>-0.31166050000000001</v>
      </c>
      <c r="U3082">
        <v>-5.8654789999999998E-2</v>
      </c>
      <c r="V3082">
        <v>-3.1529359999999999E-2</v>
      </c>
      <c r="W3082">
        <v>0.1527753</v>
      </c>
      <c r="X3082">
        <v>0.98775789999999997</v>
      </c>
      <c r="Y3082">
        <v>1.546606E-2</v>
      </c>
      <c r="Z3082">
        <v>-4.2375449999999999E-4</v>
      </c>
      <c r="AA3082">
        <v>0.99988030000000006</v>
      </c>
      <c r="AB3082">
        <v>35</v>
      </c>
      <c r="AC3082">
        <v>0.79309999999998104</v>
      </c>
      <c r="AD3082">
        <v>-9.9051999999999904E-2</v>
      </c>
      <c r="AE3082">
        <v>-1.8019999999999901E-2</v>
      </c>
      <c r="AF3082">
        <v>1.4978817673552299E-2</v>
      </c>
      <c r="AG3082">
        <v>-9.9051999999999904E-2</v>
      </c>
      <c r="AH3082">
        <v>0.78098328201915801</v>
      </c>
      <c r="AI3082">
        <v>97.226908218915895</v>
      </c>
      <c r="AJ3082">
        <v>88.901234065930396</v>
      </c>
      <c r="AK3082">
        <v>0.78738208671286902</v>
      </c>
      <c r="AL3082">
        <v>81.2122066038349</v>
      </c>
      <c r="AM3082">
        <v>91.828267928211403</v>
      </c>
      <c r="AN3082">
        <v>1.0000000309222501</v>
      </c>
    </row>
    <row r="3083" spans="1:40" x14ac:dyDescent="0.3">
      <c r="A3083" t="str">
        <f>"20200111150413895"</f>
        <v>20200111150413895</v>
      </c>
      <c r="B3083" t="str">
        <f>"1578726253891869"</f>
        <v>1578726253891869</v>
      </c>
      <c r="C3083" t="s">
        <v>40</v>
      </c>
      <c r="D3083">
        <v>5.0781999999999998</v>
      </c>
      <c r="E3083">
        <v>0.51997870000000002</v>
      </c>
      <c r="F3083" t="s">
        <v>42</v>
      </c>
      <c r="G3083">
        <v>-211.88030000000001</v>
      </c>
      <c r="H3083">
        <v>1.0229360000000001</v>
      </c>
      <c r="I3083">
        <v>-57.511749999999999</v>
      </c>
      <c r="J3083">
        <v>-212.5069</v>
      </c>
      <c r="K3083">
        <v>1.104454</v>
      </c>
      <c r="L3083">
        <v>-57.495939999999997</v>
      </c>
      <c r="M3083">
        <v>0.99988730000000003</v>
      </c>
      <c r="N3083">
        <v>0</v>
      </c>
      <c r="O3083">
        <v>-3.5435610000000002E-3</v>
      </c>
      <c r="P3083">
        <v>0.9900563</v>
      </c>
      <c r="Q3083">
        <v>0.13776849999999999</v>
      </c>
      <c r="R3083">
        <v>2.8437339999999998E-2</v>
      </c>
      <c r="S3083">
        <v>3.0758209999999999</v>
      </c>
      <c r="T3083">
        <v>-0.31270439999999999</v>
      </c>
      <c r="U3083">
        <v>-6.2805180000000002E-2</v>
      </c>
      <c r="V3083">
        <v>-3.1936800000000001E-2</v>
      </c>
      <c r="W3083">
        <v>0.15220129999999901</v>
      </c>
      <c r="X3083">
        <v>0.98783339999999997</v>
      </c>
      <c r="Y3083">
        <v>1.6803099999999901E-2</v>
      </c>
      <c r="Z3083">
        <v>-4.9253389999999995E-4</v>
      </c>
      <c r="AA3083">
        <v>0.99985869999999999</v>
      </c>
      <c r="AB3083">
        <v>35</v>
      </c>
      <c r="AC3083">
        <v>0.62659999999999605</v>
      </c>
      <c r="AD3083">
        <v>-8.1517999999999896E-2</v>
      </c>
      <c r="AE3083">
        <v>-1.58099999999947E-2</v>
      </c>
      <c r="AF3083">
        <v>1.33632413707809E-2</v>
      </c>
      <c r="AG3083">
        <v>-8.1517999999999896E-2</v>
      </c>
      <c r="AH3083">
        <v>0.61622911085294196</v>
      </c>
      <c r="AI3083">
        <v>97.533880562987605</v>
      </c>
      <c r="AJ3083">
        <v>88.757706619388699</v>
      </c>
      <c r="AK3083">
        <v>0.62174116608645202</v>
      </c>
      <c r="AL3083">
        <v>81.245483365503802</v>
      </c>
      <c r="AM3083">
        <v>91.851736041343798</v>
      </c>
      <c r="AN3083">
        <v>1.0000000105357401</v>
      </c>
    </row>
    <row r="3084" spans="1:40" x14ac:dyDescent="0.3">
      <c r="A3084" t="str">
        <f>"20200111150413905"</f>
        <v>20200111150413905</v>
      </c>
      <c r="B3084" t="str">
        <f>"1578726253901629"</f>
        <v>1578726253901629</v>
      </c>
      <c r="C3084" t="s">
        <v>40</v>
      </c>
      <c r="D3084">
        <v>5.0719519999999996</v>
      </c>
      <c r="E3084">
        <v>0.52047339999999997</v>
      </c>
      <c r="F3084" t="s">
        <v>42</v>
      </c>
      <c r="G3084">
        <v>-211.57429999999999</v>
      </c>
      <c r="H3084">
        <v>1.009207</v>
      </c>
      <c r="I3084">
        <v>-57.515970000000003</v>
      </c>
      <c r="J3084">
        <v>-212.33449999999999</v>
      </c>
      <c r="K3084">
        <v>1.104455</v>
      </c>
      <c r="L3084">
        <v>-57.496580000000002</v>
      </c>
      <c r="M3084">
        <v>0.99988719999999998</v>
      </c>
      <c r="N3084">
        <v>0</v>
      </c>
      <c r="O3084">
        <v>-3.5472870000000001E-3</v>
      </c>
      <c r="P3084">
        <v>0.99008700000000005</v>
      </c>
      <c r="Q3084">
        <v>0.13747139999999999</v>
      </c>
      <c r="R3084">
        <v>2.8798379999999998E-2</v>
      </c>
      <c r="S3084">
        <v>3.0757140000000001</v>
      </c>
      <c r="T3084">
        <v>-0.31409009999999998</v>
      </c>
      <c r="U3084">
        <v>-6.5460210000000005E-2</v>
      </c>
      <c r="V3084">
        <v>-3.2301910000000003E-2</v>
      </c>
      <c r="W3084">
        <v>0.15190909999999999</v>
      </c>
      <c r="X3084">
        <v>0.98786649999999998</v>
      </c>
      <c r="Y3084">
        <v>1.765777E-2</v>
      </c>
      <c r="Z3084">
        <v>-5.378599E-4</v>
      </c>
      <c r="AA3084">
        <v>0.99984399999999996</v>
      </c>
      <c r="AB3084">
        <v>35</v>
      </c>
      <c r="AC3084">
        <v>0.76019999999999699</v>
      </c>
      <c r="AD3084">
        <v>-9.5247999999999999E-2</v>
      </c>
      <c r="AE3084">
        <v>-1.93899999999942E-2</v>
      </c>
      <c r="AF3084">
        <v>1.6435105676195501E-2</v>
      </c>
      <c r="AG3084">
        <v>-9.5247999999999999E-2</v>
      </c>
      <c r="AH3084">
        <v>0.74852104575298295</v>
      </c>
      <c r="AI3084">
        <v>97.250086212345494</v>
      </c>
      <c r="AJ3084">
        <v>88.742171759713699</v>
      </c>
      <c r="AK3084">
        <v>0.75473574854893799</v>
      </c>
      <c r="AL3084">
        <v>81.262422107073903</v>
      </c>
      <c r="AM3084">
        <v>91.872827879723204</v>
      </c>
      <c r="AN3084">
        <v>1.0000000049373501</v>
      </c>
    </row>
    <row r="3085" spans="1:40" x14ac:dyDescent="0.3">
      <c r="A3085" t="str">
        <f>"20200111150413917"</f>
        <v>20200111150413917</v>
      </c>
      <c r="B3085" t="str">
        <f>"1578726253911388"</f>
        <v>1578726253911388</v>
      </c>
      <c r="C3085" t="s">
        <v>40</v>
      </c>
      <c r="D3085">
        <v>5.1339050000000004</v>
      </c>
      <c r="E3085">
        <v>0.52091509999999996</v>
      </c>
      <c r="F3085" t="s">
        <v>42</v>
      </c>
      <c r="G3085">
        <v>-211.56610000000001</v>
      </c>
      <c r="H3085">
        <v>1.025771</v>
      </c>
      <c r="I3085">
        <v>-57.5139</v>
      </c>
      <c r="J3085">
        <v>-212.1679</v>
      </c>
      <c r="K3085">
        <v>1.1044510000000001</v>
      </c>
      <c r="L3085">
        <v>-57.497160000000001</v>
      </c>
      <c r="M3085">
        <v>0.99988710000000003</v>
      </c>
      <c r="N3085">
        <v>0</v>
      </c>
      <c r="O3085">
        <v>-3.551008E-3</v>
      </c>
      <c r="P3085">
        <v>0.99015399999999998</v>
      </c>
      <c r="Q3085">
        <v>0.13692770000000001</v>
      </c>
      <c r="R3085">
        <v>2.9086279999999999E-2</v>
      </c>
      <c r="S3085">
        <v>3.075745</v>
      </c>
      <c r="T3085">
        <v>-0.31487480000000001</v>
      </c>
      <c r="U3085">
        <v>-6.8603520000000001E-2</v>
      </c>
      <c r="V3085">
        <v>-3.2593860000000002E-2</v>
      </c>
      <c r="W3085">
        <v>0.151369899999999</v>
      </c>
      <c r="X3085">
        <v>0.98793969999999998</v>
      </c>
      <c r="Y3085">
        <v>1.8669519999999998E-2</v>
      </c>
      <c r="Z3085">
        <v>-5.9045259999999998E-4</v>
      </c>
      <c r="AA3085">
        <v>0.99982550000000003</v>
      </c>
      <c r="AB3085">
        <v>35</v>
      </c>
      <c r="AC3085">
        <v>0.601799999999997</v>
      </c>
      <c r="AD3085">
        <v>-7.868E-2</v>
      </c>
      <c r="AE3085">
        <v>-1.67399999999986E-2</v>
      </c>
      <c r="AF3085">
        <v>1.43574445350921E-2</v>
      </c>
      <c r="AG3085">
        <v>-7.868E-2</v>
      </c>
      <c r="AH3085">
        <v>0.59174857644047996</v>
      </c>
      <c r="AI3085">
        <v>97.571528672307807</v>
      </c>
      <c r="AJ3085">
        <v>88.610119828240997</v>
      </c>
      <c r="AK3085">
        <v>0.59712901146478603</v>
      </c>
      <c r="AL3085">
        <v>81.293677639889594</v>
      </c>
      <c r="AM3085">
        <v>91.8896026731083</v>
      </c>
      <c r="AN3085">
        <v>1.0000000285858901</v>
      </c>
    </row>
    <row r="3086" spans="1:40" x14ac:dyDescent="0.3">
      <c r="A3086" t="str">
        <f>"20200111150413927"</f>
        <v>20200111150413927</v>
      </c>
      <c r="B3086" t="str">
        <f>"1578726253921149"</f>
        <v>1578726253921149</v>
      </c>
      <c r="C3086" t="s">
        <v>40</v>
      </c>
      <c r="D3086">
        <v>5.0281589999999996</v>
      </c>
      <c r="E3086">
        <v>0.52125059999999901</v>
      </c>
      <c r="F3086" t="s">
        <v>42</v>
      </c>
      <c r="G3086">
        <v>-211.26079999999999</v>
      </c>
      <c r="H3086">
        <v>1.011218</v>
      </c>
      <c r="I3086">
        <v>-57.518389999999997</v>
      </c>
      <c r="J3086">
        <v>-211.9853</v>
      </c>
      <c r="K3086">
        <v>1.104452</v>
      </c>
      <c r="L3086">
        <v>-57.49783</v>
      </c>
      <c r="M3086">
        <v>0.99988719999999998</v>
      </c>
      <c r="N3086">
        <v>0</v>
      </c>
      <c r="O3086">
        <v>-3.555089E-3</v>
      </c>
      <c r="P3086">
        <v>0.99025669999999999</v>
      </c>
      <c r="Q3086">
        <v>0.13609830000000001</v>
      </c>
      <c r="R3086">
        <v>2.9481319999999998E-2</v>
      </c>
      <c r="S3086">
        <v>3.0756380000000001</v>
      </c>
      <c r="T3086">
        <v>-0.31611620000000001</v>
      </c>
      <c r="U3086">
        <v>-7.1716310000000005E-2</v>
      </c>
      <c r="V3086">
        <v>-3.2993769999999999E-2</v>
      </c>
      <c r="W3086">
        <v>0.1505455</v>
      </c>
      <c r="X3086">
        <v>0.98805240000000005</v>
      </c>
      <c r="Y3086">
        <v>1.96717E-2</v>
      </c>
      <c r="Z3086">
        <v>-6.4372400000000003E-4</v>
      </c>
      <c r="AA3086">
        <v>0.99980630000000004</v>
      </c>
      <c r="AB3086">
        <v>35</v>
      </c>
      <c r="AC3086">
        <v>0.72450000000000603</v>
      </c>
      <c r="AD3086">
        <v>-9.3233999999999997E-2</v>
      </c>
      <c r="AE3086">
        <v>-2.0559999999996099E-2</v>
      </c>
      <c r="AF3086">
        <v>1.76911955577378E-2</v>
      </c>
      <c r="AG3086">
        <v>-9.3233999999999997E-2</v>
      </c>
      <c r="AH3086">
        <v>0.71277416597379695</v>
      </c>
      <c r="AI3086">
        <v>97.449961849904795</v>
      </c>
      <c r="AJ3086">
        <v>88.5781993528648</v>
      </c>
      <c r="AK3086">
        <v>0.71906367509136804</v>
      </c>
      <c r="AL3086">
        <v>81.341459960573701</v>
      </c>
      <c r="AM3086">
        <v>91.912552000142597</v>
      </c>
      <c r="AN3086">
        <v>1.0000000407874099</v>
      </c>
    </row>
    <row r="3087" spans="1:40" x14ac:dyDescent="0.3">
      <c r="A3087" t="str">
        <f>"20200111150413938"</f>
        <v>20200111150413938</v>
      </c>
      <c r="B3087" t="str">
        <f>"1578726253931884"</f>
        <v>1578726253931884</v>
      </c>
      <c r="C3087" t="s">
        <v>40</v>
      </c>
      <c r="D3087">
        <v>5.1346970000000001</v>
      </c>
      <c r="E3087">
        <v>0.52172019999999997</v>
      </c>
      <c r="F3087" t="s">
        <v>42</v>
      </c>
      <c r="G3087">
        <v>-211.25219999999999</v>
      </c>
      <c r="H3087">
        <v>1.028656</v>
      </c>
      <c r="I3087">
        <v>-57.515459999999997</v>
      </c>
      <c r="J3087">
        <v>-211.80969999999999</v>
      </c>
      <c r="K3087">
        <v>1.1044510000000001</v>
      </c>
      <c r="L3087">
        <v>-57.498440000000002</v>
      </c>
      <c r="M3087">
        <v>0.99988699999999997</v>
      </c>
      <c r="N3087">
        <v>0</v>
      </c>
      <c r="O3087">
        <v>-3.559043E-3</v>
      </c>
      <c r="P3087">
        <v>0.99031590000000003</v>
      </c>
      <c r="Q3087">
        <v>0.13564799999999999</v>
      </c>
      <c r="R3087">
        <v>2.9564960000000001E-2</v>
      </c>
      <c r="S3087">
        <v>3.0753940000000002</v>
      </c>
      <c r="T3087">
        <v>-0.31791550000000002</v>
      </c>
      <c r="U3087">
        <v>-7.3577879999999998E-2</v>
      </c>
      <c r="V3087">
        <v>-3.3080850000000002E-2</v>
      </c>
      <c r="W3087">
        <v>0.15009910000000001</v>
      </c>
      <c r="X3087">
        <v>0.98811729999999998</v>
      </c>
      <c r="Y3087">
        <v>2.0270300000000002E-2</v>
      </c>
      <c r="Z3087">
        <v>-6.7786089999999995E-4</v>
      </c>
      <c r="AA3087">
        <v>0.99979430000000002</v>
      </c>
      <c r="AB3087">
        <v>35</v>
      </c>
      <c r="AC3087">
        <v>0.55750000000000399</v>
      </c>
      <c r="AD3087">
        <v>-7.5795000000000001E-2</v>
      </c>
      <c r="AE3087">
        <v>-1.7019999999995102E-2</v>
      </c>
      <c r="AF3087">
        <v>1.4762893690532001E-2</v>
      </c>
      <c r="AG3087">
        <v>-7.5795000000000001E-2</v>
      </c>
      <c r="AH3087">
        <v>0.54744755832787095</v>
      </c>
      <c r="AI3087">
        <v>97.879753003717894</v>
      </c>
      <c r="AJ3087">
        <v>88.455292124159101</v>
      </c>
      <c r="AK3087">
        <v>0.55286675987462497</v>
      </c>
      <c r="AL3087">
        <v>81.367329892216304</v>
      </c>
      <c r="AM3087">
        <v>91.917470153921599</v>
      </c>
      <c r="AN3087">
        <v>0.99999994050840901</v>
      </c>
    </row>
    <row r="3088" spans="1:40" x14ac:dyDescent="0.3">
      <c r="A3088" t="str">
        <f>"20200111150413950"</f>
        <v>20200111150413950</v>
      </c>
      <c r="B3088" t="str">
        <f>"1578726253941644"</f>
        <v>1578726253941644</v>
      </c>
      <c r="C3088" t="s">
        <v>40</v>
      </c>
      <c r="D3088">
        <v>5.064298</v>
      </c>
      <c r="E3088">
        <v>0.52205230000000002</v>
      </c>
      <c r="F3088" t="s">
        <v>42</v>
      </c>
      <c r="G3088">
        <v>-210.9468</v>
      </c>
      <c r="H3088">
        <v>1.015247</v>
      </c>
      <c r="I3088">
        <v>-57.520229999999998</v>
      </c>
      <c r="J3088">
        <v>-211.62870000000001</v>
      </c>
      <c r="K3088">
        <v>1.104457</v>
      </c>
      <c r="L3088">
        <v>-57.499110000000002</v>
      </c>
      <c r="M3088">
        <v>0.99988699999999997</v>
      </c>
      <c r="N3088">
        <v>0</v>
      </c>
      <c r="O3088">
        <v>-3.5631159999999999E-3</v>
      </c>
      <c r="P3088">
        <v>0.99036159999999995</v>
      </c>
      <c r="Q3088">
        <v>0.13522600000000001</v>
      </c>
      <c r="R3088">
        <v>2.996849E-2</v>
      </c>
      <c r="S3088">
        <v>3.0751949999999999</v>
      </c>
      <c r="T3088">
        <v>-0.31789149999999999</v>
      </c>
      <c r="U3088">
        <v>-7.7301030000000007E-2</v>
      </c>
      <c r="V3088">
        <v>-3.3489140000000001E-2</v>
      </c>
      <c r="W3088">
        <v>0.14968090000000001</v>
      </c>
      <c r="X3088">
        <v>0.98816700000000002</v>
      </c>
      <c r="Y3088">
        <v>2.147112E-2</v>
      </c>
      <c r="Z3088">
        <v>-7.3931470000000005E-4</v>
      </c>
      <c r="AA3088">
        <v>0.99976920000000002</v>
      </c>
      <c r="AB3088">
        <v>35</v>
      </c>
      <c r="AC3088">
        <v>0.68190000000001205</v>
      </c>
      <c r="AD3088">
        <v>-8.9209999999999998E-2</v>
      </c>
      <c r="AE3088">
        <v>-2.1120000000010401E-2</v>
      </c>
      <c r="AF3088">
        <v>1.83757126662756E-2</v>
      </c>
      <c r="AG3088">
        <v>-8.9209999999999998E-2</v>
      </c>
      <c r="AH3088">
        <v>0.67050598723174204</v>
      </c>
      <c r="AI3088">
        <v>97.575812136398099</v>
      </c>
      <c r="AJ3088">
        <v>88.430159714797696</v>
      </c>
      <c r="AK3088">
        <v>0.67666414847367795</v>
      </c>
      <c r="AL3088">
        <v>81.391564922101196</v>
      </c>
      <c r="AM3088">
        <v>91.941020378527796</v>
      </c>
      <c r="AN3088">
        <v>0.99999995710587297</v>
      </c>
    </row>
    <row r="3089" spans="1:40" x14ac:dyDescent="0.3">
      <c r="A3089" t="str">
        <f>"20200111150413962"</f>
        <v>20200111150413962</v>
      </c>
      <c r="B3089" t="str">
        <f>"1578726253951405"</f>
        <v>1578726253951405</v>
      </c>
      <c r="C3089" t="s">
        <v>40</v>
      </c>
      <c r="D3089">
        <v>5.1521780000000001</v>
      </c>
      <c r="E3089">
        <v>0.52255759999999996</v>
      </c>
      <c r="F3089" t="s">
        <v>42</v>
      </c>
      <c r="G3089">
        <v>-210.64150000000001</v>
      </c>
      <c r="H3089">
        <v>1.002095</v>
      </c>
      <c r="I3089">
        <v>-57.524520000000003</v>
      </c>
      <c r="J3089">
        <v>-211.44560000000001</v>
      </c>
      <c r="K3089">
        <v>1.1044579999999999</v>
      </c>
      <c r="L3089">
        <v>-57.499760000000002</v>
      </c>
      <c r="M3089">
        <v>0.99988690000000002</v>
      </c>
      <c r="N3089">
        <v>0</v>
      </c>
      <c r="O3089">
        <v>-3.566947E-3</v>
      </c>
      <c r="P3089">
        <v>0.99039160000000004</v>
      </c>
      <c r="Q3089">
        <v>0.13493369999999999</v>
      </c>
      <c r="R3089">
        <v>3.0289279999999998E-2</v>
      </c>
      <c r="S3089">
        <v>3.0751189999999999</v>
      </c>
      <c r="T3089">
        <v>-0.31886179999999997</v>
      </c>
      <c r="U3089">
        <v>-7.8918459999999996E-2</v>
      </c>
      <c r="V3089">
        <v>-3.3813879999999998E-2</v>
      </c>
      <c r="W3089">
        <v>0.14939140000000001</v>
      </c>
      <c r="X3089">
        <v>0.98819979999999996</v>
      </c>
      <c r="Y3089">
        <v>2.1990079999999999E-2</v>
      </c>
      <c r="Z3089">
        <v>-7.6800610000000004E-4</v>
      </c>
      <c r="AA3089">
        <v>0.99975789999999998</v>
      </c>
      <c r="AB3089">
        <v>35</v>
      </c>
      <c r="AC3089">
        <v>0.80410000000000503</v>
      </c>
      <c r="AD3089">
        <v>-0.102362999999999</v>
      </c>
      <c r="AE3089">
        <v>-2.47600000000005E-2</v>
      </c>
      <c r="AF3089">
        <v>2.1542573937735499E-2</v>
      </c>
      <c r="AG3089">
        <v>-0.102362999999999</v>
      </c>
      <c r="AH3089">
        <v>0.79137069911060398</v>
      </c>
      <c r="AI3089">
        <v>97.367529536123996</v>
      </c>
      <c r="AJ3089">
        <v>88.440688011772906</v>
      </c>
      <c r="AK3089">
        <v>0.79825425127065197</v>
      </c>
      <c r="AL3089">
        <v>81.408341103422401</v>
      </c>
      <c r="AM3089">
        <v>91.959762603674903</v>
      </c>
      <c r="AN3089">
        <v>1.00000000679732</v>
      </c>
    </row>
    <row r="3090" spans="1:40" x14ac:dyDescent="0.3">
      <c r="A3090" t="str">
        <f>"20200111150413973"</f>
        <v>20200111150413973</v>
      </c>
      <c r="B3090" t="str">
        <f>"1578726253961165"</f>
        <v>1578726253961165</v>
      </c>
      <c r="C3090" t="s">
        <v>40</v>
      </c>
      <c r="D3090">
        <v>5.1181369999999999</v>
      </c>
      <c r="E3090">
        <v>0.52294609999999997</v>
      </c>
      <c r="F3090" t="s">
        <v>42</v>
      </c>
      <c r="G3090">
        <v>-210.6327</v>
      </c>
      <c r="H3090">
        <v>1.019892</v>
      </c>
      <c r="I3090">
        <v>-57.52158</v>
      </c>
      <c r="J3090">
        <v>-211.27340000000001</v>
      </c>
      <c r="K3090">
        <v>1.1044579999999999</v>
      </c>
      <c r="L3090">
        <v>-57.500369999999997</v>
      </c>
      <c r="M3090">
        <v>0.99988679999999996</v>
      </c>
      <c r="N3090">
        <v>0</v>
      </c>
      <c r="O3090">
        <v>-3.5706560000000002E-3</v>
      </c>
      <c r="P3090">
        <v>0.9904423</v>
      </c>
      <c r="Q3090">
        <v>0.13446140000000001</v>
      </c>
      <c r="R3090">
        <v>3.0727250000000001E-2</v>
      </c>
      <c r="S3090">
        <v>3.0751949999999999</v>
      </c>
      <c r="T3090">
        <v>-0.31991910000000001</v>
      </c>
      <c r="U3090">
        <v>-8.2275390000000004E-2</v>
      </c>
      <c r="V3090">
        <v>-3.4255500000000001E-2</v>
      </c>
      <c r="W3090">
        <v>0.14892130000000001</v>
      </c>
      <c r="X3090">
        <v>0.98825560000000001</v>
      </c>
      <c r="Y3090">
        <v>2.3069869999999999E-2</v>
      </c>
      <c r="Z3090">
        <v>-8.2613000000000001E-4</v>
      </c>
      <c r="AA3090">
        <v>0.99973350000000005</v>
      </c>
      <c r="AB3090">
        <v>35</v>
      </c>
      <c r="AC3090">
        <v>0.64070000000000904</v>
      </c>
      <c r="AD3090">
        <v>-8.4565999999999905E-2</v>
      </c>
      <c r="AE3090">
        <v>-2.1210000000010599E-2</v>
      </c>
      <c r="AF3090">
        <v>1.8598248897815198E-2</v>
      </c>
      <c r="AG3090">
        <v>-8.4565999999999905E-2</v>
      </c>
      <c r="AH3090">
        <v>0.629811493126057</v>
      </c>
      <c r="AI3090">
        <v>97.644181956101406</v>
      </c>
      <c r="AJ3090">
        <v>88.308554857423402</v>
      </c>
      <c r="AK3090">
        <v>0.63573565268257504</v>
      </c>
      <c r="AL3090">
        <v>81.435581035749706</v>
      </c>
      <c r="AM3090">
        <v>91.985225365611697</v>
      </c>
      <c r="AN3090">
        <v>1.0000000619026399</v>
      </c>
    </row>
    <row r="3091" spans="1:40" x14ac:dyDescent="0.3">
      <c r="A3091" t="str">
        <f>"20200111150413985"</f>
        <v>20200111150413985</v>
      </c>
      <c r="B3091" t="str">
        <f>"1578726253981660"</f>
        <v>1578726253981660</v>
      </c>
      <c r="C3091" t="s">
        <v>40</v>
      </c>
      <c r="D3091">
        <v>5.1144480000000003</v>
      </c>
      <c r="E3091">
        <v>0.52366840000000003</v>
      </c>
      <c r="F3091" t="s">
        <v>42</v>
      </c>
      <c r="G3091">
        <v>-210.32839999999999</v>
      </c>
      <c r="H3091">
        <v>1.0056719999999999</v>
      </c>
      <c r="I3091">
        <v>-57.526470000000003</v>
      </c>
      <c r="J3091">
        <v>-211.09229999999999</v>
      </c>
      <c r="K3091">
        <v>1.104465</v>
      </c>
      <c r="L3091">
        <v>-57.501040000000003</v>
      </c>
      <c r="M3091">
        <v>0.99988679999999996</v>
      </c>
      <c r="N3091">
        <v>0</v>
      </c>
      <c r="O3091">
        <v>-3.5747230000000001E-3</v>
      </c>
      <c r="P3091">
        <v>0.99050859999999996</v>
      </c>
      <c r="Q3091">
        <v>0.13385529999999901</v>
      </c>
      <c r="R3091">
        <v>3.1231220000000001E-2</v>
      </c>
      <c r="S3091">
        <v>3.0751949999999999</v>
      </c>
      <c r="T3091">
        <v>-0.32144430000000002</v>
      </c>
      <c r="U3091">
        <v>-8.4320069999999997E-2</v>
      </c>
      <c r="V3091">
        <v>-3.4763370000000002E-2</v>
      </c>
      <c r="W3091">
        <v>0.14831820000000001</v>
      </c>
      <c r="X3091">
        <v>0.98832850000000005</v>
      </c>
      <c r="Y3091">
        <v>2.3725489999999998E-2</v>
      </c>
      <c r="Z3091">
        <v>-8.6378179999999896E-4</v>
      </c>
      <c r="AA3091">
        <v>0.99971810000000005</v>
      </c>
      <c r="AB3091">
        <v>35</v>
      </c>
      <c r="AC3091">
        <v>0.76390000000000602</v>
      </c>
      <c r="AD3091">
        <v>-9.8793000000000103E-2</v>
      </c>
      <c r="AE3091">
        <v>-2.5429999999992899E-2</v>
      </c>
      <c r="AF3091">
        <v>2.2325817591990201E-2</v>
      </c>
      <c r="AG3091">
        <v>-9.8793000000000103E-2</v>
      </c>
      <c r="AH3091">
        <v>0.75143186566665798</v>
      </c>
      <c r="AI3091">
        <v>97.4866242395928</v>
      </c>
      <c r="AJ3091">
        <v>88.298183794851397</v>
      </c>
      <c r="AK3091">
        <v>0.75822710827259798</v>
      </c>
      <c r="AL3091">
        <v>81.470523669102505</v>
      </c>
      <c r="AM3091">
        <v>92.014485642791996</v>
      </c>
      <c r="AN3091">
        <v>1.0000000021286199</v>
      </c>
    </row>
    <row r="3092" spans="1:40" x14ac:dyDescent="0.3">
      <c r="A3092" t="str">
        <f>"20200111150413996"</f>
        <v>20200111150413996</v>
      </c>
      <c r="B3092" t="str">
        <f>"1578726253991420"</f>
        <v>1578726253991420</v>
      </c>
      <c r="C3092" t="s">
        <v>40</v>
      </c>
      <c r="D3092">
        <v>5.0226150000000001</v>
      </c>
      <c r="E3092">
        <v>0.52388639999999997</v>
      </c>
      <c r="F3092" t="s">
        <v>42</v>
      </c>
      <c r="G3092">
        <v>-210.31970000000001</v>
      </c>
      <c r="H3092">
        <v>1.023072</v>
      </c>
      <c r="I3092">
        <v>-57.523539999999997</v>
      </c>
      <c r="J3092">
        <v>-210.9255</v>
      </c>
      <c r="K3092">
        <v>1.1044659999999999</v>
      </c>
      <c r="L3092">
        <v>-57.501620000000003</v>
      </c>
      <c r="M3092">
        <v>0.99988699999999997</v>
      </c>
      <c r="N3092">
        <v>0</v>
      </c>
      <c r="O3092">
        <v>-3.5787850000000001E-3</v>
      </c>
      <c r="P3092">
        <v>0.99056409999999995</v>
      </c>
      <c r="Q3092">
        <v>0.13333039999999999</v>
      </c>
      <c r="R3092">
        <v>3.1722849999999997E-2</v>
      </c>
      <c r="S3092">
        <v>3.0753170000000001</v>
      </c>
      <c r="T3092">
        <v>-0.32395020000000002</v>
      </c>
      <c r="U3092">
        <v>-8.8836670000000006E-2</v>
      </c>
      <c r="V3092">
        <v>-3.525959E-2</v>
      </c>
      <c r="W3092">
        <v>0.14779519999999999</v>
      </c>
      <c r="X3092">
        <v>0.98838930000000003</v>
      </c>
      <c r="Y3092">
        <v>2.5177689999999999E-2</v>
      </c>
      <c r="Z3092">
        <v>-9.4626020000000005E-4</v>
      </c>
      <c r="AA3092">
        <v>0.99968250000000003</v>
      </c>
      <c r="AB3092">
        <v>35</v>
      </c>
      <c r="AC3092">
        <v>0.60579999999998702</v>
      </c>
      <c r="AD3092">
        <v>-8.1393999999999897E-2</v>
      </c>
      <c r="AE3092">
        <v>-2.1920000000008599E-2</v>
      </c>
      <c r="AF3092">
        <v>1.94018161451785E-2</v>
      </c>
      <c r="AG3092">
        <v>-8.1393999999999897E-2</v>
      </c>
      <c r="AH3092">
        <v>0.59514504160820103</v>
      </c>
      <c r="AI3092">
        <v>97.783561589161707</v>
      </c>
      <c r="AJ3092">
        <v>88.132810413041298</v>
      </c>
      <c r="AK3092">
        <v>0.600998364603897</v>
      </c>
      <c r="AL3092">
        <v>81.500823571793603</v>
      </c>
      <c r="AM3092">
        <v>92.043091073045801</v>
      </c>
      <c r="AN3092">
        <v>1.0000000340922399</v>
      </c>
    </row>
    <row r="3093" spans="1:40" x14ac:dyDescent="0.3">
      <c r="A3093" t="str">
        <f>"20200111150414008"</f>
        <v>20200111150414008</v>
      </c>
      <c r="B3093" t="str">
        <f>"1578726254001181"</f>
        <v>1578726254001181</v>
      </c>
      <c r="C3093" t="s">
        <v>40</v>
      </c>
      <c r="D3093">
        <v>5.1004940000000003</v>
      </c>
      <c r="E3093">
        <v>0.52416989999999997</v>
      </c>
      <c r="F3093" t="s">
        <v>42</v>
      </c>
      <c r="G3093">
        <v>-210.01609999999999</v>
      </c>
      <c r="H3093">
        <v>1.0082409999999999</v>
      </c>
      <c r="I3093">
        <v>-57.528100000000002</v>
      </c>
      <c r="J3093">
        <v>-210.7336</v>
      </c>
      <c r="K3093">
        <v>1.1044719999999999</v>
      </c>
      <c r="L3093">
        <v>-57.502319999999997</v>
      </c>
      <c r="M3093">
        <v>0.99988679999999996</v>
      </c>
      <c r="N3093">
        <v>0</v>
      </c>
      <c r="O3093">
        <v>-3.582848E-3</v>
      </c>
      <c r="P3093">
        <v>0.9906682</v>
      </c>
      <c r="Q3093">
        <v>0.1325836</v>
      </c>
      <c r="R3093">
        <v>3.1595529999999997E-2</v>
      </c>
      <c r="S3093">
        <v>3.0752259999999998</v>
      </c>
      <c r="T3093">
        <v>-0.32535839999999999</v>
      </c>
      <c r="U3093">
        <v>-8.9080809999999996E-2</v>
      </c>
      <c r="V3093">
        <v>-3.513674E-2</v>
      </c>
      <c r="W3093">
        <v>0.14705190000000001</v>
      </c>
      <c r="X3093">
        <v>0.98850450000000001</v>
      </c>
      <c r="Y3093">
        <v>2.525235E-2</v>
      </c>
      <c r="Z3093">
        <v>-9.5388660000000002E-4</v>
      </c>
      <c r="AA3093">
        <v>0.99968060000000003</v>
      </c>
      <c r="AB3093">
        <v>35</v>
      </c>
      <c r="AC3093">
        <v>0.71750000000000103</v>
      </c>
      <c r="AD3093">
        <v>-9.62309999999999E-2</v>
      </c>
      <c r="AE3093">
        <v>-2.5780000000004501E-2</v>
      </c>
      <c r="AF3093">
        <v>2.27992787502025E-2</v>
      </c>
      <c r="AG3093">
        <v>-9.62309999999999E-2</v>
      </c>
      <c r="AH3093">
        <v>0.70492385161610904</v>
      </c>
      <c r="AI3093">
        <v>97.769533013681396</v>
      </c>
      <c r="AJ3093">
        <v>88.147534319501801</v>
      </c>
      <c r="AK3093">
        <v>0.71182712019830996</v>
      </c>
      <c r="AL3093">
        <v>81.543881706654005</v>
      </c>
      <c r="AM3093">
        <v>92.035741548552394</v>
      </c>
      <c r="AN3093">
        <v>0.99999999915584303</v>
      </c>
    </row>
    <row r="3094" spans="1:40" x14ac:dyDescent="0.3">
      <c r="A3094" t="str">
        <f>"20200111150414019"</f>
        <v>20200111150414019</v>
      </c>
      <c r="B3094" t="str">
        <f>"1578726254011917"</f>
        <v>1578726254011917</v>
      </c>
      <c r="C3094" t="s">
        <v>40</v>
      </c>
      <c r="D3094">
        <v>5.074103</v>
      </c>
      <c r="E3094">
        <v>0.5244491</v>
      </c>
      <c r="F3094" t="s">
        <v>42</v>
      </c>
      <c r="G3094">
        <v>-210.0068</v>
      </c>
      <c r="H3094">
        <v>1.0269429999999999</v>
      </c>
      <c r="I3094">
        <v>-57.524039999999999</v>
      </c>
      <c r="J3094">
        <v>-210.553</v>
      </c>
      <c r="K3094">
        <v>1.1044750000000001</v>
      </c>
      <c r="L3094">
        <v>-57.502960000000002</v>
      </c>
      <c r="M3094">
        <v>0.99988690000000002</v>
      </c>
      <c r="N3094">
        <v>0</v>
      </c>
      <c r="O3094">
        <v>-3.5869069999999999E-3</v>
      </c>
      <c r="P3094">
        <v>0.990703</v>
      </c>
      <c r="Q3094">
        <v>0.13229170000000001</v>
      </c>
      <c r="R3094">
        <v>3.1725860000000002E-2</v>
      </c>
      <c r="S3094">
        <v>3.0750730000000002</v>
      </c>
      <c r="T3094">
        <v>-0.3280091</v>
      </c>
      <c r="U3094">
        <v>-9.1278079999999998E-2</v>
      </c>
      <c r="V3094">
        <v>-3.5271669999999998E-2</v>
      </c>
      <c r="W3094">
        <v>0.14676139999999999</v>
      </c>
      <c r="X3094">
        <v>0.9885429</v>
      </c>
      <c r="Y3094">
        <v>2.5957460000000002E-2</v>
      </c>
      <c r="Z3094">
        <v>-9.9871179999999897E-4</v>
      </c>
      <c r="AA3094">
        <v>0.99966259999999996</v>
      </c>
      <c r="AB3094">
        <v>35</v>
      </c>
      <c r="AC3094">
        <v>0.54619999999999802</v>
      </c>
      <c r="AD3094">
        <v>-7.7532000000000101E-2</v>
      </c>
      <c r="AE3094">
        <v>-2.10800000000048E-2</v>
      </c>
      <c r="AF3094">
        <v>1.8743383594114399E-2</v>
      </c>
      <c r="AG3094">
        <v>-7.7532000000000101E-2</v>
      </c>
      <c r="AH3094">
        <v>0.53549827211618195</v>
      </c>
      <c r="AI3094">
        <v>98.233336938355905</v>
      </c>
      <c r="AJ3094">
        <v>87.995365080462406</v>
      </c>
      <c r="AK3094">
        <v>0.54140643225951102</v>
      </c>
      <c r="AL3094">
        <v>81.560708978257694</v>
      </c>
      <c r="AM3094">
        <v>92.043473150940699</v>
      </c>
      <c r="AN3094">
        <v>1.00000003218747</v>
      </c>
    </row>
    <row r="3095" spans="1:40" x14ac:dyDescent="0.3">
      <c r="A3095" t="str">
        <f>"20200111150414031"</f>
        <v>20200111150414031</v>
      </c>
      <c r="B3095" t="str">
        <f>"1578726254021677"</f>
        <v>1578726254021677</v>
      </c>
      <c r="C3095" t="s">
        <v>40</v>
      </c>
      <c r="D3095">
        <v>5.1147090000000004</v>
      </c>
      <c r="E3095">
        <v>0.5247484</v>
      </c>
      <c r="F3095" t="s">
        <v>42</v>
      </c>
      <c r="G3095">
        <v>-209.70269999999999</v>
      </c>
      <c r="H3095">
        <v>1.01352</v>
      </c>
      <c r="I3095">
        <v>-57.528689999999997</v>
      </c>
      <c r="J3095">
        <v>-210.37909999999999</v>
      </c>
      <c r="K3095">
        <v>1.104479</v>
      </c>
      <c r="L3095">
        <v>-57.503599999999999</v>
      </c>
      <c r="M3095">
        <v>0.99988679999999996</v>
      </c>
      <c r="N3095">
        <v>0</v>
      </c>
      <c r="O3095">
        <v>-3.5908469999999999E-3</v>
      </c>
      <c r="P3095">
        <v>0.9907321</v>
      </c>
      <c r="Q3095">
        <v>0.1321271</v>
      </c>
      <c r="R3095">
        <v>3.1504690000000002E-2</v>
      </c>
      <c r="S3095">
        <v>3.075027</v>
      </c>
      <c r="T3095">
        <v>-0.32890520000000001</v>
      </c>
      <c r="U3095">
        <v>-9.2498780000000003E-2</v>
      </c>
      <c r="V3095">
        <v>-3.5053809999999998E-2</v>
      </c>
      <c r="W3095">
        <v>0.14659820000000001</v>
      </c>
      <c r="X3095">
        <v>0.98857490000000003</v>
      </c>
      <c r="Y3095">
        <v>2.6347559999999999E-2</v>
      </c>
      <c r="Z3095">
        <v>-1.021812E-3</v>
      </c>
      <c r="AA3095">
        <v>0.99965230000000005</v>
      </c>
      <c r="AB3095">
        <v>35</v>
      </c>
      <c r="AC3095">
        <v>0.676400000000001</v>
      </c>
      <c r="AD3095">
        <v>-9.0958999999999998E-2</v>
      </c>
      <c r="AE3095">
        <v>-2.5090000000005799E-2</v>
      </c>
      <c r="AF3095">
        <v>2.22587651334272E-2</v>
      </c>
      <c r="AG3095">
        <v>-9.0958999999999998E-2</v>
      </c>
      <c r="AH3095">
        <v>0.66448597475286197</v>
      </c>
      <c r="AI3095">
        <v>97.790245664115403</v>
      </c>
      <c r="AJ3095">
        <v>88.081439409317795</v>
      </c>
      <c r="AK3095">
        <v>0.67105186308475895</v>
      </c>
      <c r="AL3095">
        <v>81.570162190427098</v>
      </c>
      <c r="AM3095">
        <v>92.030796294793603</v>
      </c>
      <c r="AN3095">
        <v>1.0000000673743801</v>
      </c>
    </row>
    <row r="3096" spans="1:40" x14ac:dyDescent="0.3">
      <c r="A3096" t="str">
        <f>"20200111150414042"</f>
        <v>20200111150414042</v>
      </c>
      <c r="B3096" t="str">
        <f>"1578726254031437"</f>
        <v>1578726254031437</v>
      </c>
      <c r="C3096" t="s">
        <v>40</v>
      </c>
      <c r="D3096">
        <v>5.1849869999999996</v>
      </c>
      <c r="E3096">
        <v>0.5247484</v>
      </c>
      <c r="F3096" t="s">
        <v>42</v>
      </c>
      <c r="G3096">
        <v>-209.39940000000001</v>
      </c>
      <c r="H3096">
        <v>0.99956069999999997</v>
      </c>
      <c r="I3096">
        <v>-57.533999999999999</v>
      </c>
      <c r="J3096">
        <v>-210.2038</v>
      </c>
      <c r="K3096">
        <v>1.104482</v>
      </c>
      <c r="L3096">
        <v>-57.504240000000003</v>
      </c>
      <c r="M3096">
        <v>0.99988679999999996</v>
      </c>
      <c r="N3096">
        <v>0</v>
      </c>
      <c r="O3096">
        <v>-3.5947850000000001E-3</v>
      </c>
      <c r="P3096">
        <v>0.99072709999999997</v>
      </c>
      <c r="Q3096">
        <v>0.1321551</v>
      </c>
      <c r="R3096">
        <v>3.1548010000000001E-2</v>
      </c>
      <c r="S3096">
        <v>3.075027</v>
      </c>
      <c r="T3096">
        <v>-0.32929370000000002</v>
      </c>
      <c r="U3096">
        <v>-9.5214839999999995E-2</v>
      </c>
      <c r="V3096">
        <v>-3.5100800000000001E-2</v>
      </c>
      <c r="W3096">
        <v>0.1466269</v>
      </c>
      <c r="X3096">
        <v>0.98856889999999997</v>
      </c>
      <c r="Y3096">
        <v>2.7220479999999998E-2</v>
      </c>
      <c r="Z3096">
        <v>-1.0691730000000001E-3</v>
      </c>
      <c r="AA3096">
        <v>0.99962890000000004</v>
      </c>
      <c r="AB3096">
        <v>35</v>
      </c>
      <c r="AC3096">
        <v>0.80439999999998602</v>
      </c>
      <c r="AD3096">
        <v>-0.1049213</v>
      </c>
      <c r="AE3096">
        <v>-2.9759999999996001E-2</v>
      </c>
      <c r="AF3096">
        <v>2.6418999483810601E-2</v>
      </c>
      <c r="AG3096">
        <v>-0.1049213</v>
      </c>
      <c r="AH3096">
        <v>0.79106178417412099</v>
      </c>
      <c r="AI3096">
        <v>97.551081881682293</v>
      </c>
      <c r="AJ3096">
        <v>88.087210370151496</v>
      </c>
      <c r="AK3096">
        <v>0.79842669613945005</v>
      </c>
      <c r="AL3096">
        <v>81.568499198185094</v>
      </c>
      <c r="AM3096">
        <v>92.033528646352195</v>
      </c>
      <c r="AN3096">
        <v>0.99999999200572998</v>
      </c>
    </row>
    <row r="3097" spans="1:40" x14ac:dyDescent="0.3">
      <c r="A3097" t="str">
        <f>"20200111150414054"</f>
        <v>20200111150414054</v>
      </c>
      <c r="B3097" t="str">
        <f>"1578726254051933"</f>
        <v>1578726254051933</v>
      </c>
      <c r="C3097" t="s">
        <v>40</v>
      </c>
      <c r="D3097">
        <v>5.0238899999999997</v>
      </c>
      <c r="E3097">
        <v>0.52471610000000002</v>
      </c>
      <c r="F3097" t="s">
        <v>42</v>
      </c>
      <c r="G3097">
        <v>-209.3905</v>
      </c>
      <c r="H3097">
        <v>1.0174540000000001</v>
      </c>
      <c r="I3097">
        <v>-57.529640000000001</v>
      </c>
      <c r="J3097">
        <v>-210.01150000000001</v>
      </c>
      <c r="K3097">
        <v>1.1044830000000001</v>
      </c>
      <c r="L3097">
        <v>-57.504939999999998</v>
      </c>
      <c r="M3097">
        <v>0.99988670000000002</v>
      </c>
      <c r="N3097">
        <v>0</v>
      </c>
      <c r="O3097">
        <v>-3.5989609999999999E-3</v>
      </c>
      <c r="P3097">
        <v>0.99075210000000002</v>
      </c>
      <c r="Q3097">
        <v>0.13189100000000001</v>
      </c>
      <c r="R3097">
        <v>3.1866100000000001E-2</v>
      </c>
      <c r="S3097">
        <v>3.075027</v>
      </c>
      <c r="T3097">
        <v>-0.3290457</v>
      </c>
      <c r="U3097">
        <v>-9.5794679999999993E-2</v>
      </c>
      <c r="V3097">
        <v>-3.5423679999999999E-2</v>
      </c>
      <c r="W3097">
        <v>0.146363299999999</v>
      </c>
      <c r="X3097">
        <v>0.98859640000000004</v>
      </c>
      <c r="Y3097">
        <v>2.7403790000000001E-2</v>
      </c>
      <c r="Z3097">
        <v>-1.0777009999999999E-3</v>
      </c>
      <c r="AA3097">
        <v>0.99962379999999995</v>
      </c>
      <c r="AB3097">
        <v>35</v>
      </c>
      <c r="AC3097">
        <v>0.62100000000000899</v>
      </c>
      <c r="AD3097">
        <v>-8.7028999999999995E-2</v>
      </c>
      <c r="AE3097">
        <v>-2.4699999999995701E-2</v>
      </c>
      <c r="AF3097">
        <v>2.20326062667884E-2</v>
      </c>
      <c r="AG3097">
        <v>-8.7028999999999995E-2</v>
      </c>
      <c r="AH3097">
        <v>0.609140173915101</v>
      </c>
      <c r="AI3097">
        <v>98.125687144569397</v>
      </c>
      <c r="AJ3097">
        <v>87.928514113158698</v>
      </c>
      <c r="AK3097">
        <v>0.61572009392030302</v>
      </c>
      <c r="AL3097">
        <v>81.583766706821905</v>
      </c>
      <c r="AM3097">
        <v>92.052161406137998</v>
      </c>
      <c r="AN3097">
        <v>0.99999994739229403</v>
      </c>
    </row>
    <row r="3098" spans="1:40" x14ac:dyDescent="0.3">
      <c r="A3098" t="str">
        <f>"20200111150414065"</f>
        <v>20200111150414065</v>
      </c>
      <c r="B3098" t="str">
        <f>"1578726254061692"</f>
        <v>1578726254061692</v>
      </c>
      <c r="C3098" t="s">
        <v>40</v>
      </c>
      <c r="D3098">
        <v>5.9986519999999999</v>
      </c>
      <c r="E3098">
        <v>0.52471610000000002</v>
      </c>
      <c r="F3098" t="s">
        <v>42</v>
      </c>
      <c r="G3098">
        <v>-209.08590000000001</v>
      </c>
      <c r="H3098">
        <v>1.006564</v>
      </c>
      <c r="I3098">
        <v>-57.533700000000003</v>
      </c>
      <c r="J3098">
        <v>-209.8383</v>
      </c>
      <c r="K3098">
        <v>1.104484</v>
      </c>
      <c r="L3098">
        <v>-57.505549999999999</v>
      </c>
      <c r="M3098">
        <v>0.99988659999999996</v>
      </c>
      <c r="N3098">
        <v>0</v>
      </c>
      <c r="O3098">
        <v>-3.6026589999999998E-3</v>
      </c>
      <c r="P3098">
        <v>0.99077150000000003</v>
      </c>
      <c r="Q3098">
        <v>0.13162079999999901</v>
      </c>
      <c r="R3098">
        <v>3.2365720000000001E-2</v>
      </c>
      <c r="S3098">
        <v>3.0743559999999999</v>
      </c>
      <c r="T3098">
        <v>-0.32523159999999901</v>
      </c>
      <c r="U3098">
        <v>-9.5092769999999993E-2</v>
      </c>
      <c r="V3098">
        <v>-3.5926689999999997E-2</v>
      </c>
      <c r="W3098">
        <v>0.1460939</v>
      </c>
      <c r="X3098">
        <v>0.98861810000000006</v>
      </c>
      <c r="Y3098">
        <v>2.7183200000000001E-2</v>
      </c>
      <c r="Z3098">
        <v>-1.0534909999999999E-3</v>
      </c>
      <c r="AA3098">
        <v>0.99962989999999996</v>
      </c>
      <c r="AB3098">
        <v>35</v>
      </c>
      <c r="AC3098">
        <v>0.75239999999999396</v>
      </c>
      <c r="AD3098">
        <v>-9.7919999999999993E-2</v>
      </c>
      <c r="AE3098">
        <v>-2.8150000000003599E-2</v>
      </c>
      <c r="AF3098">
        <v>2.5015778308421999E-2</v>
      </c>
      <c r="AG3098">
        <v>-9.7919999999999993E-2</v>
      </c>
      <c r="AH3098">
        <v>0.73998075469576996</v>
      </c>
      <c r="AI3098">
        <v>97.533773264138802</v>
      </c>
      <c r="AJ3098">
        <v>88.063797104434201</v>
      </c>
      <c r="AK3098">
        <v>0.74685047558697903</v>
      </c>
      <c r="AL3098">
        <v>81.599369944151704</v>
      </c>
      <c r="AM3098">
        <v>92.081230644054301</v>
      </c>
      <c r="AN3098">
        <v>0.99999995115958595</v>
      </c>
    </row>
    <row r="3099" spans="1:40" x14ac:dyDescent="0.3">
      <c r="A3099" t="str">
        <f>"20200111150414077"</f>
        <v>20200111150414077</v>
      </c>
      <c r="B3099" t="str">
        <f>"1578726254071452"</f>
        <v>1578726254071452</v>
      </c>
      <c r="C3099" t="s">
        <v>40</v>
      </c>
      <c r="D3099">
        <v>5.2805010000000001</v>
      </c>
      <c r="E3099">
        <v>0.46738990000000002</v>
      </c>
      <c r="F3099" t="s">
        <v>42</v>
      </c>
      <c r="G3099">
        <v>-209.07730000000001</v>
      </c>
      <c r="H3099">
        <v>1.0237860000000001</v>
      </c>
      <c r="I3099">
        <v>-57.528930000000003</v>
      </c>
      <c r="J3099">
        <v>-209.67689999999999</v>
      </c>
      <c r="K3099">
        <v>1.104487</v>
      </c>
      <c r="L3099">
        <v>-57.506129999999999</v>
      </c>
      <c r="M3099">
        <v>0.99988670000000002</v>
      </c>
      <c r="N3099">
        <v>0</v>
      </c>
      <c r="O3099">
        <v>-3.6063549999999999E-3</v>
      </c>
      <c r="P3099">
        <v>0.9908304</v>
      </c>
      <c r="Q3099">
        <v>0.1310848</v>
      </c>
      <c r="R3099">
        <v>3.2739919999999999E-2</v>
      </c>
      <c r="S3099">
        <v>3.0742950000000002</v>
      </c>
      <c r="T3099">
        <v>-0.32595960000000002</v>
      </c>
      <c r="U3099">
        <v>-9.393311E-2</v>
      </c>
      <c r="V3099">
        <v>-3.6305289999999997E-2</v>
      </c>
      <c r="W3099">
        <v>0.14555899999999999</v>
      </c>
      <c r="X3099">
        <v>0.98868319999999998</v>
      </c>
      <c r="Y3099">
        <v>2.6804939999999999E-2</v>
      </c>
      <c r="Z3099">
        <v>-1.035479E-3</v>
      </c>
      <c r="AA3099">
        <v>0.99964019999999998</v>
      </c>
      <c r="AB3099">
        <v>35</v>
      </c>
      <c r="AC3099">
        <v>0.59959999999998004</v>
      </c>
      <c r="AD3099">
        <v>-8.0700999999999898E-2</v>
      </c>
      <c r="AE3099">
        <v>-2.2799999999996601E-2</v>
      </c>
      <c r="AF3099">
        <v>2.0270582041845599E-2</v>
      </c>
      <c r="AG3099">
        <v>-8.0700999999999898E-2</v>
      </c>
      <c r="AH3099">
        <v>0.58902366805299999</v>
      </c>
      <c r="AI3099">
        <v>97.796853768385205</v>
      </c>
      <c r="AJ3099">
        <v>88.029008522358396</v>
      </c>
      <c r="AK3099">
        <v>0.59487177561548998</v>
      </c>
      <c r="AL3099">
        <v>81.630348885348496</v>
      </c>
      <c r="AM3099">
        <v>92.103004965187097</v>
      </c>
      <c r="AN3099">
        <v>0.99999998326261197</v>
      </c>
    </row>
    <row r="3100" spans="1:40" x14ac:dyDescent="0.3">
      <c r="A3100" t="str">
        <f>"20200111150414087"</f>
        <v>20200111150414087</v>
      </c>
      <c r="B3100" t="str">
        <f>"1578726254081212"</f>
        <v>1578726254081212</v>
      </c>
      <c r="C3100" t="s">
        <v>40</v>
      </c>
      <c r="D3100">
        <v>5.4106709999999998</v>
      </c>
      <c r="E3100">
        <v>0.46738990000000002</v>
      </c>
      <c r="F3100" t="s">
        <v>66</v>
      </c>
      <c r="G3100">
        <v>-167.99870000000001</v>
      </c>
      <c r="H3100">
        <v>8.9043259999999993</v>
      </c>
      <c r="I3100">
        <v>-52.45279</v>
      </c>
      <c r="J3100">
        <v>-209.50239999999999</v>
      </c>
      <c r="K3100">
        <v>1.1044849999999999</v>
      </c>
      <c r="L3100">
        <v>-57.506770000000003</v>
      </c>
      <c r="M3100">
        <v>0.99988670000000002</v>
      </c>
      <c r="N3100">
        <v>0</v>
      </c>
      <c r="O3100">
        <v>-3.6102880000000001E-3</v>
      </c>
      <c r="P3100">
        <v>0.99087519999999996</v>
      </c>
      <c r="Q3100">
        <v>0.13060350000000001</v>
      </c>
      <c r="R3100">
        <v>3.3303439999999997E-2</v>
      </c>
      <c r="S3100">
        <v>2.9431150000000001</v>
      </c>
      <c r="T3100">
        <v>0.55078519999999997</v>
      </c>
      <c r="U3100">
        <v>0.35684199999999999</v>
      </c>
      <c r="V3100">
        <v>-3.6872710000000003E-2</v>
      </c>
      <c r="W3100">
        <v>0.1450787</v>
      </c>
      <c r="X3100">
        <v>0.98873279999999997</v>
      </c>
      <c r="Y3100">
        <v>-0.1218023</v>
      </c>
      <c r="Z3100">
        <v>-1.1926549999999999E-2</v>
      </c>
      <c r="AA3100">
        <v>0.99248270000000005</v>
      </c>
      <c r="AB3100">
        <v>35</v>
      </c>
      <c r="AC3100">
        <v>41.503699999999903</v>
      </c>
      <c r="AD3100">
        <v>7.79984099999999</v>
      </c>
      <c r="AE3100">
        <v>5.0539799999999904</v>
      </c>
      <c r="AF3100">
        <v>-5.0287909549907797</v>
      </c>
      <c r="AG3100">
        <v>7.79984099999999</v>
      </c>
      <c r="AH3100">
        <v>40.089966736805302</v>
      </c>
      <c r="AI3100">
        <v>79.073706789741905</v>
      </c>
      <c r="AJ3100">
        <v>97.149704371244994</v>
      </c>
      <c r="AK3100">
        <v>41.150111677277799</v>
      </c>
      <c r="AL3100">
        <v>81.658163341183894</v>
      </c>
      <c r="AM3100">
        <v>92.135735844802298</v>
      </c>
      <c r="AN3100">
        <v>0.99999998786613697</v>
      </c>
    </row>
    <row r="3101" spans="1:40" x14ac:dyDescent="0.3">
      <c r="A3101" t="str">
        <f>"20200111150414097"</f>
        <v>20200111150414097</v>
      </c>
      <c r="B3101" t="str">
        <f>"1578726254091949"</f>
        <v>1578726254091949</v>
      </c>
      <c r="C3101" t="s">
        <v>40</v>
      </c>
      <c r="D3101">
        <v>5.2466530000000002</v>
      </c>
      <c r="E3101">
        <v>0.46453250000000001</v>
      </c>
      <c r="F3101" t="s">
        <v>66</v>
      </c>
      <c r="G3101">
        <v>-167.99870000000001</v>
      </c>
      <c r="H3101">
        <v>8.8551579999999994</v>
      </c>
      <c r="I3101">
        <v>-52.453519999999997</v>
      </c>
      <c r="J3101">
        <v>-209.35210000000001</v>
      </c>
      <c r="K3101">
        <v>1.104481</v>
      </c>
      <c r="L3101">
        <v>-57.507319999999901</v>
      </c>
      <c r="M3101">
        <v>0.99988659999999996</v>
      </c>
      <c r="N3101">
        <v>0</v>
      </c>
      <c r="O3101">
        <v>-3.6135049999999999E-3</v>
      </c>
      <c r="P3101">
        <v>0.99087860000000005</v>
      </c>
      <c r="Q3101">
        <v>0.1304738</v>
      </c>
      <c r="R3101">
        <v>3.3710259999999999E-2</v>
      </c>
      <c r="S3101">
        <v>2.94313</v>
      </c>
      <c r="T3101">
        <v>0.54961629999999995</v>
      </c>
      <c r="U3101">
        <v>0.35833739999999997</v>
      </c>
      <c r="V3101">
        <v>-3.7282650000000001E-2</v>
      </c>
      <c r="W3101">
        <v>0.14494899999999999</v>
      </c>
      <c r="X3101">
        <v>0.98873650000000002</v>
      </c>
      <c r="Y3101">
        <v>-0.12230240000000001</v>
      </c>
      <c r="Z3101">
        <v>-1.194798E-2</v>
      </c>
      <c r="AA3101">
        <v>0.992421</v>
      </c>
      <c r="AB3101">
        <v>35</v>
      </c>
      <c r="AC3101">
        <v>41.353399999999901</v>
      </c>
      <c r="AD3101">
        <v>7.7506769999999996</v>
      </c>
      <c r="AE3101">
        <v>5.0537999999999901</v>
      </c>
      <c r="AF3101">
        <v>-5.0291481058755396</v>
      </c>
      <c r="AG3101">
        <v>7.7506769999999996</v>
      </c>
      <c r="AH3101">
        <v>39.952071146628299</v>
      </c>
      <c r="AI3101">
        <v>79.104931626254896</v>
      </c>
      <c r="AJ3101">
        <v>97.174629276816802</v>
      </c>
      <c r="AK3101">
        <v>41.006503307821902</v>
      </c>
      <c r="AL3101">
        <v>81.665674411011807</v>
      </c>
      <c r="AM3101">
        <v>92.159449901202294</v>
      </c>
      <c r="AN3101">
        <v>1.0000000375121301</v>
      </c>
    </row>
    <row r="3102" spans="1:40" x14ac:dyDescent="0.3">
      <c r="A3102" t="str">
        <f>"20200111150414107"</f>
        <v>20200111150414107</v>
      </c>
      <c r="B3102" t="str">
        <f>"1578726254101708"</f>
        <v>1578726254101708</v>
      </c>
      <c r="C3102" t="s">
        <v>40</v>
      </c>
      <c r="D3102">
        <v>5.1134309999999896</v>
      </c>
      <c r="E3102">
        <v>0.46513700000000002</v>
      </c>
      <c r="F3102" t="s">
        <v>72</v>
      </c>
      <c r="G3102">
        <v>-199.84950000000001</v>
      </c>
      <c r="H3102" s="1">
        <v>-8.7106749999999994E-6</v>
      </c>
      <c r="I3102">
        <v>-56.292740000000002</v>
      </c>
      <c r="J3102">
        <v>-209.19630000000001</v>
      </c>
      <c r="K3102">
        <v>1.1044799999999999</v>
      </c>
      <c r="L3102">
        <v>-57.507899999999999</v>
      </c>
      <c r="M3102">
        <v>0.99988659999999996</v>
      </c>
      <c r="N3102">
        <v>0</v>
      </c>
      <c r="O3102">
        <v>-3.616841E-3</v>
      </c>
      <c r="P3102">
        <v>0.99093569999999997</v>
      </c>
      <c r="Q3102">
        <v>0.1299476</v>
      </c>
      <c r="R3102">
        <v>3.4056540000000003E-2</v>
      </c>
      <c r="S3102">
        <v>3.061172</v>
      </c>
      <c r="T3102">
        <v>-0.35580020000000001</v>
      </c>
      <c r="U3102">
        <v>0.3912659</v>
      </c>
      <c r="V3102">
        <v>-3.7632569999999997E-2</v>
      </c>
      <c r="W3102">
        <v>0.14442339999999901</v>
      </c>
      <c r="X3102">
        <v>0.98880009999999996</v>
      </c>
      <c r="Y3102">
        <v>-0.12948970000000001</v>
      </c>
      <c r="Z3102">
        <v>7.8873290000000002E-3</v>
      </c>
      <c r="AA3102">
        <v>0.99154940000000003</v>
      </c>
      <c r="AB3102">
        <v>35</v>
      </c>
      <c r="AC3102">
        <v>9.3468</v>
      </c>
      <c r="AD3102">
        <v>-1.1044887106750001</v>
      </c>
      <c r="AE3102">
        <v>1.21515999999999</v>
      </c>
      <c r="AF3102">
        <v>-1.2320437618362901</v>
      </c>
      <c r="AG3102">
        <v>-1.1044887106750001</v>
      </c>
      <c r="AH3102">
        <v>9.2157967646222101</v>
      </c>
      <c r="AI3102">
        <v>96.774447875885798</v>
      </c>
      <c r="AJ3102">
        <v>97.614622587717605</v>
      </c>
      <c r="AK3102">
        <v>9.3631585028722792</v>
      </c>
      <c r="AL3102">
        <v>81.696108866956195</v>
      </c>
      <c r="AM3102">
        <v>92.179558109338103</v>
      </c>
      <c r="AN3102">
        <v>0.999999983276187</v>
      </c>
    </row>
    <row r="3103" spans="1:40" x14ac:dyDescent="0.3">
      <c r="A3103" t="str">
        <f>"20200111150414118"</f>
        <v>20200111150414118</v>
      </c>
      <c r="B3103" t="str">
        <f>"1578726254111469"</f>
        <v>1578726254111469</v>
      </c>
      <c r="C3103" t="s">
        <v>40</v>
      </c>
      <c r="D3103">
        <v>5.1269390000000001</v>
      </c>
      <c r="E3103">
        <v>0.46674060000000001</v>
      </c>
      <c r="F3103" t="s">
        <v>72</v>
      </c>
      <c r="G3103">
        <v>-194.40299999999999</v>
      </c>
      <c r="H3103" s="1">
        <v>-8.3349420000000003E-6</v>
      </c>
      <c r="I3103">
        <v>-55.62894</v>
      </c>
      <c r="J3103">
        <v>-209.0326</v>
      </c>
      <c r="K3103">
        <v>1.104473</v>
      </c>
      <c r="L3103">
        <v>-57.508479999999999</v>
      </c>
      <c r="M3103">
        <v>0.99988670000000002</v>
      </c>
      <c r="N3103">
        <v>0</v>
      </c>
      <c r="O3103">
        <v>-3.6207710000000001E-3</v>
      </c>
      <c r="P3103">
        <v>0.99097570000000001</v>
      </c>
      <c r="Q3103">
        <v>0.12950989999999901</v>
      </c>
      <c r="R3103">
        <v>3.4561799999999997E-2</v>
      </c>
      <c r="S3103">
        <v>3.0439609999999999</v>
      </c>
      <c r="T3103">
        <v>-0.22726660000000001</v>
      </c>
      <c r="U3103">
        <v>0.3866272</v>
      </c>
      <c r="V3103">
        <v>-3.8141880000000003E-2</v>
      </c>
      <c r="W3103">
        <v>0.143986</v>
      </c>
      <c r="X3103">
        <v>0.98884439999999996</v>
      </c>
      <c r="Y3103">
        <v>-0.1292297</v>
      </c>
      <c r="Z3103">
        <v>5.0672649999999996E-3</v>
      </c>
      <c r="AA3103">
        <v>0.99160170000000003</v>
      </c>
      <c r="AB3103">
        <v>35</v>
      </c>
      <c r="AC3103">
        <v>14.6296</v>
      </c>
      <c r="AD3103">
        <v>-1.104481334942</v>
      </c>
      <c r="AE3103">
        <v>1.87954</v>
      </c>
      <c r="AF3103">
        <v>-1.9217283492285899</v>
      </c>
      <c r="AG3103">
        <v>-1.104481334942</v>
      </c>
      <c r="AH3103">
        <v>14.5411635251369</v>
      </c>
      <c r="AI3103">
        <v>94.306288606256004</v>
      </c>
      <c r="AJ3103">
        <v>97.528457231708899</v>
      </c>
      <c r="AK3103">
        <v>14.709124907085201</v>
      </c>
      <c r="AL3103">
        <v>81.721434967790401</v>
      </c>
      <c r="AM3103">
        <v>92.208927821887997</v>
      </c>
      <c r="AN3103">
        <v>1.0000000093086401</v>
      </c>
    </row>
    <row r="3104" spans="1:40" x14ac:dyDescent="0.3">
      <c r="A3104" t="str">
        <f>"20200111150414131"</f>
        <v>20200111150414131</v>
      </c>
      <c r="B3104" t="str">
        <f>"1578726254121228"</f>
        <v>1578726254121228</v>
      </c>
      <c r="C3104" t="s">
        <v>40</v>
      </c>
      <c r="D3104">
        <v>5.4000589999999997</v>
      </c>
      <c r="E3104">
        <v>0.46774149999999998</v>
      </c>
      <c r="F3104" t="s">
        <v>72</v>
      </c>
      <c r="G3104">
        <v>-195.11359999999999</v>
      </c>
      <c r="H3104" s="1">
        <v>-8.3537949999999992E-6</v>
      </c>
      <c r="I3104">
        <v>-55.791849999999997</v>
      </c>
      <c r="J3104">
        <v>-208.8203</v>
      </c>
      <c r="K3104">
        <v>1.104452</v>
      </c>
      <c r="L3104">
        <v>-57.509309999999999</v>
      </c>
      <c r="M3104">
        <v>0.99988750000000004</v>
      </c>
      <c r="N3104">
        <v>0</v>
      </c>
      <c r="O3104">
        <v>-3.6255800000000002E-3</v>
      </c>
      <c r="P3104">
        <v>0.99099420000000005</v>
      </c>
      <c r="Q3104">
        <v>0.12931099999999901</v>
      </c>
      <c r="R3104">
        <v>3.4780119999999998E-2</v>
      </c>
      <c r="S3104">
        <v>3.0458219999999998</v>
      </c>
      <c r="T3104">
        <v>-0.2416874</v>
      </c>
      <c r="U3104">
        <v>0.3756409</v>
      </c>
      <c r="V3104">
        <v>-3.8365419999999997E-2</v>
      </c>
      <c r="W3104">
        <v>0.1437283</v>
      </c>
      <c r="X3104">
        <v>0.98887320000000001</v>
      </c>
      <c r="Y3104">
        <v>-0.1256003</v>
      </c>
      <c r="Z3104">
        <v>5.2429159999999898E-3</v>
      </c>
      <c r="AA3104">
        <v>0.99206709999999998</v>
      </c>
      <c r="AB3104">
        <v>35</v>
      </c>
      <c r="AC3104">
        <v>13.7067</v>
      </c>
      <c r="AD3104">
        <v>-1.104460353795</v>
      </c>
      <c r="AE3104">
        <v>1.71746</v>
      </c>
      <c r="AF3104">
        <v>-1.7559240155383999</v>
      </c>
      <c r="AG3104">
        <v>-1.104460353795</v>
      </c>
      <c r="AH3104">
        <v>13.6133594193848</v>
      </c>
      <c r="AI3104">
        <v>94.600338554900802</v>
      </c>
      <c r="AJ3104">
        <v>97.349736081179401</v>
      </c>
      <c r="AK3104">
        <v>13.7704995008461</v>
      </c>
      <c r="AL3104">
        <v>81.736354937833198</v>
      </c>
      <c r="AM3104">
        <v>92.221796212445398</v>
      </c>
      <c r="AN3104">
        <v>0.99999996767545196</v>
      </c>
    </row>
    <row r="3105" spans="1:40" x14ac:dyDescent="0.3">
      <c r="A3105" t="str">
        <f>"20200111150414143"</f>
        <v>20200111150414143</v>
      </c>
      <c r="B3105" t="str">
        <f>"1578726254131965"</f>
        <v>1578726254131965</v>
      </c>
      <c r="C3105" t="s">
        <v>40</v>
      </c>
      <c r="D3105">
        <v>5.1586429999999996</v>
      </c>
      <c r="E3105">
        <v>0.46899160000000001</v>
      </c>
      <c r="F3105" t="s">
        <v>72</v>
      </c>
      <c r="G3105">
        <v>-197.56979999999999</v>
      </c>
      <c r="H3105" s="1">
        <v>-8.5046029999999997E-6</v>
      </c>
      <c r="I3105">
        <v>-56.149299999999997</v>
      </c>
      <c r="J3105">
        <v>-208.63079999999999</v>
      </c>
      <c r="K3105">
        <v>1.1043799999999999</v>
      </c>
      <c r="L3105">
        <v>-57.509979999999999</v>
      </c>
      <c r="M3105">
        <v>0.99989099999999997</v>
      </c>
      <c r="N3105">
        <v>0</v>
      </c>
      <c r="O3105">
        <v>-3.6303490000000002E-3</v>
      </c>
      <c r="P3105">
        <v>0.99103330000000001</v>
      </c>
      <c r="Q3105">
        <v>0.128966</v>
      </c>
      <c r="R3105">
        <v>3.4944019999999999E-2</v>
      </c>
      <c r="S3105">
        <v>3.0534059999999998</v>
      </c>
      <c r="T3105">
        <v>-0.2997534</v>
      </c>
      <c r="U3105">
        <v>0.3691101</v>
      </c>
      <c r="V3105">
        <v>-3.8534249999999999E-2</v>
      </c>
      <c r="W3105">
        <v>0.1431394</v>
      </c>
      <c r="X3105">
        <v>0.9889521</v>
      </c>
      <c r="Y3105">
        <v>-0.1230146</v>
      </c>
      <c r="Z3105">
        <v>6.3563279999999996E-3</v>
      </c>
      <c r="AA3105">
        <v>0.9923845</v>
      </c>
      <c r="AB3105">
        <v>35</v>
      </c>
      <c r="AC3105">
        <v>11.061</v>
      </c>
      <c r="AD3105">
        <v>-1.104388504603</v>
      </c>
      <c r="AE3105">
        <v>1.3606799999999999</v>
      </c>
      <c r="AF3105">
        <v>-1.38720741281618</v>
      </c>
      <c r="AG3105">
        <v>-1.104388504603</v>
      </c>
      <c r="AH3105">
        <v>10.948467802122</v>
      </c>
      <c r="AI3105">
        <v>95.714646371373505</v>
      </c>
      <c r="AJ3105">
        <v>97.2210887301475</v>
      </c>
      <c r="AK3105">
        <v>11.0911210249178</v>
      </c>
      <c r="AL3105">
        <v>81.770449361295903</v>
      </c>
      <c r="AM3105">
        <v>92.231385678211595</v>
      </c>
      <c r="AN3105">
        <v>1.0000000161749101</v>
      </c>
    </row>
    <row r="3106" spans="1:40" x14ac:dyDescent="0.3">
      <c r="A3106" t="str">
        <f>"20200111150414156"</f>
        <v>20200111150414156</v>
      </c>
      <c r="B3106" t="str">
        <f>"1578726254151484"</f>
        <v>1578726254151484</v>
      </c>
      <c r="C3106" t="s">
        <v>40</v>
      </c>
      <c r="D3106">
        <v>5.1857839999999999</v>
      </c>
      <c r="E3106">
        <v>0.47026780000000001</v>
      </c>
      <c r="F3106" t="s">
        <v>72</v>
      </c>
      <c r="G3106">
        <v>-197.44290000000001</v>
      </c>
      <c r="H3106" s="1">
        <v>-8.4753089999999996E-6</v>
      </c>
      <c r="I3106">
        <v>-56.192100000000003</v>
      </c>
      <c r="J3106">
        <v>-208.43940000000001</v>
      </c>
      <c r="K3106">
        <v>1.1043270000000001</v>
      </c>
      <c r="L3106">
        <v>-57.510680000000001</v>
      </c>
      <c r="M3106">
        <v>0.99989209999999995</v>
      </c>
      <c r="N3106">
        <v>0</v>
      </c>
      <c r="O3106">
        <v>-3.6350140000000002E-3</v>
      </c>
      <c r="P3106">
        <v>0.9910947</v>
      </c>
      <c r="Q3106">
        <v>0.12852559999999999</v>
      </c>
      <c r="R3106">
        <v>3.4825630000000003E-2</v>
      </c>
      <c r="S3106">
        <v>3.0536799999999999</v>
      </c>
      <c r="T3106">
        <v>-0.30143930000000002</v>
      </c>
      <c r="U3106">
        <v>0.35971069999999999</v>
      </c>
      <c r="V3106">
        <v>-3.8420669999999997E-2</v>
      </c>
      <c r="W3106">
        <v>0.14261969999999999</v>
      </c>
      <c r="X3106">
        <v>0.98903160000000001</v>
      </c>
      <c r="Y3106">
        <v>-0.12000379999999999</v>
      </c>
      <c r="Z3106">
        <v>6.2452109999999996E-3</v>
      </c>
      <c r="AA3106">
        <v>0.99275380000000002</v>
      </c>
      <c r="AB3106">
        <v>35</v>
      </c>
      <c r="AC3106">
        <v>10.9964999999999</v>
      </c>
      <c r="AD3106">
        <v>-1.104335475309</v>
      </c>
      <c r="AE3106">
        <v>1.3185800000000001</v>
      </c>
      <c r="AF3106">
        <v>-1.3451734547022001</v>
      </c>
      <c r="AG3106">
        <v>-1.104335475309</v>
      </c>
      <c r="AH3106">
        <v>10.8834259306454</v>
      </c>
      <c r="AI3106">
        <v>95.750481153630702</v>
      </c>
      <c r="AJ3106">
        <v>97.045929474415004</v>
      </c>
      <c r="AK3106">
        <v>11.021706240555799</v>
      </c>
      <c r="AL3106">
        <v>81.800534650974797</v>
      </c>
      <c r="AM3106">
        <v>92.224636615979605</v>
      </c>
      <c r="AN3106">
        <v>1.0000000162549401</v>
      </c>
    </row>
    <row r="3107" spans="1:40" x14ac:dyDescent="0.3">
      <c r="A3107" t="str">
        <f>"20200111150414168"</f>
        <v>20200111150414168</v>
      </c>
      <c r="B3107" t="str">
        <f>"1578726254161245"</f>
        <v>1578726254161245</v>
      </c>
      <c r="C3107" t="s">
        <v>40</v>
      </c>
      <c r="D3107">
        <v>5.1707130000000001</v>
      </c>
      <c r="E3107">
        <v>0.470804</v>
      </c>
      <c r="F3107" t="s">
        <v>72</v>
      </c>
      <c r="G3107">
        <v>-197.02719999999999</v>
      </c>
      <c r="H3107" s="1">
        <v>-8.4238280000000005E-6</v>
      </c>
      <c r="I3107">
        <v>-56.205539999999999</v>
      </c>
      <c r="J3107">
        <v>-208.2543</v>
      </c>
      <c r="K3107">
        <v>1.104285</v>
      </c>
      <c r="L3107">
        <v>-57.51135</v>
      </c>
      <c r="M3107">
        <v>0.9998918</v>
      </c>
      <c r="N3107">
        <v>0</v>
      </c>
      <c r="O3107">
        <v>-3.6392590000000002E-3</v>
      </c>
      <c r="P3107">
        <v>0.99120549999999996</v>
      </c>
      <c r="Q3107">
        <v>0.12776209999999999</v>
      </c>
      <c r="R3107">
        <v>3.4479629999999997E-2</v>
      </c>
      <c r="S3107">
        <v>3.052994</v>
      </c>
      <c r="T3107">
        <v>-0.29543199999999997</v>
      </c>
      <c r="U3107">
        <v>0.34915159999999901</v>
      </c>
      <c r="V3107">
        <v>-3.8079050000000003E-2</v>
      </c>
      <c r="W3107">
        <v>0.14188489999999901</v>
      </c>
      <c r="X3107">
        <v>0.98915050000000004</v>
      </c>
      <c r="Y3107">
        <v>-0.1166835</v>
      </c>
      <c r="Z3107">
        <v>5.9645509999999898E-3</v>
      </c>
      <c r="AA3107">
        <v>0.99315120000000001</v>
      </c>
      <c r="AB3107">
        <v>35</v>
      </c>
      <c r="AC3107">
        <v>11.2271</v>
      </c>
      <c r="AD3107">
        <v>-1.104293423828</v>
      </c>
      <c r="AE3107">
        <v>1.3058099999999999</v>
      </c>
      <c r="AF3107">
        <v>-1.33393080533291</v>
      </c>
      <c r="AG3107">
        <v>-1.104293423828</v>
      </c>
      <c r="AH3107">
        <v>11.116163761347501</v>
      </c>
      <c r="AI3107">
        <v>95.633069987738494</v>
      </c>
      <c r="AJ3107">
        <v>96.842728464996</v>
      </c>
      <c r="AK3107">
        <v>11.2502414253394</v>
      </c>
      <c r="AL3107">
        <v>81.843068211356794</v>
      </c>
      <c r="AM3107">
        <v>92.204610944701102</v>
      </c>
      <c r="AN3107">
        <v>1.0000000252735799</v>
      </c>
    </row>
    <row r="3108" spans="1:40" x14ac:dyDescent="0.3">
      <c r="A3108" t="str">
        <f>"20200111150414179"</f>
        <v>20200111150414179</v>
      </c>
      <c r="B3108" t="str">
        <f>"1578726254171513"</f>
        <v>1578726254171513</v>
      </c>
      <c r="C3108" t="s">
        <v>40</v>
      </c>
      <c r="D3108">
        <v>5.163621</v>
      </c>
      <c r="E3108">
        <v>0.47127570000000002</v>
      </c>
      <c r="F3108" t="s">
        <v>72</v>
      </c>
      <c r="G3108">
        <v>-196.8683</v>
      </c>
      <c r="H3108" s="1">
        <v>-8.397551E-6</v>
      </c>
      <c r="I3108">
        <v>-56.229500000000002</v>
      </c>
      <c r="J3108">
        <v>-208.0857</v>
      </c>
      <c r="K3108">
        <v>1.1042559999999999</v>
      </c>
      <c r="L3108">
        <v>-57.511989999999997</v>
      </c>
      <c r="M3108">
        <v>0.99989030000000001</v>
      </c>
      <c r="N3108">
        <v>0</v>
      </c>
      <c r="O3108">
        <v>-3.6428820000000001E-3</v>
      </c>
      <c r="P3108">
        <v>0.99133599999999999</v>
      </c>
      <c r="Q3108">
        <v>0.12698619999999999</v>
      </c>
      <c r="R3108">
        <v>3.3579579999999998E-2</v>
      </c>
      <c r="S3108">
        <v>3.0528110000000002</v>
      </c>
      <c r="T3108">
        <v>-0.29608299999999999</v>
      </c>
      <c r="U3108">
        <v>0.34368900000000002</v>
      </c>
      <c r="V3108">
        <v>-3.7183170000000001E-2</v>
      </c>
      <c r="W3108">
        <v>0.14121549999999999</v>
      </c>
      <c r="X3108">
        <v>0.9892803</v>
      </c>
      <c r="Y3108">
        <v>-0.11494450000000001</v>
      </c>
      <c r="Z3108">
        <v>5.8950649999999997E-3</v>
      </c>
      <c r="AA3108">
        <v>0.99335439999999997</v>
      </c>
      <c r="AB3108">
        <v>35</v>
      </c>
      <c r="AC3108">
        <v>11.2173999999999</v>
      </c>
      <c r="AD3108">
        <v>-1.10426439755099</v>
      </c>
      <c r="AE3108">
        <v>1.2824899999999999</v>
      </c>
      <c r="AF3108">
        <v>-1.31081040458915</v>
      </c>
      <c r="AG3108">
        <v>-1.10426439755099</v>
      </c>
      <c r="AH3108">
        <v>11.1064113155998</v>
      </c>
      <c r="AI3108">
        <v>95.639136507509605</v>
      </c>
      <c r="AJ3108">
        <v>96.731073634132301</v>
      </c>
      <c r="AK3108">
        <v>11.237882188729399</v>
      </c>
      <c r="AL3108">
        <v>81.881811571730097</v>
      </c>
      <c r="AM3108">
        <v>92.152510594051506</v>
      </c>
      <c r="AN3108">
        <v>0.99999995876979297</v>
      </c>
    </row>
    <row r="3109" spans="1:40" x14ac:dyDescent="0.3">
      <c r="A3109" t="str">
        <f>"20200111150414190"</f>
        <v>20200111150414190</v>
      </c>
      <c r="B3109" t="str">
        <f>"1578726254181272"</f>
        <v>1578726254181272</v>
      </c>
      <c r="C3109" t="s">
        <v>40</v>
      </c>
      <c r="D3109">
        <v>5.2322290000000002</v>
      </c>
      <c r="E3109">
        <v>0.47114909999999999</v>
      </c>
      <c r="F3109" t="s">
        <v>72</v>
      </c>
      <c r="G3109">
        <v>-196.94970000000001</v>
      </c>
      <c r="H3109" s="1">
        <v>-8.3885579999999997E-6</v>
      </c>
      <c r="I3109">
        <v>-56.281179999999999</v>
      </c>
      <c r="J3109">
        <v>-207.91130000000001</v>
      </c>
      <c r="K3109">
        <v>1.104223</v>
      </c>
      <c r="L3109">
        <v>-57.512659999999997</v>
      </c>
      <c r="M3109">
        <v>0.99988880000000002</v>
      </c>
      <c r="N3109">
        <v>0</v>
      </c>
      <c r="O3109">
        <v>-3.6464760000000001E-3</v>
      </c>
      <c r="P3109">
        <v>0.99145349999999999</v>
      </c>
      <c r="Q3109">
        <v>0.1262269</v>
      </c>
      <c r="R3109">
        <v>3.2969099999999897E-2</v>
      </c>
      <c r="S3109">
        <v>3.0535580000000002</v>
      </c>
      <c r="T3109">
        <v>-0.30279460000000002</v>
      </c>
      <c r="U3109">
        <v>0.33749390000000001</v>
      </c>
      <c r="V3109">
        <v>-3.6576669999999999E-2</v>
      </c>
      <c r="W3109">
        <v>0.14055889999999999</v>
      </c>
      <c r="X3109">
        <v>0.98939650000000001</v>
      </c>
      <c r="Y3109">
        <v>-0.112915</v>
      </c>
      <c r="Z3109">
        <v>5.9275459999999997E-3</v>
      </c>
      <c r="AA3109">
        <v>0.993587</v>
      </c>
      <c r="AB3109">
        <v>34</v>
      </c>
      <c r="AC3109">
        <v>10.961600000000001</v>
      </c>
      <c r="AD3109">
        <v>-1.104231388558</v>
      </c>
      <c r="AE3109">
        <v>1.2314799999999899</v>
      </c>
      <c r="AF3109">
        <v>-1.2588320356695399</v>
      </c>
      <c r="AG3109">
        <v>-1.104231388558</v>
      </c>
      <c r="AH3109">
        <v>10.848321510964899</v>
      </c>
      <c r="AI3109">
        <v>95.7735419475881</v>
      </c>
      <c r="AJ3109">
        <v>96.618961806787098</v>
      </c>
      <c r="AK3109">
        <v>10.976796648329</v>
      </c>
      <c r="AL3109">
        <v>81.919811709299196</v>
      </c>
      <c r="AM3109">
        <v>92.117184453459004</v>
      </c>
      <c r="AN3109">
        <v>1.0000000456848701</v>
      </c>
    </row>
    <row r="3110" spans="1:40" x14ac:dyDescent="0.3">
      <c r="A3110" t="str">
        <f>"20200111150414201"</f>
        <v>20200111150414201</v>
      </c>
      <c r="B3110" t="str">
        <f>"1578726254192008"</f>
        <v>1578726254192008</v>
      </c>
      <c r="C3110" t="s">
        <v>40</v>
      </c>
      <c r="D3110">
        <v>4.696167</v>
      </c>
      <c r="E3110">
        <v>0.47142650000000003</v>
      </c>
      <c r="F3110" t="s">
        <v>72</v>
      </c>
      <c r="G3110">
        <v>-196.9049</v>
      </c>
      <c r="H3110" s="1">
        <v>-8.3773950000000001E-6</v>
      </c>
      <c r="I3110">
        <v>-56.298650000000002</v>
      </c>
      <c r="J3110">
        <v>-207.73830000000001</v>
      </c>
      <c r="K3110">
        <v>1.1041780000000001</v>
      </c>
      <c r="L3110">
        <v>-57.513280000000002</v>
      </c>
      <c r="M3110">
        <v>0.99988809999999995</v>
      </c>
      <c r="N3110">
        <v>0</v>
      </c>
      <c r="O3110">
        <v>-3.649635E-3</v>
      </c>
      <c r="P3110">
        <v>0.9915311</v>
      </c>
      <c r="Q3110">
        <v>0.1258194</v>
      </c>
      <c r="R3110">
        <v>3.2180180000000003E-2</v>
      </c>
      <c r="S3110">
        <v>3.0536650000000001</v>
      </c>
      <c r="T3110">
        <v>-0.30636180000000002</v>
      </c>
      <c r="U3110">
        <v>0.33682250000000002</v>
      </c>
      <c r="V3110">
        <v>-3.5791139999999999E-2</v>
      </c>
      <c r="W3110">
        <v>0.14019200000000001</v>
      </c>
      <c r="X3110">
        <v>0.98947719999999995</v>
      </c>
      <c r="Y3110">
        <v>-0.11268640000000001</v>
      </c>
      <c r="Z3110">
        <v>5.9858069999999897E-3</v>
      </c>
      <c r="AA3110">
        <v>0.99361259999999996</v>
      </c>
      <c r="AB3110">
        <v>34</v>
      </c>
      <c r="AC3110">
        <v>10.833399999999999</v>
      </c>
      <c r="AD3110">
        <v>-1.104186377395</v>
      </c>
      <c r="AE3110">
        <v>1.2146299999999901</v>
      </c>
      <c r="AF3110">
        <v>-1.2414274930650799</v>
      </c>
      <c r="AG3110">
        <v>-1.104186377395</v>
      </c>
      <c r="AH3110">
        <v>10.7189226949776</v>
      </c>
      <c r="AI3110">
        <v>95.842672211391402</v>
      </c>
      <c r="AJ3110">
        <v>96.606360243912604</v>
      </c>
      <c r="AK3110">
        <v>10.846920001432199</v>
      </c>
      <c r="AL3110">
        <v>81.941043115505707</v>
      </c>
      <c r="AM3110">
        <v>92.071586489447697</v>
      </c>
      <c r="AN3110">
        <v>0.99999996594316898</v>
      </c>
    </row>
    <row r="3111" spans="1:40" x14ac:dyDescent="0.3">
      <c r="A3111" t="str">
        <f>"20200111150414212"</f>
        <v>20200111150414212</v>
      </c>
      <c r="B3111" t="str">
        <f>"1578726254201768"</f>
        <v>1578726254201768</v>
      </c>
      <c r="C3111" t="s">
        <v>40</v>
      </c>
      <c r="D3111">
        <v>5.1862849999999998</v>
      </c>
      <c r="E3111">
        <v>0.47161140000000001</v>
      </c>
      <c r="F3111" t="s">
        <v>72</v>
      </c>
      <c r="G3111">
        <v>-196.06450000000001</v>
      </c>
      <c r="H3111" s="1">
        <v>-8.3027969999999996E-6</v>
      </c>
      <c r="I3111">
        <v>-56.241869999999999</v>
      </c>
      <c r="J3111">
        <v>-207.57859999999999</v>
      </c>
      <c r="K3111">
        <v>1.104136</v>
      </c>
      <c r="L3111">
        <v>-57.513890000000004</v>
      </c>
      <c r="M3111">
        <v>0.99988779999999999</v>
      </c>
      <c r="N3111">
        <v>0</v>
      </c>
      <c r="O3111">
        <v>-3.652986E-3</v>
      </c>
      <c r="P3111">
        <v>0.99157910000000005</v>
      </c>
      <c r="Q3111">
        <v>0.12564030000000001</v>
      </c>
      <c r="R3111">
        <v>3.1391009999999997E-2</v>
      </c>
      <c r="S3111">
        <v>3.051453</v>
      </c>
      <c r="T3111">
        <v>-0.2886263</v>
      </c>
      <c r="U3111">
        <v>0.33233639999999998</v>
      </c>
      <c r="V3111">
        <v>-3.5005410000000001E-2</v>
      </c>
      <c r="W3111">
        <v>0.14003199999999999</v>
      </c>
      <c r="X3111">
        <v>0.98952799999999996</v>
      </c>
      <c r="Y3111">
        <v>-0.1113943</v>
      </c>
      <c r="Z3111">
        <v>5.5848729999999997E-3</v>
      </c>
      <c r="AA3111">
        <v>0.99376059999999999</v>
      </c>
      <c r="AB3111">
        <v>34</v>
      </c>
      <c r="AC3111">
        <v>11.5140999999999</v>
      </c>
      <c r="AD3111">
        <v>-1.1041443027969999</v>
      </c>
      <c r="AE3111">
        <v>1.2720199999999999</v>
      </c>
      <c r="AF3111">
        <v>-1.30224593580499</v>
      </c>
      <c r="AG3111">
        <v>-1.1041443027969999</v>
      </c>
      <c r="AH3111">
        <v>11.4057550977591</v>
      </c>
      <c r="AI3111">
        <v>95.4938674498366</v>
      </c>
      <c r="AJ3111">
        <v>96.513509488599993</v>
      </c>
      <c r="AK3111">
        <v>11.5328326298779</v>
      </c>
      <c r="AL3111">
        <v>81.950302057317998</v>
      </c>
      <c r="AM3111">
        <v>92.026042939169997</v>
      </c>
      <c r="AN3111">
        <v>1.0000000012686301</v>
      </c>
    </row>
    <row r="3112" spans="1:40" x14ac:dyDescent="0.3">
      <c r="A3112" t="str">
        <f>"20200111150414223"</f>
        <v>20200111150414223</v>
      </c>
      <c r="B3112" t="str">
        <f>"1578726254211528"</f>
        <v>1578726254211528</v>
      </c>
      <c r="C3112" t="s">
        <v>40</v>
      </c>
      <c r="D3112">
        <v>5.2231880000000004</v>
      </c>
      <c r="E3112">
        <v>0.47174149999999998</v>
      </c>
      <c r="F3112" t="s">
        <v>72</v>
      </c>
      <c r="G3112">
        <v>-195.9614</v>
      </c>
      <c r="H3112" s="1">
        <v>-8.2837509999999995E-6</v>
      </c>
      <c r="I3112">
        <v>-56.263100000000001</v>
      </c>
      <c r="J3112">
        <v>-207.40870000000001</v>
      </c>
      <c r="K3112">
        <v>1.10409</v>
      </c>
      <c r="L3112">
        <v>-57.514499999999998</v>
      </c>
      <c r="M3112">
        <v>0.9998882</v>
      </c>
      <c r="N3112">
        <v>0</v>
      </c>
      <c r="O3112">
        <v>-3.6567660000000001E-3</v>
      </c>
      <c r="P3112">
        <v>0.99160479999999995</v>
      </c>
      <c r="Q3112">
        <v>0.125583</v>
      </c>
      <c r="R3112">
        <v>3.0804379999999999E-2</v>
      </c>
      <c r="S3112">
        <v>3.0518489999999998</v>
      </c>
      <c r="T3112">
        <v>-0.29005969999999998</v>
      </c>
      <c r="U3112">
        <v>0.32858280000000001</v>
      </c>
      <c r="V3112">
        <v>-3.4422590000000003E-2</v>
      </c>
      <c r="W3112">
        <v>0.13995360000000001</v>
      </c>
      <c r="X3112">
        <v>0.98955950000000004</v>
      </c>
      <c r="Y3112">
        <v>-0.11017639999999999</v>
      </c>
      <c r="Z3112">
        <v>5.5549060000000001E-3</v>
      </c>
      <c r="AA3112">
        <v>0.99389649999999996</v>
      </c>
      <c r="AB3112">
        <v>34</v>
      </c>
      <c r="AC3112">
        <v>11.4473</v>
      </c>
      <c r="AD3112">
        <v>-1.1040982837510001</v>
      </c>
      <c r="AE3112">
        <v>1.2513999999999901</v>
      </c>
      <c r="AF3112">
        <v>-1.2814757180976399</v>
      </c>
      <c r="AG3112">
        <v>-1.1040982837510001</v>
      </c>
      <c r="AH3112">
        <v>11.338414569848499</v>
      </c>
      <c r="AI3112">
        <v>95.526776698150101</v>
      </c>
      <c r="AJ3112">
        <v>96.448246900416805</v>
      </c>
      <c r="AK3112">
        <v>11.4638936663774</v>
      </c>
      <c r="AL3112">
        <v>81.954838422934102</v>
      </c>
      <c r="AM3112">
        <v>91.992274531569095</v>
      </c>
      <c r="AN3112">
        <v>0.99999996444775796</v>
      </c>
    </row>
    <row r="3113" spans="1:40" x14ac:dyDescent="0.3">
      <c r="A3113" t="str">
        <f>"20200111150414233"</f>
        <v>20200111150414233</v>
      </c>
      <c r="B3113" t="str">
        <f>"1578726254221287"</f>
        <v>1578726254221287</v>
      </c>
      <c r="C3113" t="s">
        <v>40</v>
      </c>
      <c r="D3113">
        <v>5.2808479999999998</v>
      </c>
      <c r="E3113">
        <v>0.47173969999999998</v>
      </c>
      <c r="F3113" t="s">
        <v>72</v>
      </c>
      <c r="G3113">
        <v>-195.87180000000001</v>
      </c>
      <c r="H3113" s="1">
        <v>-8.2668330000000005E-6</v>
      </c>
      <c r="I3113">
        <v>-56.282559999999997</v>
      </c>
      <c r="J3113">
        <v>-207.24510000000001</v>
      </c>
      <c r="K3113">
        <v>1.10405</v>
      </c>
      <c r="L3113">
        <v>-57.51511</v>
      </c>
      <c r="M3113">
        <v>0.99988860000000002</v>
      </c>
      <c r="N3113">
        <v>0</v>
      </c>
      <c r="O3113">
        <v>-3.6603880000000001E-3</v>
      </c>
      <c r="P3113">
        <v>0.99163509999999999</v>
      </c>
      <c r="Q3113">
        <v>0.12544919999999901</v>
      </c>
      <c r="R3113">
        <v>3.037546E-2</v>
      </c>
      <c r="S3113">
        <v>3.0522770000000001</v>
      </c>
      <c r="T3113">
        <v>-0.29210659999999999</v>
      </c>
      <c r="U3113">
        <v>0.32592769999999999</v>
      </c>
      <c r="V3113">
        <v>-3.3997739999999999E-2</v>
      </c>
      <c r="W3113">
        <v>0.139794</v>
      </c>
      <c r="X3113">
        <v>0.98959680000000005</v>
      </c>
      <c r="Y3113">
        <v>-0.10930719999999999</v>
      </c>
      <c r="Z3113">
        <v>5.5523780000000002E-3</v>
      </c>
      <c r="AA3113">
        <v>0.99399249999999995</v>
      </c>
      <c r="AB3113">
        <v>34</v>
      </c>
      <c r="AC3113">
        <v>11.3733</v>
      </c>
      <c r="AD3113">
        <v>-1.1040582668329999</v>
      </c>
      <c r="AE3113">
        <v>1.23255</v>
      </c>
      <c r="AF3113">
        <v>-1.2624185196313</v>
      </c>
      <c r="AG3113">
        <v>-1.1040582668329999</v>
      </c>
      <c r="AH3113">
        <v>11.2637997364812</v>
      </c>
      <c r="AI3113">
        <v>95.5635379980164</v>
      </c>
      <c r="AJ3113">
        <v>96.394880712784598</v>
      </c>
      <c r="AK3113">
        <v>11.3879686370672</v>
      </c>
      <c r="AL3113">
        <v>81.964074048236796</v>
      </c>
      <c r="AM3113">
        <v>91.967630850747597</v>
      </c>
      <c r="AN3113">
        <v>1.00000001766567</v>
      </c>
    </row>
    <row r="3114" spans="1:40" x14ac:dyDescent="0.3">
      <c r="A3114" t="str">
        <f>"20200111150414245"</f>
        <v>20200111150414245</v>
      </c>
      <c r="B3114" t="str">
        <f>"1578726254241784"</f>
        <v>1578726254241784</v>
      </c>
      <c r="C3114" t="s">
        <v>40</v>
      </c>
      <c r="D3114">
        <v>5.1782589999999997</v>
      </c>
      <c r="E3114">
        <v>0.47183809999999898</v>
      </c>
      <c r="F3114" t="s">
        <v>72</v>
      </c>
      <c r="G3114">
        <v>-195.82900000000001</v>
      </c>
      <c r="H3114" s="1">
        <v>-8.2555269999999997E-6</v>
      </c>
      <c r="I3114">
        <v>-56.301049999999996</v>
      </c>
      <c r="J3114">
        <v>-207.0641</v>
      </c>
      <c r="K3114">
        <v>1.1040080000000001</v>
      </c>
      <c r="L3114">
        <v>-57.515779999999999</v>
      </c>
      <c r="M3114">
        <v>0.99988909999999998</v>
      </c>
      <c r="N3114">
        <v>0</v>
      </c>
      <c r="O3114">
        <v>-3.664418E-3</v>
      </c>
      <c r="P3114">
        <v>0.99164989999999997</v>
      </c>
      <c r="Q3114">
        <v>0.12542349999999999</v>
      </c>
      <c r="R3114">
        <v>2.9993390000000002E-2</v>
      </c>
      <c r="S3114">
        <v>3.0527340000000001</v>
      </c>
      <c r="T3114">
        <v>-0.2952321</v>
      </c>
      <c r="U3114">
        <v>0.32464599999999999</v>
      </c>
      <c r="V3114">
        <v>-3.3619589999999998E-2</v>
      </c>
      <c r="W3114">
        <v>0.13973260000000001</v>
      </c>
      <c r="X3114">
        <v>0.98961840000000001</v>
      </c>
      <c r="Y3114">
        <v>-0.108874</v>
      </c>
      <c r="Z3114">
        <v>5.59035E-3</v>
      </c>
      <c r="AA3114">
        <v>0.99403980000000003</v>
      </c>
      <c r="AB3114">
        <v>34</v>
      </c>
      <c r="AC3114">
        <v>11.2350999999999</v>
      </c>
      <c r="AD3114">
        <v>-1.1040162555269999</v>
      </c>
      <c r="AE3114">
        <v>1.2147300000000101</v>
      </c>
      <c r="AF3114">
        <v>-1.24402275514564</v>
      </c>
      <c r="AG3114">
        <v>-1.1040162555269999</v>
      </c>
      <c r="AH3114">
        <v>11.1243968558607</v>
      </c>
      <c r="AI3114">
        <v>95.632751838669193</v>
      </c>
      <c r="AJ3114">
        <v>96.380781182946507</v>
      </c>
      <c r="AK3114">
        <v>11.248050938472501</v>
      </c>
      <c r="AL3114">
        <v>81.967626955569798</v>
      </c>
      <c r="AM3114">
        <v>91.945719770596796</v>
      </c>
      <c r="AN3114">
        <v>1.0000000269765399</v>
      </c>
    </row>
    <row r="3115" spans="1:40" x14ac:dyDescent="0.3">
      <c r="A3115" t="str">
        <f>"20200111150414258"</f>
        <v>20200111150414258</v>
      </c>
      <c r="B3115" t="str">
        <f>"1578726254251544"</f>
        <v>1578726254251544</v>
      </c>
      <c r="C3115" t="s">
        <v>40</v>
      </c>
      <c r="D3115">
        <v>5.3009740000000001</v>
      </c>
      <c r="E3115">
        <v>0.47203030000000001</v>
      </c>
      <c r="F3115" t="s">
        <v>72</v>
      </c>
      <c r="G3115">
        <v>-195.42359999999999</v>
      </c>
      <c r="H3115" s="1">
        <v>-8.2159110000000005E-6</v>
      </c>
      <c r="I3115">
        <v>-56.283999999999999</v>
      </c>
      <c r="J3115">
        <v>-206.88310000000001</v>
      </c>
      <c r="K3115">
        <v>1.1039840000000001</v>
      </c>
      <c r="L3115">
        <v>-57.516480000000001</v>
      </c>
      <c r="M3115">
        <v>0.99988949999999999</v>
      </c>
      <c r="N3115">
        <v>0</v>
      </c>
      <c r="O3115">
        <v>-3.6683800000000002E-3</v>
      </c>
      <c r="P3115">
        <v>0.99172969999999905</v>
      </c>
      <c r="Q3115">
        <v>0.12486650000000001</v>
      </c>
      <c r="R3115">
        <v>2.9679609999999999E-2</v>
      </c>
      <c r="S3115">
        <v>3.0521090000000002</v>
      </c>
      <c r="T3115">
        <v>-0.28947000000000001</v>
      </c>
      <c r="U3115">
        <v>0.32296750000000002</v>
      </c>
      <c r="V3115">
        <v>-3.330996E-2</v>
      </c>
      <c r="W3115">
        <v>0.13914849999999901</v>
      </c>
      <c r="X3115">
        <v>0.98971109999999896</v>
      </c>
      <c r="Y3115">
        <v>-0.1083807</v>
      </c>
      <c r="Z3115">
        <v>5.460098E-3</v>
      </c>
      <c r="AA3115">
        <v>0.99409449999999999</v>
      </c>
      <c r="AB3115">
        <v>34</v>
      </c>
      <c r="AC3115">
        <v>11.4595</v>
      </c>
      <c r="AD3115">
        <v>-1.1039922159110001</v>
      </c>
      <c r="AE3115">
        <v>1.23248</v>
      </c>
      <c r="AF3115">
        <v>-1.26292652147397</v>
      </c>
      <c r="AG3115">
        <v>-1.1039922159110001</v>
      </c>
      <c r="AH3115">
        <v>11.3507580302918</v>
      </c>
      <c r="AI3115">
        <v>95.521344316297004</v>
      </c>
      <c r="AJ3115">
        <v>96.348823619745204</v>
      </c>
      <c r="AK3115">
        <v>11.474035474656199</v>
      </c>
      <c r="AL3115">
        <v>82.001423058732499</v>
      </c>
      <c r="AM3115">
        <v>91.927633217674796</v>
      </c>
      <c r="AN3115">
        <v>0.99999995997532898</v>
      </c>
    </row>
    <row r="3116" spans="1:40" x14ac:dyDescent="0.3">
      <c r="A3116" t="str">
        <f>"20200111150414271"</f>
        <v>20200111150414271</v>
      </c>
      <c r="B3116" t="str">
        <f>"1578726254261304"</f>
        <v>1578726254261304</v>
      </c>
      <c r="C3116" t="s">
        <v>40</v>
      </c>
      <c r="D3116">
        <v>5.7936209999999999</v>
      </c>
      <c r="E3116">
        <v>0.47120509999999899</v>
      </c>
      <c r="F3116" t="s">
        <v>72</v>
      </c>
      <c r="G3116">
        <v>-194.9991</v>
      </c>
      <c r="H3116" s="1">
        <v>-8.1738579999999999E-6</v>
      </c>
      <c r="I3116">
        <v>-56.267809999999997</v>
      </c>
      <c r="J3116">
        <v>-206.67590000000001</v>
      </c>
      <c r="K3116">
        <v>1.103958</v>
      </c>
      <c r="L3116">
        <v>-57.517240000000001</v>
      </c>
      <c r="M3116">
        <v>0.9998899</v>
      </c>
      <c r="N3116">
        <v>0</v>
      </c>
      <c r="O3116">
        <v>-3.6734189999999998E-3</v>
      </c>
      <c r="P3116">
        <v>0.99174289999999998</v>
      </c>
      <c r="Q3116">
        <v>0.1248779</v>
      </c>
      <c r="R3116">
        <v>2.9187060000000001E-2</v>
      </c>
      <c r="S3116">
        <v>3.0511170000000001</v>
      </c>
      <c r="T3116">
        <v>-0.28344249999999999</v>
      </c>
      <c r="U3116">
        <v>0.32058720000000002</v>
      </c>
      <c r="V3116">
        <v>-3.2822539999999997E-2</v>
      </c>
      <c r="W3116">
        <v>0.13913200000000001</v>
      </c>
      <c r="X3116">
        <v>0.98972979999999999</v>
      </c>
      <c r="Y3116">
        <v>-0.10767549999999999</v>
      </c>
      <c r="Z3116">
        <v>5.3167049999999997E-3</v>
      </c>
      <c r="AA3116">
        <v>0.9941719</v>
      </c>
      <c r="AB3116">
        <v>34</v>
      </c>
      <c r="AC3116">
        <v>11.6768</v>
      </c>
      <c r="AD3116">
        <v>-1.103966173858</v>
      </c>
      <c r="AE3116">
        <v>1.24943</v>
      </c>
      <c r="AF3116">
        <v>-1.28099920238561</v>
      </c>
      <c r="AG3116">
        <v>-1.103966173858</v>
      </c>
      <c r="AH3116">
        <v>11.5698844669809</v>
      </c>
      <c r="AI3116">
        <v>95.417596439770406</v>
      </c>
      <c r="AJ3116">
        <v>96.317965017042994</v>
      </c>
      <c r="AK3116">
        <v>11.6928151806492</v>
      </c>
      <c r="AL3116">
        <v>82.002378488668498</v>
      </c>
      <c r="AM3116">
        <v>91.899411383046598</v>
      </c>
      <c r="AN3116">
        <v>1.00000005478204</v>
      </c>
    </row>
    <row r="3117" spans="1:40" x14ac:dyDescent="0.3">
      <c r="A3117" t="str">
        <f>"20200111150414285"</f>
        <v>20200111150414285</v>
      </c>
      <c r="B3117" t="str">
        <f>"1578726254281331"</f>
        <v>1578726254281331</v>
      </c>
      <c r="C3117" t="s">
        <v>40</v>
      </c>
      <c r="D3117">
        <v>5.2954639999999999</v>
      </c>
      <c r="E3117">
        <v>0.47121109999999999</v>
      </c>
      <c r="F3117" t="s">
        <v>72</v>
      </c>
      <c r="G3117">
        <v>-195.36750000000001</v>
      </c>
      <c r="H3117" s="1">
        <v>-8.2006939999999995E-6</v>
      </c>
      <c r="I3117">
        <v>-56.30939</v>
      </c>
      <c r="J3117">
        <v>-206.4641</v>
      </c>
      <c r="K3117">
        <v>1.1039429999999999</v>
      </c>
      <c r="L3117">
        <v>-57.518009999999997</v>
      </c>
      <c r="M3117">
        <v>0.9998901</v>
      </c>
      <c r="N3117">
        <v>0</v>
      </c>
      <c r="O3117">
        <v>-3.678167E-3</v>
      </c>
      <c r="P3117">
        <v>0.99177099999999996</v>
      </c>
      <c r="Q3117">
        <v>0.1247047</v>
      </c>
      <c r="R3117">
        <v>2.896644E-2</v>
      </c>
      <c r="S3117">
        <v>3.052902</v>
      </c>
      <c r="T3117">
        <v>-0.29803410000000002</v>
      </c>
      <c r="U3117">
        <v>0.32608029999999999</v>
      </c>
      <c r="V3117">
        <v>-3.2606799999999998E-2</v>
      </c>
      <c r="W3117">
        <v>0.1389408</v>
      </c>
      <c r="X3117">
        <v>0.98976370000000002</v>
      </c>
      <c r="Y3117">
        <v>-0.1093316</v>
      </c>
      <c r="Z3117">
        <v>5.6662739999999998E-3</v>
      </c>
      <c r="AA3117">
        <v>0.99398920000000002</v>
      </c>
      <c r="AB3117">
        <v>34</v>
      </c>
      <c r="AC3117">
        <v>11.096599999999899</v>
      </c>
      <c r="AD3117">
        <v>-1.103951200694</v>
      </c>
      <c r="AE3117">
        <v>1.20861999999999</v>
      </c>
      <c r="AF3117">
        <v>-1.2373284568645599</v>
      </c>
      <c r="AG3117">
        <v>-1.103951200694</v>
      </c>
      <c r="AH3117">
        <v>10.984634571333601</v>
      </c>
      <c r="AI3117">
        <v>95.703105437571494</v>
      </c>
      <c r="AJ3117">
        <v>96.4268067528795</v>
      </c>
      <c r="AK3117">
        <v>11.1090902701084</v>
      </c>
      <c r="AL3117">
        <v>82.013440170080699</v>
      </c>
      <c r="AM3117">
        <v>91.886871173053095</v>
      </c>
      <c r="AN3117">
        <v>0.99999996557428406</v>
      </c>
    </row>
    <row r="3118" spans="1:40" x14ac:dyDescent="0.3">
      <c r="A3118" t="str">
        <f>"20200111150414296"</f>
        <v>20200111150414296</v>
      </c>
      <c r="B3118" t="str">
        <f>"1578726254292068"</f>
        <v>1578726254292068</v>
      </c>
      <c r="C3118" t="s">
        <v>40</v>
      </c>
      <c r="D3118">
        <v>5.2933110000000001</v>
      </c>
      <c r="E3118">
        <v>0.47111960000000003</v>
      </c>
      <c r="F3118" t="s">
        <v>72</v>
      </c>
      <c r="G3118">
        <v>-195.0393</v>
      </c>
      <c r="H3118" s="1">
        <v>-8.1668490000000002E-6</v>
      </c>
      <c r="I3118">
        <v>-56.300649999999997</v>
      </c>
      <c r="J3118">
        <v>-206.29169999999999</v>
      </c>
      <c r="K3118">
        <v>1.1039399999999999</v>
      </c>
      <c r="L3118">
        <v>-57.518680000000003</v>
      </c>
      <c r="M3118">
        <v>0.99989030000000001</v>
      </c>
      <c r="N3118">
        <v>0</v>
      </c>
      <c r="O3118">
        <v>-3.6823789999999999E-3</v>
      </c>
      <c r="P3118">
        <v>0.99174430000000002</v>
      </c>
      <c r="Q3118">
        <v>0.1248847</v>
      </c>
      <c r="R3118">
        <v>2.911209E-2</v>
      </c>
      <c r="S3118">
        <v>3.0524900000000001</v>
      </c>
      <c r="T3118">
        <v>-0.294956</v>
      </c>
      <c r="U3118">
        <v>0.3252563</v>
      </c>
      <c r="V3118">
        <v>-3.2756100000000003E-2</v>
      </c>
      <c r="W3118">
        <v>0.13910929999999999</v>
      </c>
      <c r="X3118">
        <v>0.98973509999999998</v>
      </c>
      <c r="Y3118">
        <v>-0.1090965</v>
      </c>
      <c r="Z3118">
        <v>5.5979530000000001E-3</v>
      </c>
      <c r="AA3118">
        <v>0.99401539999999999</v>
      </c>
      <c r="AB3118">
        <v>34</v>
      </c>
      <c r="AC3118">
        <v>11.2523999999999</v>
      </c>
      <c r="AD3118">
        <v>-1.1039481668490001</v>
      </c>
      <c r="AE3118">
        <v>1.2180299999999999</v>
      </c>
      <c r="AF3118">
        <v>-1.24759242919638</v>
      </c>
      <c r="AG3118">
        <v>-1.1039481668490001</v>
      </c>
      <c r="AH3118">
        <v>11.141838258956399</v>
      </c>
      <c r="AI3118">
        <v>95.6235565438636</v>
      </c>
      <c r="AJ3118">
        <v>96.389004938638493</v>
      </c>
      <c r="AK3118">
        <v>11.265688980848999</v>
      </c>
      <c r="AL3118">
        <v>82.003691142637507</v>
      </c>
      <c r="AM3118">
        <v>91.895559223439804</v>
      </c>
      <c r="AN3118">
        <v>0.99999996380285405</v>
      </c>
    </row>
    <row r="3119" spans="1:40" x14ac:dyDescent="0.3">
      <c r="A3119" t="str">
        <f>"20200111150414308"</f>
        <v>20200111150414308</v>
      </c>
      <c r="B3119" t="str">
        <f>"1578726254301827"</f>
        <v>1578726254301827</v>
      </c>
      <c r="C3119" t="s">
        <v>40</v>
      </c>
      <c r="D3119">
        <v>5.3644949999999998</v>
      </c>
      <c r="E3119">
        <v>0.47082669999999999</v>
      </c>
      <c r="F3119" t="s">
        <v>72</v>
      </c>
      <c r="G3119">
        <v>-194.90799999999999</v>
      </c>
      <c r="H3119" s="1">
        <v>-8.1515570000000007E-6</v>
      </c>
      <c r="I3119">
        <v>-56.302120000000002</v>
      </c>
      <c r="J3119">
        <v>-206.1009</v>
      </c>
      <c r="K3119">
        <v>1.1039369999999999</v>
      </c>
      <c r="L3119">
        <v>-57.519379999999998</v>
      </c>
      <c r="M3119">
        <v>0.99989030000000001</v>
      </c>
      <c r="N3119">
        <v>0</v>
      </c>
      <c r="O3119">
        <v>-3.6868410000000002E-3</v>
      </c>
      <c r="P3119">
        <v>0.99172629999999995</v>
      </c>
      <c r="Q3119">
        <v>0.1249161</v>
      </c>
      <c r="R3119">
        <v>2.958626E-2</v>
      </c>
      <c r="S3119">
        <v>3.052673</v>
      </c>
      <c r="T3119">
        <v>-0.2960353</v>
      </c>
      <c r="U3119">
        <v>0.32623289999999999</v>
      </c>
      <c r="V3119">
        <v>-3.3235010000000002E-2</v>
      </c>
      <c r="W3119">
        <v>0.13913149999999999</v>
      </c>
      <c r="X3119">
        <v>0.98971609999999999</v>
      </c>
      <c r="Y3119">
        <v>-0.1094039</v>
      </c>
      <c r="Z3119">
        <v>5.6331749999999998E-3</v>
      </c>
      <c r="AA3119">
        <v>0.99398140000000001</v>
      </c>
      <c r="AB3119">
        <v>34</v>
      </c>
      <c r="AC3119">
        <v>11.1929</v>
      </c>
      <c r="AD3119">
        <v>-1.103945151557</v>
      </c>
      <c r="AE3119">
        <v>1.21726000000001</v>
      </c>
      <c r="AF3119">
        <v>-1.24653821615083</v>
      </c>
      <c r="AG3119">
        <v>-1.103945151557</v>
      </c>
      <c r="AH3119">
        <v>11.081795401543101</v>
      </c>
      <c r="AI3119">
        <v>95.653495132261099</v>
      </c>
      <c r="AJ3119">
        <v>96.417950595440999</v>
      </c>
      <c r="AK3119">
        <v>11.206192116130801</v>
      </c>
      <c r="AL3119">
        <v>82.002407374525106</v>
      </c>
      <c r="AM3119">
        <v>91.923289445076193</v>
      </c>
      <c r="AN3119">
        <v>1.0000000493905701</v>
      </c>
    </row>
    <row r="3120" spans="1:40" x14ac:dyDescent="0.3">
      <c r="A3120" t="str">
        <f>"20200111150414319"</f>
        <v>20200111150414319</v>
      </c>
      <c r="B3120" t="str">
        <f>"1578726254311588"</f>
        <v>1578726254311588</v>
      </c>
      <c r="C3120" t="s">
        <v>40</v>
      </c>
      <c r="D3120">
        <v>5.3229629999999997</v>
      </c>
      <c r="E3120">
        <v>0.47082190000000002</v>
      </c>
      <c r="F3120" t="s">
        <v>72</v>
      </c>
      <c r="G3120">
        <v>-194.70429999999999</v>
      </c>
      <c r="H3120" s="1">
        <v>-8.1334389999999906E-6</v>
      </c>
      <c r="I3120">
        <v>-56.28848</v>
      </c>
      <c r="J3120">
        <v>-205.93799999999999</v>
      </c>
      <c r="K3120">
        <v>1.1039490000000001</v>
      </c>
      <c r="L3120">
        <v>-57.519959999999998</v>
      </c>
      <c r="M3120">
        <v>0.99989039999999996</v>
      </c>
      <c r="N3120">
        <v>0</v>
      </c>
      <c r="O3120">
        <v>-3.6905169999999999E-3</v>
      </c>
      <c r="P3120">
        <v>0.99170499999999995</v>
      </c>
      <c r="Q3120">
        <v>0.1249243</v>
      </c>
      <c r="R3120">
        <v>3.025541E-2</v>
      </c>
      <c r="S3120">
        <v>3.0524439999999999</v>
      </c>
      <c r="T3120">
        <v>-0.295678</v>
      </c>
      <c r="U3120">
        <v>0.32968140000000001</v>
      </c>
      <c r="V3120">
        <v>-3.3907479999999997E-2</v>
      </c>
      <c r="W3120">
        <v>0.1391368</v>
      </c>
      <c r="X3120">
        <v>0.98969249999999998</v>
      </c>
      <c r="Y3120">
        <v>-0.1105216</v>
      </c>
      <c r="Z3120">
        <v>5.6806929999999997E-3</v>
      </c>
      <c r="AA3120">
        <v>0.99385749999999995</v>
      </c>
      <c r="AB3120">
        <v>34</v>
      </c>
      <c r="AC3120">
        <v>11.233700000000001</v>
      </c>
      <c r="AD3120">
        <v>-1.1039571334389999</v>
      </c>
      <c r="AE3120">
        <v>1.2314799999999899</v>
      </c>
      <c r="AF3120">
        <v>-1.26090164119557</v>
      </c>
      <c r="AG3120">
        <v>-1.1039571334389999</v>
      </c>
      <c r="AH3120">
        <v>11.122935492966199</v>
      </c>
      <c r="AI3120">
        <v>95.632233993663704</v>
      </c>
      <c r="AJ3120">
        <v>96.467469461174005</v>
      </c>
      <c r="AK3120">
        <v>11.248479376428</v>
      </c>
      <c r="AL3120">
        <v>82.002100370436594</v>
      </c>
      <c r="AM3120">
        <v>91.962221501839494</v>
      </c>
      <c r="AN3120">
        <v>1.0000000054352201</v>
      </c>
    </row>
    <row r="3121" spans="1:40" x14ac:dyDescent="0.3">
      <c r="A3121" t="str">
        <f>"20200111150414330"</f>
        <v>20200111150414330</v>
      </c>
      <c r="B3121" t="str">
        <f>"1578726254321347"</f>
        <v>1578726254321347</v>
      </c>
      <c r="C3121" t="s">
        <v>40</v>
      </c>
      <c r="D3121">
        <v>4.9175420000000001</v>
      </c>
      <c r="E3121">
        <v>0.47020610000000002</v>
      </c>
      <c r="F3121" t="s">
        <v>72</v>
      </c>
      <c r="G3121">
        <v>-194.58600000000001</v>
      </c>
      <c r="H3121" s="1">
        <v>-8.1203609999999993E-6</v>
      </c>
      <c r="I3121">
        <v>-56.28783</v>
      </c>
      <c r="J3121">
        <v>-205.77170000000001</v>
      </c>
      <c r="K3121">
        <v>1.1039570000000001</v>
      </c>
      <c r="L3121">
        <v>-57.520600000000002</v>
      </c>
      <c r="M3121">
        <v>0.99989039999999996</v>
      </c>
      <c r="N3121">
        <v>0</v>
      </c>
      <c r="O3121">
        <v>-3.6944360000000002E-3</v>
      </c>
      <c r="P3121">
        <v>0.99170150000000001</v>
      </c>
      <c r="Q3121">
        <v>0.1248519</v>
      </c>
      <c r="R3121">
        <v>3.0668069999999999E-2</v>
      </c>
      <c r="S3121">
        <v>3.052368</v>
      </c>
      <c r="T3121">
        <v>-0.29683599999999999</v>
      </c>
      <c r="U3121">
        <v>0.3312988</v>
      </c>
      <c r="V3121">
        <v>-3.4324069999999998E-2</v>
      </c>
      <c r="W3121">
        <v>0.13906260000000001</v>
      </c>
      <c r="X3121">
        <v>0.98968860000000003</v>
      </c>
      <c r="Y3121">
        <v>-0.111042</v>
      </c>
      <c r="Z3121">
        <v>5.72837E-3</v>
      </c>
      <c r="AA3121">
        <v>0.99379919999999999</v>
      </c>
      <c r="AB3121">
        <v>34</v>
      </c>
      <c r="AC3121">
        <v>11.185700000000001</v>
      </c>
      <c r="AD3121">
        <v>-1.1039651203609999</v>
      </c>
      <c r="AE3121">
        <v>1.2327699999999899</v>
      </c>
      <c r="AF3121">
        <v>-1.2619461206037801</v>
      </c>
      <c r="AG3121">
        <v>-1.1039651203609999</v>
      </c>
      <c r="AH3121">
        <v>11.0744914335683</v>
      </c>
      <c r="AI3121">
        <v>95.656380586097498</v>
      </c>
      <c r="AJ3121">
        <v>96.500853963685699</v>
      </c>
      <c r="AK3121">
        <v>11.2006967421878</v>
      </c>
      <c r="AL3121">
        <v>82.006393704797702</v>
      </c>
      <c r="AM3121">
        <v>91.986318138155994</v>
      </c>
      <c r="AN3121">
        <v>1.0000000367350399</v>
      </c>
    </row>
    <row r="3122" spans="1:40" x14ac:dyDescent="0.3">
      <c r="A3122" t="str">
        <f>"20200111150414340"</f>
        <v>20200111150414340</v>
      </c>
      <c r="B3122" t="str">
        <f>"1578726254332084"</f>
        <v>1578726254332084</v>
      </c>
      <c r="C3122" t="s">
        <v>40</v>
      </c>
      <c r="D3122">
        <v>6.1035740000000001</v>
      </c>
      <c r="E3122">
        <v>0.47020610000000002</v>
      </c>
      <c r="F3122" t="s">
        <v>72</v>
      </c>
      <c r="G3122">
        <v>-194.4821</v>
      </c>
      <c r="H3122" s="1">
        <v>-8.1142889999999995E-6</v>
      </c>
      <c r="I3122">
        <v>-56.271830000000001</v>
      </c>
      <c r="J3122">
        <v>-205.60570000000001</v>
      </c>
      <c r="K3122">
        <v>1.103972</v>
      </c>
      <c r="L3122">
        <v>-57.521210000000004</v>
      </c>
      <c r="M3122">
        <v>0.99989030000000001</v>
      </c>
      <c r="N3122">
        <v>0</v>
      </c>
      <c r="O3122">
        <v>-3.6979059999999999E-3</v>
      </c>
      <c r="P3122">
        <v>0.99171819999999999</v>
      </c>
      <c r="Q3122">
        <v>0.1245762</v>
      </c>
      <c r="R3122">
        <v>3.1241830000000002E-2</v>
      </c>
      <c r="S3122">
        <v>3.0522309999999999</v>
      </c>
      <c r="T3122">
        <v>-0.2984658</v>
      </c>
      <c r="U3122">
        <v>0.33761600000000003</v>
      </c>
      <c r="V3122">
        <v>-3.4901639999999998E-2</v>
      </c>
      <c r="W3122">
        <v>0.13878869999999999</v>
      </c>
      <c r="X3122">
        <v>0.9897068</v>
      </c>
      <c r="Y3122">
        <v>-0.11306720000000001</v>
      </c>
      <c r="Z3122">
        <v>5.8581090000000002E-3</v>
      </c>
      <c r="AA3122">
        <v>0.99357010000000001</v>
      </c>
      <c r="AB3122">
        <v>34</v>
      </c>
      <c r="AC3122">
        <v>11.1236</v>
      </c>
      <c r="AD3122">
        <v>-1.103980114289</v>
      </c>
      <c r="AE3122">
        <v>1.2493799999999899</v>
      </c>
      <c r="AF3122">
        <v>-1.27807761426039</v>
      </c>
      <c r="AG3122">
        <v>-1.103980114289</v>
      </c>
      <c r="AH3122">
        <v>11.011789623676201</v>
      </c>
      <c r="AI3122">
        <v>95.687098787184695</v>
      </c>
      <c r="AJ3122">
        <v>96.620383136246502</v>
      </c>
      <c r="AK3122">
        <v>11.140546000843999</v>
      </c>
      <c r="AL3122">
        <v>82.022240304877002</v>
      </c>
      <c r="AM3122">
        <v>92.019677285182198</v>
      </c>
      <c r="AN3122">
        <v>0.99999998884430896</v>
      </c>
    </row>
    <row r="3123" spans="1:40" x14ac:dyDescent="0.3">
      <c r="A3123" t="str">
        <f>"20200111150414353"</f>
        <v>20200111150414353</v>
      </c>
      <c r="B3123" t="str">
        <f>"1578726254341843"</f>
        <v>1578726254341843</v>
      </c>
      <c r="C3123" t="s">
        <v>40</v>
      </c>
      <c r="D3123">
        <v>5.1722349999999997</v>
      </c>
      <c r="E3123">
        <v>0.4748057</v>
      </c>
      <c r="F3123" t="s">
        <v>72</v>
      </c>
      <c r="G3123">
        <v>-194.34819999999999</v>
      </c>
      <c r="H3123" s="1">
        <v>-8.1001840000000004E-6</v>
      </c>
      <c r="I3123">
        <v>-56.269120000000001</v>
      </c>
      <c r="J3123">
        <v>-205.42500000000001</v>
      </c>
      <c r="K3123">
        <v>1.1039890000000001</v>
      </c>
      <c r="L3123">
        <v>-57.521880000000003</v>
      </c>
      <c r="M3123">
        <v>0.99989039999999996</v>
      </c>
      <c r="N3123">
        <v>0</v>
      </c>
      <c r="O3123">
        <v>-3.7019819999999999E-3</v>
      </c>
      <c r="P3123">
        <v>0.99171450000000005</v>
      </c>
      <c r="Q3123">
        <v>0.12459820000000001</v>
      </c>
      <c r="R3123">
        <v>3.1269140000000001E-2</v>
      </c>
      <c r="S3123">
        <v>3.0519560000000001</v>
      </c>
      <c r="T3123">
        <v>-0.299294</v>
      </c>
      <c r="U3123">
        <v>0.339447</v>
      </c>
      <c r="V3123">
        <v>-3.4932659999999997E-2</v>
      </c>
      <c r="W3123">
        <v>0.138813299999999</v>
      </c>
      <c r="X3123">
        <v>0.98970230000000003</v>
      </c>
      <c r="Y3123">
        <v>-0.113663899999999</v>
      </c>
      <c r="Z3123">
        <v>5.9041140000000002E-3</v>
      </c>
      <c r="AA3123">
        <v>0.99350170000000004</v>
      </c>
      <c r="AB3123">
        <v>34</v>
      </c>
      <c r="AC3123">
        <v>11.0768</v>
      </c>
      <c r="AD3123">
        <v>-1.1039971001840001</v>
      </c>
      <c r="AE3123">
        <v>1.2527600000000001</v>
      </c>
      <c r="AF3123">
        <v>-1.2811955755492099</v>
      </c>
      <c r="AG3123">
        <v>-1.1039971001840001</v>
      </c>
      <c r="AH3123">
        <v>10.9645439517711</v>
      </c>
      <c r="AI3123">
        <v>95.711018448680804</v>
      </c>
      <c r="AJ3123">
        <v>96.664729306536003</v>
      </c>
      <c r="AK3123">
        <v>11.094210011097701</v>
      </c>
      <c r="AL3123">
        <v>82.020817405097205</v>
      </c>
      <c r="AM3123">
        <v>92.021480035977405</v>
      </c>
      <c r="AN3123">
        <v>1.00000003280842</v>
      </c>
    </row>
    <row r="3124" spans="1:40" x14ac:dyDescent="0.3">
      <c r="A3124" t="str">
        <f>"20200111150414365"</f>
        <v>20200111150414365</v>
      </c>
      <c r="B3124" t="str">
        <f>"1578726254361364"</f>
        <v>1578726254361364</v>
      </c>
      <c r="C3124" t="s">
        <v>40</v>
      </c>
      <c r="D3124">
        <v>5.4208489999999996</v>
      </c>
      <c r="E3124">
        <v>0.51919399999999905</v>
      </c>
      <c r="F3124" t="s">
        <v>66</v>
      </c>
      <c r="G3124">
        <v>-169.244</v>
      </c>
      <c r="H3124">
        <v>6.7227289999999904</v>
      </c>
      <c r="I3124">
        <v>-53.931429999999999</v>
      </c>
      <c r="J3124">
        <v>-205.24619999999999</v>
      </c>
      <c r="K3124">
        <v>1.1040080000000001</v>
      </c>
      <c r="L3124">
        <v>-57.522550000000003</v>
      </c>
      <c r="M3124">
        <v>0.9998901</v>
      </c>
      <c r="N3124">
        <v>0</v>
      </c>
      <c r="O3124">
        <v>-3.7057140000000001E-3</v>
      </c>
      <c r="P3124">
        <v>0.99166529999999997</v>
      </c>
      <c r="Q3124">
        <v>0.1249417</v>
      </c>
      <c r="R3124">
        <v>3.1457899999999997E-2</v>
      </c>
      <c r="S3124">
        <v>2.9580989999999998</v>
      </c>
      <c r="T3124">
        <v>0.45937620000000001</v>
      </c>
      <c r="U3124">
        <v>0.29354859999999999</v>
      </c>
      <c r="V3124">
        <v>-3.5124889999999999E-2</v>
      </c>
      <c r="W3124">
        <v>0.1391618</v>
      </c>
      <c r="X3124">
        <v>0.98964660000000004</v>
      </c>
      <c r="Y3124">
        <v>-0.1011925</v>
      </c>
      <c r="Z3124">
        <v>-8.3624659999999903E-3</v>
      </c>
      <c r="AA3124">
        <v>0.99483169999999999</v>
      </c>
      <c r="AB3124">
        <v>34</v>
      </c>
      <c r="AC3124">
        <v>36.002199999999903</v>
      </c>
      <c r="AD3124">
        <v>5.6187209999999901</v>
      </c>
      <c r="AE3124">
        <v>3.5911199999999899</v>
      </c>
      <c r="AF3124">
        <v>-3.6368151021767501</v>
      </c>
      <c r="AG3124">
        <v>5.6187209999999901</v>
      </c>
      <c r="AH3124">
        <v>35.1411563372817</v>
      </c>
      <c r="AI3124">
        <v>80.963328110858399</v>
      </c>
      <c r="AJ3124">
        <v>95.908598089222707</v>
      </c>
      <c r="AK3124">
        <v>35.772857287118399</v>
      </c>
      <c r="AL3124">
        <v>82.000654493662097</v>
      </c>
      <c r="AM3124">
        <v>92.032708983151494</v>
      </c>
      <c r="AN3124">
        <v>1.0000000786841501</v>
      </c>
    </row>
    <row r="3125" spans="1:40" x14ac:dyDescent="0.3">
      <c r="A3125" t="str">
        <f>"20200111150414376"</f>
        <v>20200111150414376</v>
      </c>
      <c r="B3125" t="str">
        <f>"1578726254371389"</f>
        <v>1578726254371389</v>
      </c>
      <c r="C3125" t="s">
        <v>40</v>
      </c>
      <c r="D3125">
        <v>5.3411650000000002</v>
      </c>
      <c r="E3125">
        <v>0.51919399999999905</v>
      </c>
      <c r="F3125" t="s">
        <v>66</v>
      </c>
      <c r="G3125">
        <v>-167.99870000000001</v>
      </c>
      <c r="H3125">
        <v>9.179843</v>
      </c>
      <c r="I3125">
        <v>-58.307560000000002</v>
      </c>
      <c r="J3125">
        <v>-205.07839999999999</v>
      </c>
      <c r="K3125">
        <v>1.104028</v>
      </c>
      <c r="L3125">
        <v>-57.52319</v>
      </c>
      <c r="M3125">
        <v>0.9998901</v>
      </c>
      <c r="N3125">
        <v>0</v>
      </c>
      <c r="O3125">
        <v>-3.709572E-3</v>
      </c>
      <c r="P3125">
        <v>0.99163849999999998</v>
      </c>
      <c r="Q3125">
        <v>0.12518589999999999</v>
      </c>
      <c r="R3125">
        <v>3.1336299999999997E-2</v>
      </c>
      <c r="S3125">
        <v>2.9466860000000001</v>
      </c>
      <c r="T3125">
        <v>0.63888440000000002</v>
      </c>
      <c r="U3125">
        <v>-6.2103270000000002E-2</v>
      </c>
      <c r="V3125">
        <v>-3.5007089999999998E-2</v>
      </c>
      <c r="W3125">
        <v>0.13941110000000001</v>
      </c>
      <c r="X3125">
        <v>0.98961560000000004</v>
      </c>
      <c r="Y3125">
        <v>1.705183E-2</v>
      </c>
      <c r="Z3125">
        <v>1.0320780000000001E-3</v>
      </c>
      <c r="AA3125">
        <v>0.99985409999999997</v>
      </c>
      <c r="AB3125">
        <v>34</v>
      </c>
      <c r="AC3125">
        <v>37.079699999999903</v>
      </c>
      <c r="AD3125">
        <v>8.0758149999999898</v>
      </c>
      <c r="AE3125">
        <v>-0.78436999999999502</v>
      </c>
      <c r="AF3125">
        <v>0.61752148925459405</v>
      </c>
      <c r="AG3125">
        <v>8.0758149999999898</v>
      </c>
      <c r="AH3125">
        <v>35.403724861676501</v>
      </c>
      <c r="AI3125">
        <v>77.152213493526105</v>
      </c>
      <c r="AJ3125">
        <v>89.000732611440597</v>
      </c>
      <c r="AK3125">
        <v>36.3183680082848</v>
      </c>
      <c r="AL3125">
        <v>81.986229361887894</v>
      </c>
      <c r="AM3125">
        <v>92.025960890287806</v>
      </c>
      <c r="AN3125">
        <v>0.99999999345841895</v>
      </c>
    </row>
    <row r="3126" spans="1:40" x14ac:dyDescent="0.3">
      <c r="A3126" t="str">
        <f>"20200111150414387"</f>
        <v>20200111150414387</v>
      </c>
      <c r="B3126" t="str">
        <f>"1578726254381149"</f>
        <v>1578726254381149</v>
      </c>
      <c r="C3126" t="s">
        <v>40</v>
      </c>
      <c r="D3126">
        <v>5.3416269999999999</v>
      </c>
      <c r="E3126">
        <v>0.52823679999999995</v>
      </c>
      <c r="F3126" t="s">
        <v>66</v>
      </c>
      <c r="G3126">
        <v>-167.99870000000001</v>
      </c>
      <c r="H3126">
        <v>9.1528720000000003</v>
      </c>
      <c r="I3126">
        <v>-58.308929999999997</v>
      </c>
      <c r="J3126">
        <v>-204.90790000000001</v>
      </c>
      <c r="K3126">
        <v>1.1040540000000001</v>
      </c>
      <c r="L3126">
        <v>-57.523800000000001</v>
      </c>
      <c r="M3126">
        <v>0.9998901</v>
      </c>
      <c r="N3126">
        <v>0</v>
      </c>
      <c r="O3126">
        <v>-3.7133159999999999E-3</v>
      </c>
      <c r="P3126">
        <v>0.99162159999999999</v>
      </c>
      <c r="Q3126">
        <v>0.12528319999999901</v>
      </c>
      <c r="R3126">
        <v>3.1478619999999999E-2</v>
      </c>
      <c r="S3126">
        <v>2.9465330000000001</v>
      </c>
      <c r="T3126">
        <v>0.63959779999999999</v>
      </c>
      <c r="U3126">
        <v>-6.2438960000000002E-2</v>
      </c>
      <c r="V3126">
        <v>-3.5152860000000001E-2</v>
      </c>
      <c r="W3126">
        <v>0.13951450000000001</v>
      </c>
      <c r="X3126">
        <v>0.98959589999999997</v>
      </c>
      <c r="Y3126">
        <v>1.7159899999999999E-2</v>
      </c>
      <c r="Z3126">
        <v>1.044045E-3</v>
      </c>
      <c r="AA3126">
        <v>0.99985219999999997</v>
      </c>
      <c r="AB3126">
        <v>34</v>
      </c>
      <c r="AC3126">
        <v>36.909199999999998</v>
      </c>
      <c r="AD3126">
        <v>8.04881799999999</v>
      </c>
      <c r="AE3126">
        <v>-0.78513000000000199</v>
      </c>
      <c r="AF3126">
        <v>0.61864850448916897</v>
      </c>
      <c r="AG3126">
        <v>8.04881799999999</v>
      </c>
      <c r="AH3126">
        <v>35.236931600406699</v>
      </c>
      <c r="AI3126">
        <v>77.135163715997905</v>
      </c>
      <c r="AJ3126">
        <v>88.994171586551005</v>
      </c>
      <c r="AK3126">
        <v>36.149793163737101</v>
      </c>
      <c r="AL3126">
        <v>81.980246823132106</v>
      </c>
      <c r="AM3126">
        <v>92.0344304098534</v>
      </c>
      <c r="AN3126">
        <v>1.0000000322866101</v>
      </c>
    </row>
    <row r="3127" spans="1:40" x14ac:dyDescent="0.3">
      <c r="A3127" t="str">
        <f>"20200111150414397"</f>
        <v>20200111150414397</v>
      </c>
      <c r="B3127" t="str">
        <f>"1578726254391885"</f>
        <v>1578726254391885</v>
      </c>
      <c r="C3127" t="s">
        <v>40</v>
      </c>
      <c r="D3127">
        <v>5.3293280000000003</v>
      </c>
      <c r="E3127">
        <v>0.52750280000000005</v>
      </c>
      <c r="F3127" t="s">
        <v>42</v>
      </c>
      <c r="G3127">
        <v>-204.1662</v>
      </c>
      <c r="H3127">
        <v>1.0253429999999999</v>
      </c>
      <c r="I3127">
        <v>-57.553339999999999</v>
      </c>
      <c r="J3127">
        <v>-204.7561</v>
      </c>
      <c r="K3127">
        <v>1.1040749999999999</v>
      </c>
      <c r="L3127">
        <v>-57.524380000000001</v>
      </c>
      <c r="M3127">
        <v>0.9998899</v>
      </c>
      <c r="N3127">
        <v>0</v>
      </c>
      <c r="O3127">
        <v>-3.7166120000000002E-3</v>
      </c>
      <c r="P3127">
        <v>0.99164419999999998</v>
      </c>
      <c r="Q3127">
        <v>0.1252231</v>
      </c>
      <c r="R3127">
        <v>3.100201E-2</v>
      </c>
      <c r="S3127">
        <v>3.070389</v>
      </c>
      <c r="T3127">
        <v>-0.32577460000000003</v>
      </c>
      <c r="U3127">
        <v>-0.121582</v>
      </c>
      <c r="V3127">
        <v>-3.4679799999999997E-2</v>
      </c>
      <c r="W3127">
        <v>0.13946539999999999</v>
      </c>
      <c r="X3127">
        <v>0.98961949999999999</v>
      </c>
      <c r="Y3127">
        <v>3.5673789999999997E-2</v>
      </c>
      <c r="Z3127">
        <v>-1.493386E-3</v>
      </c>
      <c r="AA3127">
        <v>0.99936230000000004</v>
      </c>
      <c r="AB3127">
        <v>34</v>
      </c>
      <c r="AC3127">
        <v>0.58989999999999998</v>
      </c>
      <c r="AD3127">
        <v>-7.8731999999999802E-2</v>
      </c>
      <c r="AE3127">
        <v>-2.89599999999978E-2</v>
      </c>
      <c r="AF3127">
        <v>2.6299783227056599E-2</v>
      </c>
      <c r="AG3127">
        <v>-7.8731999999999802E-2</v>
      </c>
      <c r="AH3127">
        <v>0.57970195930389701</v>
      </c>
      <c r="AI3127">
        <v>97.726430385914497</v>
      </c>
      <c r="AJ3127">
        <v>87.402399623536198</v>
      </c>
      <c r="AK3127">
        <v>0.585614863235699</v>
      </c>
      <c r="AL3127">
        <v>81.983087726177303</v>
      </c>
      <c r="AM3127">
        <v>92.007027338284701</v>
      </c>
      <c r="AN3127">
        <v>1.00000002055272</v>
      </c>
    </row>
    <row r="3128" spans="1:40" x14ac:dyDescent="0.3">
      <c r="A3128" t="str">
        <f>"20200111150414407"</f>
        <v>20200111150414407</v>
      </c>
      <c r="B3128" t="str">
        <f>"1578726254401645"</f>
        <v>1578726254401645</v>
      </c>
      <c r="C3128" t="s">
        <v>40</v>
      </c>
      <c r="D3128">
        <v>5.345167</v>
      </c>
      <c r="E3128">
        <v>0.52697169999999904</v>
      </c>
      <c r="F3128" t="s">
        <v>42</v>
      </c>
      <c r="G3128">
        <v>-203.87100000000001</v>
      </c>
      <c r="H3128">
        <v>1.007935</v>
      </c>
      <c r="I3128">
        <v>-57.558199999999999</v>
      </c>
      <c r="J3128">
        <v>-204.5899</v>
      </c>
      <c r="K3128">
        <v>1.1040989999999999</v>
      </c>
      <c r="L3128">
        <v>-57.524990000000003</v>
      </c>
      <c r="M3128">
        <v>0.99988960000000005</v>
      </c>
      <c r="N3128">
        <v>0</v>
      </c>
      <c r="O3128">
        <v>-3.720161E-3</v>
      </c>
      <c r="P3128">
        <v>0.99169770000000002</v>
      </c>
      <c r="Q3128">
        <v>0.1249111</v>
      </c>
      <c r="R3128">
        <v>3.0545969999999999E-2</v>
      </c>
      <c r="S3128">
        <v>3.071075</v>
      </c>
      <c r="T3128">
        <v>-0.33355580000000001</v>
      </c>
      <c r="U3128">
        <v>-0.1170654</v>
      </c>
      <c r="V3128">
        <v>-3.4227769999999998E-2</v>
      </c>
      <c r="W3128">
        <v>0.1391674</v>
      </c>
      <c r="X3128">
        <v>0.98967720000000003</v>
      </c>
      <c r="Y3128">
        <v>3.419399E-2</v>
      </c>
      <c r="Z3128">
        <v>-1.448071E-3</v>
      </c>
      <c r="AA3128">
        <v>0.99941409999999997</v>
      </c>
      <c r="AB3128">
        <v>34</v>
      </c>
      <c r="AC3128">
        <v>0.71890000000001897</v>
      </c>
      <c r="AD3128">
        <v>-9.6163999999999902E-2</v>
      </c>
      <c r="AE3128">
        <v>-3.3209999999996798E-2</v>
      </c>
      <c r="AF3128">
        <v>2.9999426889476901E-2</v>
      </c>
      <c r="AG3128">
        <v>-9.6163999999999902E-2</v>
      </c>
      <c r="AH3128">
        <v>0.70640564100886405</v>
      </c>
      <c r="AI3128">
        <v>97.745206977590598</v>
      </c>
      <c r="AJ3128">
        <v>87.568240890969605</v>
      </c>
      <c r="AK3128">
        <v>0.71355196738488602</v>
      </c>
      <c r="AL3128">
        <v>82.000330115261306</v>
      </c>
      <c r="AM3128">
        <v>91.980772544702006</v>
      </c>
      <c r="AN3128">
        <v>1.00000003283088</v>
      </c>
    </row>
    <row r="3129" spans="1:40" x14ac:dyDescent="0.3">
      <c r="A3129" t="str">
        <f>"20200111150414419"</f>
        <v>20200111150414419</v>
      </c>
      <c r="B3129" t="str">
        <f>"1578726254411406"</f>
        <v>1578726254411406</v>
      </c>
      <c r="C3129" t="s">
        <v>40</v>
      </c>
      <c r="D3129">
        <v>5.3456330000000003</v>
      </c>
      <c r="E3129">
        <v>0.52710859999999904</v>
      </c>
      <c r="F3129" t="s">
        <v>42</v>
      </c>
      <c r="G3129">
        <v>-203.86269999999999</v>
      </c>
      <c r="H3129">
        <v>1.0245390000000001</v>
      </c>
      <c r="I3129">
        <v>-57.552149999999997</v>
      </c>
      <c r="J3129">
        <v>-204.42</v>
      </c>
      <c r="K3129">
        <v>1.104147</v>
      </c>
      <c r="L3129">
        <v>-57.52563</v>
      </c>
      <c r="M3129">
        <v>0.99988790000000005</v>
      </c>
      <c r="N3129">
        <v>0</v>
      </c>
      <c r="O3129">
        <v>-3.7239619999999999E-3</v>
      </c>
      <c r="P3129">
        <v>0.99173440000000002</v>
      </c>
      <c r="Q3129">
        <v>0.1248022</v>
      </c>
      <c r="R3129">
        <v>2.978608E-2</v>
      </c>
      <c r="S3129">
        <v>3.0709529999999998</v>
      </c>
      <c r="T3129">
        <v>-0.33592440000000001</v>
      </c>
      <c r="U3129">
        <v>-0.1143188</v>
      </c>
      <c r="V3129">
        <v>-3.3471729999999998E-2</v>
      </c>
      <c r="W3129">
        <v>0.13917119999999999</v>
      </c>
      <c r="X3129">
        <v>0.98970250000000004</v>
      </c>
      <c r="Y3129">
        <v>3.3301860000000003E-2</v>
      </c>
      <c r="Z3129">
        <v>-1.4093269999999999E-3</v>
      </c>
      <c r="AA3129">
        <v>0.99944440000000001</v>
      </c>
      <c r="AB3129">
        <v>34</v>
      </c>
      <c r="AC3129">
        <v>0.55729999999999702</v>
      </c>
      <c r="AD3129">
        <v>-7.9608000000000095E-2</v>
      </c>
      <c r="AE3129">
        <v>-2.65199999999907E-2</v>
      </c>
      <c r="AF3129">
        <v>2.3956507108310501E-2</v>
      </c>
      <c r="AG3129">
        <v>-7.9608000000000095E-2</v>
      </c>
      <c r="AH3129">
        <v>0.54627341249403605</v>
      </c>
      <c r="AI3129">
        <v>98.283453071933593</v>
      </c>
      <c r="AJ3129">
        <v>87.488935404018505</v>
      </c>
      <c r="AK3129">
        <v>0.552563108698644</v>
      </c>
      <c r="AL3129">
        <v>82.000110060336894</v>
      </c>
      <c r="AM3129">
        <v>91.937004483317097</v>
      </c>
      <c r="AN3129">
        <v>1.0000000090624399</v>
      </c>
    </row>
    <row r="3130" spans="1:40" x14ac:dyDescent="0.3">
      <c r="A3130" t="str">
        <f>"20200111150414430"</f>
        <v>20200111150414430</v>
      </c>
      <c r="B3130" t="str">
        <f>"1578726254421165"</f>
        <v>1578726254421165</v>
      </c>
      <c r="C3130" t="s">
        <v>40</v>
      </c>
      <c r="D3130">
        <v>5.3187600000000002</v>
      </c>
      <c r="E3130">
        <v>0.52700639999999999</v>
      </c>
      <c r="F3130" t="s">
        <v>42</v>
      </c>
      <c r="G3130">
        <v>-203.56710000000001</v>
      </c>
      <c r="H3130">
        <v>1.010073</v>
      </c>
      <c r="I3130">
        <v>-57.558439999999997</v>
      </c>
      <c r="J3130">
        <v>-204.25360000000001</v>
      </c>
      <c r="K3130">
        <v>1.104203</v>
      </c>
      <c r="L3130">
        <v>-57.52628</v>
      </c>
      <c r="M3130">
        <v>0.99988589999999999</v>
      </c>
      <c r="N3130">
        <v>0</v>
      </c>
      <c r="O3130">
        <v>-3.727611E-3</v>
      </c>
      <c r="P3130">
        <v>0.99178390000000005</v>
      </c>
      <c r="Q3130">
        <v>0.1246965</v>
      </c>
      <c r="R3130">
        <v>2.8556089999999999E-2</v>
      </c>
      <c r="S3130">
        <v>3.0711210000000002</v>
      </c>
      <c r="T3130">
        <v>-0.33869559999999999</v>
      </c>
      <c r="U3130">
        <v>-0.11749270000000001</v>
      </c>
      <c r="V3130">
        <v>-3.224548E-2</v>
      </c>
      <c r="W3130">
        <v>0.13920569999999999</v>
      </c>
      <c r="X3130">
        <v>0.98973829999999996</v>
      </c>
      <c r="Y3130">
        <v>3.4318550000000003E-2</v>
      </c>
      <c r="Z3130">
        <v>-1.4762499999999999E-3</v>
      </c>
      <c r="AA3130">
        <v>0.99940989999999996</v>
      </c>
      <c r="AB3130">
        <v>34</v>
      </c>
      <c r="AC3130">
        <v>0.686499999999995</v>
      </c>
      <c r="AD3130">
        <v>-9.4130000000000005E-2</v>
      </c>
      <c r="AE3130">
        <v>-3.2159999999997503E-2</v>
      </c>
      <c r="AF3130">
        <v>2.9055429832877299E-2</v>
      </c>
      <c r="AG3130">
        <v>-9.4130000000000005E-2</v>
      </c>
      <c r="AH3130">
        <v>0.67397169992031103</v>
      </c>
      <c r="AI3130">
        <v>97.943479057079401</v>
      </c>
      <c r="AJ3130">
        <v>87.5314641332957</v>
      </c>
      <c r="AK3130">
        <v>0.68113326684008602</v>
      </c>
      <c r="AL3130">
        <v>81.998113451229401</v>
      </c>
      <c r="AM3130">
        <v>91.866025236578295</v>
      </c>
      <c r="AN3130">
        <v>0.99999995018990395</v>
      </c>
    </row>
    <row r="3131" spans="1:40" x14ac:dyDescent="0.3">
      <c r="A3131" t="str">
        <f>"20200111150414440"</f>
        <v>20200111150414440</v>
      </c>
      <c r="B3131" t="str">
        <f>"1578726254431901"</f>
        <v>1578726254431901</v>
      </c>
      <c r="C3131" t="s">
        <v>40</v>
      </c>
      <c r="D3131">
        <v>5.300961</v>
      </c>
      <c r="E3131">
        <v>0.52680649999999996</v>
      </c>
      <c r="F3131" t="s">
        <v>42</v>
      </c>
      <c r="G3131">
        <v>-203.2741</v>
      </c>
      <c r="H3131">
        <v>0.99390829999999997</v>
      </c>
      <c r="I3131">
        <v>-57.5646699999999</v>
      </c>
      <c r="J3131">
        <v>-204.0908</v>
      </c>
      <c r="K3131">
        <v>1.1042909999999999</v>
      </c>
      <c r="L3131">
        <v>-57.526890000000002</v>
      </c>
      <c r="M3131">
        <v>0.99988169999999998</v>
      </c>
      <c r="N3131">
        <v>0</v>
      </c>
      <c r="O3131">
        <v>-3.731229E-3</v>
      </c>
      <c r="P3131">
        <v>0.99182219999999999</v>
      </c>
      <c r="Q3131">
        <v>0.12461510000000001</v>
      </c>
      <c r="R3131">
        <v>2.7566469999999999E-2</v>
      </c>
      <c r="S3131">
        <v>3.0718079999999999</v>
      </c>
      <c r="T3131">
        <v>-0.34584039999999999</v>
      </c>
      <c r="U3131">
        <v>-0.1200256</v>
      </c>
      <c r="V3131">
        <v>-3.1260120000000002E-2</v>
      </c>
      <c r="W3131">
        <v>0.1394021</v>
      </c>
      <c r="X3131">
        <v>0.98974229999999996</v>
      </c>
      <c r="Y3131">
        <v>3.511645E-2</v>
      </c>
      <c r="Z3131">
        <v>-1.5511889999999999E-3</v>
      </c>
      <c r="AA3131">
        <v>0.99938199999999999</v>
      </c>
      <c r="AB3131">
        <v>34</v>
      </c>
      <c r="AC3131">
        <v>0.81669999999999698</v>
      </c>
      <c r="AD3131">
        <v>-0.110382699999999</v>
      </c>
      <c r="AE3131">
        <v>-3.77799999999908E-2</v>
      </c>
      <c r="AF3131">
        <v>3.4110326240508498E-2</v>
      </c>
      <c r="AG3131">
        <v>-0.110382699999999</v>
      </c>
      <c r="AH3131">
        <v>0.80221224942195002</v>
      </c>
      <c r="AI3131">
        <v>97.827595079708004</v>
      </c>
      <c r="AJ3131">
        <v>87.565231415013798</v>
      </c>
      <c r="AK3131">
        <v>0.81048895608647797</v>
      </c>
      <c r="AL3131">
        <v>81.9867500043473</v>
      </c>
      <c r="AM3131">
        <v>91.8090342652456</v>
      </c>
      <c r="AN3131">
        <v>0.99999998049805705</v>
      </c>
    </row>
    <row r="3132" spans="1:40" x14ac:dyDescent="0.3">
      <c r="A3132" t="str">
        <f>"20200111150414452"</f>
        <v>20200111150414452</v>
      </c>
      <c r="B3132" t="str">
        <f>"1578726254441661"</f>
        <v>1578726254441661</v>
      </c>
      <c r="C3132" t="s">
        <v>40</v>
      </c>
      <c r="D3132">
        <v>5.3439249999999996</v>
      </c>
      <c r="E3132">
        <v>0.5267714</v>
      </c>
      <c r="F3132" t="s">
        <v>42</v>
      </c>
      <c r="G3132">
        <v>-203.26570000000001</v>
      </c>
      <c r="H3132">
        <v>1.0106379999999999</v>
      </c>
      <c r="I3132">
        <v>-57.559609999999999</v>
      </c>
      <c r="J3132">
        <v>-203.92570000000001</v>
      </c>
      <c r="K3132">
        <v>1.104395</v>
      </c>
      <c r="L3132">
        <v>-57.527500000000003</v>
      </c>
      <c r="M3132">
        <v>0.99987680000000001</v>
      </c>
      <c r="N3132">
        <v>0</v>
      </c>
      <c r="O3132">
        <v>-3.7349089999999998E-3</v>
      </c>
      <c r="P3132">
        <v>0.99191739999999995</v>
      </c>
      <c r="Q3132">
        <v>0.1241097</v>
      </c>
      <c r="R3132">
        <v>2.6398600000000001E-2</v>
      </c>
      <c r="S3132">
        <v>3.0718990000000002</v>
      </c>
      <c r="T3132">
        <v>-0.34861059999999999</v>
      </c>
      <c r="U3132">
        <v>-0.1213684</v>
      </c>
      <c r="V3132">
        <v>-3.0095609999999998E-2</v>
      </c>
      <c r="W3132">
        <v>0.13922499999999999</v>
      </c>
      <c r="X3132">
        <v>0.98980330000000005</v>
      </c>
      <c r="Y3132">
        <v>3.5541900000000001E-2</v>
      </c>
      <c r="Z3132">
        <v>-1.58711299999999E-3</v>
      </c>
      <c r="AA3132">
        <v>0.99936689999999995</v>
      </c>
      <c r="AB3132">
        <v>34</v>
      </c>
      <c r="AC3132">
        <v>0.65999999999999603</v>
      </c>
      <c r="AD3132">
        <v>-9.3756999999999993E-2</v>
      </c>
      <c r="AE3132">
        <v>-3.2109999999995802E-2</v>
      </c>
      <c r="AF3132">
        <v>2.9059417424078599E-2</v>
      </c>
      <c r="AG3132">
        <v>-9.3756999999999993E-2</v>
      </c>
      <c r="AH3132">
        <v>0.64708798616874197</v>
      </c>
      <c r="AI3132">
        <v>98.236064228583203</v>
      </c>
      <c r="AJ3132">
        <v>87.428689621714</v>
      </c>
      <c r="AK3132">
        <v>0.65449040224738597</v>
      </c>
      <c r="AL3132">
        <v>81.996996843744995</v>
      </c>
      <c r="AM3132">
        <v>91.741578695343094</v>
      </c>
      <c r="AN3132">
        <v>0.99999995952858001</v>
      </c>
    </row>
    <row r="3133" spans="1:40" x14ac:dyDescent="0.3">
      <c r="A3133" t="str">
        <f>"20200111150414464"</f>
        <v>20200111150414464</v>
      </c>
      <c r="B3133" t="str">
        <f>"1578726254461182"</f>
        <v>1578726254461182</v>
      </c>
      <c r="C3133" t="s">
        <v>40</v>
      </c>
      <c r="D3133">
        <v>5.4587009999999996</v>
      </c>
      <c r="E3133">
        <v>0.52998540000000005</v>
      </c>
      <c r="F3133" t="s">
        <v>42</v>
      </c>
      <c r="G3133">
        <v>-202.97450000000001</v>
      </c>
      <c r="H3133">
        <v>0.99542980000000003</v>
      </c>
      <c r="I3133">
        <v>-57.56635</v>
      </c>
      <c r="J3133">
        <v>-203.7431</v>
      </c>
      <c r="K3133">
        <v>1.104522</v>
      </c>
      <c r="L3133">
        <v>-57.528199999999998</v>
      </c>
      <c r="M3133">
        <v>0.99986909999999896</v>
      </c>
      <c r="N3133">
        <v>0</v>
      </c>
      <c r="O3133">
        <v>-3.7390169999999999E-3</v>
      </c>
      <c r="P3133">
        <v>0.99204170000000003</v>
      </c>
      <c r="Q3133">
        <v>0.12326670000000001</v>
      </c>
      <c r="R3133">
        <v>2.5656579999999998E-2</v>
      </c>
      <c r="S3133">
        <v>3.071793</v>
      </c>
      <c r="T3133">
        <v>-0.35179870000000002</v>
      </c>
      <c r="U3133">
        <v>-0.12478640000000001</v>
      </c>
      <c r="V3133">
        <v>-2.9358470000000001E-2</v>
      </c>
      <c r="W3133">
        <v>0.138863299999999</v>
      </c>
      <c r="X3133">
        <v>0.98987630000000004</v>
      </c>
      <c r="Y3133">
        <v>3.6638459999999998E-2</v>
      </c>
      <c r="Z3133">
        <v>-1.6636439999999999E-3</v>
      </c>
      <c r="AA3133">
        <v>0.99932719999999997</v>
      </c>
      <c r="AB3133">
        <v>34</v>
      </c>
      <c r="AC3133">
        <v>0.76859999999999196</v>
      </c>
      <c r="AD3133">
        <v>-0.109092199999999</v>
      </c>
      <c r="AE3133">
        <v>-3.8150000000001599E-2</v>
      </c>
      <c r="AF3133">
        <v>3.4580623078360802E-2</v>
      </c>
      <c r="AG3133">
        <v>-0.109092199999999</v>
      </c>
      <c r="AH3133">
        <v>0.75359279485119002</v>
      </c>
      <c r="AI3133">
        <v>98.228535834926106</v>
      </c>
      <c r="AJ3133">
        <v>87.372672820163004</v>
      </c>
      <c r="AK3133">
        <v>0.76223292243575702</v>
      </c>
      <c r="AL3133">
        <v>82.017924437020994</v>
      </c>
      <c r="AM3133">
        <v>91.698821827666904</v>
      </c>
      <c r="AN3133">
        <v>1.00000001257466</v>
      </c>
    </row>
    <row r="3134" spans="1:40" x14ac:dyDescent="0.3">
      <c r="A3134" t="str">
        <f>"20200111150414476"</f>
        <v>20200111150414476</v>
      </c>
      <c r="B3134" t="str">
        <f>"1578726254471450"</f>
        <v>1578726254471450</v>
      </c>
      <c r="C3134" t="s">
        <v>40</v>
      </c>
      <c r="D3134">
        <v>5.388172</v>
      </c>
      <c r="E3134">
        <v>0.52998540000000005</v>
      </c>
      <c r="F3134" t="s">
        <v>42</v>
      </c>
      <c r="G3134">
        <v>-202.98310000000001</v>
      </c>
      <c r="H3134">
        <v>0.97791159999999999</v>
      </c>
      <c r="I3134">
        <v>-57.5655</v>
      </c>
      <c r="J3134">
        <v>-203.57169999999999</v>
      </c>
      <c r="K3134">
        <v>1.104646</v>
      </c>
      <c r="L3134">
        <v>-57.528840000000002</v>
      </c>
      <c r="M3134">
        <v>0.99986090000000005</v>
      </c>
      <c r="N3134">
        <v>0</v>
      </c>
      <c r="O3134">
        <v>-3.7429070000000002E-3</v>
      </c>
      <c r="P3134">
        <v>0.99218260000000003</v>
      </c>
      <c r="Q3134">
        <v>0.1222375</v>
      </c>
      <c r="R3134">
        <v>2.5143329999999998E-2</v>
      </c>
      <c r="S3134">
        <v>3.0919490000000001</v>
      </c>
      <c r="T3134">
        <v>-0.51506459999999998</v>
      </c>
      <c r="U3134">
        <v>-0.15093989999999999</v>
      </c>
      <c r="V3134">
        <v>-2.884985E-2</v>
      </c>
      <c r="W3134">
        <v>0.1383481</v>
      </c>
      <c r="X3134">
        <v>0.98996340000000005</v>
      </c>
      <c r="Y3134">
        <v>4.446E-2</v>
      </c>
      <c r="Z3134">
        <v>-3.0567020000000001E-3</v>
      </c>
      <c r="AA3134">
        <v>0.99900650000000002</v>
      </c>
      <c r="AB3134">
        <v>34</v>
      </c>
      <c r="AC3134">
        <v>0.58859999999998502</v>
      </c>
      <c r="AD3134">
        <v>-0.1267344</v>
      </c>
      <c r="AE3134">
        <v>-3.6659999999997597E-2</v>
      </c>
      <c r="AF3134">
        <v>3.2935375449132297E-2</v>
      </c>
      <c r="AG3134">
        <v>-0.1267344</v>
      </c>
      <c r="AH3134">
        <v>0.56274477059049299</v>
      </c>
      <c r="AI3134">
        <v>102.670724136009</v>
      </c>
      <c r="AJ3134">
        <v>86.650510271234495</v>
      </c>
      <c r="AK3134">
        <v>0.57777852497845705</v>
      </c>
      <c r="AL3134">
        <v>82.0477310006479</v>
      </c>
      <c r="AM3134">
        <v>91.669260640344106</v>
      </c>
      <c r="AN3134">
        <v>1.0000000219790901</v>
      </c>
    </row>
    <row r="3135" spans="1:40" x14ac:dyDescent="0.3">
      <c r="A3135" t="str">
        <f>"20200111150414488"</f>
        <v>20200111150414488</v>
      </c>
      <c r="B3135" t="str">
        <f>"1578726254481208"</f>
        <v>1578726254481208</v>
      </c>
      <c r="C3135" t="s">
        <v>40</v>
      </c>
      <c r="D3135">
        <v>5.2357709999999997</v>
      </c>
      <c r="E3135">
        <v>0.5233873</v>
      </c>
      <c r="F3135" t="s">
        <v>42</v>
      </c>
      <c r="G3135">
        <v>-202.69659999999999</v>
      </c>
      <c r="H3135">
        <v>0.95796159999999997</v>
      </c>
      <c r="I3135">
        <v>-57.572299999999998</v>
      </c>
      <c r="J3135">
        <v>-203.39279999999999</v>
      </c>
      <c r="K3135">
        <v>1.1047800000000001</v>
      </c>
      <c r="L3135">
        <v>-57.52948</v>
      </c>
      <c r="M3135">
        <v>0.99985119999999905</v>
      </c>
      <c r="N3135">
        <v>0</v>
      </c>
      <c r="O3135">
        <v>-3.7471090000000002E-3</v>
      </c>
      <c r="P3135">
        <v>0.99232739999999997</v>
      </c>
      <c r="Q3135">
        <v>0.121185</v>
      </c>
      <c r="R3135">
        <v>2.4513429999999999E-2</v>
      </c>
      <c r="S3135">
        <v>3.0913849999999998</v>
      </c>
      <c r="T3135">
        <v>-0.51813629999999999</v>
      </c>
      <c r="U3135">
        <v>-0.1530762</v>
      </c>
      <c r="V3135">
        <v>-2.8224849999999999E-2</v>
      </c>
      <c r="W3135">
        <v>0.13787260000000001</v>
      </c>
      <c r="X3135">
        <v>0.99004780000000003</v>
      </c>
      <c r="Y3135">
        <v>4.5137129999999998E-2</v>
      </c>
      <c r="Z3135">
        <v>-3.1307990000000001E-3</v>
      </c>
      <c r="AA3135">
        <v>0.99897590000000003</v>
      </c>
      <c r="AB3135">
        <v>33</v>
      </c>
      <c r="AC3135">
        <v>0.69620000000000404</v>
      </c>
      <c r="AD3135">
        <v>-0.14681839999999899</v>
      </c>
      <c r="AE3135">
        <v>-4.2819999999991802E-2</v>
      </c>
      <c r="AF3135">
        <v>3.8504642346203599E-2</v>
      </c>
      <c r="AG3135">
        <v>-0.14681839999999899</v>
      </c>
      <c r="AH3135">
        <v>0.66681243286603997</v>
      </c>
      <c r="AI3135">
        <v>102.39721425686</v>
      </c>
      <c r="AJ3135">
        <v>86.695163120546795</v>
      </c>
      <c r="AK3135">
        <v>0.68386919120947098</v>
      </c>
      <c r="AL3135">
        <v>82.0752391465454</v>
      </c>
      <c r="AM3135">
        <v>91.632978614858203</v>
      </c>
      <c r="AN3135">
        <v>1.00000007113655</v>
      </c>
    </row>
    <row r="3136" spans="1:40" x14ac:dyDescent="0.3">
      <c r="A3136" t="str">
        <f>"20200111150414498"</f>
        <v>20200111150414498</v>
      </c>
      <c r="B3136" t="str">
        <f>"1578726254491946"</f>
        <v>1578726254491946</v>
      </c>
      <c r="C3136" t="s">
        <v>40</v>
      </c>
      <c r="D3136">
        <v>5.2992330000000001</v>
      </c>
      <c r="E3136">
        <v>0.5240863</v>
      </c>
      <c r="F3136" t="s">
        <v>42</v>
      </c>
      <c r="G3136">
        <v>-202.6678</v>
      </c>
      <c r="H3136">
        <v>1.0154299999999901</v>
      </c>
      <c r="I3136">
        <v>-57.554270000000002</v>
      </c>
      <c r="J3136">
        <v>-203.239</v>
      </c>
      <c r="K3136">
        <v>1.104892</v>
      </c>
      <c r="L3136">
        <v>-57.530090000000001</v>
      </c>
      <c r="M3136">
        <v>0.99984170000000006</v>
      </c>
      <c r="N3136">
        <v>0</v>
      </c>
      <c r="O3136">
        <v>-3.7507059999999999E-3</v>
      </c>
      <c r="P3136">
        <v>0.99251009999999995</v>
      </c>
      <c r="Q3136">
        <v>0.1197203</v>
      </c>
      <c r="R3136">
        <v>2.4311530000000001E-2</v>
      </c>
      <c r="S3136">
        <v>3.072006</v>
      </c>
      <c r="T3136">
        <v>-0.37856230000000002</v>
      </c>
      <c r="U3136">
        <v>-0.10449219999999999</v>
      </c>
      <c r="V3136">
        <v>-2.8026829999999999E-2</v>
      </c>
      <c r="W3136">
        <v>0.13696520000000001</v>
      </c>
      <c r="X3136">
        <v>0.99017929999999998</v>
      </c>
      <c r="Y3136">
        <v>3.0046650000000001E-2</v>
      </c>
      <c r="Z3136">
        <v>-1.3834299999999999E-3</v>
      </c>
      <c r="AA3136">
        <v>0.99954750000000003</v>
      </c>
      <c r="AB3136">
        <v>33</v>
      </c>
      <c r="AC3136">
        <v>0.57120000000000404</v>
      </c>
      <c r="AD3136">
        <v>-8.9462000000000097E-2</v>
      </c>
      <c r="AE3136">
        <v>-2.4179999999994001E-2</v>
      </c>
      <c r="AF3136">
        <v>2.15103924539112E-2</v>
      </c>
      <c r="AG3136">
        <v>-8.9462000000000097E-2</v>
      </c>
      <c r="AH3136">
        <v>0.55763233152472003</v>
      </c>
      <c r="AI3136">
        <v>99.107742253815999</v>
      </c>
      <c r="AJ3136">
        <v>87.790938788298504</v>
      </c>
      <c r="AK3136">
        <v>0.56517250781439898</v>
      </c>
      <c r="AL3136">
        <v>82.127726786185505</v>
      </c>
      <c r="AM3136">
        <v>91.621312865071204</v>
      </c>
      <c r="AN3136">
        <v>1.00000000767968</v>
      </c>
    </row>
    <row r="3137" spans="1:40" x14ac:dyDescent="0.3">
      <c r="A3137" t="str">
        <f>"20200111150414510"</f>
        <v>20200111150414510</v>
      </c>
      <c r="B3137" t="str">
        <f>"1578726254501706"</f>
        <v>1578726254501706</v>
      </c>
      <c r="C3137" t="s">
        <v>40</v>
      </c>
      <c r="D3137">
        <v>5.3204690000000001</v>
      </c>
      <c r="E3137">
        <v>0.52528209999999997</v>
      </c>
      <c r="F3137" t="s">
        <v>42</v>
      </c>
      <c r="G3137">
        <v>-202.38329999999999</v>
      </c>
      <c r="H3137">
        <v>0.99669350000000001</v>
      </c>
      <c r="I3137">
        <v>-57.5610199999999</v>
      </c>
      <c r="J3137">
        <v>-203.06479999999999</v>
      </c>
      <c r="K3137">
        <v>1.10502099999999</v>
      </c>
      <c r="L3137">
        <v>-57.530760000000001</v>
      </c>
      <c r="M3137">
        <v>0.99983029999999995</v>
      </c>
      <c r="N3137">
        <v>0</v>
      </c>
      <c r="O3137">
        <v>-3.7544269999999999E-3</v>
      </c>
      <c r="P3137">
        <v>0.99271940000000003</v>
      </c>
      <c r="Q3137">
        <v>0.1180517</v>
      </c>
      <c r="R3137">
        <v>2.3924109999999998E-2</v>
      </c>
      <c r="S3137">
        <v>3.0722200000000002</v>
      </c>
      <c r="T3137">
        <v>-0.3884881</v>
      </c>
      <c r="U3137">
        <v>-0.11071780000000001</v>
      </c>
      <c r="V3137">
        <v>-2.7644060000000002E-2</v>
      </c>
      <c r="W3137">
        <v>0.13594349999999999</v>
      </c>
      <c r="X3137">
        <v>0.99033079999999996</v>
      </c>
      <c r="Y3137">
        <v>3.2037210000000003E-2</v>
      </c>
      <c r="Z3137">
        <v>-1.544115E-3</v>
      </c>
      <c r="AA3137">
        <v>0.99948550000000003</v>
      </c>
      <c r="AB3137">
        <v>33</v>
      </c>
      <c r="AC3137">
        <v>0.681499999999999</v>
      </c>
      <c r="AD3137">
        <v>-0.10832749999999899</v>
      </c>
      <c r="AE3137">
        <v>-3.02599999999912E-2</v>
      </c>
      <c r="AF3137">
        <v>2.7019385425044899E-2</v>
      </c>
      <c r="AG3137">
        <v>-0.10832749999999899</v>
      </c>
      <c r="AH3137">
        <v>0.66484358123985798</v>
      </c>
      <c r="AI3137">
        <v>99.246767750070603</v>
      </c>
      <c r="AJ3137">
        <v>87.672767934647894</v>
      </c>
      <c r="AK3137">
        <v>0.67415271412405997</v>
      </c>
      <c r="AL3137">
        <v>82.186818245707499</v>
      </c>
      <c r="AM3137">
        <v>91.598937219642593</v>
      </c>
      <c r="AN3137">
        <v>0.99999996133708502</v>
      </c>
    </row>
    <row r="3138" spans="1:40" x14ac:dyDescent="0.3">
      <c r="A3138" t="str">
        <f>"20200111150414522"</f>
        <v>20200111150414522</v>
      </c>
      <c r="B3138" t="str">
        <f>"1578726254511465"</f>
        <v>1578726254511465</v>
      </c>
      <c r="C3138" t="s">
        <v>40</v>
      </c>
      <c r="D3138">
        <v>5.3321990000000001</v>
      </c>
      <c r="E3138">
        <v>0.52580669999999996</v>
      </c>
      <c r="F3138" t="s">
        <v>42</v>
      </c>
      <c r="G3138">
        <v>-202.09899999999999</v>
      </c>
      <c r="H3138">
        <v>0.98358809999999997</v>
      </c>
      <c r="I3138">
        <v>-57.569159999999997</v>
      </c>
      <c r="J3138">
        <v>-202.88910000000001</v>
      </c>
      <c r="K3138">
        <v>1.1051530000000001</v>
      </c>
      <c r="L3138">
        <v>-57.53143</v>
      </c>
      <c r="M3138">
        <v>0.99981699999999996</v>
      </c>
      <c r="N3138">
        <v>0</v>
      </c>
      <c r="O3138">
        <v>-3.7581730000000001E-3</v>
      </c>
      <c r="P3138">
        <v>0.99294559999999998</v>
      </c>
      <c r="Q3138">
        <v>0.1162121</v>
      </c>
      <c r="R3138">
        <v>2.3532529999999999E-2</v>
      </c>
      <c r="S3138">
        <v>3.0708470000000001</v>
      </c>
      <c r="T3138">
        <v>-0.38603270000000001</v>
      </c>
      <c r="U3138">
        <v>-0.1217041</v>
      </c>
      <c r="V3138">
        <v>-2.7256809999999999E-2</v>
      </c>
      <c r="W3138">
        <v>0.13482</v>
      </c>
      <c r="X3138">
        <v>0.99049509999999996</v>
      </c>
      <c r="Y3138">
        <v>3.5594679999999997E-2</v>
      </c>
      <c r="Z3138">
        <v>-1.7571760000000001E-3</v>
      </c>
      <c r="AA3138">
        <v>0.99936480000000005</v>
      </c>
      <c r="AB3138">
        <v>33</v>
      </c>
      <c r="AC3138">
        <v>0.79009999999999503</v>
      </c>
      <c r="AD3138">
        <v>-0.1215649</v>
      </c>
      <c r="AE3138">
        <v>-3.7729999999989099E-2</v>
      </c>
      <c r="AF3138">
        <v>3.3957825751615101E-2</v>
      </c>
      <c r="AG3138">
        <v>-0.1215649</v>
      </c>
      <c r="AH3138">
        <v>0.77200225371542397</v>
      </c>
      <c r="AI3138">
        <v>98.9402103062056</v>
      </c>
      <c r="AJ3138">
        <v>87.481371698944898</v>
      </c>
      <c r="AK3138">
        <v>0.78225228576430605</v>
      </c>
      <c r="AL3138">
        <v>82.251788152914997</v>
      </c>
      <c r="AM3138">
        <v>91.576288615970796</v>
      </c>
      <c r="AN3138">
        <v>0.99999995460769198</v>
      </c>
    </row>
    <row r="3139" spans="1:40" x14ac:dyDescent="0.3">
      <c r="A3139" t="str">
        <f>"20200111150414533"</f>
        <v>20200111150414533</v>
      </c>
      <c r="B3139" t="str">
        <f>"1578726254521225"</f>
        <v>1578726254521225</v>
      </c>
      <c r="C3139" t="s">
        <v>40</v>
      </c>
      <c r="D3139">
        <v>6.0267109999999997</v>
      </c>
      <c r="E3139">
        <v>0.52580669999999996</v>
      </c>
      <c r="F3139" t="s">
        <v>42</v>
      </c>
      <c r="G3139">
        <v>-202.08770000000001</v>
      </c>
      <c r="H3139">
        <v>1.0059549999999999</v>
      </c>
      <c r="I3139">
        <v>-57.564770000000003</v>
      </c>
      <c r="J3139">
        <v>-202.7311</v>
      </c>
      <c r="K3139">
        <v>1.1052759999999999</v>
      </c>
      <c r="L3139">
        <v>-57.531979999999997</v>
      </c>
      <c r="M3139">
        <v>0.99980429999999998</v>
      </c>
      <c r="N3139">
        <v>0</v>
      </c>
      <c r="O3139">
        <v>-3.7616799999999999E-3</v>
      </c>
      <c r="P3139">
        <v>0.99312239999999996</v>
      </c>
      <c r="Q3139">
        <v>0.1147444</v>
      </c>
      <c r="R3139">
        <v>2.3278500000000001E-2</v>
      </c>
      <c r="S3139">
        <v>3.0687869999999999</v>
      </c>
      <c r="T3139">
        <v>-0.37980750000000002</v>
      </c>
      <c r="U3139">
        <v>-0.1272278</v>
      </c>
      <c r="V3139">
        <v>-2.7007090000000001E-2</v>
      </c>
      <c r="W3139">
        <v>0.1340172</v>
      </c>
      <c r="X3139">
        <v>0.99061089999999996</v>
      </c>
      <c r="Y3139">
        <v>3.7407370000000002E-2</v>
      </c>
      <c r="Z3139">
        <v>-1.841405E-3</v>
      </c>
      <c r="AA3139">
        <v>0.99929840000000003</v>
      </c>
      <c r="AB3139">
        <v>33</v>
      </c>
      <c r="AC3139">
        <v>0.64339999999998498</v>
      </c>
      <c r="AD3139">
        <v>-9.9321000000000007E-2</v>
      </c>
      <c r="AE3139">
        <v>-3.2789999999991402E-2</v>
      </c>
      <c r="AF3139">
        <v>2.9663991216552402E-2</v>
      </c>
      <c r="AG3139">
        <v>-9.9321000000000007E-2</v>
      </c>
      <c r="AH3139">
        <v>0.62857872520243196</v>
      </c>
      <c r="AI3139">
        <v>98.969185994050903</v>
      </c>
      <c r="AJ3139">
        <v>87.298092708446902</v>
      </c>
      <c r="AK3139">
        <v>0.63706814956722702</v>
      </c>
      <c r="AL3139">
        <v>82.298206621442404</v>
      </c>
      <c r="AM3139">
        <v>91.561671757913899</v>
      </c>
      <c r="AN3139">
        <v>0.99999997400245799</v>
      </c>
    </row>
    <row r="3140" spans="1:40" x14ac:dyDescent="0.3">
      <c r="A3140" t="str">
        <f>"20200111150414544"</f>
        <v>20200111150414544</v>
      </c>
      <c r="B3140" t="str">
        <f>"1578726254541721"</f>
        <v>1578726254541721</v>
      </c>
      <c r="C3140" t="s">
        <v>40</v>
      </c>
      <c r="D3140">
        <v>5.2345389999999998</v>
      </c>
      <c r="E3140">
        <v>0.52581999999999995</v>
      </c>
      <c r="F3140" t="s">
        <v>42</v>
      </c>
      <c r="G3140">
        <v>-201.8081</v>
      </c>
      <c r="H3140">
        <v>0.98965630000000004</v>
      </c>
      <c r="I3140">
        <v>-57.570639999999997</v>
      </c>
      <c r="J3140">
        <v>-202.56219999999999</v>
      </c>
      <c r="K3140">
        <v>1.105407</v>
      </c>
      <c r="L3140">
        <v>-57.532620000000001</v>
      </c>
      <c r="M3140">
        <v>0.99978940000000005</v>
      </c>
      <c r="N3140">
        <v>0</v>
      </c>
      <c r="O3140">
        <v>-3.7647739999999998E-3</v>
      </c>
      <c r="P3140">
        <v>0.99323229999999996</v>
      </c>
      <c r="Q3140">
        <v>0.1138608</v>
      </c>
      <c r="R3140">
        <v>2.2922419999999999E-2</v>
      </c>
      <c r="S3140">
        <v>3.0681759999999998</v>
      </c>
      <c r="T3140">
        <v>-0.38431539999999997</v>
      </c>
      <c r="U3140">
        <v>-0.12805179999999999</v>
      </c>
      <c r="V3140">
        <v>-2.665476E-2</v>
      </c>
      <c r="W3140">
        <v>0.13387539999999901</v>
      </c>
      <c r="X3140">
        <v>0.99063959999999995</v>
      </c>
      <c r="Y3140">
        <v>3.7672120000000003E-2</v>
      </c>
      <c r="Z3140">
        <v>-1.879567E-3</v>
      </c>
      <c r="AA3140">
        <v>0.99928839999999997</v>
      </c>
      <c r="AB3140">
        <v>32</v>
      </c>
      <c r="AC3140">
        <v>0.754099999999994</v>
      </c>
      <c r="AD3140">
        <v>-0.115750699999999</v>
      </c>
      <c r="AE3140">
        <v>-3.8020000000010101E-2</v>
      </c>
      <c r="AF3140">
        <v>3.4372350981378599E-2</v>
      </c>
      <c r="AG3140">
        <v>-0.115750699999999</v>
      </c>
      <c r="AH3140">
        <v>0.73691945640947498</v>
      </c>
      <c r="AI3140">
        <v>98.917186957974295</v>
      </c>
      <c r="AJ3140">
        <v>87.329471643846801</v>
      </c>
      <c r="AK3140">
        <v>0.74674625429078201</v>
      </c>
      <c r="AL3140">
        <v>82.306404918828505</v>
      </c>
      <c r="AM3140">
        <v>91.541263708521399</v>
      </c>
      <c r="AN3140">
        <v>0.99999995802198705</v>
      </c>
    </row>
    <row r="3141" spans="1:40" x14ac:dyDescent="0.3">
      <c r="A3141" t="str">
        <f>"20200111150414559"</f>
        <v>20200111150414559</v>
      </c>
      <c r="B3141" t="str">
        <f>"1578726254551481"</f>
        <v>1578726254551481</v>
      </c>
      <c r="C3141" t="s">
        <v>40</v>
      </c>
      <c r="D3141">
        <v>5.1688510000000001</v>
      </c>
      <c r="E3141">
        <v>0.52519740000000004</v>
      </c>
      <c r="F3141" t="s">
        <v>42</v>
      </c>
      <c r="G3141">
        <v>-201.79769999999999</v>
      </c>
      <c r="H3141">
        <v>1.010305</v>
      </c>
      <c r="I3141">
        <v>-57.564979999999998</v>
      </c>
      <c r="J3141">
        <v>-202.36969999999999</v>
      </c>
      <c r="K3141">
        <v>1.1055489999999999</v>
      </c>
      <c r="L3141">
        <v>-57.533360000000002</v>
      </c>
      <c r="M3141">
        <v>0.99977139999999998</v>
      </c>
      <c r="N3141">
        <v>0</v>
      </c>
      <c r="O3141">
        <v>-3.7688880000000002E-3</v>
      </c>
      <c r="P3141">
        <v>0.99332419999999999</v>
      </c>
      <c r="Q3141">
        <v>0.11310290000000001</v>
      </c>
      <c r="R3141">
        <v>2.2695480000000001E-2</v>
      </c>
      <c r="S3141">
        <v>3.0671539999999999</v>
      </c>
      <c r="T3141">
        <v>-0.38149929999999999</v>
      </c>
      <c r="U3141">
        <v>-0.12924189999999999</v>
      </c>
      <c r="V3141">
        <v>-2.6432810000000001E-2</v>
      </c>
      <c r="W3141">
        <v>0.13398599999999999</v>
      </c>
      <c r="X3141">
        <v>0.99063060000000003</v>
      </c>
      <c r="Y3141">
        <v>3.8069539999999999E-2</v>
      </c>
      <c r="Z3141">
        <v>-1.8905930000000001E-3</v>
      </c>
      <c r="AA3141">
        <v>0.99927330000000003</v>
      </c>
      <c r="AB3141">
        <v>32</v>
      </c>
      <c r="AC3141">
        <v>0.57200000000000195</v>
      </c>
      <c r="AD3141">
        <v>-9.5243999999999801E-2</v>
      </c>
      <c r="AE3141">
        <v>-3.1620000000010799E-2</v>
      </c>
      <c r="AF3141">
        <v>2.86709910179371E-2</v>
      </c>
      <c r="AG3141">
        <v>-9.5243999999999801E-2</v>
      </c>
      <c r="AH3141">
        <v>0.55672650361671305</v>
      </c>
      <c r="AI3141">
        <v>99.695494711544796</v>
      </c>
      <c r="AJ3141">
        <v>87.051915417489596</v>
      </c>
      <c r="AK3141">
        <v>0.56554208074310497</v>
      </c>
      <c r="AL3141">
        <v>82.300010438744494</v>
      </c>
      <c r="AM3141">
        <v>91.528449840381398</v>
      </c>
      <c r="AN3141">
        <v>0.99999996364842703</v>
      </c>
    </row>
    <row r="3142" spans="1:40" x14ac:dyDescent="0.3">
      <c r="A3142" t="str">
        <f>"20200111150414570"</f>
        <v>20200111150414570</v>
      </c>
      <c r="B3142" t="str">
        <f>"1578726254561243"</f>
        <v>1578726254561243</v>
      </c>
      <c r="C3142" t="s">
        <v>40</v>
      </c>
      <c r="D3142">
        <v>5.1759279999999999</v>
      </c>
      <c r="E3142">
        <v>0.52507689999999996</v>
      </c>
      <c r="F3142" t="s">
        <v>42</v>
      </c>
      <c r="G3142">
        <v>-201.51920000000001</v>
      </c>
      <c r="H3142">
        <v>0.99846040000000003</v>
      </c>
      <c r="I3142">
        <v>-57.568089999999998</v>
      </c>
      <c r="J3142">
        <v>-202.19909999999999</v>
      </c>
      <c r="K3142">
        <v>1.10568</v>
      </c>
      <c r="L3142">
        <v>-57.533999999999999</v>
      </c>
      <c r="M3142">
        <v>0.99975449999999999</v>
      </c>
      <c r="N3142">
        <v>0</v>
      </c>
      <c r="O3142">
        <v>-3.7725150000000002E-3</v>
      </c>
      <c r="P3142">
        <v>0.99335459999999998</v>
      </c>
      <c r="Q3142">
        <v>0.1128078</v>
      </c>
      <c r="R3142">
        <v>2.2828109999999999E-2</v>
      </c>
      <c r="S3142">
        <v>3.066986</v>
      </c>
      <c r="T3142">
        <v>-0.38619530000000002</v>
      </c>
      <c r="U3142">
        <v>-0.1250916</v>
      </c>
      <c r="V3142">
        <v>-2.6568520000000002E-2</v>
      </c>
      <c r="W3142">
        <v>0.134468899999999</v>
      </c>
      <c r="X3142">
        <v>0.99056149999999998</v>
      </c>
      <c r="Y3142">
        <v>3.6722280000000003E-2</v>
      </c>
      <c r="Z3142">
        <v>-1.8289230000000001E-3</v>
      </c>
      <c r="AA3142">
        <v>0.99932379999999998</v>
      </c>
      <c r="AB3142">
        <v>32</v>
      </c>
      <c r="AC3142">
        <v>0.67989999999997497</v>
      </c>
      <c r="AD3142">
        <v>-0.1072196</v>
      </c>
      <c r="AE3142">
        <v>-3.4090000000006102E-2</v>
      </c>
      <c r="AF3142">
        <v>3.0761132612072299E-2</v>
      </c>
      <c r="AG3142">
        <v>-0.1072196</v>
      </c>
      <c r="AH3142">
        <v>0.66356302998789296</v>
      </c>
      <c r="AI3142">
        <v>99.168934827174695</v>
      </c>
      <c r="AJ3142">
        <v>87.345810298427594</v>
      </c>
      <c r="AK3142">
        <v>0.67287308214138697</v>
      </c>
      <c r="AL3142">
        <v>82.272089362777393</v>
      </c>
      <c r="AM3142">
        <v>91.536400497386893</v>
      </c>
      <c r="AN3142">
        <v>0.99999992830222195</v>
      </c>
    </row>
    <row r="3143" spans="1:40" x14ac:dyDescent="0.3">
      <c r="A3143" t="str">
        <f>"20200111150414581"</f>
        <v>20200111150414581</v>
      </c>
      <c r="B3143" t="str">
        <f>"1578726254571509"</f>
        <v>1578726254571509</v>
      </c>
      <c r="C3143" t="s">
        <v>40</v>
      </c>
      <c r="D3143">
        <v>5.1877519999999997</v>
      </c>
      <c r="E3143">
        <v>0.52474359999999998</v>
      </c>
      <c r="F3143" t="s">
        <v>42</v>
      </c>
      <c r="G3143">
        <v>-201.24459999999999</v>
      </c>
      <c r="H3143">
        <v>0.98577619999999999</v>
      </c>
      <c r="I3143">
        <v>-57.572600000000001</v>
      </c>
      <c r="J3143">
        <v>-202.03809999999999</v>
      </c>
      <c r="K3143">
        <v>1.1057920000000001</v>
      </c>
      <c r="L3143">
        <v>-57.534640000000003</v>
      </c>
      <c r="M3143">
        <v>0.99973800000000002</v>
      </c>
      <c r="N3143">
        <v>0</v>
      </c>
      <c r="O3143">
        <v>-3.776494E-3</v>
      </c>
      <c r="P3143">
        <v>0.9933476</v>
      </c>
      <c r="Q3143">
        <v>0.1128299</v>
      </c>
      <c r="R3143">
        <v>2.3023970000000001E-2</v>
      </c>
      <c r="S3143">
        <v>3.0666500000000001</v>
      </c>
      <c r="T3143">
        <v>-0.3851811</v>
      </c>
      <c r="U3143">
        <v>-0.12365719999999999</v>
      </c>
      <c r="V3143">
        <v>-2.676835E-2</v>
      </c>
      <c r="W3143">
        <v>0.13522919999999999</v>
      </c>
      <c r="X3143">
        <v>0.99045269999999996</v>
      </c>
      <c r="Y3143">
        <v>3.6261000000000002E-2</v>
      </c>
      <c r="Z3143">
        <v>-1.7950220000000001E-3</v>
      </c>
      <c r="AA3143">
        <v>0.99934069999999997</v>
      </c>
      <c r="AB3143">
        <v>32</v>
      </c>
      <c r="AC3143">
        <v>0.79349999999999399</v>
      </c>
      <c r="AD3143">
        <v>-0.12001580000000001</v>
      </c>
      <c r="AE3143">
        <v>-3.7959999999998197E-2</v>
      </c>
      <c r="AF3143">
        <v>3.4182146683950601E-2</v>
      </c>
      <c r="AG3143">
        <v>-0.12001580000000001</v>
      </c>
      <c r="AH3143">
        <v>0.77592801265118405</v>
      </c>
      <c r="AI3143">
        <v>98.7840990262102</v>
      </c>
      <c r="AJ3143">
        <v>87.477565908677803</v>
      </c>
      <c r="AK3143">
        <v>0.78589852539521898</v>
      </c>
      <c r="AL3143">
        <v>82.228126506964102</v>
      </c>
      <c r="AM3143">
        <v>91.548120593872397</v>
      </c>
      <c r="AN3143">
        <v>1.00000001601582</v>
      </c>
    </row>
    <row r="3144" spans="1:40" x14ac:dyDescent="0.3">
      <c r="A3144" t="str">
        <f>"20200111150414592"</f>
        <v>20200111150414592</v>
      </c>
      <c r="B3144" t="str">
        <f>"1578726254581269"</f>
        <v>1578726254581269</v>
      </c>
      <c r="C3144" t="s">
        <v>40</v>
      </c>
      <c r="D3144">
        <v>5.1243740000000004</v>
      </c>
      <c r="E3144">
        <v>0.52471690000000004</v>
      </c>
      <c r="F3144" t="s">
        <v>42</v>
      </c>
      <c r="G3144">
        <v>-201.2347</v>
      </c>
      <c r="H3144">
        <v>1.0051079999999999</v>
      </c>
      <c r="I3144">
        <v>-57.566330000000001</v>
      </c>
      <c r="J3144">
        <v>-201.8963</v>
      </c>
      <c r="K3144">
        <v>1.1058950000000001</v>
      </c>
      <c r="L3144">
        <v>-57.535159999999998</v>
      </c>
      <c r="M3144">
        <v>0.99972280000000002</v>
      </c>
      <c r="N3144">
        <v>0</v>
      </c>
      <c r="O3144">
        <v>-3.7797920000000001E-3</v>
      </c>
      <c r="P3144">
        <v>0.99333850000000001</v>
      </c>
      <c r="Q3144">
        <v>0.1128232</v>
      </c>
      <c r="R3144">
        <v>2.3444360000000001E-2</v>
      </c>
      <c r="S3144">
        <v>3.066513</v>
      </c>
      <c r="T3144">
        <v>-0.38424550000000002</v>
      </c>
      <c r="U3144">
        <v>-0.1205444</v>
      </c>
      <c r="V3144">
        <v>-2.7192379999999999E-2</v>
      </c>
      <c r="W3144">
        <v>0.13588020000000001</v>
      </c>
      <c r="X3144">
        <v>0.99035200000000001</v>
      </c>
      <c r="Y3144">
        <v>3.5255679999999998E-2</v>
      </c>
      <c r="Z3144">
        <v>-1.7276769999999999E-3</v>
      </c>
      <c r="AA3144">
        <v>0.99937679999999995</v>
      </c>
      <c r="AB3144">
        <v>32</v>
      </c>
      <c r="AC3144">
        <v>0.66159999999999197</v>
      </c>
      <c r="AD3144">
        <v>-0.100787</v>
      </c>
      <c r="AE3144">
        <v>-3.1170000000010099E-2</v>
      </c>
      <c r="AF3144">
        <v>2.80195824291096E-2</v>
      </c>
      <c r="AG3144">
        <v>-0.100787</v>
      </c>
      <c r="AH3144">
        <v>0.64673755436648594</v>
      </c>
      <c r="AI3144">
        <v>98.849506245417601</v>
      </c>
      <c r="AJ3144">
        <v>87.519240252159193</v>
      </c>
      <c r="AK3144">
        <v>0.65514317564670199</v>
      </c>
      <c r="AL3144">
        <v>82.190479098370503</v>
      </c>
      <c r="AM3144">
        <v>91.572791549853804</v>
      </c>
      <c r="AN3144">
        <v>0.999999969093051</v>
      </c>
    </row>
    <row r="3145" spans="1:40" x14ac:dyDescent="0.3">
      <c r="A3145" t="str">
        <f>"20200111150414602"</f>
        <v>20200111150414602</v>
      </c>
      <c r="B3145" t="str">
        <f>"1578726254592005"</f>
        <v>1578726254592005</v>
      </c>
      <c r="C3145" t="s">
        <v>40</v>
      </c>
      <c r="D3145">
        <v>5.0739799999999997</v>
      </c>
      <c r="E3145">
        <v>0.52449519999999905</v>
      </c>
      <c r="F3145" t="s">
        <v>42</v>
      </c>
      <c r="G3145">
        <v>-200.96520000000001</v>
      </c>
      <c r="H3145">
        <v>0.9899483</v>
      </c>
      <c r="I3145">
        <v>-57.571440000000003</v>
      </c>
      <c r="J3145">
        <v>-201.74170000000001</v>
      </c>
      <c r="K3145">
        <v>1.106001</v>
      </c>
      <c r="L3145">
        <v>-57.5357699999999</v>
      </c>
      <c r="M3145">
        <v>0.99970519999999996</v>
      </c>
      <c r="N3145">
        <v>0</v>
      </c>
      <c r="O3145">
        <v>-3.7834930000000002E-3</v>
      </c>
      <c r="P3145">
        <v>0.99335739999999995</v>
      </c>
      <c r="Q3145">
        <v>0.112494</v>
      </c>
      <c r="R3145">
        <v>2.421212E-2</v>
      </c>
      <c r="S3145">
        <v>3.0662989999999999</v>
      </c>
      <c r="T3145">
        <v>-0.38179400000000002</v>
      </c>
      <c r="U3145">
        <v>-0.11935419999999999</v>
      </c>
      <c r="V3145">
        <v>-2.796386E-2</v>
      </c>
      <c r="W3145">
        <v>0.13628309999999999</v>
      </c>
      <c r="X3145">
        <v>0.99027520000000002</v>
      </c>
      <c r="Y3145">
        <v>3.4873380000000002E-2</v>
      </c>
      <c r="Z3145">
        <v>-1.6927019999999999E-3</v>
      </c>
      <c r="AA3145">
        <v>0.99939029999999995</v>
      </c>
      <c r="AB3145">
        <v>31</v>
      </c>
      <c r="AC3145">
        <v>0.77649999999999797</v>
      </c>
      <c r="AD3145">
        <v>-0.11605269999999999</v>
      </c>
      <c r="AE3145">
        <v>-3.5670000000010298E-2</v>
      </c>
      <c r="AF3145">
        <v>3.2017346941133402E-2</v>
      </c>
      <c r="AG3145">
        <v>-0.11605269999999999</v>
      </c>
      <c r="AH3145">
        <v>0.75969573803360202</v>
      </c>
      <c r="AI3145">
        <v>98.677889612824103</v>
      </c>
      <c r="AJ3145">
        <v>87.586699786972105</v>
      </c>
      <c r="AK3145">
        <v>0.76917550277479496</v>
      </c>
      <c r="AL3145">
        <v>82.167178243034897</v>
      </c>
      <c r="AM3145">
        <v>91.617515501479005</v>
      </c>
      <c r="AN3145">
        <v>1.00000001627337</v>
      </c>
    </row>
    <row r="3146" spans="1:40" x14ac:dyDescent="0.3">
      <c r="A3146" t="str">
        <f>"20200111150414614"</f>
        <v>20200111150414614</v>
      </c>
      <c r="B3146" t="str">
        <f>"1578726254611524"</f>
        <v>1578726254611524</v>
      </c>
      <c r="C3146" t="s">
        <v>40</v>
      </c>
      <c r="D3146">
        <v>4.9968899999999996</v>
      </c>
      <c r="E3146">
        <v>0.52444840000000004</v>
      </c>
      <c r="F3146" t="s">
        <v>42</v>
      </c>
      <c r="G3146">
        <v>-200.95590000000001</v>
      </c>
      <c r="H3146">
        <v>1.008087</v>
      </c>
      <c r="I3146">
        <v>-57.565480000000001</v>
      </c>
      <c r="J3146">
        <v>-201.5949</v>
      </c>
      <c r="K3146">
        <v>1.1060989999999999</v>
      </c>
      <c r="L3146">
        <v>-57.536290000000001</v>
      </c>
      <c r="M3146">
        <v>0.99968800000000002</v>
      </c>
      <c r="N3146">
        <v>0</v>
      </c>
      <c r="O3146">
        <v>-3.787023E-3</v>
      </c>
      <c r="P3146">
        <v>0.99336530000000001</v>
      </c>
      <c r="Q3146">
        <v>0.112210199999999</v>
      </c>
      <c r="R3146">
        <v>2.5191129999999999E-2</v>
      </c>
      <c r="S3146">
        <v>3.0661619999999998</v>
      </c>
      <c r="T3146">
        <v>-0.38201449999999998</v>
      </c>
      <c r="U3146">
        <v>-0.1157837</v>
      </c>
      <c r="V3146">
        <v>-2.8946679999999999E-2</v>
      </c>
      <c r="W3146">
        <v>0.13670539999999901</v>
      </c>
      <c r="X3146">
        <v>0.99018870000000003</v>
      </c>
      <c r="Y3146">
        <v>3.3718049999999999E-2</v>
      </c>
      <c r="Z3146">
        <v>-1.6216689999999901E-3</v>
      </c>
      <c r="AA3146">
        <v>0.99943009999999999</v>
      </c>
      <c r="AB3146">
        <v>31</v>
      </c>
      <c r="AC3146">
        <v>0.63899999999998103</v>
      </c>
      <c r="AD3146">
        <v>-9.8011999999999697E-2</v>
      </c>
      <c r="AE3146">
        <v>-2.9190000000006901E-2</v>
      </c>
      <c r="AF3146">
        <v>2.6155089399529499E-2</v>
      </c>
      <c r="AG3146">
        <v>-9.8011999999999697E-2</v>
      </c>
      <c r="AH3146">
        <v>0.62444558342614098</v>
      </c>
      <c r="AI3146">
        <v>98.912588718730504</v>
      </c>
      <c r="AJ3146">
        <v>87.601551135978198</v>
      </c>
      <c r="AK3146">
        <v>0.63263158908318096</v>
      </c>
      <c r="AL3146">
        <v>82.142753269695604</v>
      </c>
      <c r="AM3146">
        <v>91.674479198394195</v>
      </c>
      <c r="AN3146">
        <v>0.99999996913993505</v>
      </c>
    </row>
    <row r="3147" spans="1:40" x14ac:dyDescent="0.3">
      <c r="A3147" t="str">
        <f>"20200111150414624"</f>
        <v>20200111150414624</v>
      </c>
      <c r="B3147" t="str">
        <f>"1578726254621286"</f>
        <v>1578726254621286</v>
      </c>
      <c r="C3147" t="s">
        <v>40</v>
      </c>
      <c r="D3147">
        <v>4.2475110000000003</v>
      </c>
      <c r="E3147">
        <v>0.52444840000000004</v>
      </c>
      <c r="F3147" t="s">
        <v>42</v>
      </c>
      <c r="G3147">
        <v>-200.68969999999999</v>
      </c>
      <c r="H3147">
        <v>0.99410339999999997</v>
      </c>
      <c r="I3147">
        <v>-57.569740000000003</v>
      </c>
      <c r="J3147">
        <v>-201.45079999999999</v>
      </c>
      <c r="K3147">
        <v>1.106193</v>
      </c>
      <c r="L3147">
        <v>-57.536830000000002</v>
      </c>
      <c r="M3147">
        <v>0.99967010000000001</v>
      </c>
      <c r="N3147">
        <v>0</v>
      </c>
      <c r="O3147">
        <v>-3.790552E-3</v>
      </c>
      <c r="P3147">
        <v>0.99338479999999996</v>
      </c>
      <c r="Q3147">
        <v>0.11185440000000001</v>
      </c>
      <c r="R3147">
        <v>2.5995919999999999E-2</v>
      </c>
      <c r="S3147">
        <v>3.0657350000000001</v>
      </c>
      <c r="T3147">
        <v>-0.3792799</v>
      </c>
      <c r="U3147">
        <v>-0.1127625</v>
      </c>
      <c r="V3147">
        <v>-2.975498E-2</v>
      </c>
      <c r="W3147">
        <v>0.13705400000000001</v>
      </c>
      <c r="X3147">
        <v>0.99011660000000001</v>
      </c>
      <c r="Y3147">
        <v>3.2746770000000001E-2</v>
      </c>
      <c r="Z3147">
        <v>-1.5501239999999999E-3</v>
      </c>
      <c r="AA3147">
        <v>0.99946250000000003</v>
      </c>
      <c r="AB3147">
        <v>31</v>
      </c>
      <c r="AC3147">
        <v>0.761099999999999</v>
      </c>
      <c r="AD3147">
        <v>-0.1120896</v>
      </c>
      <c r="AE3147">
        <v>-3.2910000000001098E-2</v>
      </c>
      <c r="AF3147">
        <v>2.9387632866344299E-2</v>
      </c>
      <c r="AG3147">
        <v>-0.1120896</v>
      </c>
      <c r="AH3147">
        <v>0.74508895528757102</v>
      </c>
      <c r="AI3147">
        <v>98.548751877333402</v>
      </c>
      <c r="AJ3147">
        <v>87.741323361215805</v>
      </c>
      <c r="AK3147">
        <v>0.75404592876373999</v>
      </c>
      <c r="AL3147">
        <v>82.122590579312899</v>
      </c>
      <c r="AM3147">
        <v>91.721334463600698</v>
      </c>
      <c r="AN3147">
        <v>1.00000001967318</v>
      </c>
    </row>
    <row r="3148" spans="1:40" x14ac:dyDescent="0.3">
      <c r="A3148" t="str">
        <f>"20200111150414634"</f>
        <v>20200111150414634</v>
      </c>
      <c r="B3148" t="str">
        <f>"1578726254632022"</f>
        <v>1578726254632022</v>
      </c>
      <c r="C3148" t="s">
        <v>40</v>
      </c>
      <c r="D3148">
        <v>5.1957789999999999</v>
      </c>
      <c r="E3148">
        <v>0.5252658</v>
      </c>
      <c r="F3148" t="s">
        <v>42</v>
      </c>
      <c r="G3148">
        <v>-200.68119999999999</v>
      </c>
      <c r="H3148">
        <v>1.010713</v>
      </c>
      <c r="I3148">
        <v>-57.564790000000002</v>
      </c>
      <c r="J3148">
        <v>-201.30940000000001</v>
      </c>
      <c r="K3148">
        <v>1.106282</v>
      </c>
      <c r="L3148">
        <v>-57.537350000000004</v>
      </c>
      <c r="M3148">
        <v>0.99965210000000004</v>
      </c>
      <c r="N3148">
        <v>0</v>
      </c>
      <c r="O3148">
        <v>-3.793865E-3</v>
      </c>
      <c r="P3148">
        <v>0.99340609999999996</v>
      </c>
      <c r="Q3148">
        <v>0.1114513</v>
      </c>
      <c r="R3148">
        <v>2.6892869999999999E-2</v>
      </c>
      <c r="S3148">
        <v>3.0657040000000002</v>
      </c>
      <c r="T3148">
        <v>-0.38031199999999998</v>
      </c>
      <c r="U3148">
        <v>-0.11071780000000001</v>
      </c>
      <c r="V3148">
        <v>-3.065499E-2</v>
      </c>
      <c r="W3148">
        <v>0.13734779999999999</v>
      </c>
      <c r="X3148">
        <v>0.99004840000000005</v>
      </c>
      <c r="Y3148">
        <v>3.2081940000000003E-2</v>
      </c>
      <c r="Z3148">
        <v>-1.5128590000000001E-3</v>
      </c>
      <c r="AA3148">
        <v>0.99948409999999999</v>
      </c>
      <c r="AB3148">
        <v>31</v>
      </c>
      <c r="AC3148">
        <v>0.62820000000002096</v>
      </c>
      <c r="AD3148">
        <v>-9.5569000000000001E-2</v>
      </c>
      <c r="AE3148">
        <v>-2.74399999999985E-2</v>
      </c>
      <c r="AF3148">
        <v>2.44899679392644E-2</v>
      </c>
      <c r="AG3148">
        <v>-9.5569000000000001E-2</v>
      </c>
      <c r="AH3148">
        <v>0.61411364198622398</v>
      </c>
      <c r="AI3148">
        <v>98.838563392249398</v>
      </c>
      <c r="AJ3148">
        <v>87.716336854928301</v>
      </c>
      <c r="AK3148">
        <v>0.62198774711745797</v>
      </c>
      <c r="AL3148">
        <v>82.1055961373294</v>
      </c>
      <c r="AM3148">
        <v>91.7734896339622</v>
      </c>
      <c r="AN3148">
        <v>0.99999999045965005</v>
      </c>
    </row>
    <row r="3149" spans="1:40" x14ac:dyDescent="0.3">
      <c r="A3149" t="str">
        <f>"20200111150414646"</f>
        <v>20200111150414646</v>
      </c>
      <c r="B3149" t="str">
        <f>"1578726254641781"</f>
        <v>1578726254641781</v>
      </c>
      <c r="C3149" t="s">
        <v>40</v>
      </c>
      <c r="D3149">
        <v>4.9679690000000001</v>
      </c>
      <c r="E3149">
        <v>0.52539639999999999</v>
      </c>
      <c r="F3149" t="s">
        <v>42</v>
      </c>
      <c r="G3149">
        <v>-200.41970000000001</v>
      </c>
      <c r="H3149">
        <v>0.99567649999999996</v>
      </c>
      <c r="I3149">
        <v>-57.57076</v>
      </c>
      <c r="J3149">
        <v>-201.15950000000001</v>
      </c>
      <c r="K3149">
        <v>1.106371</v>
      </c>
      <c r="L3149">
        <v>-57.537930000000003</v>
      </c>
      <c r="M3149">
        <v>0.99963219999999997</v>
      </c>
      <c r="N3149">
        <v>0</v>
      </c>
      <c r="O3149">
        <v>-3.7976749999999999E-3</v>
      </c>
      <c r="P3149">
        <v>0.99338850000000001</v>
      </c>
      <c r="Q3149">
        <v>0.1113084</v>
      </c>
      <c r="R3149">
        <v>2.8108629999999999E-2</v>
      </c>
      <c r="S3149">
        <v>3.0657649999999999</v>
      </c>
      <c r="T3149">
        <v>-0.38112170000000001</v>
      </c>
      <c r="U3149">
        <v>-0.1149292</v>
      </c>
      <c r="V3149">
        <v>-3.1875010000000002E-2</v>
      </c>
      <c r="W3149">
        <v>0.13794529999999999</v>
      </c>
      <c r="X3149">
        <v>0.9899268</v>
      </c>
      <c r="Y3149">
        <v>3.3437149999999999E-2</v>
      </c>
      <c r="Z3149">
        <v>-1.599392E-3</v>
      </c>
      <c r="AA3149">
        <v>0.99943950000000004</v>
      </c>
      <c r="AB3149">
        <v>30</v>
      </c>
      <c r="AC3149">
        <v>0.73980000000000201</v>
      </c>
      <c r="AD3149">
        <v>-0.1106945</v>
      </c>
      <c r="AE3149">
        <v>-3.2829999999997E-2</v>
      </c>
      <c r="AF3149">
        <v>2.9363127730840901E-2</v>
      </c>
      <c r="AG3149">
        <v>-0.1106945</v>
      </c>
      <c r="AH3149">
        <v>0.72374766482466002</v>
      </c>
      <c r="AI3149">
        <v>98.6887489074863</v>
      </c>
      <c r="AJ3149">
        <v>87.676730142323194</v>
      </c>
      <c r="AK3149">
        <v>0.73275244655991201</v>
      </c>
      <c r="AL3149">
        <v>82.071032956980801</v>
      </c>
      <c r="AM3149">
        <v>91.844250269308603</v>
      </c>
      <c r="AN3149">
        <v>0.99999999570641496</v>
      </c>
    </row>
    <row r="3150" spans="1:40" x14ac:dyDescent="0.3">
      <c r="A3150" t="str">
        <f>"20200111150414658"</f>
        <v>20200111150414658</v>
      </c>
      <c r="B3150" t="str">
        <f>"1578726254651541"</f>
        <v>1578726254651541</v>
      </c>
      <c r="C3150" t="s">
        <v>40</v>
      </c>
      <c r="D3150">
        <v>4.9075179999999996</v>
      </c>
      <c r="E3150">
        <v>0.52533560000000001</v>
      </c>
      <c r="F3150" t="s">
        <v>42</v>
      </c>
      <c r="G3150">
        <v>-200.41050000000001</v>
      </c>
      <c r="H3150">
        <v>1.0135780000000001</v>
      </c>
      <c r="I3150">
        <v>-57.56541</v>
      </c>
      <c r="J3150">
        <v>-201.00710000000001</v>
      </c>
      <c r="K3150">
        <v>1.106449</v>
      </c>
      <c r="L3150">
        <v>-57.538510000000002</v>
      </c>
      <c r="M3150">
        <v>0.99961160000000004</v>
      </c>
      <c r="N3150">
        <v>0</v>
      </c>
      <c r="O3150">
        <v>-3.8011170000000001E-3</v>
      </c>
      <c r="P3150">
        <v>0.99341080000000004</v>
      </c>
      <c r="Q3150">
        <v>0.1107858</v>
      </c>
      <c r="R3150">
        <v>2.9354669999999999E-2</v>
      </c>
      <c r="S3150">
        <v>3.0656889999999999</v>
      </c>
      <c r="T3150">
        <v>-0.37973000000000001</v>
      </c>
      <c r="U3150">
        <v>-0.1122131</v>
      </c>
      <c r="V3150">
        <v>-3.3124359999999999E-2</v>
      </c>
      <c r="W3150">
        <v>0.13816909999999999</v>
      </c>
      <c r="X3150">
        <v>0.98985460000000003</v>
      </c>
      <c r="Y3150">
        <v>3.2558669999999998E-2</v>
      </c>
      <c r="Z3150">
        <v>-1.5390460000000001E-3</v>
      </c>
      <c r="AA3150">
        <v>0.99946860000000004</v>
      </c>
      <c r="AB3150">
        <v>30</v>
      </c>
      <c r="AC3150">
        <v>0.59659999999999502</v>
      </c>
      <c r="AD3150">
        <v>-9.2870999999999898E-2</v>
      </c>
      <c r="AE3150">
        <v>-2.6900000000004799E-2</v>
      </c>
      <c r="AF3150">
        <v>2.4049600819048899E-2</v>
      </c>
      <c r="AG3150">
        <v>-9.2870999999999898E-2</v>
      </c>
      <c r="AH3150">
        <v>0.58260869947760197</v>
      </c>
      <c r="AI3150">
        <v>99.049479708936303</v>
      </c>
      <c r="AJ3150">
        <v>87.636220039144405</v>
      </c>
      <c r="AK3150">
        <v>0.59045431884908595</v>
      </c>
      <c r="AL3150">
        <v>82.058086430883804</v>
      </c>
      <c r="AM3150">
        <v>91.916622972691201</v>
      </c>
      <c r="AN3150">
        <v>1.0000000262806801</v>
      </c>
    </row>
    <row r="3151" spans="1:40" x14ac:dyDescent="0.3">
      <c r="A3151" t="str">
        <f>"20200111150414669"</f>
        <v>20200111150414669</v>
      </c>
      <c r="B3151" t="str">
        <f>"1578726254661302"</f>
        <v>1578726254661302</v>
      </c>
      <c r="C3151" t="s">
        <v>40</v>
      </c>
      <c r="D3151">
        <v>4.9148899999999998</v>
      </c>
      <c r="E3151">
        <v>0.52506850000000005</v>
      </c>
      <c r="F3151" t="s">
        <v>42</v>
      </c>
      <c r="G3151">
        <v>-200.15209999999999</v>
      </c>
      <c r="H3151">
        <v>1.0005489999999999</v>
      </c>
      <c r="I3151">
        <v>-57.568809999999999</v>
      </c>
      <c r="J3151">
        <v>-200.85509999999999</v>
      </c>
      <c r="K3151">
        <v>1.106527</v>
      </c>
      <c r="L3151">
        <v>-57.539090000000002</v>
      </c>
      <c r="M3151">
        <v>0.9995908</v>
      </c>
      <c r="N3151">
        <v>0</v>
      </c>
      <c r="O3151">
        <v>-3.8046540000000002E-3</v>
      </c>
      <c r="P3151">
        <v>0.99343309999999996</v>
      </c>
      <c r="Q3151">
        <v>0.11031059999999999</v>
      </c>
      <c r="R3151">
        <v>3.0371530000000001E-2</v>
      </c>
      <c r="S3151">
        <v>3.0654300000000001</v>
      </c>
      <c r="T3151">
        <v>-0.3796562</v>
      </c>
      <c r="U3151">
        <v>-0.10815429999999999</v>
      </c>
      <c r="V3151">
        <v>-3.4144929999999997E-2</v>
      </c>
      <c r="W3151">
        <v>0.138436</v>
      </c>
      <c r="X3151">
        <v>0.98978259999999996</v>
      </c>
      <c r="Y3151">
        <v>3.124654E-2</v>
      </c>
      <c r="Z3151">
        <v>-1.457547E-3</v>
      </c>
      <c r="AA3151">
        <v>0.99951060000000003</v>
      </c>
      <c r="AB3151">
        <v>30</v>
      </c>
      <c r="AC3151">
        <v>0.70300000000000296</v>
      </c>
      <c r="AD3151">
        <v>-0.105978</v>
      </c>
      <c r="AE3151">
        <v>-2.9719999999997498E-2</v>
      </c>
      <c r="AF3151">
        <v>2.6444143051797101E-2</v>
      </c>
      <c r="AG3151">
        <v>-0.105978</v>
      </c>
      <c r="AH3151">
        <v>0.68751159357457603</v>
      </c>
      <c r="AI3151">
        <v>98.756637787444205</v>
      </c>
      <c r="AJ3151">
        <v>87.797286215192401</v>
      </c>
      <c r="AK3151">
        <v>0.69613419718126002</v>
      </c>
      <c r="AL3151">
        <v>82.042645583598201</v>
      </c>
      <c r="AM3151">
        <v>91.975772119332504</v>
      </c>
      <c r="AN3151">
        <v>0.99999999880173196</v>
      </c>
    </row>
    <row r="3152" spans="1:40" x14ac:dyDescent="0.3">
      <c r="A3152" t="str">
        <f>"20200111150414679"</f>
        <v>20200111150414679</v>
      </c>
      <c r="B3152" t="str">
        <f>"1578726254671568"</f>
        <v>1578726254671568</v>
      </c>
      <c r="C3152" t="s">
        <v>40</v>
      </c>
      <c r="D3152">
        <v>4.9486790000000003</v>
      </c>
      <c r="E3152">
        <v>0.52490159999999997</v>
      </c>
      <c r="F3152" t="s">
        <v>42</v>
      </c>
      <c r="G3152">
        <v>-199.89789999999999</v>
      </c>
      <c r="H3152">
        <v>0.98783989999999999</v>
      </c>
      <c r="I3152">
        <v>-57.571289999999998</v>
      </c>
      <c r="J3152">
        <v>-200.7141</v>
      </c>
      <c r="K3152">
        <v>1.1065849999999999</v>
      </c>
      <c r="L3152">
        <v>-57.539639999999999</v>
      </c>
      <c r="M3152">
        <v>0.9995714</v>
      </c>
      <c r="N3152">
        <v>0</v>
      </c>
      <c r="O3152">
        <v>-3.808278E-3</v>
      </c>
      <c r="P3152">
        <v>0.99339840000000001</v>
      </c>
      <c r="Q3152">
        <v>0.110245</v>
      </c>
      <c r="R3152">
        <v>3.1718250000000003E-2</v>
      </c>
      <c r="S3152">
        <v>3.0651860000000002</v>
      </c>
      <c r="T3152">
        <v>-0.3800772</v>
      </c>
      <c r="U3152">
        <v>-0.1029663</v>
      </c>
      <c r="V3152">
        <v>-3.5495029999999997E-2</v>
      </c>
      <c r="W3152">
        <v>0.13903190000000001</v>
      </c>
      <c r="X3152">
        <v>0.98965159999999996</v>
      </c>
      <c r="Y3152">
        <v>2.9568239999999999E-2</v>
      </c>
      <c r="Z3152">
        <v>-1.3552239999999999E-3</v>
      </c>
      <c r="AA3152">
        <v>0.99956179999999994</v>
      </c>
      <c r="AB3152">
        <v>30</v>
      </c>
      <c r="AC3152">
        <v>0.81620000000000903</v>
      </c>
      <c r="AD3152">
        <v>-0.11874509999999899</v>
      </c>
      <c r="AE3152">
        <v>-3.1649999999998998E-2</v>
      </c>
      <c r="AF3152">
        <v>2.7949454405182501E-2</v>
      </c>
      <c r="AG3152">
        <v>-0.11874509999999899</v>
      </c>
      <c r="AH3152">
        <v>0.79941957170952205</v>
      </c>
      <c r="AI3152">
        <v>98.443804500453496</v>
      </c>
      <c r="AJ3152">
        <v>87.997629999394505</v>
      </c>
      <c r="AK3152">
        <v>0.80867374287025895</v>
      </c>
      <c r="AL3152">
        <v>82.008169868708094</v>
      </c>
      <c r="AM3152">
        <v>92.054100694846895</v>
      </c>
      <c r="AN3152">
        <v>1.0000000278774299</v>
      </c>
    </row>
    <row r="3153" spans="1:40" x14ac:dyDescent="0.3">
      <c r="A3153" t="str">
        <f>"20200111150414690"</f>
        <v>20200111150414690</v>
      </c>
      <c r="B3153" t="str">
        <f>"1578726254681328"</f>
        <v>1578726254681328</v>
      </c>
      <c r="C3153" t="s">
        <v>40</v>
      </c>
      <c r="D3153">
        <v>4.714658</v>
      </c>
      <c r="E3153">
        <v>0.52490159999999997</v>
      </c>
      <c r="F3153" t="s">
        <v>42</v>
      </c>
      <c r="G3153">
        <v>-199.88919999999999</v>
      </c>
      <c r="H3153">
        <v>1.00457</v>
      </c>
      <c r="I3153">
        <v>-57.566009999999999</v>
      </c>
      <c r="J3153">
        <v>-200.58330000000001</v>
      </c>
      <c r="K3153">
        <v>1.106643</v>
      </c>
      <c r="L3153">
        <v>-57.540129999999998</v>
      </c>
      <c r="M3153">
        <v>0.99955340000000004</v>
      </c>
      <c r="N3153">
        <v>0</v>
      </c>
      <c r="O3153">
        <v>-3.8115919999999999E-3</v>
      </c>
      <c r="P3153">
        <v>0.99339429999999995</v>
      </c>
      <c r="Q3153">
        <v>0.10994139999999999</v>
      </c>
      <c r="R3153">
        <v>3.2874630000000002E-2</v>
      </c>
      <c r="S3153">
        <v>3.0651250000000001</v>
      </c>
      <c r="T3153">
        <v>-0.37905729999999999</v>
      </c>
      <c r="U3153">
        <v>-9.7808839999999994E-2</v>
      </c>
      <c r="V3153">
        <v>-3.6654770000000003E-2</v>
      </c>
      <c r="W3153">
        <v>0.139339299999999</v>
      </c>
      <c r="X3153">
        <v>0.9895661</v>
      </c>
      <c r="Y3153">
        <v>2.7899150000000001E-2</v>
      </c>
      <c r="Z3153">
        <v>-1.248472E-3</v>
      </c>
      <c r="AA3153">
        <v>0.99960990000000005</v>
      </c>
      <c r="AB3153">
        <v>30</v>
      </c>
      <c r="AC3153">
        <v>0.69410000000002003</v>
      </c>
      <c r="AD3153">
        <v>-0.102073</v>
      </c>
      <c r="AE3153">
        <v>-2.5879999999993599E-2</v>
      </c>
      <c r="AF3153">
        <v>2.2741888060818501E-2</v>
      </c>
      <c r="AG3153">
        <v>-0.102073</v>
      </c>
      <c r="AH3153">
        <v>0.67951872066851304</v>
      </c>
      <c r="AI3153">
        <v>98.538028360342693</v>
      </c>
      <c r="AJ3153">
        <v>88.083160924854397</v>
      </c>
      <c r="AK3153">
        <v>0.68751856886963003</v>
      </c>
      <c r="AL3153">
        <v>81.990384118187293</v>
      </c>
      <c r="AM3153">
        <v>92.121337722619202</v>
      </c>
      <c r="AN3153">
        <v>1.0000000394787201</v>
      </c>
    </row>
    <row r="3154" spans="1:40" x14ac:dyDescent="0.3">
      <c r="A3154" t="str">
        <f>"20200111150414702"</f>
        <v>20200111150414702</v>
      </c>
      <c r="B3154" t="str">
        <f>"1578726254692064"</f>
        <v>1578726254692064</v>
      </c>
      <c r="C3154" t="s">
        <v>40</v>
      </c>
      <c r="D3154">
        <v>4.954402</v>
      </c>
      <c r="E3154">
        <v>0.52485130000000002</v>
      </c>
      <c r="F3154" t="s">
        <v>42</v>
      </c>
      <c r="G3154">
        <v>-199.6403</v>
      </c>
      <c r="H3154">
        <v>0.98977420000000005</v>
      </c>
      <c r="I3154">
        <v>-57.569420000000001</v>
      </c>
      <c r="J3154">
        <v>-200.4204</v>
      </c>
      <c r="K3154">
        <v>1.1067009999999999</v>
      </c>
      <c r="L3154">
        <v>-57.540770000000002</v>
      </c>
      <c r="M3154">
        <v>0.99953150000000002</v>
      </c>
      <c r="N3154">
        <v>0</v>
      </c>
      <c r="O3154">
        <v>-3.8157310000000002E-3</v>
      </c>
      <c r="P3154">
        <v>0.99345890000000003</v>
      </c>
      <c r="Q3154">
        <v>0.1090735</v>
      </c>
      <c r="R3154">
        <v>3.380155E-2</v>
      </c>
      <c r="S3154">
        <v>3.0651250000000001</v>
      </c>
      <c r="T3154">
        <v>-0.3798918</v>
      </c>
      <c r="U3154">
        <v>-9.4696039999999995E-2</v>
      </c>
      <c r="V3154">
        <v>-3.7586500000000002E-2</v>
      </c>
      <c r="W3154">
        <v>0.13919619999999999</v>
      </c>
      <c r="X3154">
        <v>0.98955119999999996</v>
      </c>
      <c r="Y3154">
        <v>2.6887709999999999E-2</v>
      </c>
      <c r="Z3154">
        <v>-1.1882730000000001E-3</v>
      </c>
      <c r="AA3154">
        <v>0.99963780000000002</v>
      </c>
      <c r="AB3154">
        <v>29</v>
      </c>
      <c r="AC3154">
        <v>0.78010000000000401</v>
      </c>
      <c r="AD3154">
        <v>-0.116926799999999</v>
      </c>
      <c r="AE3154">
        <v>-2.8649999999998899E-2</v>
      </c>
      <c r="AF3154">
        <v>2.5108437275741601E-2</v>
      </c>
      <c r="AG3154">
        <v>-0.116926799999999</v>
      </c>
      <c r="AH3154">
        <v>0.76308327819118904</v>
      </c>
      <c r="AI3154">
        <v>98.706999395101903</v>
      </c>
      <c r="AJ3154">
        <v>88.115423721315196</v>
      </c>
      <c r="AK3154">
        <v>0.77239782472226104</v>
      </c>
      <c r="AL3154">
        <v>81.998663129164399</v>
      </c>
      <c r="AM3154">
        <v>92.175241709984405</v>
      </c>
      <c r="AN3154">
        <v>0.99999995224906302</v>
      </c>
    </row>
    <row r="3155" spans="1:40" x14ac:dyDescent="0.3">
      <c r="A3155" t="str">
        <f>"20200111150414714"</f>
        <v>20200111150414714</v>
      </c>
      <c r="B3155" t="str">
        <f>"1578726254711584"</f>
        <v>1578726254711584</v>
      </c>
      <c r="C3155" t="s">
        <v>40</v>
      </c>
      <c r="D3155">
        <v>4.9648919999999999</v>
      </c>
      <c r="E3155">
        <v>0.52466489999999999</v>
      </c>
      <c r="F3155" t="s">
        <v>42</v>
      </c>
      <c r="G3155">
        <v>-199.63069999999999</v>
      </c>
      <c r="H3155">
        <v>1.0084519999999999</v>
      </c>
      <c r="I3155">
        <v>-57.564500000000002</v>
      </c>
      <c r="J3155">
        <v>-200.2724</v>
      </c>
      <c r="K3155">
        <v>1.1067480000000001</v>
      </c>
      <c r="L3155">
        <v>-57.541350000000001</v>
      </c>
      <c r="M3155">
        <v>0.9995117</v>
      </c>
      <c r="N3155">
        <v>0</v>
      </c>
      <c r="O3155">
        <v>-3.8194779999999998E-3</v>
      </c>
      <c r="P3155">
        <v>0.99347549999999996</v>
      </c>
      <c r="Q3155">
        <v>0.10870009999999999</v>
      </c>
      <c r="R3155">
        <v>3.4509749999999999E-2</v>
      </c>
      <c r="S3155">
        <v>3.0646969999999998</v>
      </c>
      <c r="T3155">
        <v>-0.38120939999999998</v>
      </c>
      <c r="U3155">
        <v>-9.1461180000000003E-2</v>
      </c>
      <c r="V3155">
        <v>-3.8298499999999999E-2</v>
      </c>
      <c r="W3155">
        <v>0.13945829999999901</v>
      </c>
      <c r="X3155">
        <v>0.98948709999999995</v>
      </c>
      <c r="Y3155">
        <v>2.5840809999999999E-2</v>
      </c>
      <c r="Z3155">
        <v>-1.1272260000000001E-3</v>
      </c>
      <c r="AA3155">
        <v>0.99966540000000004</v>
      </c>
      <c r="AB3155">
        <v>29</v>
      </c>
      <c r="AC3155">
        <v>0.64170000000001404</v>
      </c>
      <c r="AD3155">
        <v>-9.8295999999999897E-2</v>
      </c>
      <c r="AE3155">
        <v>-2.31500000000011E-2</v>
      </c>
      <c r="AF3155">
        <v>2.0223772579890199E-2</v>
      </c>
      <c r="AG3155">
        <v>-9.8295999999999897E-2</v>
      </c>
      <c r="AH3155">
        <v>0.62708870577793097</v>
      </c>
      <c r="AI3155">
        <v>98.904053347338007</v>
      </c>
      <c r="AJ3155">
        <v>88.152836546888494</v>
      </c>
      <c r="AK3155">
        <v>0.63506798809859999</v>
      </c>
      <c r="AL3155">
        <v>81.9834988334309</v>
      </c>
      <c r="AM3155">
        <v>92.216549976196404</v>
      </c>
      <c r="AN3155">
        <v>1.0000000568037699</v>
      </c>
    </row>
    <row r="3156" spans="1:40" x14ac:dyDescent="0.3">
      <c r="A3156" t="str">
        <f>"20200111150414726"</f>
        <v>20200111150414726</v>
      </c>
      <c r="B3156" t="str">
        <f>"1578726254721344"</f>
        <v>1578726254721344</v>
      </c>
      <c r="C3156" t="s">
        <v>40</v>
      </c>
      <c r="D3156">
        <v>4.9037959999999998</v>
      </c>
      <c r="E3156">
        <v>0.52452959999999904</v>
      </c>
      <c r="F3156" t="s">
        <v>42</v>
      </c>
      <c r="G3156">
        <v>-199.3845</v>
      </c>
      <c r="H3156">
        <v>0.99653329999999996</v>
      </c>
      <c r="I3156">
        <v>-57.56671</v>
      </c>
      <c r="J3156">
        <v>-200.11850000000001</v>
      </c>
      <c r="K3156">
        <v>1.106792</v>
      </c>
      <c r="L3156">
        <v>-57.541899999999998</v>
      </c>
      <c r="M3156">
        <v>0.99949149999999998</v>
      </c>
      <c r="N3156">
        <v>0</v>
      </c>
      <c r="O3156">
        <v>-3.8234279999999998E-3</v>
      </c>
      <c r="P3156">
        <v>0.99355689999999997</v>
      </c>
      <c r="Q3156">
        <v>0.1079191</v>
      </c>
      <c r="R3156">
        <v>3.4617439999999999E-2</v>
      </c>
      <c r="S3156">
        <v>3.064346</v>
      </c>
      <c r="T3156">
        <v>-0.3803724</v>
      </c>
      <c r="U3156">
        <v>-8.7432860000000001E-2</v>
      </c>
      <c r="V3156">
        <v>-3.8410630000000001E-2</v>
      </c>
      <c r="W3156">
        <v>0.1393152</v>
      </c>
      <c r="X3156">
        <v>0.98950280000000002</v>
      </c>
      <c r="Y3156">
        <v>2.4537880000000001E-2</v>
      </c>
      <c r="Z3156">
        <v>-1.043881E-3</v>
      </c>
      <c r="AA3156">
        <v>0.99969830000000004</v>
      </c>
      <c r="AB3156">
        <v>29</v>
      </c>
      <c r="AC3156">
        <v>0.73400000000000798</v>
      </c>
      <c r="AD3156">
        <v>-0.110258699999999</v>
      </c>
      <c r="AE3156">
        <v>-2.4810000000002198E-2</v>
      </c>
      <c r="AF3156">
        <v>2.1517039116710199E-2</v>
      </c>
      <c r="AG3156">
        <v>-0.110258699999999</v>
      </c>
      <c r="AH3156">
        <v>0.71790848279431896</v>
      </c>
      <c r="AI3156">
        <v>98.727586500488599</v>
      </c>
      <c r="AJ3156">
        <v>88.283253923442203</v>
      </c>
      <c r="AK3156">
        <v>0.72664472307041506</v>
      </c>
      <c r="AL3156">
        <v>81.991777796262795</v>
      </c>
      <c r="AM3156">
        <v>92.222997833141804</v>
      </c>
      <c r="AN3156">
        <v>0.99999994632793698</v>
      </c>
    </row>
    <row r="3157" spans="1:40" x14ac:dyDescent="0.3">
      <c r="A3157" t="str">
        <f>"20200111150414738"</f>
        <v>20200111150414738</v>
      </c>
      <c r="B3157" t="str">
        <f>"1578726254732081"</f>
        <v>1578726254732081</v>
      </c>
      <c r="C3157" t="s">
        <v>40</v>
      </c>
      <c r="D3157">
        <v>4.9099269999999997</v>
      </c>
      <c r="E3157">
        <v>0.524532</v>
      </c>
      <c r="F3157" t="s">
        <v>42</v>
      </c>
      <c r="G3157">
        <v>-199.37540000000001</v>
      </c>
      <c r="H3157">
        <v>1.0141100000000001</v>
      </c>
      <c r="I3157">
        <v>-57.562660000000001</v>
      </c>
      <c r="J3157">
        <v>-199.9658</v>
      </c>
      <c r="K3157">
        <v>1.1068260000000001</v>
      </c>
      <c r="L3157">
        <v>-57.542479999999998</v>
      </c>
      <c r="M3157">
        <v>0.99947260000000004</v>
      </c>
      <c r="N3157">
        <v>0</v>
      </c>
      <c r="O3157">
        <v>-3.8273880000000001E-3</v>
      </c>
      <c r="P3157">
        <v>0.99363849999999998</v>
      </c>
      <c r="Q3157">
        <v>0.10716340000000001</v>
      </c>
      <c r="R3157">
        <v>3.4618709999999997E-2</v>
      </c>
      <c r="S3157">
        <v>3.0639340000000002</v>
      </c>
      <c r="T3157">
        <v>-0.38212980000000002</v>
      </c>
      <c r="U3157">
        <v>-8.5479739999999999E-2</v>
      </c>
      <c r="V3157">
        <v>-3.8415789999999998E-2</v>
      </c>
      <c r="W3157">
        <v>0.13914849999999901</v>
      </c>
      <c r="X3157">
        <v>0.98952609999999996</v>
      </c>
      <c r="Y3157">
        <v>2.3904330000000001E-2</v>
      </c>
      <c r="Z3157">
        <v>-1.0089669999999999E-3</v>
      </c>
      <c r="AA3157">
        <v>0.99971370000000004</v>
      </c>
      <c r="AB3157">
        <v>29</v>
      </c>
      <c r="AC3157">
        <v>0.59039999999998805</v>
      </c>
      <c r="AD3157">
        <v>-9.2716000000000007E-2</v>
      </c>
      <c r="AE3157">
        <v>-2.0179999999996302E-2</v>
      </c>
      <c r="AF3157">
        <v>1.7488207000685499E-2</v>
      </c>
      <c r="AG3157">
        <v>-9.2716000000000007E-2</v>
      </c>
      <c r="AH3157">
        <v>0.57627775036736095</v>
      </c>
      <c r="AI3157">
        <v>99.135727029137598</v>
      </c>
      <c r="AJ3157">
        <v>88.261787773917405</v>
      </c>
      <c r="AK3157">
        <v>0.58395045989241601</v>
      </c>
      <c r="AL3157">
        <v>82.0014233026928</v>
      </c>
      <c r="AM3157">
        <v>92.223243867555198</v>
      </c>
      <c r="AN3157">
        <v>0.99999999027739195</v>
      </c>
    </row>
    <row r="3158" spans="1:40" x14ac:dyDescent="0.3">
      <c r="A3158" t="str">
        <f>"20200111150414750"</f>
        <v>20200111150414750</v>
      </c>
      <c r="B3158" t="str">
        <f>"1578726254741840"</f>
        <v>1578726254741840</v>
      </c>
      <c r="C3158" t="s">
        <v>40</v>
      </c>
      <c r="D3158">
        <v>4.8746809999999998</v>
      </c>
      <c r="E3158">
        <v>0.52452010000000004</v>
      </c>
      <c r="F3158" t="s">
        <v>42</v>
      </c>
      <c r="G3158">
        <v>-199.13339999999999</v>
      </c>
      <c r="H3158">
        <v>1.0024550000000001</v>
      </c>
      <c r="I3158">
        <v>-57.5657</v>
      </c>
      <c r="J3158">
        <v>-199.8152</v>
      </c>
      <c r="K3158">
        <v>1.106857</v>
      </c>
      <c r="L3158">
        <v>-57.543059999999997</v>
      </c>
      <c r="M3158">
        <v>0.99945439999999997</v>
      </c>
      <c r="N3158">
        <v>0</v>
      </c>
      <c r="O3158">
        <v>-3.8310089999999998E-3</v>
      </c>
      <c r="P3158">
        <v>0.99375869999999999</v>
      </c>
      <c r="Q3158">
        <v>0.10620889999999999</v>
      </c>
      <c r="R3158">
        <v>3.4112709999999997E-2</v>
      </c>
      <c r="S3158">
        <v>3.0635829999999999</v>
      </c>
      <c r="T3158">
        <v>-0.38411899999999999</v>
      </c>
      <c r="U3158">
        <v>-8.4899899999999903E-2</v>
      </c>
      <c r="V3158">
        <v>-3.7914450000000002E-2</v>
      </c>
      <c r="W3158">
        <v>0.13875379999999901</v>
      </c>
      <c r="X3158">
        <v>0.98960090000000001</v>
      </c>
      <c r="Y3158">
        <v>2.371463E-2</v>
      </c>
      <c r="Z3158">
        <v>-1.001991E-3</v>
      </c>
      <c r="AA3158">
        <v>0.9997182</v>
      </c>
      <c r="AB3158">
        <v>28</v>
      </c>
      <c r="AC3158">
        <v>0.68180000000000895</v>
      </c>
      <c r="AD3158">
        <v>-0.10440199999999999</v>
      </c>
      <c r="AE3158">
        <v>-2.2640000000002599E-2</v>
      </c>
      <c r="AF3158">
        <v>1.9568119461720799E-2</v>
      </c>
      <c r="AG3158">
        <v>-0.10440199999999999</v>
      </c>
      <c r="AH3158">
        <v>0.666276212749906</v>
      </c>
      <c r="AI3158">
        <v>98.901756937505795</v>
      </c>
      <c r="AJ3158">
        <v>88.317742035102</v>
      </c>
      <c r="AK3158">
        <v>0.67469006260625097</v>
      </c>
      <c r="AL3158">
        <v>82.024259809748898</v>
      </c>
      <c r="AM3158">
        <v>92.194092583333699</v>
      </c>
      <c r="AN3158">
        <v>1.0000000319070199</v>
      </c>
    </row>
    <row r="3159" spans="1:40" x14ac:dyDescent="0.3">
      <c r="A3159" t="str">
        <f>"20200111150414768"</f>
        <v>20200111150414768</v>
      </c>
      <c r="B3159" t="str">
        <f>"1578726254761360"</f>
        <v>1578726254761360</v>
      </c>
      <c r="C3159" t="s">
        <v>40</v>
      </c>
      <c r="D3159">
        <v>4.8089199999999996</v>
      </c>
      <c r="E3159">
        <v>0.52473449999999999</v>
      </c>
      <c r="F3159" t="s">
        <v>42</v>
      </c>
      <c r="G3159">
        <v>-198.8955</v>
      </c>
      <c r="H3159">
        <v>0.99083359999999998</v>
      </c>
      <c r="I3159">
        <v>-57.569029999999998</v>
      </c>
      <c r="J3159">
        <v>-199.6276</v>
      </c>
      <c r="K3159">
        <v>1.106881</v>
      </c>
      <c r="L3159">
        <v>-57.543819999999997</v>
      </c>
      <c r="M3159">
        <v>0.99943349999999997</v>
      </c>
      <c r="N3159">
        <v>0</v>
      </c>
      <c r="O3159">
        <v>-3.8358760000000002E-3</v>
      </c>
      <c r="P3159">
        <v>0.99394729999999998</v>
      </c>
      <c r="Q3159">
        <v>0.1047448</v>
      </c>
      <c r="R3159">
        <v>3.3127129999999998E-2</v>
      </c>
      <c r="S3159">
        <v>3.063126</v>
      </c>
      <c r="T3159">
        <v>-0.38645170000000001</v>
      </c>
      <c r="U3159">
        <v>-8.6486820000000006E-2</v>
      </c>
      <c r="V3159">
        <v>-3.6933979999999998E-2</v>
      </c>
      <c r="W3159">
        <v>0.13791639999999999</v>
      </c>
      <c r="X3159">
        <v>0.98975500000000005</v>
      </c>
      <c r="Y3159">
        <v>2.4225400000000001E-2</v>
      </c>
      <c r="Z3159">
        <v>-1.0396349999999999E-3</v>
      </c>
      <c r="AA3159">
        <v>0.99970599999999998</v>
      </c>
      <c r="AB3159">
        <v>28</v>
      </c>
      <c r="AC3159">
        <v>0.73210000000000197</v>
      </c>
      <c r="AD3159">
        <v>-0.1160474</v>
      </c>
      <c r="AE3159">
        <v>-2.5210000000008299E-2</v>
      </c>
      <c r="AF3159">
        <v>2.1851597062201002E-2</v>
      </c>
      <c r="AG3159">
        <v>-0.1160474</v>
      </c>
      <c r="AH3159">
        <v>0.71426570503995801</v>
      </c>
      <c r="AI3159">
        <v>99.224021141726894</v>
      </c>
      <c r="AJ3159">
        <v>88.247691442459001</v>
      </c>
      <c r="AK3159">
        <v>0.72396131715524503</v>
      </c>
      <c r="AL3159">
        <v>82.072704867868296</v>
      </c>
      <c r="AM3159">
        <v>92.137074063146699</v>
      </c>
      <c r="AN3159">
        <v>1.0000000061462999</v>
      </c>
    </row>
    <row r="3160" spans="1:40" x14ac:dyDescent="0.3">
      <c r="A3160" t="str">
        <f>"20200111150414778"</f>
        <v>20200111150414778</v>
      </c>
      <c r="B3160" t="str">
        <f>"1578726254771626"</f>
        <v>1578726254771626</v>
      </c>
      <c r="C3160" t="s">
        <v>40</v>
      </c>
      <c r="D3160">
        <v>4.8434939999999997</v>
      </c>
      <c r="E3160">
        <v>0.52483950000000001</v>
      </c>
      <c r="F3160" t="s">
        <v>42</v>
      </c>
      <c r="G3160">
        <v>-198.88419999999999</v>
      </c>
      <c r="H3160">
        <v>1.012505</v>
      </c>
      <c r="I3160">
        <v>-57.566200000000002</v>
      </c>
      <c r="J3160">
        <v>-199.48869999999999</v>
      </c>
      <c r="K3160">
        <v>1.106894</v>
      </c>
      <c r="L3160">
        <v>-57.544370000000001</v>
      </c>
      <c r="M3160">
        <v>0.99942010000000003</v>
      </c>
      <c r="N3160">
        <v>0</v>
      </c>
      <c r="O3160">
        <v>-3.8395870000000002E-3</v>
      </c>
      <c r="P3160">
        <v>0.9940175</v>
      </c>
      <c r="Q3160">
        <v>0.1043668</v>
      </c>
      <c r="R3160">
        <v>3.2199569999999997E-2</v>
      </c>
      <c r="S3160">
        <v>3.0623170000000002</v>
      </c>
      <c r="T3160">
        <v>-0.38879989999999998</v>
      </c>
      <c r="U3160">
        <v>-9.2163090000000003E-2</v>
      </c>
      <c r="V3160">
        <v>-3.6011199999999903E-2</v>
      </c>
      <c r="W3160">
        <v>0.13793629999999901</v>
      </c>
      <c r="X3160">
        <v>0.98978619999999995</v>
      </c>
      <c r="Y3160">
        <v>2.6063759999999998E-2</v>
      </c>
      <c r="Z3160">
        <v>-1.1618819999999999E-3</v>
      </c>
      <c r="AA3160">
        <v>0.99965959999999998</v>
      </c>
      <c r="AB3160">
        <v>28</v>
      </c>
      <c r="AC3160">
        <v>0.60450000000000104</v>
      </c>
      <c r="AD3160">
        <v>-9.4389000000000001E-2</v>
      </c>
      <c r="AE3160">
        <v>-2.1830000000008402E-2</v>
      </c>
      <c r="AF3160">
        <v>1.9043778747646199E-2</v>
      </c>
      <c r="AG3160">
        <v>-9.4389000000000001E-2</v>
      </c>
      <c r="AH3160">
        <v>0.59020832245973898</v>
      </c>
      <c r="AI3160">
        <v>99.081433379940506</v>
      </c>
      <c r="AJ3160">
        <v>88.151924189325399</v>
      </c>
      <c r="AK3160">
        <v>0.59801154899443898</v>
      </c>
      <c r="AL3160">
        <v>82.071553435197998</v>
      </c>
      <c r="AM3160">
        <v>92.083662208488207</v>
      </c>
      <c r="AN3160">
        <v>0.99999997554678399</v>
      </c>
    </row>
    <row r="3161" spans="1:40" x14ac:dyDescent="0.3">
      <c r="A3161" t="str">
        <f>"20200111150414787"</f>
        <v>20200111150414787</v>
      </c>
      <c r="B3161" t="str">
        <f>"1578726254781385"</f>
        <v>1578726254781385</v>
      </c>
      <c r="C3161" t="s">
        <v>40</v>
      </c>
      <c r="D3161">
        <v>4.8839350000000001</v>
      </c>
      <c r="E3161">
        <v>0.52502490000000002</v>
      </c>
      <c r="F3161" t="s">
        <v>42</v>
      </c>
      <c r="G3161">
        <v>-198.6506</v>
      </c>
      <c r="H3161">
        <v>1.0004980000000001</v>
      </c>
      <c r="I3161">
        <v>-57.570770000000003</v>
      </c>
      <c r="J3161">
        <v>-199.37119999999999</v>
      </c>
      <c r="K3161">
        <v>1.106905</v>
      </c>
      <c r="L3161">
        <v>-57.544829999999997</v>
      </c>
      <c r="M3161">
        <v>0.99940910000000005</v>
      </c>
      <c r="N3161">
        <v>0</v>
      </c>
      <c r="O3161">
        <v>-3.8427909999999999E-3</v>
      </c>
      <c r="P3161">
        <v>0.99402610000000002</v>
      </c>
      <c r="Q3161">
        <v>0.1046603</v>
      </c>
      <c r="R3161">
        <v>3.0962549999999998E-2</v>
      </c>
      <c r="S3161">
        <v>3.0619510000000001</v>
      </c>
      <c r="T3161">
        <v>-0.38866600000000001</v>
      </c>
      <c r="U3161">
        <v>-9.5916749999999995E-2</v>
      </c>
      <c r="V3161">
        <v>-3.4776799999999997E-2</v>
      </c>
      <c r="W3161">
        <v>0.13854929999999999</v>
      </c>
      <c r="X3161">
        <v>0.98974470000000003</v>
      </c>
      <c r="Y3161">
        <v>2.7278790000000001E-2</v>
      </c>
      <c r="Z3161">
        <v>-1.2379789999999999E-3</v>
      </c>
      <c r="AA3161">
        <v>0.99962709999999999</v>
      </c>
      <c r="AB3161">
        <v>27</v>
      </c>
      <c r="AC3161">
        <v>0.72059999999999003</v>
      </c>
      <c r="AD3161">
        <v>-0.106407</v>
      </c>
      <c r="AE3161">
        <v>-2.59399999999914E-2</v>
      </c>
      <c r="AF3161">
        <v>2.2675286342144899E-2</v>
      </c>
      <c r="AG3161">
        <v>-0.106407</v>
      </c>
      <c r="AH3161">
        <v>0.70533464432170001</v>
      </c>
      <c r="AI3161">
        <v>98.574602800976805</v>
      </c>
      <c r="AJ3161">
        <v>88.158674161433595</v>
      </c>
      <c r="AK3161">
        <v>0.71367610212204602</v>
      </c>
      <c r="AL3161">
        <v>82.036090437380295</v>
      </c>
      <c r="AM3161">
        <v>92.012382034461595</v>
      </c>
      <c r="AN3161">
        <v>0.99999995276340803</v>
      </c>
    </row>
    <row r="3162" spans="1:40" x14ac:dyDescent="0.3">
      <c r="A3162" t="str">
        <f>"20200111150414798"</f>
        <v>20200111150414798</v>
      </c>
      <c r="B3162" t="str">
        <f>"1578726254791147"</f>
        <v>1578726254791147</v>
      </c>
      <c r="C3162" t="s">
        <v>40</v>
      </c>
      <c r="D3162">
        <v>4.8424769999999997</v>
      </c>
      <c r="E3162">
        <v>0.52530449999999995</v>
      </c>
      <c r="F3162" t="s">
        <v>42</v>
      </c>
      <c r="G3162">
        <v>-198.6431</v>
      </c>
      <c r="H3162">
        <v>1.0148079999999999</v>
      </c>
      <c r="I3162">
        <v>-57.569000000000003</v>
      </c>
      <c r="J3162">
        <v>-199.24039999999999</v>
      </c>
      <c r="K3162">
        <v>1.1069070000000001</v>
      </c>
      <c r="L3162">
        <v>-57.545319999999997</v>
      </c>
      <c r="M3162">
        <v>0.99939960000000005</v>
      </c>
      <c r="N3162">
        <v>0</v>
      </c>
      <c r="O3162">
        <v>-3.8459840000000002E-3</v>
      </c>
      <c r="P3162">
        <v>0.99397729999999995</v>
      </c>
      <c r="Q3162">
        <v>0.10549</v>
      </c>
      <c r="R3162">
        <v>2.968467E-2</v>
      </c>
      <c r="S3162">
        <v>3.061966</v>
      </c>
      <c r="T3162">
        <v>-0.38729760000000002</v>
      </c>
      <c r="U3162">
        <v>-0.1010132</v>
      </c>
      <c r="V3162">
        <v>-3.3502469999999999E-2</v>
      </c>
      <c r="W3162">
        <v>0.13965139999999901</v>
      </c>
      <c r="X3162">
        <v>0.98963380000000001</v>
      </c>
      <c r="Y3162">
        <v>2.892571E-2</v>
      </c>
      <c r="Z3162">
        <v>-1.3369250000000001E-3</v>
      </c>
      <c r="AA3162">
        <v>0.99958069999999999</v>
      </c>
      <c r="AB3162">
        <v>27</v>
      </c>
      <c r="AC3162">
        <v>0.59729999999998995</v>
      </c>
      <c r="AD3162">
        <v>-9.2098999999999903E-2</v>
      </c>
      <c r="AE3162">
        <v>-2.3679999999998799E-2</v>
      </c>
      <c r="AF3162">
        <v>2.08854774802677E-2</v>
      </c>
      <c r="AG3162">
        <v>-9.2098999999999903E-2</v>
      </c>
      <c r="AH3162">
        <v>0.58353479925014295</v>
      </c>
      <c r="AI3162">
        <v>98.963333176440599</v>
      </c>
      <c r="AJ3162">
        <v>87.950183725164706</v>
      </c>
      <c r="AK3162">
        <v>0.59112713599232103</v>
      </c>
      <c r="AL3162">
        <v>81.972325171351798</v>
      </c>
      <c r="AM3162">
        <v>91.938916532739697</v>
      </c>
      <c r="AN3162">
        <v>0.99999999356025004</v>
      </c>
    </row>
    <row r="3163" spans="1:40" x14ac:dyDescent="0.3">
      <c r="A3163" t="str">
        <f>"20200111150414809"</f>
        <v>20200111150414809</v>
      </c>
      <c r="B3163" t="str">
        <f>"1578726254801882"</f>
        <v>1578726254801882</v>
      </c>
      <c r="C3163" t="s">
        <v>40</v>
      </c>
      <c r="D3163">
        <v>4.6877899999999997</v>
      </c>
      <c r="E3163">
        <v>0.52507930000000003</v>
      </c>
      <c r="F3163" t="s">
        <v>42</v>
      </c>
      <c r="G3163">
        <v>-198.41309999999999</v>
      </c>
      <c r="H3163">
        <v>1.0030749999999999</v>
      </c>
      <c r="I3163">
        <v>-57.574219999999997</v>
      </c>
      <c r="J3163">
        <v>-199.11019999999999</v>
      </c>
      <c r="K3163">
        <v>1.1069040000000001</v>
      </c>
      <c r="L3163">
        <v>-57.545839999999998</v>
      </c>
      <c r="M3163">
        <v>0.99939080000000002</v>
      </c>
      <c r="N3163">
        <v>0</v>
      </c>
      <c r="O3163">
        <v>-3.849327E-3</v>
      </c>
      <c r="P3163">
        <v>0.99387340000000002</v>
      </c>
      <c r="Q3163">
        <v>0.10685699999999999</v>
      </c>
      <c r="R3163">
        <v>2.8238059999999999E-2</v>
      </c>
      <c r="S3163">
        <v>3.0621489999999998</v>
      </c>
      <c r="T3163">
        <v>-0.38429530000000001</v>
      </c>
      <c r="U3163">
        <v>-0.106628399999999</v>
      </c>
      <c r="V3163">
        <v>-3.205856E-2</v>
      </c>
      <c r="W3163">
        <v>0.141267899999999</v>
      </c>
      <c r="X3163">
        <v>0.9894522</v>
      </c>
      <c r="Y3163">
        <v>3.0740110000000001E-2</v>
      </c>
      <c r="Z3163">
        <v>-1.439474E-3</v>
      </c>
      <c r="AA3163">
        <v>0.99952640000000004</v>
      </c>
      <c r="AB3163">
        <v>27</v>
      </c>
      <c r="AC3163">
        <v>0.69710000000000505</v>
      </c>
      <c r="AD3163">
        <v>-0.103829</v>
      </c>
      <c r="AE3163">
        <v>-2.8379999999991402E-2</v>
      </c>
      <c r="AF3163">
        <v>2.5138058531141601E-2</v>
      </c>
      <c r="AG3163">
        <v>-0.103829</v>
      </c>
      <c r="AH3163">
        <v>0.68209727635869599</v>
      </c>
      <c r="AI3163">
        <v>98.649352138911794</v>
      </c>
      <c r="AJ3163">
        <v>87.889372740264406</v>
      </c>
      <c r="AK3163">
        <v>0.69041225195072098</v>
      </c>
      <c r="AL3163">
        <v>81.878779317525201</v>
      </c>
      <c r="AM3163">
        <v>91.855751937601894</v>
      </c>
      <c r="AN3163">
        <v>1.00000001346226</v>
      </c>
    </row>
    <row r="3164" spans="1:40" x14ac:dyDescent="0.3">
      <c r="A3164" t="str">
        <f>"20200111150414820"</f>
        <v>20200111150414820</v>
      </c>
      <c r="B3164" t="str">
        <f>"1578726254811643"</f>
        <v>1578726254811643</v>
      </c>
      <c r="C3164" t="s">
        <v>40</v>
      </c>
      <c r="D3164">
        <v>4.7804310000000001</v>
      </c>
      <c r="E3164">
        <v>0.52518920000000002</v>
      </c>
      <c r="F3164" t="s">
        <v>42</v>
      </c>
      <c r="G3164">
        <v>-198.1859</v>
      </c>
      <c r="H3164">
        <v>0.99251599999999995</v>
      </c>
      <c r="I3164">
        <v>-57.578800000000001</v>
      </c>
      <c r="J3164">
        <v>-198.9794</v>
      </c>
      <c r="K3164">
        <v>1.1068929999999999</v>
      </c>
      <c r="L3164">
        <v>-57.546329999999998</v>
      </c>
      <c r="M3164">
        <v>0.99938550000000004</v>
      </c>
      <c r="N3164">
        <v>0</v>
      </c>
      <c r="O3164">
        <v>-3.8530309999999998E-3</v>
      </c>
      <c r="P3164">
        <v>0.99379459999999997</v>
      </c>
      <c r="Q3164">
        <v>0.1079422</v>
      </c>
      <c r="R3164">
        <v>2.68515E-2</v>
      </c>
      <c r="S3164">
        <v>3.0623170000000002</v>
      </c>
      <c r="T3164">
        <v>-0.37891209999999997</v>
      </c>
      <c r="U3164">
        <v>-0.1087341</v>
      </c>
      <c r="V3164">
        <v>-3.067539E-2</v>
      </c>
      <c r="W3164">
        <v>0.1424994</v>
      </c>
      <c r="X3164">
        <v>0.98931939999999996</v>
      </c>
      <c r="Y3164">
        <v>3.1421629999999999E-2</v>
      </c>
      <c r="Z3164">
        <v>-1.4609009999999999E-3</v>
      </c>
      <c r="AA3164">
        <v>0.99950519999999998</v>
      </c>
      <c r="AB3164">
        <v>26</v>
      </c>
      <c r="AC3164">
        <v>0.79349999999999399</v>
      </c>
      <c r="AD3164">
        <v>-0.11437700000000001</v>
      </c>
      <c r="AE3164">
        <v>-3.2469999999996398E-2</v>
      </c>
      <c r="AF3164">
        <v>2.88128760392613E-2</v>
      </c>
      <c r="AG3164">
        <v>-0.11437700000000001</v>
      </c>
      <c r="AH3164">
        <v>0.77749230666153002</v>
      </c>
      <c r="AI3164">
        <v>98.363104443137004</v>
      </c>
      <c r="AJ3164">
        <v>87.877662497000202</v>
      </c>
      <c r="AK3164">
        <v>0.78638830540167703</v>
      </c>
      <c r="AL3164">
        <v>81.8074980526563</v>
      </c>
      <c r="AM3164">
        <v>91.775975948682898</v>
      </c>
      <c r="AN3164">
        <v>0.99999996688418502</v>
      </c>
    </row>
    <row r="3165" spans="1:40" x14ac:dyDescent="0.3">
      <c r="A3165" t="str">
        <f>"20200111150414832"</f>
        <v>20200111150414832</v>
      </c>
      <c r="B3165" t="str">
        <f>"1578726254821403"</f>
        <v>1578726254821403</v>
      </c>
      <c r="C3165" t="s">
        <v>40</v>
      </c>
      <c r="D3165">
        <v>5.0622040000000004</v>
      </c>
      <c r="E3165">
        <v>0.52522029999999997</v>
      </c>
      <c r="F3165" t="s">
        <v>42</v>
      </c>
      <c r="G3165">
        <v>-198.17750000000001</v>
      </c>
      <c r="H3165">
        <v>1.0086059999999999</v>
      </c>
      <c r="I3165">
        <v>-57.576169999999998</v>
      </c>
      <c r="J3165">
        <v>-198.85069999999999</v>
      </c>
      <c r="K3165">
        <v>1.106867</v>
      </c>
      <c r="L3165">
        <v>-57.546840000000003</v>
      </c>
      <c r="M3165">
        <v>0.99938139999999998</v>
      </c>
      <c r="N3165">
        <v>0</v>
      </c>
      <c r="O3165">
        <v>-3.8564099999999998E-3</v>
      </c>
      <c r="P3165">
        <v>0.99367249999999996</v>
      </c>
      <c r="Q3165">
        <v>0.10928259999999999</v>
      </c>
      <c r="R3165">
        <v>2.5929009999999999E-2</v>
      </c>
      <c r="S3165">
        <v>3.0625610000000001</v>
      </c>
      <c r="T3165">
        <v>-0.37532939999999998</v>
      </c>
      <c r="U3165">
        <v>-0.11346440000000001</v>
      </c>
      <c r="V3165">
        <v>-2.9755750000000001E-2</v>
      </c>
      <c r="W3165">
        <v>0.14395289999999999</v>
      </c>
      <c r="X3165">
        <v>0.98913709999999999</v>
      </c>
      <c r="Y3165">
        <v>3.2949699999999998E-2</v>
      </c>
      <c r="Z3165">
        <v>-1.539877E-3</v>
      </c>
      <c r="AA3165">
        <v>0.99945580000000001</v>
      </c>
      <c r="AB3165">
        <v>26</v>
      </c>
      <c r="AC3165">
        <v>0.67319999999998004</v>
      </c>
      <c r="AD3165">
        <v>-9.8261000000000098E-2</v>
      </c>
      <c r="AE3165">
        <v>-2.9329999999994499E-2</v>
      </c>
      <c r="AF3165">
        <v>2.6175456717272699E-2</v>
      </c>
      <c r="AG3165">
        <v>-9.8261000000000098E-2</v>
      </c>
      <c r="AH3165">
        <v>0.65928886654609198</v>
      </c>
      <c r="AI3165">
        <v>98.470437992495206</v>
      </c>
      <c r="AJ3165">
        <v>87.726404910695294</v>
      </c>
      <c r="AK3165">
        <v>0.66708484333478102</v>
      </c>
      <c r="AL3165">
        <v>81.723351532037796</v>
      </c>
      <c r="AM3165">
        <v>91.723082562139794</v>
      </c>
      <c r="AN3165">
        <v>1.00000002233644</v>
      </c>
    </row>
    <row r="3166" spans="1:40" x14ac:dyDescent="0.3">
      <c r="A3166" t="str">
        <f>"20200111150414842"</f>
        <v>20200111150414842</v>
      </c>
      <c r="B3166" t="str">
        <f>"1578726254831162"</f>
        <v>1578726254831162</v>
      </c>
      <c r="C3166" t="s">
        <v>40</v>
      </c>
      <c r="D3166">
        <v>4.7903739999999999</v>
      </c>
      <c r="E3166">
        <v>0.52526209999999995</v>
      </c>
      <c r="F3166" t="s">
        <v>42</v>
      </c>
      <c r="G3166">
        <v>-197.9529</v>
      </c>
      <c r="H3166">
        <v>0.99912579999999995</v>
      </c>
      <c r="I3166">
        <v>-57.581009999999999</v>
      </c>
      <c r="J3166">
        <v>-198.72130000000001</v>
      </c>
      <c r="K3166">
        <v>1.1068340000000001</v>
      </c>
      <c r="L3166">
        <v>-57.547330000000002</v>
      </c>
      <c r="M3166">
        <v>0.99937949999999998</v>
      </c>
      <c r="N3166">
        <v>0</v>
      </c>
      <c r="O3166">
        <v>-3.8600349999999999E-3</v>
      </c>
      <c r="P3166">
        <v>0.9936142</v>
      </c>
      <c r="Q3166">
        <v>0.11008709999999999</v>
      </c>
      <c r="R3166">
        <v>2.4733419999999999E-2</v>
      </c>
      <c r="S3166">
        <v>3.062576</v>
      </c>
      <c r="T3166">
        <v>-0.36753000000000002</v>
      </c>
      <c r="U3166">
        <v>-0.1161804</v>
      </c>
      <c r="V3166">
        <v>-2.8563100000000001E-2</v>
      </c>
      <c r="W3166">
        <v>0.14480509999999999</v>
      </c>
      <c r="X3166">
        <v>0.98904780000000003</v>
      </c>
      <c r="Y3166">
        <v>3.3833620000000002E-2</v>
      </c>
      <c r="Z3166">
        <v>-1.5604709999999999E-3</v>
      </c>
      <c r="AA3166">
        <v>0.99942620000000004</v>
      </c>
      <c r="AB3166">
        <v>26</v>
      </c>
      <c r="AC3166">
        <v>0.76840000000001396</v>
      </c>
      <c r="AD3166">
        <v>-0.1077082</v>
      </c>
      <c r="AE3166">
        <v>-3.3679999999996803E-2</v>
      </c>
      <c r="AF3166">
        <v>3.0121186111760199E-2</v>
      </c>
      <c r="AG3166">
        <v>-0.1077082</v>
      </c>
      <c r="AH3166">
        <v>0.75374305564213395</v>
      </c>
      <c r="AI3166">
        <v>98.125984242346505</v>
      </c>
      <c r="AJ3166">
        <v>87.711555668245794</v>
      </c>
      <c r="AK3166">
        <v>0.76199536489978803</v>
      </c>
      <c r="AL3166">
        <v>81.674006530095497</v>
      </c>
      <c r="AM3166">
        <v>91.6542075491882</v>
      </c>
      <c r="AN3166">
        <v>0.99999995917622897</v>
      </c>
    </row>
    <row r="3167" spans="1:40" x14ac:dyDescent="0.3">
      <c r="A3167" t="str">
        <f>"20200111150414854"</f>
        <v>20200111150414854</v>
      </c>
      <c r="B3167" t="str">
        <f>"1578726254851658"</f>
        <v>1578726254851658</v>
      </c>
      <c r="C3167" t="s">
        <v>40</v>
      </c>
      <c r="D3167">
        <v>4.8505830000000003</v>
      </c>
      <c r="E3167">
        <v>0.52537330000000004</v>
      </c>
      <c r="F3167" t="s">
        <v>42</v>
      </c>
      <c r="G3167">
        <v>-197.94499999999999</v>
      </c>
      <c r="H3167">
        <v>1.014351</v>
      </c>
      <c r="I3167">
        <v>-57.5777199999999</v>
      </c>
      <c r="J3167">
        <v>-198.59870000000001</v>
      </c>
      <c r="K3167">
        <v>1.1068070000000001</v>
      </c>
      <c r="L3167">
        <v>-57.547789999999999</v>
      </c>
      <c r="M3167">
        <v>0.99937880000000001</v>
      </c>
      <c r="N3167">
        <v>0</v>
      </c>
      <c r="O3167">
        <v>-3.8633640000000002E-3</v>
      </c>
      <c r="P3167">
        <v>0.99356929999999999</v>
      </c>
      <c r="Q3167">
        <v>0.11068550000000001</v>
      </c>
      <c r="R3167">
        <v>2.38563E-2</v>
      </c>
      <c r="S3167">
        <v>3.0626980000000001</v>
      </c>
      <c r="T3167">
        <v>-0.36487799999999998</v>
      </c>
      <c r="U3167">
        <v>-0.11947629999999999</v>
      </c>
      <c r="V3167">
        <v>-2.768901E-2</v>
      </c>
      <c r="W3167">
        <v>0.14542169999999999</v>
      </c>
      <c r="X3167">
        <v>0.98898220000000003</v>
      </c>
      <c r="Y3167">
        <v>3.48983E-2</v>
      </c>
      <c r="Z3167">
        <v>-1.6119769999999999E-3</v>
      </c>
      <c r="AA3167">
        <v>0.99938959999999999</v>
      </c>
      <c r="AB3167">
        <v>26</v>
      </c>
      <c r="AC3167">
        <v>0.65370000000001405</v>
      </c>
      <c r="AD3167">
        <v>-9.2455999999999802E-2</v>
      </c>
      <c r="AE3167">
        <v>-2.9929999999993101E-2</v>
      </c>
      <c r="AF3167">
        <v>2.6866436933324599E-2</v>
      </c>
      <c r="AG3167">
        <v>-9.2455999999999802E-2</v>
      </c>
      <c r="AH3167">
        <v>0.641014886310184</v>
      </c>
      <c r="AI3167">
        <v>98.200284099211402</v>
      </c>
      <c r="AJ3167">
        <v>87.600004189354294</v>
      </c>
      <c r="AK3167">
        <v>0.64820521583889601</v>
      </c>
      <c r="AL3167">
        <v>81.638300105875501</v>
      </c>
      <c r="AM3167">
        <v>91.603718535657407</v>
      </c>
      <c r="AN3167">
        <v>0.99999997201125401</v>
      </c>
    </row>
    <row r="3168" spans="1:40" x14ac:dyDescent="0.3">
      <c r="A3168" t="str">
        <f>"20200111150414866"</f>
        <v>20200111150414866</v>
      </c>
      <c r="B3168" t="str">
        <f>"1578726254861418"</f>
        <v>1578726254861418</v>
      </c>
      <c r="C3168" t="s">
        <v>40</v>
      </c>
      <c r="D3168">
        <v>4.8047659999999999</v>
      </c>
      <c r="E3168">
        <v>0.52542310000000003</v>
      </c>
      <c r="F3168" t="s">
        <v>42</v>
      </c>
      <c r="G3168">
        <v>-197.72460000000001</v>
      </c>
      <c r="H3168">
        <v>1.00318</v>
      </c>
      <c r="I3168">
        <v>-57.582790000000003</v>
      </c>
      <c r="J3168">
        <v>-198.4675</v>
      </c>
      <c r="K3168">
        <v>1.1067720000000001</v>
      </c>
      <c r="L3168">
        <v>-57.548310000000001</v>
      </c>
      <c r="M3168">
        <v>0.99937909999999996</v>
      </c>
      <c r="N3168">
        <v>0</v>
      </c>
      <c r="O3168">
        <v>-3.8668019999999999E-3</v>
      </c>
      <c r="P3168">
        <v>0.99352770000000001</v>
      </c>
      <c r="Q3168">
        <v>0.1111034</v>
      </c>
      <c r="R3168">
        <v>2.3647290000000001E-2</v>
      </c>
      <c r="S3168">
        <v>3.0627900000000001</v>
      </c>
      <c r="T3168">
        <v>-0.3630121</v>
      </c>
      <c r="U3168">
        <v>-0.1221008</v>
      </c>
      <c r="V3168">
        <v>-2.748362E-2</v>
      </c>
      <c r="W3168">
        <v>0.14583019999999999</v>
      </c>
      <c r="X3168">
        <v>0.98892780000000002</v>
      </c>
      <c r="Y3168">
        <v>3.574509E-2</v>
      </c>
      <c r="Z3168">
        <v>-1.6532980000000001E-3</v>
      </c>
      <c r="AA3168">
        <v>0.99935949999999996</v>
      </c>
      <c r="AB3168">
        <v>26</v>
      </c>
      <c r="AC3168">
        <v>0.74289999999999101</v>
      </c>
      <c r="AD3168">
        <v>-0.103591999999999</v>
      </c>
      <c r="AE3168">
        <v>-3.4480000000002002E-2</v>
      </c>
      <c r="AF3168">
        <v>3.1003781305304401E-2</v>
      </c>
      <c r="AG3168">
        <v>-0.103591999999999</v>
      </c>
      <c r="AH3168">
        <v>0.728885660528521</v>
      </c>
      <c r="AI3168">
        <v>98.081709903987303</v>
      </c>
      <c r="AJ3168">
        <v>87.564342753220899</v>
      </c>
      <c r="AK3168">
        <v>0.73686283869070601</v>
      </c>
      <c r="AL3168">
        <v>81.614642778353897</v>
      </c>
      <c r="AM3168">
        <v>91.591916224749596</v>
      </c>
      <c r="AN3168">
        <v>0.99999999510659199</v>
      </c>
    </row>
    <row r="3169" spans="1:40" x14ac:dyDescent="0.3">
      <c r="A3169" t="str">
        <f>"20200111150414877"</f>
        <v>20200111150414877</v>
      </c>
      <c r="B3169" t="str">
        <f>"1578726254871533"</f>
        <v>1578726254871533</v>
      </c>
      <c r="C3169" t="s">
        <v>40</v>
      </c>
      <c r="D3169">
        <v>4.8009599999999999</v>
      </c>
      <c r="E3169">
        <v>0.52541569999999904</v>
      </c>
      <c r="F3169" t="s">
        <v>42</v>
      </c>
      <c r="G3169">
        <v>-197.71680000000001</v>
      </c>
      <c r="H3169">
        <v>1.0180419999999999</v>
      </c>
      <c r="I3169">
        <v>-57.578330000000001</v>
      </c>
      <c r="J3169">
        <v>-198.34549999999999</v>
      </c>
      <c r="K3169">
        <v>1.106743</v>
      </c>
      <c r="L3169">
        <v>-57.548740000000002</v>
      </c>
      <c r="M3169">
        <v>0.99938039999999995</v>
      </c>
      <c r="N3169">
        <v>0</v>
      </c>
      <c r="O3169">
        <v>-3.8694770000000001E-3</v>
      </c>
      <c r="P3169">
        <v>0.99342949999999997</v>
      </c>
      <c r="Q3169">
        <v>0.11170960000000001</v>
      </c>
      <c r="R3169">
        <v>2.4881380000000002E-2</v>
      </c>
      <c r="S3169">
        <v>3.062881</v>
      </c>
      <c r="T3169">
        <v>-0.36192619999999998</v>
      </c>
      <c r="U3169">
        <v>-0.1218567</v>
      </c>
      <c r="V3169">
        <v>-2.8719950000000001E-2</v>
      </c>
      <c r="W3169">
        <v>0.14639530000000001</v>
      </c>
      <c r="X3169">
        <v>0.98880919999999894</v>
      </c>
      <c r="Y3169">
        <v>3.566362E-2</v>
      </c>
      <c r="Z3169">
        <v>-1.643231E-3</v>
      </c>
      <c r="AA3169">
        <v>0.99936250000000004</v>
      </c>
      <c r="AB3169">
        <v>26</v>
      </c>
      <c r="AC3169">
        <v>0.62869999999998005</v>
      </c>
      <c r="AD3169">
        <v>-8.8700999999999905E-2</v>
      </c>
      <c r="AE3169">
        <v>-2.9589999999998801E-2</v>
      </c>
      <c r="AF3169">
        <v>2.6626705221647499E-2</v>
      </c>
      <c r="AG3169">
        <v>-8.8700999999999905E-2</v>
      </c>
      <c r="AH3169">
        <v>0.61656405023940097</v>
      </c>
      <c r="AI3169">
        <v>98.179075385020695</v>
      </c>
      <c r="AJ3169">
        <v>87.527182328737993</v>
      </c>
      <c r="AK3169">
        <v>0.623480614678255</v>
      </c>
      <c r="AL3169">
        <v>81.581913950079397</v>
      </c>
      <c r="AM3169">
        <v>91.663687420340906</v>
      </c>
      <c r="AN3169">
        <v>1.0000000266973601</v>
      </c>
    </row>
    <row r="3170" spans="1:40" x14ac:dyDescent="0.3">
      <c r="A3170" t="str">
        <f>"20200111150414888"</f>
        <v>20200111150414888</v>
      </c>
      <c r="B3170" t="str">
        <f>"1578726254881293"</f>
        <v>1578726254881293</v>
      </c>
      <c r="C3170" t="s">
        <v>40</v>
      </c>
      <c r="D3170">
        <v>4.7275530000000003</v>
      </c>
      <c r="E3170">
        <v>0.52527729999999995</v>
      </c>
      <c r="F3170" t="s">
        <v>42</v>
      </c>
      <c r="G3170">
        <v>-197.49940000000001</v>
      </c>
      <c r="H3170">
        <v>1.007341</v>
      </c>
      <c r="I3170">
        <v>-57.58128</v>
      </c>
      <c r="J3170">
        <v>-198.21510000000001</v>
      </c>
      <c r="K3170">
        <v>1.1067129999999901</v>
      </c>
      <c r="L3170">
        <v>-57.549259999999997</v>
      </c>
      <c r="M3170">
        <v>0.99938210000000005</v>
      </c>
      <c r="N3170">
        <v>0</v>
      </c>
      <c r="O3170">
        <v>-3.872374E-3</v>
      </c>
      <c r="P3170">
        <v>0.99336239999999998</v>
      </c>
      <c r="Q3170">
        <v>0.1116429</v>
      </c>
      <c r="R3170">
        <v>2.7690719999999999E-2</v>
      </c>
      <c r="S3170">
        <v>3.0632630000000001</v>
      </c>
      <c r="T3170">
        <v>-0.35988910000000002</v>
      </c>
      <c r="U3170">
        <v>-0.11764529999999999</v>
      </c>
      <c r="V3170">
        <v>-3.1531959999999998E-2</v>
      </c>
      <c r="W3170">
        <v>0.1462746</v>
      </c>
      <c r="X3170">
        <v>0.98874130000000005</v>
      </c>
      <c r="Y3170">
        <v>3.4295829999999999E-2</v>
      </c>
      <c r="Z3170">
        <v>-1.553504E-3</v>
      </c>
      <c r="AA3170">
        <v>0.99941049999999998</v>
      </c>
      <c r="AB3170">
        <v>25</v>
      </c>
      <c r="AC3170">
        <v>0.715699999999998</v>
      </c>
      <c r="AD3170">
        <v>-9.9371999999999794E-2</v>
      </c>
      <c r="AE3170">
        <v>-3.2020000000009902E-2</v>
      </c>
      <c r="AF3170">
        <v>2.86945354585539E-2</v>
      </c>
      <c r="AG3170">
        <v>-9.9371999999999794E-2</v>
      </c>
      <c r="AH3170">
        <v>0.70230655065338499</v>
      </c>
      <c r="AI3170">
        <v>98.046908791019007</v>
      </c>
      <c r="AJ3170">
        <v>87.660335291286401</v>
      </c>
      <c r="AK3170">
        <v>0.709882146443927</v>
      </c>
      <c r="AL3170">
        <v>81.588904077916993</v>
      </c>
      <c r="AM3170">
        <v>91.826601281303496</v>
      </c>
      <c r="AN3170">
        <v>0.99999994071614395</v>
      </c>
    </row>
    <row r="3171" spans="1:40" x14ac:dyDescent="0.3">
      <c r="A3171" t="str">
        <f>"20200111150414899"</f>
        <v>20200111150414899</v>
      </c>
      <c r="B3171" t="str">
        <f>"1578726254892029"</f>
        <v>1578726254892029</v>
      </c>
      <c r="C3171" t="s">
        <v>40</v>
      </c>
      <c r="D3171">
        <v>4.8482940000000001</v>
      </c>
      <c r="E3171">
        <v>0.52531269999999997</v>
      </c>
      <c r="F3171" t="s">
        <v>42</v>
      </c>
      <c r="G3171">
        <v>-197.49170000000001</v>
      </c>
      <c r="H3171">
        <v>1.021838</v>
      </c>
      <c r="I3171">
        <v>-57.574939999999998</v>
      </c>
      <c r="J3171">
        <v>-198.09379999999999</v>
      </c>
      <c r="K3171">
        <v>1.1066849999999999</v>
      </c>
      <c r="L3171">
        <v>-57.549709999999997</v>
      </c>
      <c r="M3171">
        <v>0.99938649999999996</v>
      </c>
      <c r="N3171">
        <v>0</v>
      </c>
      <c r="O3171">
        <v>-3.8743739999999999E-3</v>
      </c>
      <c r="P3171">
        <v>0.99319170000000001</v>
      </c>
      <c r="Q3171">
        <v>0.1118348</v>
      </c>
      <c r="R3171">
        <v>3.2605809999999999E-2</v>
      </c>
      <c r="S3171">
        <v>3.0634769999999998</v>
      </c>
      <c r="T3171">
        <v>-0.35941329999999999</v>
      </c>
      <c r="U3171">
        <v>-0.1085815</v>
      </c>
      <c r="V3171">
        <v>-3.6448620000000001E-2</v>
      </c>
      <c r="W3171">
        <v>0.14633779999999999</v>
      </c>
      <c r="X3171">
        <v>0.98856290000000002</v>
      </c>
      <c r="Y3171">
        <v>3.1358850000000001E-2</v>
      </c>
      <c r="Z3171">
        <v>-1.379564E-3</v>
      </c>
      <c r="AA3171">
        <v>0.99950720000000004</v>
      </c>
      <c r="AB3171">
        <v>25</v>
      </c>
      <c r="AC3171">
        <v>0.60209999999997799</v>
      </c>
      <c r="AD3171">
        <v>-8.4847000000000103E-2</v>
      </c>
      <c r="AE3171">
        <v>-2.5230000000007601E-2</v>
      </c>
      <c r="AF3171">
        <v>2.2450592685133899E-2</v>
      </c>
      <c r="AG3171">
        <v>-8.4847000000000103E-2</v>
      </c>
      <c r="AH3171">
        <v>0.59048792339136102</v>
      </c>
      <c r="AI3171">
        <v>98.171017894746797</v>
      </c>
      <c r="AJ3171">
        <v>87.822639755118104</v>
      </c>
      <c r="AK3171">
        <v>0.596974899130571</v>
      </c>
      <c r="AL3171">
        <v>81.585243508105705</v>
      </c>
      <c r="AM3171">
        <v>92.111556634909704</v>
      </c>
      <c r="AN3171">
        <v>0.99999993043257396</v>
      </c>
    </row>
    <row r="3172" spans="1:40" x14ac:dyDescent="0.3">
      <c r="A3172" t="str">
        <f>"20200111150414910"</f>
        <v>20200111150414910</v>
      </c>
      <c r="B3172" t="str">
        <f>"1578726254901791"</f>
        <v>1578726254901791</v>
      </c>
      <c r="C3172" t="s">
        <v>40</v>
      </c>
      <c r="D3172">
        <v>4.8887679999999998</v>
      </c>
      <c r="E3172">
        <v>0.52543009999999901</v>
      </c>
      <c r="F3172" t="s">
        <v>42</v>
      </c>
      <c r="G3172">
        <v>-197.27709999999999</v>
      </c>
      <c r="H3172">
        <v>1.0110349999999999</v>
      </c>
      <c r="I3172">
        <v>-57.575389999999999</v>
      </c>
      <c r="J3172">
        <v>-197.9691</v>
      </c>
      <c r="K3172">
        <v>1.1066480000000001</v>
      </c>
      <c r="L3172">
        <v>-57.550170000000001</v>
      </c>
      <c r="M3172">
        <v>0.9993919</v>
      </c>
      <c r="N3172">
        <v>0</v>
      </c>
      <c r="O3172">
        <v>-3.8737849999999998E-3</v>
      </c>
      <c r="P3172">
        <v>0.99288220000000005</v>
      </c>
      <c r="Q3172">
        <v>0.11285489999999999</v>
      </c>
      <c r="R3172">
        <v>3.8067799999999999E-2</v>
      </c>
      <c r="S3172">
        <v>3.0641479999999999</v>
      </c>
      <c r="T3172">
        <v>-0.35890719999999998</v>
      </c>
      <c r="U3172">
        <v>-9.6099850000000001E-2</v>
      </c>
      <c r="V3172">
        <v>-4.1909290000000002E-2</v>
      </c>
      <c r="W3172">
        <v>0.1471943</v>
      </c>
      <c r="X3172">
        <v>0.98821930000000002</v>
      </c>
      <c r="Y3172">
        <v>2.731275E-2</v>
      </c>
      <c r="Z3172">
        <v>-1.1414000000000001E-3</v>
      </c>
      <c r="AA3172">
        <v>0.99962629999999997</v>
      </c>
      <c r="AB3172">
        <v>25</v>
      </c>
      <c r="AC3172">
        <v>0.69200000000000705</v>
      </c>
      <c r="AD3172">
        <v>-9.5612999999999698E-2</v>
      </c>
      <c r="AE3172">
        <v>-2.5220000000011501E-2</v>
      </c>
      <c r="AF3172">
        <v>2.2115892698514099E-2</v>
      </c>
      <c r="AG3172">
        <v>-9.5612999999999698E-2</v>
      </c>
      <c r="AH3172">
        <v>0.67914441764980504</v>
      </c>
      <c r="AI3172">
        <v>98.009499001386303</v>
      </c>
      <c r="AJ3172">
        <v>88.134859605883406</v>
      </c>
      <c r="AK3172">
        <v>0.68619829386537001</v>
      </c>
      <c r="AL3172">
        <v>81.535632759005495</v>
      </c>
      <c r="AM3172">
        <v>92.4283956451428</v>
      </c>
      <c r="AN3172">
        <v>0.99999996771664101</v>
      </c>
    </row>
    <row r="3173" spans="1:40" x14ac:dyDescent="0.3">
      <c r="A3173" t="str">
        <f>"20200111150414923"</f>
        <v>20200111150414923</v>
      </c>
      <c r="B3173" t="str">
        <f>"1578726254911550"</f>
        <v>1578726254911550</v>
      </c>
      <c r="C3173" t="s">
        <v>40</v>
      </c>
      <c r="D3173">
        <v>4.9200330000000001</v>
      </c>
      <c r="E3173">
        <v>0.52538619999999903</v>
      </c>
      <c r="F3173" t="s">
        <v>42</v>
      </c>
      <c r="G3173">
        <v>-197.06399999999999</v>
      </c>
      <c r="H3173">
        <v>1.0014639999999999</v>
      </c>
      <c r="I3173">
        <v>-57.5745199999999</v>
      </c>
      <c r="J3173">
        <v>-197.8389</v>
      </c>
      <c r="K3173">
        <v>1.106595</v>
      </c>
      <c r="L3173">
        <v>-57.550660000000001</v>
      </c>
      <c r="M3173">
        <v>0.9994016</v>
      </c>
      <c r="N3173">
        <v>0</v>
      </c>
      <c r="O3173">
        <v>-3.8612910000000002E-3</v>
      </c>
      <c r="P3173">
        <v>0.99264260000000004</v>
      </c>
      <c r="Q3173">
        <v>0.11336309999999999</v>
      </c>
      <c r="R3173">
        <v>4.2540870000000001E-2</v>
      </c>
      <c r="S3173">
        <v>3.06514</v>
      </c>
      <c r="T3173">
        <v>-0.35622369999999998</v>
      </c>
      <c r="U3173">
        <v>-8.2244869999999998E-2</v>
      </c>
      <c r="V3173">
        <v>-4.6371179999999998E-2</v>
      </c>
      <c r="W3173">
        <v>0.14741409999999999</v>
      </c>
      <c r="X3173">
        <v>0.98798719999999995</v>
      </c>
      <c r="Y3173">
        <v>2.2832720000000001E-2</v>
      </c>
      <c r="Z3173">
        <v>-8.7467479999999895E-4</v>
      </c>
      <c r="AA3173">
        <v>0.99973889999999999</v>
      </c>
      <c r="AB3173">
        <v>25</v>
      </c>
      <c r="AC3173">
        <v>0.77489999999997305</v>
      </c>
      <c r="AD3173">
        <v>-0.105131</v>
      </c>
      <c r="AE3173">
        <v>-2.3859999999991999E-2</v>
      </c>
      <c r="AF3173">
        <v>2.0489162581781101E-2</v>
      </c>
      <c r="AG3173">
        <v>-0.105131</v>
      </c>
      <c r="AH3173">
        <v>0.760992491026666</v>
      </c>
      <c r="AI3173">
        <v>97.862802427904796</v>
      </c>
      <c r="AJ3173">
        <v>88.457725918523707</v>
      </c>
      <c r="AK3173">
        <v>0.76849326889913205</v>
      </c>
      <c r="AL3173">
        <v>81.522900144160502</v>
      </c>
      <c r="AM3173">
        <v>92.687205403967795</v>
      </c>
      <c r="AN3173">
        <v>0.99999995528861996</v>
      </c>
    </row>
    <row r="3174" spans="1:40" x14ac:dyDescent="0.3">
      <c r="A3174" t="str">
        <f>"20200111150414933"</f>
        <v>20200111150414933</v>
      </c>
      <c r="B3174" t="str">
        <f>"1578726254932047"</f>
        <v>1578726254932047</v>
      </c>
      <c r="C3174" t="s">
        <v>40</v>
      </c>
      <c r="D3174">
        <v>4.7729540000000004</v>
      </c>
      <c r="E3174">
        <v>0.48081489999999999</v>
      </c>
      <c r="F3174" t="s">
        <v>42</v>
      </c>
      <c r="G3174">
        <v>-197.0564</v>
      </c>
      <c r="H3174">
        <v>1.0159020000000001</v>
      </c>
      <c r="I3174">
        <v>-57.568199999999997</v>
      </c>
      <c r="J3174">
        <v>-197.7184</v>
      </c>
      <c r="K3174">
        <v>1.106528</v>
      </c>
      <c r="L3174">
        <v>-57.551090000000002</v>
      </c>
      <c r="M3174">
        <v>0.99941369999999896</v>
      </c>
      <c r="N3174">
        <v>0</v>
      </c>
      <c r="O3174">
        <v>-3.8349859999999999E-3</v>
      </c>
      <c r="P3174">
        <v>0.99240930000000005</v>
      </c>
      <c r="Q3174">
        <v>0.11385430000000001</v>
      </c>
      <c r="R3174">
        <v>4.649035E-2</v>
      </c>
      <c r="S3174">
        <v>3.0657649999999999</v>
      </c>
      <c r="T3174">
        <v>-0.35534890000000002</v>
      </c>
      <c r="U3174">
        <v>-6.8481449999999999E-2</v>
      </c>
      <c r="V3174">
        <v>-5.0297389999999997E-2</v>
      </c>
      <c r="W3174">
        <v>0.14755190000000001</v>
      </c>
      <c r="X3174">
        <v>0.98777459999999995</v>
      </c>
      <c r="Y3174">
        <v>1.8398049999999999E-2</v>
      </c>
      <c r="Z3174">
        <v>-6.193371E-4</v>
      </c>
      <c r="AA3174">
        <v>0.99983049999999996</v>
      </c>
      <c r="AB3174">
        <v>25</v>
      </c>
      <c r="AC3174">
        <v>0.66200000000000603</v>
      </c>
      <c r="AD3174">
        <v>-9.0625999999999804E-2</v>
      </c>
      <c r="AE3174">
        <v>-1.7109999999995198E-2</v>
      </c>
      <c r="AF3174">
        <v>1.43017935909855E-2</v>
      </c>
      <c r="AG3174">
        <v>-9.0625999999999804E-2</v>
      </c>
      <c r="AH3174">
        <v>0.649889421258254</v>
      </c>
      <c r="AI3174">
        <v>97.936710687168201</v>
      </c>
      <c r="AJ3174">
        <v>88.739323731201907</v>
      </c>
      <c r="AK3174">
        <v>0.65633365984025804</v>
      </c>
      <c r="AL3174">
        <v>81.514918092117895</v>
      </c>
      <c r="AM3174">
        <v>92.9149781050575</v>
      </c>
      <c r="AN3174">
        <v>1.0000000255197901</v>
      </c>
    </row>
    <row r="3175" spans="1:40" x14ac:dyDescent="0.3">
      <c r="A3175" t="str">
        <f>"20200111150414945"</f>
        <v>20200111150414945</v>
      </c>
      <c r="B3175" t="str">
        <f>"1578726254941806"</f>
        <v>1578726254941806</v>
      </c>
      <c r="C3175" t="s">
        <v>40</v>
      </c>
      <c r="D3175">
        <v>5.0161989999999896</v>
      </c>
      <c r="E3175">
        <v>0.48081489999999999</v>
      </c>
      <c r="F3175" t="s">
        <v>72</v>
      </c>
      <c r="G3175">
        <v>-187.0307</v>
      </c>
      <c r="H3175" s="1">
        <v>-1.2326589999999999E-5</v>
      </c>
      <c r="I3175">
        <v>-56.498170000000002</v>
      </c>
      <c r="J3175">
        <v>-197.596</v>
      </c>
      <c r="K3175">
        <v>1.10644599999999</v>
      </c>
      <c r="L3175">
        <v>-57.551540000000003</v>
      </c>
      <c r="M3175">
        <v>0.99942940000000002</v>
      </c>
      <c r="N3175">
        <v>0</v>
      </c>
      <c r="O3175">
        <v>-3.7899079999999998E-3</v>
      </c>
      <c r="P3175">
        <v>0.99218580000000001</v>
      </c>
      <c r="Q3175">
        <v>0.11455220000000001</v>
      </c>
      <c r="R3175">
        <v>4.9449050000000001E-2</v>
      </c>
      <c r="S3175">
        <v>3.0450439999999999</v>
      </c>
      <c r="T3175">
        <v>-0.31526520000000002</v>
      </c>
      <c r="U3175">
        <v>0.29998780000000003</v>
      </c>
      <c r="V3175">
        <v>-5.3216960000000001E-2</v>
      </c>
      <c r="W3175">
        <v>0.14778440000000001</v>
      </c>
      <c r="X3175">
        <v>0.98758679999999999</v>
      </c>
      <c r="Y3175">
        <v>-0.101259</v>
      </c>
      <c r="Z3175">
        <v>5.6060099999999998E-3</v>
      </c>
      <c r="AA3175">
        <v>0.99484430000000001</v>
      </c>
      <c r="AB3175">
        <v>24</v>
      </c>
      <c r="AC3175">
        <v>10.565299999999899</v>
      </c>
      <c r="AD3175">
        <v>-1.1064583265900001</v>
      </c>
      <c r="AE3175">
        <v>1.0533699999999999</v>
      </c>
      <c r="AF3175">
        <v>-1.08167998498957</v>
      </c>
      <c r="AG3175">
        <v>-1.1064583265900001</v>
      </c>
      <c r="AH3175">
        <v>10.447771788969</v>
      </c>
      <c r="AI3175">
        <v>96.013399933981006</v>
      </c>
      <c r="AJ3175">
        <v>95.910894244773104</v>
      </c>
      <c r="AK3175">
        <v>10.561733615878801</v>
      </c>
      <c r="AL3175">
        <v>81.501448778987097</v>
      </c>
      <c r="AM3175">
        <v>93.084449003798298</v>
      </c>
      <c r="AN3175">
        <v>0.99999998062462003</v>
      </c>
    </row>
    <row r="3176" spans="1:40" x14ac:dyDescent="0.3">
      <c r="A3176" t="str">
        <f>"20200111150414956"</f>
        <v>20200111150414956</v>
      </c>
      <c r="B3176" t="str">
        <f>"1578726254951566"</f>
        <v>1578726254951566</v>
      </c>
      <c r="C3176" t="s">
        <v>40</v>
      </c>
      <c r="D3176">
        <v>4.9545009999999996</v>
      </c>
      <c r="E3176">
        <v>0.42859190000000003</v>
      </c>
      <c r="F3176" t="s">
        <v>72</v>
      </c>
      <c r="G3176">
        <v>-186.81950000000001</v>
      </c>
      <c r="H3176" s="1">
        <v>-1.235826E-5</v>
      </c>
      <c r="I3176">
        <v>-56.449300000000001</v>
      </c>
      <c r="J3176">
        <v>-197.47229999999999</v>
      </c>
      <c r="K3176">
        <v>1.1063750000000001</v>
      </c>
      <c r="L3176">
        <v>-57.551940000000002</v>
      </c>
      <c r="M3176">
        <v>0.99944849999999996</v>
      </c>
      <c r="N3176">
        <v>0</v>
      </c>
      <c r="O3176">
        <v>-3.6920529999999998E-3</v>
      </c>
      <c r="P3176">
        <v>0.99197469999999999</v>
      </c>
      <c r="Q3176">
        <v>0.1151832</v>
      </c>
      <c r="R3176">
        <v>5.2146129999999999E-2</v>
      </c>
      <c r="S3176">
        <v>3.0442200000000001</v>
      </c>
      <c r="T3176">
        <v>-0.31256040000000002</v>
      </c>
      <c r="U3176">
        <v>0.3113708</v>
      </c>
      <c r="V3176">
        <v>-5.5829410000000003E-2</v>
      </c>
      <c r="W3176">
        <v>0.1478419</v>
      </c>
      <c r="X3176">
        <v>0.98743400000000003</v>
      </c>
      <c r="Y3176">
        <v>-0.1048611</v>
      </c>
      <c r="Z3176">
        <v>5.7325780000000003E-3</v>
      </c>
      <c r="AA3176">
        <v>0.99447039999999998</v>
      </c>
      <c r="AB3176">
        <v>24</v>
      </c>
      <c r="AC3176">
        <v>10.6527999999999</v>
      </c>
      <c r="AD3176">
        <v>-1.1063873582599999</v>
      </c>
      <c r="AE3176">
        <v>1.1026400000000001</v>
      </c>
      <c r="AF3176">
        <v>-1.1299256883237301</v>
      </c>
      <c r="AG3176">
        <v>-1.1063873582599999</v>
      </c>
      <c r="AH3176">
        <v>10.536208338705199</v>
      </c>
      <c r="AI3176">
        <v>95.960622690337701</v>
      </c>
      <c r="AJ3176">
        <v>96.121128288046194</v>
      </c>
      <c r="AK3176">
        <v>10.654225040060499</v>
      </c>
      <c r="AL3176">
        <v>81.4981180810029</v>
      </c>
      <c r="AM3176">
        <v>93.236051728039101</v>
      </c>
      <c r="AN3176">
        <v>1.0000000273862699</v>
      </c>
    </row>
    <row r="3177" spans="1:40" x14ac:dyDescent="0.3">
      <c r="A3177" t="str">
        <f>"20200111150414967"</f>
        <v>20200111150414967</v>
      </c>
      <c r="B3177" t="str">
        <f>"1578726254961325"</f>
        <v>1578726254961325</v>
      </c>
      <c r="C3177" t="s">
        <v>40</v>
      </c>
      <c r="D3177">
        <v>5.0535139999999998</v>
      </c>
      <c r="E3177">
        <v>0.42412670000000002</v>
      </c>
      <c r="F3177" t="s">
        <v>72</v>
      </c>
      <c r="G3177">
        <v>-182.6694</v>
      </c>
      <c r="H3177" s="1">
        <v>-1.237719E-5</v>
      </c>
      <c r="I3177">
        <v>-53.936590000000002</v>
      </c>
      <c r="J3177">
        <v>-197.3563</v>
      </c>
      <c r="K3177">
        <v>1.106314</v>
      </c>
      <c r="L3177">
        <v>-57.552280000000003</v>
      </c>
      <c r="M3177">
        <v>0.99946789999999996</v>
      </c>
      <c r="N3177">
        <v>0</v>
      </c>
      <c r="O3177">
        <v>-3.5773419999999998E-3</v>
      </c>
      <c r="P3177">
        <v>0.99173409999999995</v>
      </c>
      <c r="Q3177">
        <v>0.1162854</v>
      </c>
      <c r="R3177">
        <v>5.4232460000000003E-2</v>
      </c>
      <c r="S3177">
        <v>3.011749</v>
      </c>
      <c r="T3177">
        <v>-0.22510140000000001</v>
      </c>
      <c r="U3177">
        <v>0.73556519999999903</v>
      </c>
      <c r="V3177">
        <v>-5.7815970000000001E-2</v>
      </c>
      <c r="W3177">
        <v>0.14835870000000001</v>
      </c>
      <c r="X3177">
        <v>0.98724210000000001</v>
      </c>
      <c r="Y3177">
        <v>-0.24009220000000001</v>
      </c>
      <c r="Z3177">
        <v>9.0939469999999998E-3</v>
      </c>
      <c r="AA3177">
        <v>0.97070749999999995</v>
      </c>
      <c r="AB3177">
        <v>24</v>
      </c>
      <c r="AC3177">
        <v>14.6869</v>
      </c>
      <c r="AD3177">
        <v>-1.10632637719</v>
      </c>
      <c r="AE3177">
        <v>3.6156899999999998</v>
      </c>
      <c r="AF3177">
        <v>-3.6487140076274098</v>
      </c>
      <c r="AG3177">
        <v>-1.10632637719</v>
      </c>
      <c r="AH3177">
        <v>14.5957775061775</v>
      </c>
      <c r="AI3177">
        <v>94.205666577358201</v>
      </c>
      <c r="AJ3177">
        <v>104.03539234565901</v>
      </c>
      <c r="AK3177">
        <v>15.0855491438714</v>
      </c>
      <c r="AL3177">
        <v>81.468177015721906</v>
      </c>
      <c r="AM3177">
        <v>93.351591088148396</v>
      </c>
      <c r="AN3177">
        <v>0.99999997713257005</v>
      </c>
    </row>
    <row r="3178" spans="1:40" x14ac:dyDescent="0.3">
      <c r="A3178" t="str">
        <f>"20200111150414977"</f>
        <v>20200111150414977</v>
      </c>
      <c r="B3178" t="str">
        <f>"1578726254971360"</f>
        <v>1578726254971360</v>
      </c>
      <c r="C3178" t="s">
        <v>40</v>
      </c>
      <c r="D3178">
        <v>5.0244470000000003</v>
      </c>
      <c r="E3178">
        <v>0.42243340000000001</v>
      </c>
      <c r="F3178" t="s">
        <v>72</v>
      </c>
      <c r="G3178">
        <v>-182.7801</v>
      </c>
      <c r="H3178" s="1">
        <v>-1.2304600000000001E-5</v>
      </c>
      <c r="I3178">
        <v>-53.78463</v>
      </c>
      <c r="J3178">
        <v>-197.2518</v>
      </c>
      <c r="K3178">
        <v>1.106284</v>
      </c>
      <c r="L3178">
        <v>-57.552489999999999</v>
      </c>
      <c r="M3178">
        <v>0.99948859999999995</v>
      </c>
      <c r="N3178">
        <v>0</v>
      </c>
      <c r="O3178">
        <v>-3.3726429999999998E-3</v>
      </c>
      <c r="P3178">
        <v>0.99142169999999996</v>
      </c>
      <c r="Q3178">
        <v>0.118253</v>
      </c>
      <c r="R3178">
        <v>5.5672949999999999E-2</v>
      </c>
      <c r="S3178">
        <v>3.0092620000000001</v>
      </c>
      <c r="T3178">
        <v>-0.22840179999999999</v>
      </c>
      <c r="U3178">
        <v>0.77783199999999997</v>
      </c>
      <c r="V3178">
        <v>-5.907776E-2</v>
      </c>
      <c r="W3178">
        <v>0.1496941</v>
      </c>
      <c r="X3178">
        <v>0.9869658</v>
      </c>
      <c r="Y3178">
        <v>-0.25282909999999997</v>
      </c>
      <c r="Z3178">
        <v>9.6784360000000003E-3</v>
      </c>
      <c r="AA3178">
        <v>0.9674625</v>
      </c>
      <c r="AB3178">
        <v>24</v>
      </c>
      <c r="AC3178">
        <v>14.471699999999901</v>
      </c>
      <c r="AD3178">
        <v>-1.1062963045999901</v>
      </c>
      <c r="AE3178">
        <v>3.76785999999999</v>
      </c>
      <c r="AF3178">
        <v>-3.7958964917786702</v>
      </c>
      <c r="AG3178">
        <v>-1.1062963045999901</v>
      </c>
      <c r="AH3178">
        <v>14.3802018692459</v>
      </c>
      <c r="AI3178">
        <v>94.254058042570705</v>
      </c>
      <c r="AJ3178">
        <v>104.786901631882</v>
      </c>
      <c r="AK3178">
        <v>14.913850190012401</v>
      </c>
      <c r="AL3178">
        <v>81.390800352983703</v>
      </c>
      <c r="AM3178">
        <v>93.425521229873198</v>
      </c>
      <c r="AN3178">
        <v>0.99999999783553295</v>
      </c>
    </row>
    <row r="3179" spans="1:40" x14ac:dyDescent="0.3">
      <c r="A3179" t="str">
        <f>"20200111150414988"</f>
        <v>20200111150414988</v>
      </c>
      <c r="B3179" t="str">
        <f>"1578726254981120"</f>
        <v>1578726254981120</v>
      </c>
      <c r="C3179" t="s">
        <v>40</v>
      </c>
      <c r="D3179">
        <v>5.0350590000000004</v>
      </c>
      <c r="E3179">
        <v>0.42189670000000001</v>
      </c>
      <c r="F3179" t="s">
        <v>72</v>
      </c>
      <c r="G3179">
        <v>-182.7045</v>
      </c>
      <c r="H3179" s="1">
        <v>-1.22935199999999E-5</v>
      </c>
      <c r="I3179">
        <v>-53.710669999999901</v>
      </c>
      <c r="J3179">
        <v>-197.1241</v>
      </c>
      <c r="K3179">
        <v>1.106252</v>
      </c>
      <c r="L3179">
        <v>-57.552700000000002</v>
      </c>
      <c r="M3179">
        <v>0.99951389999999996</v>
      </c>
      <c r="N3179">
        <v>0</v>
      </c>
      <c r="O3179">
        <v>-3.0982499999999999E-3</v>
      </c>
      <c r="P3179">
        <v>0.99109659999999999</v>
      </c>
      <c r="Q3179">
        <v>0.1204944</v>
      </c>
      <c r="R3179">
        <v>5.6646130000000003E-2</v>
      </c>
      <c r="S3179">
        <v>3.0086360000000001</v>
      </c>
      <c r="T3179">
        <v>-0.2288018</v>
      </c>
      <c r="U3179">
        <v>0.79455569999999998</v>
      </c>
      <c r="V3179">
        <v>-5.9811759999999999E-2</v>
      </c>
      <c r="W3179">
        <v>0.15114229999999901</v>
      </c>
      <c r="X3179">
        <v>0.98670080000000004</v>
      </c>
      <c r="Y3179">
        <v>-0.25762929999999901</v>
      </c>
      <c r="Z3179">
        <v>9.8493060000000004E-3</v>
      </c>
      <c r="AA3179">
        <v>0.96619359999999999</v>
      </c>
      <c r="AB3179">
        <v>24</v>
      </c>
      <c r="AC3179">
        <v>14.419600000000001</v>
      </c>
      <c r="AD3179">
        <v>-1.10626429352</v>
      </c>
      <c r="AE3179">
        <v>3.8420299999999998</v>
      </c>
      <c r="AF3179">
        <v>-3.8654650587453698</v>
      </c>
      <c r="AG3179">
        <v>-1.10626429352</v>
      </c>
      <c r="AH3179">
        <v>14.328873915223101</v>
      </c>
      <c r="AI3179">
        <v>94.262975281692405</v>
      </c>
      <c r="AJ3179">
        <v>105.09716036865601</v>
      </c>
      <c r="AK3179">
        <v>14.8822803523472</v>
      </c>
      <c r="AL3179">
        <v>81.306869297792105</v>
      </c>
      <c r="AM3179">
        <v>93.468906834337503</v>
      </c>
      <c r="AN3179">
        <v>0.99999995510211204</v>
      </c>
    </row>
    <row r="3180" spans="1:40" x14ac:dyDescent="0.3">
      <c r="A3180" t="str">
        <f>"20200111150414999"</f>
        <v>20200111150414999</v>
      </c>
      <c r="B3180" t="str">
        <f>"1578726254991855"</f>
        <v>1578726254991855</v>
      </c>
      <c r="C3180" t="s">
        <v>40</v>
      </c>
      <c r="D3180">
        <v>5.0195869999999996</v>
      </c>
      <c r="E3180">
        <v>0.42200510000000002</v>
      </c>
      <c r="F3180" t="s">
        <v>72</v>
      </c>
      <c r="G3180">
        <v>-182.72890000000001</v>
      </c>
      <c r="H3180" s="1">
        <v>-1.2293489999999999E-5</v>
      </c>
      <c r="I3180">
        <v>-53.723999999999997</v>
      </c>
      <c r="J3180">
        <v>-197.00800000000001</v>
      </c>
      <c r="K3180">
        <v>1.106274</v>
      </c>
      <c r="L3180">
        <v>-57.5526699999999</v>
      </c>
      <c r="M3180">
        <v>0.99953950000000003</v>
      </c>
      <c r="N3180">
        <v>0</v>
      </c>
      <c r="O3180">
        <v>-2.657721E-3</v>
      </c>
      <c r="P3180">
        <v>0.99085529999999999</v>
      </c>
      <c r="Q3180">
        <v>0.1225701</v>
      </c>
      <c r="R3180">
        <v>5.6414980000000003E-2</v>
      </c>
      <c r="S3180">
        <v>3.009293</v>
      </c>
      <c r="T3180">
        <v>-0.23126260000000001</v>
      </c>
      <c r="U3180">
        <v>0.80038450000000005</v>
      </c>
      <c r="V3180">
        <v>-5.9192719999999997E-2</v>
      </c>
      <c r="W3180">
        <v>0.1524054</v>
      </c>
      <c r="X3180">
        <v>0.98654390000000003</v>
      </c>
      <c r="Y3180">
        <v>-0.25888319999999998</v>
      </c>
      <c r="Z3180">
        <v>9.9644680000000006E-3</v>
      </c>
      <c r="AA3180">
        <v>0.96585719999999997</v>
      </c>
      <c r="AB3180">
        <v>24</v>
      </c>
      <c r="AC3180">
        <v>14.2790999999999</v>
      </c>
      <c r="AD3180">
        <v>-1.10628629349</v>
      </c>
      <c r="AE3180">
        <v>3.82866999999999</v>
      </c>
      <c r="AF3180">
        <v>-3.8450914931948001</v>
      </c>
      <c r="AG3180">
        <v>-1.10628629349</v>
      </c>
      <c r="AH3180">
        <v>14.1894098434474</v>
      </c>
      <c r="AI3180">
        <v>94.3034901583665</v>
      </c>
      <c r="AJ3180">
        <v>105.16206695167</v>
      </c>
      <c r="AK3180">
        <v>14.742725313168</v>
      </c>
      <c r="AL3180">
        <v>81.233651392040599</v>
      </c>
      <c r="AM3180">
        <v>93.433635339179702</v>
      </c>
      <c r="AN3180">
        <v>1.00000002533868</v>
      </c>
    </row>
    <row r="3181" spans="1:40" x14ac:dyDescent="0.3">
      <c r="A3181" t="str">
        <f>"20200111150415011"</f>
        <v>20200111150415011</v>
      </c>
      <c r="B3181" t="str">
        <f>"1578726255001616"</f>
        <v>1578726255001616</v>
      </c>
      <c r="C3181" t="s">
        <v>40</v>
      </c>
      <c r="D3181">
        <v>4.9996330000000002</v>
      </c>
      <c r="E3181">
        <v>0.42200559999999998</v>
      </c>
      <c r="F3181" t="s">
        <v>72</v>
      </c>
      <c r="G3181">
        <v>-182.95519999999999</v>
      </c>
      <c r="H3181" s="1">
        <v>-1.228699E-5</v>
      </c>
      <c r="I3181">
        <v>-53.829149999999998</v>
      </c>
      <c r="J3181">
        <v>-196.88929999999999</v>
      </c>
      <c r="K3181">
        <v>1.106303</v>
      </c>
      <c r="L3181">
        <v>-57.552579999999999</v>
      </c>
      <c r="M3181">
        <v>0.99956520000000004</v>
      </c>
      <c r="N3181">
        <v>0</v>
      </c>
      <c r="O3181">
        <v>-2.1695500000000001E-3</v>
      </c>
      <c r="P3181">
        <v>0.99061600000000005</v>
      </c>
      <c r="Q3181">
        <v>0.12472610000000001</v>
      </c>
      <c r="R3181">
        <v>5.5886770000000002E-2</v>
      </c>
      <c r="S3181">
        <v>3.0115970000000001</v>
      </c>
      <c r="T3181">
        <v>-0.2370843</v>
      </c>
      <c r="U3181">
        <v>0.79797359999999995</v>
      </c>
      <c r="V3181">
        <v>-5.8233180000000002E-2</v>
      </c>
      <c r="W3181">
        <v>0.15373000000000001</v>
      </c>
      <c r="X3181">
        <v>0.98639549999999998</v>
      </c>
      <c r="Y3181">
        <v>-0.25747500000000001</v>
      </c>
      <c r="Z3181">
        <v>1.011592E-2</v>
      </c>
      <c r="AA3181">
        <v>0.96623199999999998</v>
      </c>
      <c r="AB3181">
        <v>24</v>
      </c>
      <c r="AC3181">
        <v>13.934100000000001</v>
      </c>
      <c r="AD3181">
        <v>-1.1063152869899999</v>
      </c>
      <c r="AE3181">
        <v>3.72343</v>
      </c>
      <c r="AF3181">
        <v>-3.7317089911584098</v>
      </c>
      <c r="AG3181">
        <v>-1.1063152869899999</v>
      </c>
      <c r="AH3181">
        <v>13.844529247191399</v>
      </c>
      <c r="AI3181">
        <v>94.411984271947006</v>
      </c>
      <c r="AJ3181">
        <v>105.085217600676</v>
      </c>
      <c r="AK3181">
        <v>14.381257788707501</v>
      </c>
      <c r="AL3181">
        <v>81.1568525895741</v>
      </c>
      <c r="AM3181">
        <v>93.378611608354802</v>
      </c>
      <c r="AN3181">
        <v>1.0000000492865799</v>
      </c>
    </row>
    <row r="3182" spans="1:40" x14ac:dyDescent="0.3">
      <c r="A3182" t="str">
        <f>"20200111150415021"</f>
        <v>20200111150415021</v>
      </c>
      <c r="B3182" t="str">
        <f>"1578726255011376"</f>
        <v>1578726255011376</v>
      </c>
      <c r="C3182" t="s">
        <v>40</v>
      </c>
      <c r="D3182">
        <v>5.0391009999999996</v>
      </c>
      <c r="E3182">
        <v>0.42219620000000002</v>
      </c>
      <c r="F3182" t="s">
        <v>72</v>
      </c>
      <c r="G3182">
        <v>-182.74799999999999</v>
      </c>
      <c r="H3182" s="1">
        <v>-1.2320580000000001E-5</v>
      </c>
      <c r="I3182">
        <v>-53.813850000000002</v>
      </c>
      <c r="J3182">
        <v>-196.76939999999999</v>
      </c>
      <c r="K3182">
        <v>1.106366</v>
      </c>
      <c r="L3182">
        <v>-57.552190000000003</v>
      </c>
      <c r="M3182">
        <v>0.99959050000000005</v>
      </c>
      <c r="N3182">
        <v>0</v>
      </c>
      <c r="O3182">
        <v>-1.5023770000000001E-3</v>
      </c>
      <c r="P3182">
        <v>0.99042580000000002</v>
      </c>
      <c r="Q3182">
        <v>0.126301</v>
      </c>
      <c r="R3182">
        <v>5.5720930000000002E-2</v>
      </c>
      <c r="S3182">
        <v>3.0131679999999998</v>
      </c>
      <c r="T3182">
        <v>-0.23572860000000001</v>
      </c>
      <c r="U3182">
        <v>0.79663090000000003</v>
      </c>
      <c r="V3182">
        <v>-5.7470300000000002E-2</v>
      </c>
      <c r="W3182">
        <v>0.154450799999999</v>
      </c>
      <c r="X3182">
        <v>0.98632759999999997</v>
      </c>
      <c r="Y3182">
        <v>-0.25631730000000003</v>
      </c>
      <c r="Z3182">
        <v>9.9580169999999996E-3</v>
      </c>
      <c r="AA3182">
        <v>0.96654139999999999</v>
      </c>
      <c r="AB3182">
        <v>24</v>
      </c>
      <c r="AC3182">
        <v>14.0214</v>
      </c>
      <c r="AD3182">
        <v>-1.10637832058</v>
      </c>
      <c r="AE3182">
        <v>3.73834</v>
      </c>
      <c r="AF3182">
        <v>-3.7376826380793502</v>
      </c>
      <c r="AG3182">
        <v>-1.10637832058</v>
      </c>
      <c r="AH3182">
        <v>13.9347626033873</v>
      </c>
      <c r="AI3182">
        <v>94.385217354438595</v>
      </c>
      <c r="AJ3182">
        <v>105.014861692137</v>
      </c>
      <c r="AK3182">
        <v>14.469690850326099</v>
      </c>
      <c r="AL3182">
        <v>81.115054234975901</v>
      </c>
      <c r="AM3182">
        <v>93.334679887671797</v>
      </c>
      <c r="AN3182">
        <v>1.0000000097622399</v>
      </c>
    </row>
    <row r="3183" spans="1:40" x14ac:dyDescent="0.3">
      <c r="A3183" t="str">
        <f>"20200111150415032"</f>
        <v>20200111150415032</v>
      </c>
      <c r="B3183" t="str">
        <f>"1578726255021136"</f>
        <v>1578726255021136</v>
      </c>
      <c r="C3183" t="s">
        <v>40</v>
      </c>
      <c r="D3183">
        <v>4.9971829999999997</v>
      </c>
      <c r="E3183">
        <v>0.42257430000000001</v>
      </c>
      <c r="F3183" t="s">
        <v>72</v>
      </c>
      <c r="G3183">
        <v>-182.5222</v>
      </c>
      <c r="H3183" s="1">
        <v>-1.2354970000000001E-5</v>
      </c>
      <c r="I3183">
        <v>-53.790680000000002</v>
      </c>
      <c r="J3183">
        <v>-196.65430000000001</v>
      </c>
      <c r="K3183">
        <v>1.106447</v>
      </c>
      <c r="L3183">
        <v>-57.551699999999997</v>
      </c>
      <c r="M3183">
        <v>0.9996138</v>
      </c>
      <c r="N3183">
        <v>0</v>
      </c>
      <c r="O3183">
        <v>-7.709266E-4</v>
      </c>
      <c r="P3183">
        <v>0.99030379999999996</v>
      </c>
      <c r="Q3183">
        <v>0.12699360000000001</v>
      </c>
      <c r="R3183">
        <v>5.6312330000000001E-2</v>
      </c>
      <c r="S3183">
        <v>3.0140989999999999</v>
      </c>
      <c r="T3183">
        <v>-0.23406350000000001</v>
      </c>
      <c r="U3183">
        <v>0.79577640000000005</v>
      </c>
      <c r="V3183">
        <v>-5.740079E-2</v>
      </c>
      <c r="W3183">
        <v>0.1543368</v>
      </c>
      <c r="X3183">
        <v>0.98634949999999999</v>
      </c>
      <c r="Y3183">
        <v>-0.25529580000000002</v>
      </c>
      <c r="Z3183">
        <v>9.7905539999999999E-3</v>
      </c>
      <c r="AA3183">
        <v>0.96681340000000004</v>
      </c>
      <c r="AB3183">
        <v>24</v>
      </c>
      <c r="AC3183">
        <v>14.132099999999999</v>
      </c>
      <c r="AD3183">
        <v>-1.1064593549699999</v>
      </c>
      <c r="AE3183">
        <v>3.76101999999999</v>
      </c>
      <c r="AF3183">
        <v>-3.75044842180528</v>
      </c>
      <c r="AG3183">
        <v>-1.1064593549699999</v>
      </c>
      <c r="AH3183">
        <v>14.048772874329099</v>
      </c>
      <c r="AI3183">
        <v>94.3514568172221</v>
      </c>
      <c r="AJ3183">
        <v>104.947061366082</v>
      </c>
      <c r="AK3183">
        <v>14.582802712212301</v>
      </c>
      <c r="AL3183">
        <v>81.1216652913742</v>
      </c>
      <c r="AM3183">
        <v>93.330581912534598</v>
      </c>
      <c r="AN3183">
        <v>1.0000000173385499</v>
      </c>
    </row>
    <row r="3184" spans="1:40" x14ac:dyDescent="0.3">
      <c r="A3184" t="str">
        <f>"20200111150415043"</f>
        <v>20200111150415043</v>
      </c>
      <c r="B3184" t="str">
        <f>"1578726255031872"</f>
        <v>1578726255031872</v>
      </c>
      <c r="C3184" t="s">
        <v>40</v>
      </c>
      <c r="D3184">
        <v>5.0595230000000004</v>
      </c>
      <c r="E3184">
        <v>0.42273949999999999</v>
      </c>
      <c r="F3184" t="s">
        <v>72</v>
      </c>
      <c r="G3184">
        <v>-182.47219999999999</v>
      </c>
      <c r="H3184" s="1">
        <v>-1.237017E-5</v>
      </c>
      <c r="I3184">
        <v>-53.807769999999998</v>
      </c>
      <c r="J3184">
        <v>-196.53659999999999</v>
      </c>
      <c r="K3184">
        <v>1.1065560000000001</v>
      </c>
      <c r="L3184">
        <v>-57.550899999999999</v>
      </c>
      <c r="M3184">
        <v>0.99963550000000001</v>
      </c>
      <c r="N3184">
        <v>0</v>
      </c>
      <c r="O3184">
        <v>1.348392E-4</v>
      </c>
      <c r="P3184">
        <v>0.99017440000000001</v>
      </c>
      <c r="Q3184">
        <v>0.12744140000000001</v>
      </c>
      <c r="R3184">
        <v>5.756323E-2</v>
      </c>
      <c r="S3184">
        <v>3.014297</v>
      </c>
      <c r="T3184">
        <v>-0.23517009999999999</v>
      </c>
      <c r="U3184">
        <v>0.79574579999999995</v>
      </c>
      <c r="V3184">
        <v>-5.7825920000000003E-2</v>
      </c>
      <c r="W3184">
        <v>0.1539797</v>
      </c>
      <c r="X3184">
        <v>0.98638049999999999</v>
      </c>
      <c r="Y3184">
        <v>-0.25439329999999999</v>
      </c>
      <c r="Z3184">
        <v>9.7321290000000008E-3</v>
      </c>
      <c r="AA3184">
        <v>0.96705189999999996</v>
      </c>
      <c r="AB3184">
        <v>24</v>
      </c>
      <c r="AC3184">
        <v>14.064399999999999</v>
      </c>
      <c r="AD3184">
        <v>-1.10656837017</v>
      </c>
      <c r="AE3184">
        <v>3.7431299999999998</v>
      </c>
      <c r="AF3184">
        <v>-3.7197295846617799</v>
      </c>
      <c r="AG3184">
        <v>-1.10656837017</v>
      </c>
      <c r="AH3184">
        <v>13.9840647756261</v>
      </c>
      <c r="AI3184">
        <v>94.372985240666196</v>
      </c>
      <c r="AJ3184">
        <v>104.89562889800099</v>
      </c>
      <c r="AK3184">
        <v>14.512579005461999</v>
      </c>
      <c r="AL3184">
        <v>81.142373335906598</v>
      </c>
      <c r="AM3184">
        <v>93.355087994268303</v>
      </c>
      <c r="AN3184">
        <v>1.00000003790809</v>
      </c>
    </row>
    <row r="3185" spans="1:40" x14ac:dyDescent="0.3">
      <c r="A3185" t="str">
        <f>"20200111150415055"</f>
        <v>20200111150415055</v>
      </c>
      <c r="B3185" t="str">
        <f>"1578726255051392"</f>
        <v>1578726255051392</v>
      </c>
      <c r="C3185" t="s">
        <v>40</v>
      </c>
      <c r="D3185">
        <v>5.1081979999999998</v>
      </c>
      <c r="E3185">
        <v>0.42302220000000001</v>
      </c>
      <c r="F3185" t="s">
        <v>72</v>
      </c>
      <c r="G3185">
        <v>-182.37520000000001</v>
      </c>
      <c r="H3185" s="1">
        <v>-1.238462E-5</v>
      </c>
      <c r="I3185">
        <v>-53.796860000000002</v>
      </c>
      <c r="J3185">
        <v>-196.41800000000001</v>
      </c>
      <c r="K3185">
        <v>1.1066879999999999</v>
      </c>
      <c r="L3185">
        <v>-57.549799999999998</v>
      </c>
      <c r="M3185">
        <v>0.99965519999999997</v>
      </c>
      <c r="N3185">
        <v>0</v>
      </c>
      <c r="O3185">
        <v>1.2140089999999901E-3</v>
      </c>
      <c r="P3185">
        <v>0.99002489999999999</v>
      </c>
      <c r="Q3185">
        <v>0.12772229999999901</v>
      </c>
      <c r="R3185">
        <v>5.9481840000000001E-2</v>
      </c>
      <c r="S3185">
        <v>3.0136569999999998</v>
      </c>
      <c r="T3185">
        <v>-0.23548649999999999</v>
      </c>
      <c r="U3185">
        <v>0.79888919999999997</v>
      </c>
      <c r="V3185">
        <v>-5.8751030000000003E-2</v>
      </c>
      <c r="W3185">
        <v>0.15347459999999999</v>
      </c>
      <c r="X3185">
        <v>0.98640450000000002</v>
      </c>
      <c r="Y3185">
        <v>-0.25434420000000002</v>
      </c>
      <c r="Z3185">
        <v>9.6612260000000002E-3</v>
      </c>
      <c r="AA3185">
        <v>0.96706550000000002</v>
      </c>
      <c r="AB3185">
        <v>24</v>
      </c>
      <c r="AC3185">
        <v>14.0428</v>
      </c>
      <c r="AD3185">
        <v>-1.1067003846200001</v>
      </c>
      <c r="AE3185">
        <v>3.7529400000000002</v>
      </c>
      <c r="AF3185">
        <v>-3.71435174809882</v>
      </c>
      <c r="AG3185">
        <v>-1.1067003846200001</v>
      </c>
      <c r="AH3185">
        <v>13.9663863020465</v>
      </c>
      <c r="AI3185">
        <v>94.379071723140498</v>
      </c>
      <c r="AJ3185">
        <v>104.89304118267999</v>
      </c>
      <c r="AK3185">
        <v>14.494176105868</v>
      </c>
      <c r="AL3185">
        <v>81.171661119742694</v>
      </c>
      <c r="AM3185">
        <v>93.408555020841007</v>
      </c>
      <c r="AN3185">
        <v>0.999999986995735</v>
      </c>
    </row>
    <row r="3186" spans="1:40" x14ac:dyDescent="0.3">
      <c r="A3186" t="str">
        <f>"20200111150415067"</f>
        <v>20200111150415067</v>
      </c>
      <c r="B3186" t="str">
        <f>"1578726255061152"</f>
        <v>1578726255061152</v>
      </c>
      <c r="C3186" t="s">
        <v>40</v>
      </c>
      <c r="D3186">
        <v>5.0956919999999997</v>
      </c>
      <c r="E3186">
        <v>0.42322369999999998</v>
      </c>
      <c r="F3186" t="s">
        <v>72</v>
      </c>
      <c r="G3186">
        <v>-182.76490000000001</v>
      </c>
      <c r="H3186" s="1">
        <v>-1.235361E-5</v>
      </c>
      <c r="I3186">
        <v>-53.919939999999997</v>
      </c>
      <c r="J3186">
        <v>-196.29079999999999</v>
      </c>
      <c r="K3186">
        <v>1.1068519999999999</v>
      </c>
      <c r="L3186">
        <v>-57.548400000000001</v>
      </c>
      <c r="M3186">
        <v>0.99967320000000004</v>
      </c>
      <c r="N3186">
        <v>0</v>
      </c>
      <c r="O3186">
        <v>2.5189650000000002E-3</v>
      </c>
      <c r="P3186">
        <v>0.98989570000000005</v>
      </c>
      <c r="Q3186">
        <v>0.12779960000000001</v>
      </c>
      <c r="R3186">
        <v>6.1433519999999998E-2</v>
      </c>
      <c r="S3186">
        <v>3.013611</v>
      </c>
      <c r="T3186">
        <v>-0.24427840000000001</v>
      </c>
      <c r="U3186">
        <v>0.80120849999999999</v>
      </c>
      <c r="V3186">
        <v>-5.9493110000000002E-2</v>
      </c>
      <c r="W3186">
        <v>0.15273239999999999</v>
      </c>
      <c r="X3186">
        <v>0.9864752</v>
      </c>
      <c r="Y3186">
        <v>-0.25373230000000002</v>
      </c>
      <c r="Z3186">
        <v>9.8918410000000002E-3</v>
      </c>
      <c r="AA3186">
        <v>0.96722390000000003</v>
      </c>
      <c r="AB3186">
        <v>24</v>
      </c>
      <c r="AC3186">
        <v>13.525899999999901</v>
      </c>
      <c r="AD3186">
        <v>-1.10686435361</v>
      </c>
      <c r="AE3186">
        <v>3.6284599999999898</v>
      </c>
      <c r="AF3186">
        <v>-3.5720513233126101</v>
      </c>
      <c r="AG3186">
        <v>-1.10686435361</v>
      </c>
      <c r="AH3186">
        <v>13.4509708101792</v>
      </c>
      <c r="AI3186">
        <v>94.547286309004093</v>
      </c>
      <c r="AJ3186">
        <v>104.872248988506</v>
      </c>
      <c r="AK3186">
        <v>13.9611358810795</v>
      </c>
      <c r="AL3186">
        <v>81.214693225991397</v>
      </c>
      <c r="AM3186">
        <v>93.451258028929502</v>
      </c>
      <c r="AN3186">
        <v>0.99999996818113501</v>
      </c>
    </row>
    <row r="3187" spans="1:40" x14ac:dyDescent="0.3">
      <c r="A3187" t="str">
        <f>"20200111150415078"</f>
        <v>20200111150415078</v>
      </c>
      <c r="B3187" t="str">
        <f>"1578726255071421"</f>
        <v>1578726255071421</v>
      </c>
      <c r="C3187" t="s">
        <v>40</v>
      </c>
      <c r="D3187">
        <v>5.0995499999999998</v>
      </c>
      <c r="E3187">
        <v>0.4232919</v>
      </c>
      <c r="F3187" t="s">
        <v>72</v>
      </c>
      <c r="G3187">
        <v>-182.9588</v>
      </c>
      <c r="H3187" s="1">
        <v>-1.234254E-5</v>
      </c>
      <c r="I3187">
        <v>-53.993949999999998</v>
      </c>
      <c r="J3187">
        <v>-196.17330000000001</v>
      </c>
      <c r="K3187">
        <v>1.1070279999999999</v>
      </c>
      <c r="L3187">
        <v>-57.546599999999998</v>
      </c>
      <c r="M3187">
        <v>0.99968559999999995</v>
      </c>
      <c r="N3187">
        <v>0</v>
      </c>
      <c r="O3187">
        <v>3.9960029999999997E-3</v>
      </c>
      <c r="P3187">
        <v>0.98967190000000005</v>
      </c>
      <c r="Q3187">
        <v>0.1284033</v>
      </c>
      <c r="R3187">
        <v>6.3734200000000005E-2</v>
      </c>
      <c r="S3187">
        <v>3.0130620000000001</v>
      </c>
      <c r="T3187">
        <v>-0.250154299999999</v>
      </c>
      <c r="U3187">
        <v>0.80331419999999998</v>
      </c>
      <c r="V3187">
        <v>-6.0414229999999999E-2</v>
      </c>
      <c r="W3187">
        <v>0.15261839999999999</v>
      </c>
      <c r="X3187">
        <v>0.98643689999999995</v>
      </c>
      <c r="Y3187">
        <v>-0.25294820000000001</v>
      </c>
      <c r="Z3187">
        <v>9.9776259999999999E-3</v>
      </c>
      <c r="AA3187">
        <v>0.96742839999999997</v>
      </c>
      <c r="AB3187">
        <v>24</v>
      </c>
      <c r="AC3187">
        <v>13.214499999999999</v>
      </c>
      <c r="AD3187">
        <v>-1.1070403425399999</v>
      </c>
      <c r="AE3187">
        <v>3.5526499999999999</v>
      </c>
      <c r="AF3187">
        <v>-3.47704255895726</v>
      </c>
      <c r="AG3187">
        <v>-1.1070403425399999</v>
      </c>
      <c r="AH3187">
        <v>13.1425753297389</v>
      </c>
      <c r="AI3187">
        <v>94.655408446600603</v>
      </c>
      <c r="AJ3187">
        <v>104.818843069076</v>
      </c>
      <c r="AK3187">
        <v>13.639745216633299</v>
      </c>
      <c r="AL3187">
        <v>81.221302767336894</v>
      </c>
      <c r="AM3187">
        <v>93.504696735454701</v>
      </c>
      <c r="AN3187">
        <v>1.0000000064433301</v>
      </c>
    </row>
    <row r="3188" spans="1:40" x14ac:dyDescent="0.3">
      <c r="A3188" t="str">
        <f>"20200111150415088"</f>
        <v>20200111150415088</v>
      </c>
      <c r="B3188" t="str">
        <f>"1578726255081181"</f>
        <v>1578726255081181</v>
      </c>
      <c r="C3188" t="s">
        <v>40</v>
      </c>
      <c r="D3188">
        <v>5.1452980000000004</v>
      </c>
      <c r="E3188">
        <v>0.4233499</v>
      </c>
      <c r="F3188" t="s">
        <v>72</v>
      </c>
      <c r="G3188">
        <v>-183.01750000000001</v>
      </c>
      <c r="H3188" s="1">
        <v>-1.234089E-5</v>
      </c>
      <c r="I3188">
        <v>-54.02131</v>
      </c>
      <c r="J3188">
        <v>-196.05629999999999</v>
      </c>
      <c r="K3188">
        <v>1.107213</v>
      </c>
      <c r="L3188">
        <v>-57.544739999999997</v>
      </c>
      <c r="M3188">
        <v>0.99969479999999999</v>
      </c>
      <c r="N3188">
        <v>0</v>
      </c>
      <c r="O3188">
        <v>5.5285500000000001E-3</v>
      </c>
      <c r="P3188">
        <v>0.98940269999999997</v>
      </c>
      <c r="Q3188">
        <v>0.1293888</v>
      </c>
      <c r="R3188">
        <v>6.5884269999999995E-2</v>
      </c>
      <c r="S3188">
        <v>3.0121920000000002</v>
      </c>
      <c r="T3188">
        <v>-0.25347049999999999</v>
      </c>
      <c r="U3188">
        <v>0.80715939999999997</v>
      </c>
      <c r="V3188">
        <v>-6.1133109999999997E-2</v>
      </c>
      <c r="W3188">
        <v>0.15289639999999999</v>
      </c>
      <c r="X3188">
        <v>0.98634949999999999</v>
      </c>
      <c r="Y3188">
        <v>-0.25267210000000001</v>
      </c>
      <c r="Z3188">
        <v>9.9727449999999999E-3</v>
      </c>
      <c r="AA3188">
        <v>0.96750060000000004</v>
      </c>
      <c r="AB3188">
        <v>24</v>
      </c>
      <c r="AC3188">
        <v>13.038799999999901</v>
      </c>
      <c r="AD3188">
        <v>-1.1072253408899999</v>
      </c>
      <c r="AE3188">
        <v>3.5234299999999998</v>
      </c>
      <c r="AF3188">
        <v>-3.4282308545567499</v>
      </c>
      <c r="AG3188">
        <v>-1.1072253408899999</v>
      </c>
      <c r="AH3188">
        <v>12.970917402303799</v>
      </c>
      <c r="AI3188">
        <v>94.717830909652207</v>
      </c>
      <c r="AJ3188">
        <v>104.80481700694099</v>
      </c>
      <c r="AK3188">
        <v>13.461924565419</v>
      </c>
      <c r="AL3188">
        <v>81.205184892899297</v>
      </c>
      <c r="AM3188">
        <v>93.546607395253204</v>
      </c>
      <c r="AN3188">
        <v>0.99999995121073904</v>
      </c>
    </row>
    <row r="3189" spans="1:40" x14ac:dyDescent="0.3">
      <c r="A3189" t="str">
        <f>"20200111150415099"</f>
        <v>20200111150415099</v>
      </c>
      <c r="B3189" t="str">
        <f>"1578726255091917"</f>
        <v>1578726255091917</v>
      </c>
      <c r="C3189" t="s">
        <v>40</v>
      </c>
      <c r="D3189">
        <v>5.1139080000000003</v>
      </c>
      <c r="E3189">
        <v>0.42341289999999998</v>
      </c>
      <c r="F3189" t="s">
        <v>72</v>
      </c>
      <c r="G3189">
        <v>-182.9897</v>
      </c>
      <c r="H3189" s="1">
        <v>-1.234714E-5</v>
      </c>
      <c r="I3189">
        <v>-54.024360000000001</v>
      </c>
      <c r="J3189">
        <v>-195.935</v>
      </c>
      <c r="K3189">
        <v>1.107429</v>
      </c>
      <c r="L3189">
        <v>-57.542079999999999</v>
      </c>
      <c r="M3189">
        <v>0.99969739999999996</v>
      </c>
      <c r="N3189">
        <v>0</v>
      </c>
      <c r="O3189">
        <v>7.4655310000000001E-3</v>
      </c>
      <c r="P3189">
        <v>0.98887780000000003</v>
      </c>
      <c r="Q3189">
        <v>0.1318628</v>
      </c>
      <c r="R3189">
        <v>6.8794380000000002E-2</v>
      </c>
      <c r="S3189">
        <v>3.0114589999999999</v>
      </c>
      <c r="T3189">
        <v>-0.25518229999999997</v>
      </c>
      <c r="U3189">
        <v>0.81134030000000001</v>
      </c>
      <c r="V3189">
        <v>-6.2228779999999997E-2</v>
      </c>
      <c r="W3189">
        <v>0.1546864</v>
      </c>
      <c r="X3189">
        <v>0.98600189999999999</v>
      </c>
      <c r="Y3189">
        <v>-0.25210690000000002</v>
      </c>
      <c r="Z3189">
        <v>9.8560100000000001E-3</v>
      </c>
      <c r="AA3189">
        <v>0.96764919999999999</v>
      </c>
      <c r="AB3189">
        <v>24</v>
      </c>
      <c r="AC3189">
        <v>12.9453</v>
      </c>
      <c r="AD3189">
        <v>-1.10744134714</v>
      </c>
      <c r="AE3189">
        <v>3.51772000000001</v>
      </c>
      <c r="AF3189">
        <v>-3.39779524095484</v>
      </c>
      <c r="AG3189">
        <v>-1.10744134714</v>
      </c>
      <c r="AH3189">
        <v>12.8834052147346</v>
      </c>
      <c r="AI3189">
        <v>94.751315559010195</v>
      </c>
      <c r="AJ3189">
        <v>104.77444252127199</v>
      </c>
      <c r="AK3189">
        <v>13.369875420655999</v>
      </c>
      <c r="AL3189">
        <v>81.101391284866395</v>
      </c>
      <c r="AM3189">
        <v>93.611274818590203</v>
      </c>
      <c r="AN3189">
        <v>1.0000000251044201</v>
      </c>
    </row>
    <row r="3190" spans="1:40" x14ac:dyDescent="0.3">
      <c r="A3190" t="str">
        <f>"20200111150415111"</f>
        <v>20200111150415111</v>
      </c>
      <c r="B3190" t="str">
        <f>"1578726255101677"</f>
        <v>1578726255101677</v>
      </c>
      <c r="C3190" t="s">
        <v>40</v>
      </c>
      <c r="D3190">
        <v>5.1243970000000001</v>
      </c>
      <c r="E3190">
        <v>0.42345870000000002</v>
      </c>
      <c r="F3190" t="s">
        <v>72</v>
      </c>
      <c r="G3190">
        <v>-182.6584</v>
      </c>
      <c r="H3190" s="1">
        <v>-1.2377469999999999E-5</v>
      </c>
      <c r="I3190">
        <v>-53.931399999999996</v>
      </c>
      <c r="J3190">
        <v>-195.82390000000001</v>
      </c>
      <c r="K3190">
        <v>1.107631</v>
      </c>
      <c r="L3190">
        <v>-57.539520000000003</v>
      </c>
      <c r="M3190">
        <v>0.99969560000000002</v>
      </c>
      <c r="N3190">
        <v>0</v>
      </c>
      <c r="O3190">
        <v>9.2943539999999995E-3</v>
      </c>
      <c r="P3190">
        <v>0.9882727</v>
      </c>
      <c r="Q3190">
        <v>0.13456989999999999</v>
      </c>
      <c r="R3190">
        <v>7.2169259999999999E-2</v>
      </c>
      <c r="S3190">
        <v>3.0102540000000002</v>
      </c>
      <c r="T3190">
        <v>-0.25109480000000001</v>
      </c>
      <c r="U3190">
        <v>0.81866459999999996</v>
      </c>
      <c r="V3190">
        <v>-6.3894859999999998E-2</v>
      </c>
      <c r="W3190">
        <v>0.15676970000000001</v>
      </c>
      <c r="X3190">
        <v>0.98556619999999995</v>
      </c>
      <c r="Y3190">
        <v>-0.2526581</v>
      </c>
      <c r="Z3190">
        <v>9.5724009999999995E-3</v>
      </c>
      <c r="AA3190">
        <v>0.96750829999999999</v>
      </c>
      <c r="AB3190">
        <v>24</v>
      </c>
      <c r="AC3190">
        <v>13.1655</v>
      </c>
      <c r="AD3190">
        <v>-1.1076433774700001</v>
      </c>
      <c r="AE3190">
        <v>3.60812</v>
      </c>
      <c r="AF3190">
        <v>-3.4627692928785199</v>
      </c>
      <c r="AG3190">
        <v>-1.1076433774700001</v>
      </c>
      <c r="AH3190">
        <v>13.112147901803599</v>
      </c>
      <c r="AI3190">
        <v>94.669239539743998</v>
      </c>
      <c r="AJ3190">
        <v>104.79342524869401</v>
      </c>
      <c r="AK3190">
        <v>13.606839001991901</v>
      </c>
      <c r="AL3190">
        <v>80.980552624793205</v>
      </c>
      <c r="AM3190">
        <v>93.709329486882297</v>
      </c>
      <c r="AN3190">
        <v>1.00000001327747</v>
      </c>
    </row>
    <row r="3191" spans="1:40" x14ac:dyDescent="0.3">
      <c r="A3191" t="str">
        <f>"20200111150415123"</f>
        <v>20200111150415123</v>
      </c>
      <c r="B3191" t="str">
        <f>"1578726255111438"</f>
        <v>1578726255111438</v>
      </c>
      <c r="C3191" t="s">
        <v>40</v>
      </c>
      <c r="D3191">
        <v>5.1491639999999999</v>
      </c>
      <c r="E3191">
        <v>0.42352659999999998</v>
      </c>
      <c r="F3191" t="s">
        <v>72</v>
      </c>
      <c r="G3191">
        <v>-182.2647</v>
      </c>
      <c r="H3191" s="1">
        <v>-1.240884E-5</v>
      </c>
      <c r="I3191">
        <v>-53.807180000000002</v>
      </c>
      <c r="J3191">
        <v>-195.6909</v>
      </c>
      <c r="K3191">
        <v>1.107877</v>
      </c>
      <c r="L3191">
        <v>-57.535800000000002</v>
      </c>
      <c r="M3191">
        <v>0.99968369999999995</v>
      </c>
      <c r="N3191">
        <v>0</v>
      </c>
      <c r="O3191">
        <v>1.177302E-2</v>
      </c>
      <c r="P3191">
        <v>0.98762779999999994</v>
      </c>
      <c r="Q3191">
        <v>0.1366385</v>
      </c>
      <c r="R3191">
        <v>7.6950889999999994E-2</v>
      </c>
      <c r="S3191">
        <v>3.0086059999999999</v>
      </c>
      <c r="T3191">
        <v>-0.2457713</v>
      </c>
      <c r="U3191">
        <v>0.82815550000000004</v>
      </c>
      <c r="V3191">
        <v>-6.6339670000000003E-2</v>
      </c>
      <c r="W3191">
        <v>0.15814510000000001</v>
      </c>
      <c r="X3191">
        <v>0.98518479999999997</v>
      </c>
      <c r="Y3191">
        <v>-0.2532722</v>
      </c>
      <c r="Z3191">
        <v>9.1974520000000001E-3</v>
      </c>
      <c r="AA3191">
        <v>0.96735130000000003</v>
      </c>
      <c r="AB3191">
        <v>24</v>
      </c>
      <c r="AC3191">
        <v>13.4261999999999</v>
      </c>
      <c r="AD3191">
        <v>-1.10788940884</v>
      </c>
      <c r="AE3191">
        <v>3.7286199999999998</v>
      </c>
      <c r="AF3191">
        <v>-3.5478278617543699</v>
      </c>
      <c r="AG3191">
        <v>-1.10788940884</v>
      </c>
      <c r="AH3191">
        <v>13.384566331748699</v>
      </c>
      <c r="AI3191">
        <v>94.5745211519355</v>
      </c>
      <c r="AJ3191">
        <v>104.845897989313</v>
      </c>
      <c r="AK3191">
        <v>13.891044502406601</v>
      </c>
      <c r="AL3191">
        <v>80.900752046766399</v>
      </c>
      <c r="AM3191">
        <v>93.852326730205704</v>
      </c>
      <c r="AN3191">
        <v>0.99999995731037805</v>
      </c>
    </row>
    <row r="3192" spans="1:40" x14ac:dyDescent="0.3">
      <c r="A3192" t="str">
        <f>"20200111150415135"</f>
        <v>20200111150415135</v>
      </c>
      <c r="B3192" t="str">
        <f>"1578726255131932"</f>
        <v>1578726255131932</v>
      </c>
      <c r="C3192" t="s">
        <v>40</v>
      </c>
      <c r="D3192">
        <v>5.1435139999999997</v>
      </c>
      <c r="E3192">
        <v>0.42367909999999998</v>
      </c>
      <c r="F3192" t="s">
        <v>72</v>
      </c>
      <c r="G3192">
        <v>-181.9247</v>
      </c>
      <c r="H3192" s="1">
        <v>-1.2427769999999999E-5</v>
      </c>
      <c r="I3192">
        <v>-53.67604</v>
      </c>
      <c r="J3192">
        <v>-195.56729999999999</v>
      </c>
      <c r="K3192">
        <v>1.108109</v>
      </c>
      <c r="L3192">
        <v>-57.531829999999999</v>
      </c>
      <c r="M3192">
        <v>0.99966390000000005</v>
      </c>
      <c r="N3192">
        <v>0</v>
      </c>
      <c r="O3192">
        <v>1.424547E-2</v>
      </c>
      <c r="P3192">
        <v>0.98690679999999997</v>
      </c>
      <c r="Q3192">
        <v>0.13854839999999999</v>
      </c>
      <c r="R3192">
        <v>8.258161E-2</v>
      </c>
      <c r="S3192">
        <v>3.0053860000000001</v>
      </c>
      <c r="T3192">
        <v>-0.24187149999999999</v>
      </c>
      <c r="U3192">
        <v>0.84265140000000005</v>
      </c>
      <c r="V3192">
        <v>-6.9636580000000003E-2</v>
      </c>
      <c r="W3192">
        <v>0.15943179999999901</v>
      </c>
      <c r="X3192">
        <v>0.98474989999999996</v>
      </c>
      <c r="Y3192">
        <v>-0.2554998</v>
      </c>
      <c r="Z3192">
        <v>8.9486089999999997E-3</v>
      </c>
      <c r="AA3192">
        <v>0.96676770000000001</v>
      </c>
      <c r="AB3192">
        <v>24</v>
      </c>
      <c r="AC3192">
        <v>13.6425999999999</v>
      </c>
      <c r="AD3192">
        <v>-1.10812142777</v>
      </c>
      <c r="AE3192">
        <v>3.8557899999999998</v>
      </c>
      <c r="AF3192">
        <v>-3.6387766197848199</v>
      </c>
      <c r="AG3192">
        <v>-1.10812142777</v>
      </c>
      <c r="AH3192">
        <v>13.6129869612523</v>
      </c>
      <c r="AI3192">
        <v>94.496531660661006</v>
      </c>
      <c r="AJ3192">
        <v>104.965389054429</v>
      </c>
      <c r="AK3192">
        <v>14.134427558079601</v>
      </c>
      <c r="AL3192">
        <v>80.8260831337696</v>
      </c>
      <c r="AM3192">
        <v>94.044937097527793</v>
      </c>
      <c r="AN3192">
        <v>1.0000000588376701</v>
      </c>
    </row>
    <row r="3193" spans="1:40" x14ac:dyDescent="0.3">
      <c r="A3193" t="str">
        <f>"20200111150415146"</f>
        <v>20200111150415146</v>
      </c>
      <c r="B3193" t="str">
        <f>"1578726255141693"</f>
        <v>1578726255141693</v>
      </c>
      <c r="C3193" t="s">
        <v>40</v>
      </c>
      <c r="D3193">
        <v>5.1435930000000001</v>
      </c>
      <c r="E3193">
        <v>0.4237842</v>
      </c>
      <c r="F3193" t="s">
        <v>72</v>
      </c>
      <c r="G3193">
        <v>-181.6729</v>
      </c>
      <c r="H3193" s="1">
        <v>-1.24335199999999E-5</v>
      </c>
      <c r="I3193">
        <v>-53.5546199999999</v>
      </c>
      <c r="J3193">
        <v>-195.4487</v>
      </c>
      <c r="K3193">
        <v>1.1083289999999999</v>
      </c>
      <c r="L3193">
        <v>-57.527709999999999</v>
      </c>
      <c r="M3193">
        <v>0.99963559999999996</v>
      </c>
      <c r="N3193">
        <v>0</v>
      </c>
      <c r="O3193">
        <v>1.6761149999999999E-2</v>
      </c>
      <c r="P3193">
        <v>0.98627909999999996</v>
      </c>
      <c r="Q3193">
        <v>0.13921729999999999</v>
      </c>
      <c r="R3193">
        <v>8.8724639999999994E-2</v>
      </c>
      <c r="S3193">
        <v>3.0014799999999999</v>
      </c>
      <c r="T3193">
        <v>-0.23937729999999999</v>
      </c>
      <c r="U3193">
        <v>0.85916139999999996</v>
      </c>
      <c r="V3193">
        <v>-7.3390059999999993E-2</v>
      </c>
      <c r="W3193">
        <v>0.159526</v>
      </c>
      <c r="X3193">
        <v>0.98446199999999995</v>
      </c>
      <c r="Y3193">
        <v>-0.25832919999999998</v>
      </c>
      <c r="Z3193">
        <v>8.7754369999999901E-3</v>
      </c>
      <c r="AA3193">
        <v>0.96601709999999996</v>
      </c>
      <c r="AB3193">
        <v>24</v>
      </c>
      <c r="AC3193">
        <v>13.7758</v>
      </c>
      <c r="AD3193">
        <v>-1.1083414335199999</v>
      </c>
      <c r="AE3193">
        <v>3.97309</v>
      </c>
      <c r="AF3193">
        <v>-3.7193546981440799</v>
      </c>
      <c r="AG3193">
        <v>-1.1083414335199999</v>
      </c>
      <c r="AH3193">
        <v>13.7582527232064</v>
      </c>
      <c r="AI3193">
        <v>94.446756221533505</v>
      </c>
      <c r="AJ3193">
        <v>105.127531239158</v>
      </c>
      <c r="AK3193">
        <v>14.295157855004</v>
      </c>
      <c r="AL3193">
        <v>80.8206157009257</v>
      </c>
      <c r="AM3193">
        <v>94.263422018498702</v>
      </c>
      <c r="AN3193">
        <v>1.0000000375133999</v>
      </c>
    </row>
    <row r="3194" spans="1:40" x14ac:dyDescent="0.3">
      <c r="A3194" t="str">
        <f>"20200111150415158"</f>
        <v>20200111150415158</v>
      </c>
      <c r="B3194" t="str">
        <f>"1578726255151452"</f>
        <v>1578726255151452</v>
      </c>
      <c r="C3194" t="s">
        <v>40</v>
      </c>
      <c r="D3194">
        <v>5.1279159999999999</v>
      </c>
      <c r="E3194">
        <v>0.42391119999999999</v>
      </c>
      <c r="F3194" t="s">
        <v>72</v>
      </c>
      <c r="G3194">
        <v>-181.55799999999999</v>
      </c>
      <c r="H3194" s="1">
        <v>-1.242247E-5</v>
      </c>
      <c r="I3194">
        <v>-53.459139999999998</v>
      </c>
      <c r="J3194">
        <v>-195.3245</v>
      </c>
      <c r="K3194">
        <v>1.1085659999999999</v>
      </c>
      <c r="L3194">
        <v>-57.522669999999998</v>
      </c>
      <c r="M3194">
        <v>0.99959339999999997</v>
      </c>
      <c r="N3194">
        <v>0</v>
      </c>
      <c r="O3194">
        <v>1.9645119999999999E-2</v>
      </c>
      <c r="P3194">
        <v>0.98559759999999996</v>
      </c>
      <c r="Q3194">
        <v>0.1397138</v>
      </c>
      <c r="R3194">
        <v>9.5274960000000006E-2</v>
      </c>
      <c r="S3194">
        <v>2.9965519999999999</v>
      </c>
      <c r="T3194">
        <v>-0.23909520000000001</v>
      </c>
      <c r="U3194">
        <v>0.87768550000000001</v>
      </c>
      <c r="V3194">
        <v>-7.7192159999999996E-2</v>
      </c>
      <c r="W3194">
        <v>0.15946529999999901</v>
      </c>
      <c r="X3194">
        <v>0.98418099999999997</v>
      </c>
      <c r="Y3194">
        <v>-0.26147110000000001</v>
      </c>
      <c r="Z3194">
        <v>8.6694289999999993E-3</v>
      </c>
      <c r="AA3194">
        <v>0.96517240000000004</v>
      </c>
      <c r="AB3194">
        <v>24</v>
      </c>
      <c r="AC3194">
        <v>13.766500000000001</v>
      </c>
      <c r="AD3194">
        <v>-1.1085784224699999</v>
      </c>
      <c r="AE3194">
        <v>4.0635299999999903</v>
      </c>
      <c r="AF3194">
        <v>-3.7697568387507001</v>
      </c>
      <c r="AG3194">
        <v>-1.1085784224699999</v>
      </c>
      <c r="AH3194">
        <v>13.761600835304</v>
      </c>
      <c r="AI3194">
        <v>94.442591288686103</v>
      </c>
      <c r="AJ3194">
        <v>105.319400329039</v>
      </c>
      <c r="AK3194">
        <v>14.3115921648262</v>
      </c>
      <c r="AL3194">
        <v>80.824138547729106</v>
      </c>
      <c r="AM3194">
        <v>94.484692414966105</v>
      </c>
      <c r="AN3194">
        <v>1.0000000261152699</v>
      </c>
    </row>
    <row r="3195" spans="1:40" x14ac:dyDescent="0.3">
      <c r="A3195" t="str">
        <f>"20200111150415170"</f>
        <v>20200111150415170</v>
      </c>
      <c r="B3195" t="str">
        <f>"1578726255161212"</f>
        <v>1578726255161212</v>
      </c>
      <c r="C3195" t="s">
        <v>40</v>
      </c>
      <c r="D3195">
        <v>5.1497219999999997</v>
      </c>
      <c r="E3195">
        <v>0.4235949</v>
      </c>
      <c r="F3195" t="s">
        <v>72</v>
      </c>
      <c r="G3195">
        <v>-181.49590000000001</v>
      </c>
      <c r="H3195" s="1">
        <v>-1.2405659999999999E-5</v>
      </c>
      <c r="I3195">
        <v>-53.375790000000002</v>
      </c>
      <c r="J3195">
        <v>-195.19839999999999</v>
      </c>
      <c r="K3195">
        <v>1.10880499999999</v>
      </c>
      <c r="L3195">
        <v>-57.517270000000003</v>
      </c>
      <c r="M3195">
        <v>0.99953910000000001</v>
      </c>
      <c r="N3195">
        <v>0</v>
      </c>
      <c r="O3195">
        <v>2.2676829999999999E-2</v>
      </c>
      <c r="P3195">
        <v>0.98487469999999999</v>
      </c>
      <c r="Q3195">
        <v>0.1405169</v>
      </c>
      <c r="R3195">
        <v>0.1013763</v>
      </c>
      <c r="S3195">
        <v>2.9911349999999999</v>
      </c>
      <c r="T3195">
        <v>-0.239786</v>
      </c>
      <c r="U3195">
        <v>0.89697269999999896</v>
      </c>
      <c r="V3195">
        <v>-8.0405870000000004E-2</v>
      </c>
      <c r="W3195">
        <v>0.15972039999999901</v>
      </c>
      <c r="X3195">
        <v>0.98388220000000004</v>
      </c>
      <c r="Y3195">
        <v>-0.26472899999999999</v>
      </c>
      <c r="Z3195">
        <v>8.5922180000000004E-3</v>
      </c>
      <c r="AA3195">
        <v>0.96428460000000005</v>
      </c>
      <c r="AB3195">
        <v>24</v>
      </c>
      <c r="AC3195">
        <v>13.702499999999899</v>
      </c>
      <c r="AD3195">
        <v>-1.10881740565999</v>
      </c>
      <c r="AE3195">
        <v>4.1414799999999898</v>
      </c>
      <c r="AF3195">
        <v>-3.8067810606076402</v>
      </c>
      <c r="AG3195">
        <v>-1.10881740565999</v>
      </c>
      <c r="AH3195">
        <v>13.710644908496199</v>
      </c>
      <c r="AI3195">
        <v>94.4557618113015</v>
      </c>
      <c r="AJ3195">
        <v>105.51739362486801</v>
      </c>
      <c r="AK3195">
        <v>14.2724504514596</v>
      </c>
      <c r="AL3195">
        <v>80.809331890721793</v>
      </c>
      <c r="AM3195">
        <v>94.672004323125506</v>
      </c>
      <c r="AN3195">
        <v>0.99999994679172699</v>
      </c>
    </row>
    <row r="3196" spans="1:40" x14ac:dyDescent="0.3">
      <c r="A3196" t="str">
        <f>"20200111150415180"</f>
        <v>20200111150415180</v>
      </c>
      <c r="B3196" t="str">
        <f>"1578726255171479"</f>
        <v>1578726255171479</v>
      </c>
      <c r="C3196" t="s">
        <v>40</v>
      </c>
      <c r="D3196">
        <v>5.1272180000000001</v>
      </c>
      <c r="E3196">
        <v>0.4235949</v>
      </c>
      <c r="F3196" t="s">
        <v>72</v>
      </c>
      <c r="G3196">
        <v>-181.31190000000001</v>
      </c>
      <c r="H3196" s="1">
        <v>-1.2395559999999999E-5</v>
      </c>
      <c r="I3196">
        <v>-53.245179999999998</v>
      </c>
      <c r="J3196">
        <v>-195.08699999999999</v>
      </c>
      <c r="K3196">
        <v>1.1090230000000001</v>
      </c>
      <c r="L3196">
        <v>-57.511719999999997</v>
      </c>
      <c r="M3196">
        <v>0.99947540000000001</v>
      </c>
      <c r="N3196">
        <v>0</v>
      </c>
      <c r="O3196">
        <v>2.5617729999999998E-2</v>
      </c>
      <c r="P3196">
        <v>0.98416630000000005</v>
      </c>
      <c r="Q3196">
        <v>0.14131930000000001</v>
      </c>
      <c r="R3196">
        <v>0.1069837</v>
      </c>
      <c r="S3196">
        <v>2.9855499999999999</v>
      </c>
      <c r="T3196">
        <v>-0.2383924</v>
      </c>
      <c r="U3196">
        <v>0.91848750000000001</v>
      </c>
      <c r="V3196">
        <v>-8.3208939999999995E-2</v>
      </c>
      <c r="W3196">
        <v>0.16008139999999901</v>
      </c>
      <c r="X3196">
        <v>0.98359050000000003</v>
      </c>
      <c r="Y3196">
        <v>-0.26875179999999999</v>
      </c>
      <c r="Z3196">
        <v>8.4769919999999992E-3</v>
      </c>
      <c r="AA3196">
        <v>0.96317220000000003</v>
      </c>
      <c r="AB3196">
        <v>24</v>
      </c>
      <c r="AC3196">
        <v>13.7751</v>
      </c>
      <c r="AD3196">
        <v>-1.1090353955600001</v>
      </c>
      <c r="AE3196">
        <v>4.2665399999999902</v>
      </c>
      <c r="AF3196">
        <v>-3.8891805821001402</v>
      </c>
      <c r="AG3196">
        <v>-1.1090353955600001</v>
      </c>
      <c r="AH3196">
        <v>13.7982880061403</v>
      </c>
      <c r="AI3196">
        <v>94.423626713070604</v>
      </c>
      <c r="AJ3196">
        <v>105.741002371444</v>
      </c>
      <c r="AK3196">
        <v>14.3787494939297</v>
      </c>
      <c r="AL3196">
        <v>80.788379252729797</v>
      </c>
      <c r="AM3196">
        <v>94.835545348978201</v>
      </c>
      <c r="AN3196">
        <v>1.0000000270060601</v>
      </c>
    </row>
    <row r="3197" spans="1:40" x14ac:dyDescent="0.3">
      <c r="A3197" t="str">
        <f>"20200111150415191"</f>
        <v>20200111150415191</v>
      </c>
      <c r="B3197" t="str">
        <f>"1578726255181239"</f>
        <v>1578726255181239</v>
      </c>
      <c r="C3197" t="s">
        <v>40</v>
      </c>
      <c r="D3197">
        <v>5.1950640000000003</v>
      </c>
      <c r="E3197">
        <v>0.39116230000000002</v>
      </c>
      <c r="F3197" t="s">
        <v>72</v>
      </c>
      <c r="G3197">
        <v>-181.04939999999999</v>
      </c>
      <c r="H3197" s="1">
        <v>-1.2396139999999999E-5</v>
      </c>
      <c r="I3197">
        <v>-53.102789999999999</v>
      </c>
      <c r="J3197">
        <v>-194.98570000000001</v>
      </c>
      <c r="K3197">
        <v>1.109226</v>
      </c>
      <c r="L3197">
        <v>-57.506529999999998</v>
      </c>
      <c r="M3197">
        <v>0.99940910000000005</v>
      </c>
      <c r="N3197">
        <v>0</v>
      </c>
      <c r="O3197">
        <v>2.8324990000000001E-2</v>
      </c>
      <c r="P3197">
        <v>0.98354330000000001</v>
      </c>
      <c r="Q3197">
        <v>0.14199020000000001</v>
      </c>
      <c r="R3197">
        <v>0.1117201</v>
      </c>
      <c r="S3197">
        <v>2.9803310000000001</v>
      </c>
      <c r="T3197">
        <v>-0.2354608</v>
      </c>
      <c r="U3197">
        <v>0.9360657</v>
      </c>
      <c r="V3197">
        <v>-8.5363250000000002E-2</v>
      </c>
      <c r="W3197">
        <v>0.1603581</v>
      </c>
      <c r="X3197">
        <v>0.98336080000000003</v>
      </c>
      <c r="Y3197">
        <v>-0.27181100000000002</v>
      </c>
      <c r="Z3197">
        <v>8.2896540000000005E-3</v>
      </c>
      <c r="AA3197">
        <v>0.96231500000000003</v>
      </c>
      <c r="AB3197">
        <v>24</v>
      </c>
      <c r="AC3197">
        <v>13.936299999999999</v>
      </c>
      <c r="AD3197">
        <v>-1.1092383961399901</v>
      </c>
      <c r="AE3197">
        <v>4.40374</v>
      </c>
      <c r="AF3197">
        <v>-3.9842030427694501</v>
      </c>
      <c r="AG3197">
        <v>-1.1092383961399901</v>
      </c>
      <c r="AH3197">
        <v>13.9749701058032</v>
      </c>
      <c r="AI3197">
        <v>94.365020573737496</v>
      </c>
      <c r="AJ3197">
        <v>105.912619900416</v>
      </c>
      <c r="AK3197">
        <v>14.574089102361601</v>
      </c>
      <c r="AL3197">
        <v>80.772318085360695</v>
      </c>
      <c r="AM3197">
        <v>94.961275479599394</v>
      </c>
      <c r="AN3197">
        <v>1.0000000338313999</v>
      </c>
    </row>
    <row r="3198" spans="1:40" x14ac:dyDescent="0.3">
      <c r="A3198" t="str">
        <f>"20200111150415200"</f>
        <v>20200111150415200</v>
      </c>
      <c r="B3198" t="str">
        <f>"1578726255191975"</f>
        <v>1578726255191975</v>
      </c>
      <c r="C3198" t="s">
        <v>40</v>
      </c>
      <c r="D3198">
        <v>4.8315149999999996</v>
      </c>
      <c r="E3198">
        <v>0.39116230000000002</v>
      </c>
      <c r="F3198" t="s">
        <v>72</v>
      </c>
      <c r="G3198">
        <v>-175.12629999999999</v>
      </c>
      <c r="H3198">
        <v>7.9986580000000002E-2</v>
      </c>
      <c r="I3198">
        <v>-49.340519999999998</v>
      </c>
      <c r="J3198">
        <v>-194.8682</v>
      </c>
      <c r="K3198">
        <v>1.109448</v>
      </c>
      <c r="L3198">
        <v>-57.499659999999999</v>
      </c>
      <c r="M3198">
        <v>0.99931409999999998</v>
      </c>
      <c r="N3198">
        <v>0</v>
      </c>
      <c r="O3198">
        <v>3.1710439999999999E-2</v>
      </c>
      <c r="P3198">
        <v>0.98274669999999997</v>
      </c>
      <c r="Q3198">
        <v>0.1433989</v>
      </c>
      <c r="R3198">
        <v>0.1168153</v>
      </c>
      <c r="S3198">
        <v>2.9350890000000001</v>
      </c>
      <c r="T3198">
        <v>-0.15211429999999901</v>
      </c>
      <c r="U3198">
        <v>1.206879</v>
      </c>
      <c r="V3198">
        <v>-8.723185E-2</v>
      </c>
      <c r="W3198">
        <v>0.16135539999999901</v>
      </c>
      <c r="X3198">
        <v>0.98303359999999995</v>
      </c>
      <c r="Y3198">
        <v>-0.35040579999999999</v>
      </c>
      <c r="Z3198">
        <v>7.1444899999999999E-3</v>
      </c>
      <c r="AA3198">
        <v>0.93657080000000004</v>
      </c>
      <c r="AB3198">
        <v>24</v>
      </c>
      <c r="AC3198">
        <v>19.741900000000001</v>
      </c>
      <c r="AD3198">
        <v>-1.0294614200000001</v>
      </c>
      <c r="AE3198">
        <v>8.1591399999999901</v>
      </c>
      <c r="AF3198">
        <v>-7.5114510233653604</v>
      </c>
      <c r="AG3198">
        <v>-1.0294614200000001</v>
      </c>
      <c r="AH3198">
        <v>19.944424392373399</v>
      </c>
      <c r="AI3198">
        <v>92.765481557200502</v>
      </c>
      <c r="AJ3198">
        <v>110.637332035436</v>
      </c>
      <c r="AK3198">
        <v>21.336863678497402</v>
      </c>
      <c r="AL3198">
        <v>80.714422855764994</v>
      </c>
      <c r="AM3198">
        <v>95.070996357802997</v>
      </c>
      <c r="AN3198">
        <v>1.00000000974627</v>
      </c>
    </row>
    <row r="3199" spans="1:40" x14ac:dyDescent="0.3">
      <c r="A3199" t="str">
        <f>"20200111150415236"</f>
        <v>20200111150415236</v>
      </c>
      <c r="B3199" t="str">
        <f>"1578726255231991"</f>
        <v>1578726255231991</v>
      </c>
      <c r="C3199" t="s">
        <v>40</v>
      </c>
      <c r="D3199">
        <v>4.8741019999999997</v>
      </c>
      <c r="E3199">
        <v>0.37155959999999899</v>
      </c>
      <c r="F3199" t="s">
        <v>43</v>
      </c>
      <c r="G3199">
        <v>-171.76050000000001</v>
      </c>
      <c r="H3199">
        <v>-0.05</v>
      </c>
      <c r="I3199">
        <v>-47.85257</v>
      </c>
      <c r="J3199">
        <v>-194.50399999999999</v>
      </c>
      <c r="K3199">
        <v>1.1100939999999999</v>
      </c>
      <c r="L3199">
        <v>-57.475279999999998</v>
      </c>
      <c r="M3199">
        <v>0.99890749999999995</v>
      </c>
      <c r="N3199">
        <v>0</v>
      </c>
      <c r="O3199">
        <v>4.3050669999999999E-2</v>
      </c>
      <c r="P3199">
        <v>0.98020890000000005</v>
      </c>
      <c r="Q3199">
        <v>0.14541299999999999</v>
      </c>
      <c r="R3199">
        <v>0.1343347</v>
      </c>
      <c r="S3199">
        <v>2.9287719999999999</v>
      </c>
      <c r="T3199">
        <v>-0.1469539</v>
      </c>
      <c r="U3199">
        <v>1.2227170000000001</v>
      </c>
      <c r="V3199">
        <v>-9.3909179999999995E-2</v>
      </c>
      <c r="W3199">
        <v>0.16221140000000001</v>
      </c>
      <c r="X3199">
        <v>0.98227719999999996</v>
      </c>
      <c r="Y3199">
        <v>-0.34484520000000002</v>
      </c>
      <c r="Z3199">
        <v>6.2318800000000004E-3</v>
      </c>
      <c r="AA3199">
        <v>0.93863890000000005</v>
      </c>
      <c r="AB3199">
        <v>24</v>
      </c>
      <c r="AC3199">
        <v>22.743500000000001</v>
      </c>
      <c r="AD3199">
        <v>-1.160094</v>
      </c>
      <c r="AE3199">
        <v>9.6227099999999997</v>
      </c>
      <c r="AF3199">
        <v>-8.6154887529557609</v>
      </c>
      <c r="AG3199">
        <v>-1.160094</v>
      </c>
      <c r="AH3199">
        <v>23.0857952188681</v>
      </c>
      <c r="AI3199">
        <v>92.695481218165497</v>
      </c>
      <c r="AJ3199">
        <v>110.46529105767701</v>
      </c>
      <c r="AK3199">
        <v>24.668327982023001</v>
      </c>
      <c r="AL3199">
        <v>80.664722702117004</v>
      </c>
      <c r="AM3199">
        <v>95.461081686005897</v>
      </c>
      <c r="AN3199">
        <v>0.99999998500903597</v>
      </c>
    </row>
    <row r="3200" spans="1:40" x14ac:dyDescent="0.3">
      <c r="A3200" t="str">
        <f>"20200111150415249"</f>
        <v>20200111150415249</v>
      </c>
      <c r="B3200" t="str">
        <f>"1578726255241752"</f>
        <v>1578726255241752</v>
      </c>
      <c r="C3200" t="s">
        <v>40</v>
      </c>
      <c r="D3200">
        <v>4.9418129999999998</v>
      </c>
      <c r="E3200">
        <v>0.37275390000000003</v>
      </c>
      <c r="F3200" t="s">
        <v>66</v>
      </c>
      <c r="G3200">
        <v>-157.3501</v>
      </c>
      <c r="H3200">
        <v>0.85480309999999904</v>
      </c>
      <c r="I3200">
        <v>-38.997320000000002</v>
      </c>
      <c r="J3200">
        <v>-194.3699</v>
      </c>
      <c r="K3200">
        <v>1.1103209999999999</v>
      </c>
      <c r="L3200">
        <v>-57.465029999999999</v>
      </c>
      <c r="M3200">
        <v>0.99870879999999995</v>
      </c>
      <c r="N3200">
        <v>0</v>
      </c>
      <c r="O3200">
        <v>4.7550429999999998E-2</v>
      </c>
      <c r="P3200">
        <v>0.97940079999999996</v>
      </c>
      <c r="Q3200">
        <v>0.14473229999999901</v>
      </c>
      <c r="R3200">
        <v>0.14080709999999999</v>
      </c>
      <c r="S3200">
        <v>2.8680110000000001</v>
      </c>
      <c r="T3200">
        <v>-1.9708159999999999E-2</v>
      </c>
      <c r="U3200">
        <v>1.426361</v>
      </c>
      <c r="V3200">
        <v>-9.6053230000000003E-2</v>
      </c>
      <c r="W3200">
        <v>0.16115450000000001</v>
      </c>
      <c r="X3200">
        <v>0.98224389999999995</v>
      </c>
      <c r="Y3200">
        <v>-0.40221020000000002</v>
      </c>
      <c r="Z3200">
        <v>9.9782600000000005E-4</v>
      </c>
      <c r="AA3200">
        <v>0.91554679999999999</v>
      </c>
      <c r="AB3200">
        <v>24</v>
      </c>
      <c r="AC3200">
        <v>37.019799999999996</v>
      </c>
      <c r="AD3200">
        <v>-0.25551790000000002</v>
      </c>
      <c r="AE3200">
        <v>18.46771</v>
      </c>
      <c r="AF3200">
        <v>-16.685587997321399</v>
      </c>
      <c r="AG3200">
        <v>-0.25551790000000002</v>
      </c>
      <c r="AH3200">
        <v>37.854755137825101</v>
      </c>
      <c r="AI3200">
        <v>90.353886320335207</v>
      </c>
      <c r="AJ3200">
        <v>113.78688641937499</v>
      </c>
      <c r="AK3200">
        <v>41.369754927462097</v>
      </c>
      <c r="AL3200">
        <v>80.726086478165996</v>
      </c>
      <c r="AM3200">
        <v>95.585172758001207</v>
      </c>
      <c r="AN3200">
        <v>1.0000000374754401</v>
      </c>
    </row>
    <row r="3201" spans="1:40" x14ac:dyDescent="0.3">
      <c r="A3201" t="str">
        <f>"20200111150415261"</f>
        <v>20200111150415261</v>
      </c>
      <c r="B3201" t="str">
        <f>"1578726255251511"</f>
        <v>1578726255251511</v>
      </c>
      <c r="C3201" t="s">
        <v>40</v>
      </c>
      <c r="D3201">
        <v>4.913125</v>
      </c>
      <c r="E3201">
        <v>0.37368180000000001</v>
      </c>
      <c r="F3201" t="s">
        <v>66</v>
      </c>
      <c r="G3201">
        <v>-157.3501</v>
      </c>
      <c r="H3201">
        <v>0.76292230000000005</v>
      </c>
      <c r="I3201">
        <v>-38.890619999999998</v>
      </c>
      <c r="J3201">
        <v>-194.24019999999999</v>
      </c>
      <c r="K3201">
        <v>1.1105389999999999</v>
      </c>
      <c r="L3201">
        <v>-57.453859999999999</v>
      </c>
      <c r="M3201">
        <v>0.99848099999999995</v>
      </c>
      <c r="N3201">
        <v>0</v>
      </c>
      <c r="O3201">
        <v>5.2200950000000003E-2</v>
      </c>
      <c r="P3201">
        <v>0.97845990000000005</v>
      </c>
      <c r="Q3201">
        <v>0.1447975</v>
      </c>
      <c r="R3201">
        <v>0.14713960000000001</v>
      </c>
      <c r="S3201">
        <v>2.860703</v>
      </c>
      <c r="T3201">
        <v>-2.6846769999999999E-2</v>
      </c>
      <c r="U3201">
        <v>1.435333</v>
      </c>
      <c r="V3201">
        <v>-9.7921839999999996E-2</v>
      </c>
      <c r="W3201">
        <v>0.16089329999999999</v>
      </c>
      <c r="X3201">
        <v>0.98210220000000004</v>
      </c>
      <c r="Y3201">
        <v>-0.40117000000000003</v>
      </c>
      <c r="Z3201">
        <v>1.315931E-3</v>
      </c>
      <c r="AA3201">
        <v>0.91600269999999995</v>
      </c>
      <c r="AB3201">
        <v>24</v>
      </c>
      <c r="AC3201">
        <v>36.890099999999897</v>
      </c>
      <c r="AD3201">
        <v>-0.347616699999999</v>
      </c>
      <c r="AE3201">
        <v>18.56324</v>
      </c>
      <c r="AF3201">
        <v>-16.6107485638721</v>
      </c>
      <c r="AG3201">
        <v>-0.347616699999999</v>
      </c>
      <c r="AH3201">
        <v>37.806279113365598</v>
      </c>
      <c r="AI3201">
        <v>90.482304492101406</v>
      </c>
      <c r="AJ3201">
        <v>113.718996553026</v>
      </c>
      <c r="AK3201">
        <v>41.2959143937994</v>
      </c>
      <c r="AL3201">
        <v>80.741249997787307</v>
      </c>
      <c r="AM3201">
        <v>95.693935157883104</v>
      </c>
      <c r="AN3201">
        <v>1.0000000359893499</v>
      </c>
    </row>
    <row r="3202" spans="1:40" x14ac:dyDescent="0.3">
      <c r="A3202" t="str">
        <f>"20200111150415276"</f>
        <v>20200111150415276</v>
      </c>
      <c r="B3202" t="str">
        <f>"1578726255271538"</f>
        <v>1578726255271538</v>
      </c>
      <c r="C3202" t="s">
        <v>40</v>
      </c>
      <c r="D3202">
        <v>5.0151130000000004</v>
      </c>
      <c r="E3202">
        <v>0.3750462</v>
      </c>
      <c r="F3202" t="s">
        <v>66</v>
      </c>
      <c r="G3202">
        <v>-157.3501</v>
      </c>
      <c r="H3202">
        <v>0.69970699999999997</v>
      </c>
      <c r="I3202">
        <v>-38.752989999999997</v>
      </c>
      <c r="J3202">
        <v>-194.10820000000001</v>
      </c>
      <c r="K3202">
        <v>1.110757</v>
      </c>
      <c r="L3202">
        <v>-57.441929999999999</v>
      </c>
      <c r="M3202">
        <v>0.99821910000000003</v>
      </c>
      <c r="N3202">
        <v>0</v>
      </c>
      <c r="O3202">
        <v>5.7063900000000001E-2</v>
      </c>
      <c r="P3202">
        <v>0.97741999999999996</v>
      </c>
      <c r="Q3202">
        <v>0.14526210000000001</v>
      </c>
      <c r="R3202">
        <v>0.1534576</v>
      </c>
      <c r="S3202">
        <v>2.853256</v>
      </c>
      <c r="T3202">
        <v>-3.1777260000000002E-2</v>
      </c>
      <c r="U3202">
        <v>1.4464109999999999</v>
      </c>
      <c r="V3202">
        <v>-9.9580790000000002E-2</v>
      </c>
      <c r="W3202">
        <v>0.1610434</v>
      </c>
      <c r="X3202">
        <v>0.98191079999999997</v>
      </c>
      <c r="Y3202">
        <v>-0.40049509999999999</v>
      </c>
      <c r="Z3202">
        <v>1.5057270000000001E-3</v>
      </c>
      <c r="AA3202">
        <v>0.91629769999999999</v>
      </c>
      <c r="AB3202">
        <v>24</v>
      </c>
      <c r="AC3202">
        <v>36.758099999999999</v>
      </c>
      <c r="AD3202">
        <v>-0.41105000000000003</v>
      </c>
      <c r="AE3202">
        <v>18.688939999999999</v>
      </c>
      <c r="AF3202">
        <v>-16.558954611607</v>
      </c>
      <c r="AG3202">
        <v>-0.41105000000000003</v>
      </c>
      <c r="AH3202">
        <v>37.7610585426171</v>
      </c>
      <c r="AI3202">
        <v>90.571170947575894</v>
      </c>
      <c r="AJ3202">
        <v>113.678380518224</v>
      </c>
      <c r="AK3202">
        <v>41.234275574947603</v>
      </c>
      <c r="AL3202">
        <v>80.732536540081895</v>
      </c>
      <c r="AM3202">
        <v>95.790870346846205</v>
      </c>
      <c r="AN3202">
        <v>1.00000006478861</v>
      </c>
    </row>
    <row r="3203" spans="1:40" x14ac:dyDescent="0.3">
      <c r="A3203" t="str">
        <f>"20200111150415289"</f>
        <v>20200111150415289</v>
      </c>
      <c r="B3203" t="str">
        <f>"1578726255281299"</f>
        <v>1578726255281299</v>
      </c>
      <c r="C3203" t="s">
        <v>40</v>
      </c>
      <c r="D3203">
        <v>4.9389419999999999</v>
      </c>
      <c r="E3203">
        <v>0.37517450000000002</v>
      </c>
      <c r="F3203" t="s">
        <v>66</v>
      </c>
      <c r="G3203">
        <v>-157.3501</v>
      </c>
      <c r="H3203">
        <v>0.6043425</v>
      </c>
      <c r="I3203">
        <v>-38.65945</v>
      </c>
      <c r="J3203">
        <v>-193.9571</v>
      </c>
      <c r="K3203">
        <v>1.1109990000000001</v>
      </c>
      <c r="L3203">
        <v>-57.427430000000001</v>
      </c>
      <c r="M3203">
        <v>0.99787789999999998</v>
      </c>
      <c r="N3203">
        <v>0</v>
      </c>
      <c r="O3203">
        <v>6.2822050000000004E-2</v>
      </c>
      <c r="P3203">
        <v>0.97609690000000005</v>
      </c>
      <c r="Q3203">
        <v>0.14683270000000001</v>
      </c>
      <c r="R3203">
        <v>0.16023579999999901</v>
      </c>
      <c r="S3203">
        <v>2.8467560000000001</v>
      </c>
      <c r="T3203">
        <v>-3.922117E-2</v>
      </c>
      <c r="U3203">
        <v>1.45462</v>
      </c>
      <c r="V3203">
        <v>-0.10086199999999999</v>
      </c>
      <c r="W3203">
        <v>0.16228329999999999</v>
      </c>
      <c r="X3203">
        <v>0.98157570000000005</v>
      </c>
      <c r="Y3203">
        <v>-0.39814050000000001</v>
      </c>
      <c r="Z3203">
        <v>1.77168799999999E-3</v>
      </c>
      <c r="AA3203">
        <v>0.91732279999999999</v>
      </c>
      <c r="AB3203">
        <v>24</v>
      </c>
      <c r="AC3203">
        <v>36.606999999999999</v>
      </c>
      <c r="AD3203">
        <v>-0.50665649999999995</v>
      </c>
      <c r="AE3203">
        <v>18.767980000000001</v>
      </c>
      <c r="AF3203">
        <v>-16.428341730788102</v>
      </c>
      <c r="AG3203">
        <v>-0.50665649999999995</v>
      </c>
      <c r="AH3203">
        <v>37.708166561495901</v>
      </c>
      <c r="AI3203">
        <v>90.705732730444595</v>
      </c>
      <c r="AJ3203">
        <v>113.541343979971</v>
      </c>
      <c r="AK3203">
        <v>41.134571083968602</v>
      </c>
      <c r="AL3203">
        <v>80.660547334996707</v>
      </c>
      <c r="AM3203">
        <v>95.866848047403707</v>
      </c>
      <c r="AN3203">
        <v>0.99999993366668705</v>
      </c>
    </row>
    <row r="3204" spans="1:40" x14ac:dyDescent="0.3">
      <c r="A3204" t="str">
        <f>"20200111150415302"</f>
        <v>20200111150415302</v>
      </c>
      <c r="B3204" t="str">
        <f>"1578726255292034"</f>
        <v>1578726255292034</v>
      </c>
      <c r="C3204" t="s">
        <v>40</v>
      </c>
      <c r="D3204">
        <v>5.0037909999999997</v>
      </c>
      <c r="E3204">
        <v>0.37481710000000001</v>
      </c>
      <c r="F3204" t="s">
        <v>66</v>
      </c>
      <c r="G3204">
        <v>-157.3501</v>
      </c>
      <c r="H3204">
        <v>0.66136839999999997</v>
      </c>
      <c r="I3204">
        <v>-38.404690000000002</v>
      </c>
      <c r="J3204">
        <v>-193.81120000000001</v>
      </c>
      <c r="K3204">
        <v>1.111232</v>
      </c>
      <c r="L3204">
        <v>-57.411869999999901</v>
      </c>
      <c r="M3204">
        <v>0.99749310000000002</v>
      </c>
      <c r="N3204">
        <v>0</v>
      </c>
      <c r="O3204">
        <v>6.8710010000000002E-2</v>
      </c>
      <c r="P3204">
        <v>0.97390759999999998</v>
      </c>
      <c r="Q3204">
        <v>0.15100849999999999</v>
      </c>
      <c r="R3204">
        <v>0.1694127</v>
      </c>
      <c r="S3204">
        <v>2.836716</v>
      </c>
      <c r="T3204">
        <v>-3.484392E-2</v>
      </c>
      <c r="U3204">
        <v>1.474091</v>
      </c>
      <c r="V3204">
        <v>-0.1045065</v>
      </c>
      <c r="W3204">
        <v>0.16613049999999999</v>
      </c>
      <c r="X3204">
        <v>0.98055040000000004</v>
      </c>
      <c r="Y3204">
        <v>-0.3990184</v>
      </c>
      <c r="Z3204">
        <v>1.5143439999999999E-3</v>
      </c>
      <c r="AA3204">
        <v>0.91694160000000002</v>
      </c>
      <c r="AB3204">
        <v>24</v>
      </c>
      <c r="AC3204">
        <v>36.461100000000002</v>
      </c>
      <c r="AD3204">
        <v>-0.44986359999999997</v>
      </c>
      <c r="AE3204">
        <v>19.007179999999899</v>
      </c>
      <c r="AF3204">
        <v>-16.454675879455799</v>
      </c>
      <c r="AG3204">
        <v>-0.44986359999999997</v>
      </c>
      <c r="AH3204">
        <v>37.676566518329999</v>
      </c>
      <c r="AI3204">
        <v>90.626912350315607</v>
      </c>
      <c r="AJ3204">
        <v>113.592578639522</v>
      </c>
      <c r="AK3204">
        <v>41.1154764069042</v>
      </c>
      <c r="AL3204">
        <v>80.437086383645607</v>
      </c>
      <c r="AM3204">
        <v>96.083585888563604</v>
      </c>
      <c r="AN3204">
        <v>1.0000000192563201</v>
      </c>
    </row>
    <row r="3205" spans="1:40" x14ac:dyDescent="0.3">
      <c r="A3205" t="str">
        <f>"20200111150415316"</f>
        <v>20200111150415316</v>
      </c>
      <c r="B3205" t="str">
        <f>"1578726255311554"</f>
        <v>1578726255311554</v>
      </c>
      <c r="C3205" t="s">
        <v>40</v>
      </c>
      <c r="D3205">
        <v>4.8729889999999996</v>
      </c>
      <c r="E3205">
        <v>0.3747566</v>
      </c>
      <c r="F3205" t="s">
        <v>66</v>
      </c>
      <c r="G3205">
        <v>-157.3501</v>
      </c>
      <c r="H3205">
        <v>0.82849219999999901</v>
      </c>
      <c r="I3205">
        <v>-37.981180000000002</v>
      </c>
      <c r="J3205">
        <v>-193.67500000000001</v>
      </c>
      <c r="K3205">
        <v>1.11144</v>
      </c>
      <c r="L3205">
        <v>-57.396450000000002</v>
      </c>
      <c r="M3205">
        <v>0.99708940000000001</v>
      </c>
      <c r="N3205">
        <v>0</v>
      </c>
      <c r="O3205">
        <v>7.4380070000000006E-2</v>
      </c>
      <c r="P3205">
        <v>0.97221259999999998</v>
      </c>
      <c r="Q3205">
        <v>0.15333820000000001</v>
      </c>
      <c r="R3205">
        <v>0.17689099999999999</v>
      </c>
      <c r="S3205">
        <v>2.8221590000000001</v>
      </c>
      <c r="T3205">
        <v>-2.188611E-2</v>
      </c>
      <c r="U3205">
        <v>1.5039670000000001</v>
      </c>
      <c r="V3205">
        <v>-0.1066155</v>
      </c>
      <c r="W3205">
        <v>0.16819200000000001</v>
      </c>
      <c r="X3205">
        <v>0.9799717</v>
      </c>
      <c r="Y3205">
        <v>-0.40333910000000001</v>
      </c>
      <c r="Z3205">
        <v>9.2830859999999996E-4</v>
      </c>
      <c r="AA3205">
        <v>0.91505009999999998</v>
      </c>
      <c r="AB3205">
        <v>24</v>
      </c>
      <c r="AC3205">
        <v>36.3249</v>
      </c>
      <c r="AD3205">
        <v>-0.28294780000000003</v>
      </c>
      <c r="AE3205">
        <v>19.41527</v>
      </c>
      <c r="AF3205">
        <v>-16.658460395947799</v>
      </c>
      <c r="AG3205">
        <v>-0.28294780000000003</v>
      </c>
      <c r="AH3205">
        <v>37.666784556666698</v>
      </c>
      <c r="AI3205">
        <v>90.393615278536799</v>
      </c>
      <c r="AJ3205">
        <v>113.85782386971999</v>
      </c>
      <c r="AK3205">
        <v>41.1870249114844</v>
      </c>
      <c r="AL3205">
        <v>80.317285012913004</v>
      </c>
      <c r="AM3205">
        <v>96.209043475315298</v>
      </c>
      <c r="AN3205">
        <v>0.99999997325256895</v>
      </c>
    </row>
    <row r="3206" spans="1:40" x14ac:dyDescent="0.3">
      <c r="A3206" t="str">
        <f>"20200111150415328"</f>
        <v>20200111150415328</v>
      </c>
      <c r="B3206" t="str">
        <f>"1578726255321316"</f>
        <v>1578726255321316</v>
      </c>
      <c r="C3206" t="s">
        <v>40</v>
      </c>
      <c r="D3206">
        <v>4.9957900000000004</v>
      </c>
      <c r="E3206">
        <v>0.37486209999999998</v>
      </c>
      <c r="F3206" t="s">
        <v>66</v>
      </c>
      <c r="G3206">
        <v>-157.87479999999999</v>
      </c>
      <c r="H3206">
        <v>0.90538980000000002</v>
      </c>
      <c r="I3206">
        <v>-37.955309999999997</v>
      </c>
      <c r="J3206">
        <v>-193.55449999999999</v>
      </c>
      <c r="K3206">
        <v>1.1116220000000001</v>
      </c>
      <c r="L3206">
        <v>-57.382289999999998</v>
      </c>
      <c r="M3206">
        <v>0.99669640000000004</v>
      </c>
      <c r="N3206">
        <v>0</v>
      </c>
      <c r="O3206">
        <v>7.9503450000000003E-2</v>
      </c>
      <c r="P3206">
        <v>0.97068100000000002</v>
      </c>
      <c r="Q3206">
        <v>0.15516669999999999</v>
      </c>
      <c r="R3206">
        <v>0.1835804</v>
      </c>
      <c r="S3206">
        <v>2.8105929999999999</v>
      </c>
      <c r="T3206">
        <v>-1.617801E-2</v>
      </c>
      <c r="U3206">
        <v>1.526276</v>
      </c>
      <c r="V3206">
        <v>-0.1084542</v>
      </c>
      <c r="W3206">
        <v>0.16979459999999999</v>
      </c>
      <c r="X3206">
        <v>0.97949350000000002</v>
      </c>
      <c r="Y3206">
        <v>-0.40582760000000001</v>
      </c>
      <c r="Z3206">
        <v>6.6694559999999896E-4</v>
      </c>
      <c r="AA3206">
        <v>0.91394940000000002</v>
      </c>
      <c r="AB3206">
        <v>24</v>
      </c>
      <c r="AC3206">
        <v>35.679699999999997</v>
      </c>
      <c r="AD3206">
        <v>-0.20623219999999901</v>
      </c>
      <c r="AE3206">
        <v>19.42698</v>
      </c>
      <c r="AF3206">
        <v>-16.527992705475999</v>
      </c>
      <c r="AG3206">
        <v>-0.20623219999999901</v>
      </c>
      <c r="AH3206">
        <v>37.1104963721247</v>
      </c>
      <c r="AI3206">
        <v>90.290861053942606</v>
      </c>
      <c r="AJ3206">
        <v>114.00687405899799</v>
      </c>
      <c r="AK3206">
        <v>40.625189422057701</v>
      </c>
      <c r="AL3206">
        <v>80.224123293231301</v>
      </c>
      <c r="AM3206">
        <v>96.318325485548499</v>
      </c>
      <c r="AN3206">
        <v>1.0000000181145201</v>
      </c>
    </row>
    <row r="3207" spans="1:40" x14ac:dyDescent="0.3">
      <c r="A3207" t="str">
        <f>"20200111150415339"</f>
        <v>20200111150415339</v>
      </c>
      <c r="B3207" t="str">
        <f>"1578726255332050"</f>
        <v>1578726255332050</v>
      </c>
      <c r="C3207" t="s">
        <v>40</v>
      </c>
      <c r="D3207">
        <v>4.9442870000000001</v>
      </c>
      <c r="E3207">
        <v>0.37525799999999998</v>
      </c>
      <c r="F3207" t="s">
        <v>66</v>
      </c>
      <c r="G3207">
        <v>-157.9383</v>
      </c>
      <c r="H3207">
        <v>0.96473880000000001</v>
      </c>
      <c r="I3207">
        <v>-37.725790000000003</v>
      </c>
      <c r="J3207">
        <v>-193.43950000000001</v>
      </c>
      <c r="K3207">
        <v>1.1117939999999999</v>
      </c>
      <c r="L3207">
        <v>-57.367519999999899</v>
      </c>
      <c r="M3207">
        <v>0.99627560000000004</v>
      </c>
      <c r="N3207">
        <v>0</v>
      </c>
      <c r="O3207">
        <v>8.4636420000000004E-2</v>
      </c>
      <c r="P3207">
        <v>0.96916369999999996</v>
      </c>
      <c r="Q3207">
        <v>0.1563947</v>
      </c>
      <c r="R3207">
        <v>0.19042780000000001</v>
      </c>
      <c r="S3207">
        <v>2.8001860000000001</v>
      </c>
      <c r="T3207">
        <v>-1.1549709999999999E-2</v>
      </c>
      <c r="U3207">
        <v>1.54541</v>
      </c>
      <c r="V3207">
        <v>-0.11043210000000001</v>
      </c>
      <c r="W3207">
        <v>0.17082639999999999</v>
      </c>
      <c r="X3207">
        <v>0.97909299999999999</v>
      </c>
      <c r="Y3207">
        <v>-0.40734569999999998</v>
      </c>
      <c r="Z3207">
        <v>4.6039680000000002E-4</v>
      </c>
      <c r="AA3207">
        <v>0.91327389999999997</v>
      </c>
      <c r="AB3207">
        <v>24</v>
      </c>
      <c r="AC3207">
        <v>35.501199999999997</v>
      </c>
      <c r="AD3207">
        <v>-0.147055199999999</v>
      </c>
      <c r="AE3207">
        <v>19.6417299999999</v>
      </c>
      <c r="AF3207">
        <v>-16.565914117805001</v>
      </c>
      <c r="AG3207">
        <v>-0.147055199999999</v>
      </c>
      <c r="AH3207">
        <v>37.0359284838785</v>
      </c>
      <c r="AI3207">
        <v>90.207670301390493</v>
      </c>
      <c r="AJ3207">
        <v>114.098637023683</v>
      </c>
      <c r="AK3207">
        <v>40.572295158806398</v>
      </c>
      <c r="AL3207">
        <v>80.164128887738599</v>
      </c>
      <c r="AM3207">
        <v>96.435205899540605</v>
      </c>
      <c r="AN3207">
        <v>1.0000000051481801</v>
      </c>
    </row>
    <row r="3208" spans="1:40" x14ac:dyDescent="0.3">
      <c r="A3208" t="str">
        <f>"20200111150415350"</f>
        <v>20200111150415350</v>
      </c>
      <c r="B3208" t="str">
        <f>"1578726255341810"</f>
        <v>1578726255341810</v>
      </c>
      <c r="C3208" t="s">
        <v>40</v>
      </c>
      <c r="D3208">
        <v>4.9684900000000001</v>
      </c>
      <c r="E3208">
        <v>0.37557049999999997</v>
      </c>
      <c r="F3208" t="s">
        <v>66</v>
      </c>
      <c r="G3208">
        <v>-157.9383</v>
      </c>
      <c r="H3208">
        <v>0.98657799999999995</v>
      </c>
      <c r="I3208">
        <v>-37.48413</v>
      </c>
      <c r="J3208">
        <v>-193.32749999999999</v>
      </c>
      <c r="K3208">
        <v>1.111953</v>
      </c>
      <c r="L3208">
        <v>-57.352910000000001</v>
      </c>
      <c r="M3208">
        <v>0.9958361</v>
      </c>
      <c r="N3208">
        <v>0</v>
      </c>
      <c r="O3208">
        <v>8.9680780000000002E-2</v>
      </c>
      <c r="P3208">
        <v>0.96776799999999996</v>
      </c>
      <c r="Q3208">
        <v>0.15724449999999901</v>
      </c>
      <c r="R3208">
        <v>0.19672210000000001</v>
      </c>
      <c r="S3208">
        <v>2.7900239999999998</v>
      </c>
      <c r="T3208">
        <v>-9.842277E-3</v>
      </c>
      <c r="U3208">
        <v>1.562622</v>
      </c>
      <c r="V3208">
        <v>-0.1119333</v>
      </c>
      <c r="W3208">
        <v>0.17149500000000001</v>
      </c>
      <c r="X3208">
        <v>0.97880560000000005</v>
      </c>
      <c r="Y3208">
        <v>-0.40842709999999999</v>
      </c>
      <c r="Z3208">
        <v>3.7848020000000001E-4</v>
      </c>
      <c r="AA3208">
        <v>0.91279080000000001</v>
      </c>
      <c r="AB3208">
        <v>24</v>
      </c>
      <c r="AC3208">
        <v>35.389199999999903</v>
      </c>
      <c r="AD3208">
        <v>-0.12537499999999899</v>
      </c>
      <c r="AE3208">
        <v>19.868779999999902</v>
      </c>
      <c r="AF3208">
        <v>-16.614383775579999</v>
      </c>
      <c r="AG3208">
        <v>-0.12537499999999899</v>
      </c>
      <c r="AH3208">
        <v>37.028296068748602</v>
      </c>
      <c r="AI3208">
        <v>90.176997826865502</v>
      </c>
      <c r="AJ3208">
        <v>114.165499884025</v>
      </c>
      <c r="AK3208">
        <v>40.585073326135301</v>
      </c>
      <c r="AL3208">
        <v>80.1252471110556</v>
      </c>
      <c r="AM3208">
        <v>96.523835048615794</v>
      </c>
      <c r="AN3208">
        <v>1.00000000063262</v>
      </c>
    </row>
    <row r="3209" spans="1:40" x14ac:dyDescent="0.3">
      <c r="A3209" t="str">
        <f>"20200111150415363"</f>
        <v>20200111150415363</v>
      </c>
      <c r="B3209" t="str">
        <f>"1578726255351570"</f>
        <v>1578726255351570</v>
      </c>
      <c r="C3209" t="s">
        <v>40</v>
      </c>
      <c r="D3209">
        <v>5.0447410000000001</v>
      </c>
      <c r="E3209">
        <v>0.37557049999999997</v>
      </c>
      <c r="F3209" t="s">
        <v>66</v>
      </c>
      <c r="G3209">
        <v>-157.9383</v>
      </c>
      <c r="H3209">
        <v>0.99704459999999995</v>
      </c>
      <c r="I3209">
        <v>-37.259039999999999</v>
      </c>
      <c r="J3209">
        <v>-193.1978</v>
      </c>
      <c r="K3209">
        <v>1.112144</v>
      </c>
      <c r="L3209">
        <v>-57.334589999999999</v>
      </c>
      <c r="M3209">
        <v>0.99526879999999995</v>
      </c>
      <c r="N3209">
        <v>0</v>
      </c>
      <c r="O3209">
        <v>9.578805E-2</v>
      </c>
      <c r="P3209">
        <v>0.96623760000000003</v>
      </c>
      <c r="Q3209">
        <v>0.1573222</v>
      </c>
      <c r="R3209">
        <v>0.2040457</v>
      </c>
      <c r="S3209">
        <v>2.7804720000000001</v>
      </c>
      <c r="T3209">
        <v>-9.0296270000000001E-3</v>
      </c>
      <c r="U3209">
        <v>1.578735</v>
      </c>
      <c r="V3209">
        <v>-0.1134255</v>
      </c>
      <c r="W3209">
        <v>0.17138879999999901</v>
      </c>
      <c r="X3209">
        <v>0.97865239999999998</v>
      </c>
      <c r="Y3209">
        <v>-0.40817389999999998</v>
      </c>
      <c r="Z3209">
        <v>3.2927459999999999E-4</v>
      </c>
      <c r="AA3209">
        <v>0.9129041</v>
      </c>
      <c r="AB3209">
        <v>24</v>
      </c>
      <c r="AC3209">
        <v>35.259500000000003</v>
      </c>
      <c r="AD3209">
        <v>-0.1150994</v>
      </c>
      <c r="AE3209">
        <v>20.07555</v>
      </c>
      <c r="AF3209">
        <v>-16.6051937544201</v>
      </c>
      <c r="AG3209">
        <v>-0.1150994</v>
      </c>
      <c r="AH3209">
        <v>37.020279483098498</v>
      </c>
      <c r="AI3209">
        <v>90.162535713717602</v>
      </c>
      <c r="AJ3209">
        <v>114.158293902377</v>
      </c>
      <c r="AK3209">
        <v>40.573967029370401</v>
      </c>
      <c r="AL3209">
        <v>80.131423285201294</v>
      </c>
      <c r="AM3209">
        <v>96.611066237700101</v>
      </c>
      <c r="AN3209">
        <v>0.99999999242072402</v>
      </c>
    </row>
    <row r="3210" spans="1:40" x14ac:dyDescent="0.3">
      <c r="A3210" t="str">
        <f>"20200111150415374"</f>
        <v>20200111150415374</v>
      </c>
      <c r="B3210" t="str">
        <f>"1578726255371091"</f>
        <v>1578726255371091</v>
      </c>
      <c r="C3210" t="s">
        <v>40</v>
      </c>
      <c r="D3210">
        <v>4.7705840000000004</v>
      </c>
      <c r="E3210">
        <v>0.38175559999999997</v>
      </c>
      <c r="F3210" t="s">
        <v>66</v>
      </c>
      <c r="G3210">
        <v>-157.9383</v>
      </c>
      <c r="H3210">
        <v>1.0079959999999999</v>
      </c>
      <c r="I3210">
        <v>-36.953429999999997</v>
      </c>
      <c r="J3210">
        <v>-193.0864</v>
      </c>
      <c r="K3210">
        <v>1.1123050000000001</v>
      </c>
      <c r="L3210">
        <v>-57.318240000000003</v>
      </c>
      <c r="M3210">
        <v>0.99474110000000004</v>
      </c>
      <c r="N3210">
        <v>0</v>
      </c>
      <c r="O3210">
        <v>0.1011357</v>
      </c>
      <c r="P3210">
        <v>0.96489579999999997</v>
      </c>
      <c r="Q3210">
        <v>0.1575338</v>
      </c>
      <c r="R3210">
        <v>0.2101411</v>
      </c>
      <c r="S3210">
        <v>2.7682340000000001</v>
      </c>
      <c r="T3210">
        <v>-8.1783529999999993E-3</v>
      </c>
      <c r="U3210">
        <v>1.600128</v>
      </c>
      <c r="V3210">
        <v>-0.11441900000000001</v>
      </c>
      <c r="W3210">
        <v>0.171455</v>
      </c>
      <c r="X3210">
        <v>0.97852519999999998</v>
      </c>
      <c r="Y3210">
        <v>-0.41030349999999999</v>
      </c>
      <c r="Z3210">
        <v>2.8736780000000002E-4</v>
      </c>
      <c r="AA3210">
        <v>0.91194900000000001</v>
      </c>
      <c r="AB3210">
        <v>24</v>
      </c>
      <c r="AC3210">
        <v>35.148099999999999</v>
      </c>
      <c r="AD3210">
        <v>-0.104309</v>
      </c>
      <c r="AE3210">
        <v>20.364809999999999</v>
      </c>
      <c r="AF3210">
        <v>-16.7050617883082</v>
      </c>
      <c r="AG3210">
        <v>-0.104309</v>
      </c>
      <c r="AH3210">
        <v>37.027470479026299</v>
      </c>
      <c r="AI3210">
        <v>90.147125954564203</v>
      </c>
      <c r="AJ3210">
        <v>114.282668362716</v>
      </c>
      <c r="AK3210">
        <v>40.6214664899464</v>
      </c>
      <c r="AL3210">
        <v>80.127573848584206</v>
      </c>
      <c r="AM3210">
        <v>96.669312671546706</v>
      </c>
      <c r="AN3210">
        <v>1.0000000458105101</v>
      </c>
    </row>
    <row r="3211" spans="1:40" x14ac:dyDescent="0.3">
      <c r="A3211" t="str">
        <f>"20200111150415386"</f>
        <v>20200111150415386</v>
      </c>
      <c r="B3211" t="str">
        <f>"1578726255381826"</f>
        <v>1578726255381826</v>
      </c>
      <c r="C3211" t="s">
        <v>40</v>
      </c>
      <c r="D3211">
        <v>4.7767879999999998</v>
      </c>
      <c r="E3211">
        <v>0.38067109999999998</v>
      </c>
      <c r="F3211" t="s">
        <v>66</v>
      </c>
      <c r="G3211">
        <v>-157.9383</v>
      </c>
      <c r="H3211">
        <v>0.49136069999999998</v>
      </c>
      <c r="I3211">
        <v>-37.422319999999999</v>
      </c>
      <c r="J3211">
        <v>-192.9545</v>
      </c>
      <c r="K3211">
        <v>1.112493</v>
      </c>
      <c r="L3211">
        <v>-57.298029999999997</v>
      </c>
      <c r="M3211">
        <v>0.99406190000000005</v>
      </c>
      <c r="N3211">
        <v>0</v>
      </c>
      <c r="O3211">
        <v>0.10761999999999999</v>
      </c>
      <c r="P3211">
        <v>0.96321279999999998</v>
      </c>
      <c r="Q3211">
        <v>0.15795429999999999</v>
      </c>
      <c r="R3211">
        <v>0.21742040000000001</v>
      </c>
      <c r="S3211">
        <v>2.7750400000000002</v>
      </c>
      <c r="T3211">
        <v>-4.9026729999999998E-2</v>
      </c>
      <c r="U3211">
        <v>1.5708310000000001</v>
      </c>
      <c r="V3211">
        <v>-0.115519899999999</v>
      </c>
      <c r="W3211">
        <v>0.1717167</v>
      </c>
      <c r="X3211">
        <v>0.97834989999999999</v>
      </c>
      <c r="Y3211">
        <v>-0.39604729999999999</v>
      </c>
      <c r="Z3211">
        <v>1.5009789999999999E-3</v>
      </c>
      <c r="AA3211">
        <v>0.91822890000000001</v>
      </c>
      <c r="AB3211">
        <v>23</v>
      </c>
      <c r="AC3211">
        <v>35.016199999999998</v>
      </c>
      <c r="AD3211">
        <v>-0.62113229999999997</v>
      </c>
      <c r="AE3211">
        <v>19.875710000000002</v>
      </c>
      <c r="AF3211">
        <v>-15.987507927325799</v>
      </c>
      <c r="AG3211">
        <v>-0.62113229999999997</v>
      </c>
      <c r="AH3211">
        <v>36.943285795962801</v>
      </c>
      <c r="AI3211">
        <v>90.884016268572196</v>
      </c>
      <c r="AJ3211">
        <v>113.400941296661</v>
      </c>
      <c r="AK3211">
        <v>40.2590683009754</v>
      </c>
      <c r="AL3211">
        <v>80.112353356500904</v>
      </c>
      <c r="AM3211">
        <v>96.734091459138796</v>
      </c>
      <c r="AN3211">
        <v>0.999999999592455</v>
      </c>
    </row>
    <row r="3212" spans="1:40" x14ac:dyDescent="0.3">
      <c r="A3212" t="str">
        <f>"20200111150415397"</f>
        <v>20200111150415397</v>
      </c>
      <c r="B3212" t="str">
        <f>"1578726255391586"</f>
        <v>1578726255391586</v>
      </c>
      <c r="C3212" t="s">
        <v>40</v>
      </c>
      <c r="D3212">
        <v>5.0115860000000003</v>
      </c>
      <c r="E3212">
        <v>0.38242290000000001</v>
      </c>
      <c r="F3212" t="s">
        <v>66</v>
      </c>
      <c r="G3212">
        <v>-157.9383</v>
      </c>
      <c r="H3212">
        <v>0.58807369999999903</v>
      </c>
      <c r="I3212">
        <v>-36.995229999999999</v>
      </c>
      <c r="J3212">
        <v>-192.85419999999999</v>
      </c>
      <c r="K3212">
        <v>1.1126389999999999</v>
      </c>
      <c r="L3212">
        <v>-57.281619999999997</v>
      </c>
      <c r="M3212">
        <v>0.99349710000000002</v>
      </c>
      <c r="N3212">
        <v>0</v>
      </c>
      <c r="O3212">
        <v>0.1127232</v>
      </c>
      <c r="P3212">
        <v>0.9619162</v>
      </c>
      <c r="Q3212">
        <v>0.1582769</v>
      </c>
      <c r="R3212">
        <v>0.22285840000000001</v>
      </c>
      <c r="S3212">
        <v>2.7601170000000002</v>
      </c>
      <c r="T3212">
        <v>-4.1338319999999998E-2</v>
      </c>
      <c r="U3212">
        <v>1.6003419999999999</v>
      </c>
      <c r="V3212">
        <v>-0.1160925</v>
      </c>
      <c r="W3212">
        <v>0.17193510000000001</v>
      </c>
      <c r="X3212">
        <v>0.9782438</v>
      </c>
      <c r="Y3212">
        <v>-0.40084350000000002</v>
      </c>
      <c r="Z3212">
        <v>1.2324059999999999E-3</v>
      </c>
      <c r="AA3212">
        <v>0.91614569999999995</v>
      </c>
      <c r="AB3212">
        <v>23</v>
      </c>
      <c r="AC3212">
        <v>34.915899999999901</v>
      </c>
      <c r="AD3212">
        <v>-0.52456530000000001</v>
      </c>
      <c r="AE3212">
        <v>20.286390000000001</v>
      </c>
      <c r="AF3212">
        <v>-16.217985353293798</v>
      </c>
      <c r="AG3212">
        <v>-0.52456530000000001</v>
      </c>
      <c r="AH3212">
        <v>36.974105058607798</v>
      </c>
      <c r="AI3212">
        <v>90.744371323738903</v>
      </c>
      <c r="AJ3212">
        <v>113.683741605721</v>
      </c>
      <c r="AK3212">
        <v>40.377997257895103</v>
      </c>
      <c r="AL3212">
        <v>80.099651442010099</v>
      </c>
      <c r="AM3212">
        <v>96.767888829728705</v>
      </c>
      <c r="AN3212">
        <v>1.0000000397033399</v>
      </c>
    </row>
    <row r="3213" spans="1:40" x14ac:dyDescent="0.3">
      <c r="A3213" t="str">
        <f>"20200111150415407"</f>
        <v>20200111150415407</v>
      </c>
      <c r="B3213" t="str">
        <f>"1578726255401346"</f>
        <v>1578726255401346</v>
      </c>
      <c r="C3213" t="s">
        <v>40</v>
      </c>
      <c r="D3213">
        <v>5.0247840000000004</v>
      </c>
      <c r="E3213">
        <v>0.38584990000000002</v>
      </c>
      <c r="F3213" t="s">
        <v>66</v>
      </c>
      <c r="G3213">
        <v>-157.9383</v>
      </c>
      <c r="H3213">
        <v>0.47852899999999998</v>
      </c>
      <c r="I3213">
        <v>-36.967350000000003</v>
      </c>
      <c r="J3213">
        <v>-192.7509</v>
      </c>
      <c r="K3213">
        <v>1.112781</v>
      </c>
      <c r="L3213">
        <v>-57.264499999999998</v>
      </c>
      <c r="M3213">
        <v>0.99288330000000002</v>
      </c>
      <c r="N3213">
        <v>0</v>
      </c>
      <c r="O3213">
        <v>0.11801540000000001</v>
      </c>
      <c r="P3213">
        <v>0.96066859999999998</v>
      </c>
      <c r="Q3213">
        <v>0.1590551</v>
      </c>
      <c r="R3213">
        <v>0.22763430000000001</v>
      </c>
      <c r="S3213">
        <v>2.755585</v>
      </c>
      <c r="T3213">
        <v>-5.0045850000000003E-2</v>
      </c>
      <c r="U3213">
        <v>1.60321</v>
      </c>
      <c r="V3213">
        <v>-0.115826</v>
      </c>
      <c r="W3213">
        <v>0.17262420000000001</v>
      </c>
      <c r="X3213">
        <v>0.97815399999999997</v>
      </c>
      <c r="Y3213">
        <v>-0.39731539999999999</v>
      </c>
      <c r="Z3213">
        <v>1.3767439999999901E-3</v>
      </c>
      <c r="AA3213">
        <v>0.91768110000000003</v>
      </c>
      <c r="AB3213">
        <v>23</v>
      </c>
      <c r="AC3213">
        <v>34.812600000000003</v>
      </c>
      <c r="AD3213">
        <v>-0.63425200000000004</v>
      </c>
      <c r="AE3213">
        <v>20.297149999999899</v>
      </c>
      <c r="AF3213">
        <v>-16.042351279079</v>
      </c>
      <c r="AG3213">
        <v>-0.63425200000000004</v>
      </c>
      <c r="AH3213">
        <v>36.955786150241998</v>
      </c>
      <c r="AI3213">
        <v>90.901940068049598</v>
      </c>
      <c r="AJ3213">
        <v>113.46546192740701</v>
      </c>
      <c r="AK3213">
        <v>40.292548196202397</v>
      </c>
      <c r="AL3213">
        <v>80.059569344865693</v>
      </c>
      <c r="AM3213">
        <v>96.753110392200696</v>
      </c>
      <c r="AN3213">
        <v>1.00000001220882</v>
      </c>
    </row>
    <row r="3214" spans="1:40" x14ac:dyDescent="0.3">
      <c r="A3214" t="str">
        <f>"20200111150415417"</f>
        <v>20200111150415417</v>
      </c>
      <c r="B3214" t="str">
        <f>"1578726255411106"</f>
        <v>1578726255411106</v>
      </c>
      <c r="C3214" t="s">
        <v>40</v>
      </c>
      <c r="D3214">
        <v>5.0664429999999996</v>
      </c>
      <c r="E3214">
        <v>0.38805489999999998</v>
      </c>
      <c r="F3214" t="s">
        <v>66</v>
      </c>
      <c r="G3214">
        <v>-157.9383</v>
      </c>
      <c r="H3214">
        <v>0.2320671</v>
      </c>
      <c r="I3214">
        <v>-37.155250000000002</v>
      </c>
      <c r="J3214">
        <v>-192.6404</v>
      </c>
      <c r="K3214">
        <v>1.1129279999999999</v>
      </c>
      <c r="L3214">
        <v>-57.244900000000001</v>
      </c>
      <c r="M3214">
        <v>0.99217049999999996</v>
      </c>
      <c r="N3214">
        <v>0</v>
      </c>
      <c r="O3214">
        <v>0.1238713</v>
      </c>
      <c r="P3214">
        <v>0.95931489999999997</v>
      </c>
      <c r="Q3214">
        <v>0.15984989999999999</v>
      </c>
      <c r="R3214">
        <v>0.23272989999999999</v>
      </c>
      <c r="S3214">
        <v>2.7570039999999998</v>
      </c>
      <c r="T3214">
        <v>-6.9750190000000004E-2</v>
      </c>
      <c r="U3214">
        <v>1.59256</v>
      </c>
      <c r="V3214">
        <v>-0.1153373</v>
      </c>
      <c r="W3214">
        <v>0.17334079999999999</v>
      </c>
      <c r="X3214">
        <v>0.97808499999999998</v>
      </c>
      <c r="Y3214">
        <v>-0.3889975</v>
      </c>
      <c r="Z3214">
        <v>1.6872160000000001E-3</v>
      </c>
      <c r="AA3214">
        <v>0.92123730000000004</v>
      </c>
      <c r="AB3214">
        <v>23</v>
      </c>
      <c r="AC3214">
        <v>34.702100000000002</v>
      </c>
      <c r="AD3214">
        <v>-0.88086089999999995</v>
      </c>
      <c r="AE3214">
        <v>20.089649999999999</v>
      </c>
      <c r="AF3214">
        <v>-15.628204633066</v>
      </c>
      <c r="AG3214">
        <v>-0.88086089999999995</v>
      </c>
      <c r="AH3214">
        <v>36.905802961661898</v>
      </c>
      <c r="AI3214">
        <v>91.259069055732894</v>
      </c>
      <c r="AJ3214">
        <v>112.950810842138</v>
      </c>
      <c r="AK3214">
        <v>40.088090353908697</v>
      </c>
      <c r="AL3214">
        <v>80.017882600552696</v>
      </c>
      <c r="AM3214">
        <v>96.725348837988705</v>
      </c>
      <c r="AN3214">
        <v>0.999999996470465</v>
      </c>
    </row>
    <row r="3215" spans="1:40" x14ac:dyDescent="0.3">
      <c r="A3215" t="str">
        <f>"20200111150415428"</f>
        <v>20200111150415428</v>
      </c>
      <c r="B3215" t="str">
        <f>"1578726255421842"</f>
        <v>1578726255421842</v>
      </c>
      <c r="C3215" t="s">
        <v>40</v>
      </c>
      <c r="D3215">
        <v>4.9872959999999997</v>
      </c>
      <c r="E3215">
        <v>0.38829049999999998</v>
      </c>
      <c r="F3215" t="s">
        <v>66</v>
      </c>
      <c r="G3215">
        <v>-157.9383</v>
      </c>
      <c r="H3215">
        <v>8.4815979999999999E-2</v>
      </c>
      <c r="I3215">
        <v>-37.189830000000001</v>
      </c>
      <c r="J3215">
        <v>-192.53280000000001</v>
      </c>
      <c r="K3215">
        <v>1.1130709999999999</v>
      </c>
      <c r="L3215">
        <v>-57.225650000000002</v>
      </c>
      <c r="M3215">
        <v>0.99143789999999998</v>
      </c>
      <c r="N3215">
        <v>0</v>
      </c>
      <c r="O3215">
        <v>0.12960969999999999</v>
      </c>
      <c r="P3215">
        <v>0.95794729999999995</v>
      </c>
      <c r="Q3215">
        <v>0.1606551</v>
      </c>
      <c r="R3215">
        <v>0.2377544</v>
      </c>
      <c r="S3215">
        <v>2.754623</v>
      </c>
      <c r="T3215">
        <v>-8.1611989999999995E-2</v>
      </c>
      <c r="U3215">
        <v>1.5919490000000001</v>
      </c>
      <c r="V3215">
        <v>-0.1148946</v>
      </c>
      <c r="W3215">
        <v>0.17407010000000001</v>
      </c>
      <c r="X3215">
        <v>0.97800759999999998</v>
      </c>
      <c r="Y3215">
        <v>-0.3838337</v>
      </c>
      <c r="Z3215">
        <v>1.7504599999999999E-3</v>
      </c>
      <c r="AA3215">
        <v>0.92340060000000002</v>
      </c>
      <c r="AB3215">
        <v>23</v>
      </c>
      <c r="AC3215">
        <v>34.594499999999996</v>
      </c>
      <c r="AD3215">
        <v>-1.02825502</v>
      </c>
      <c r="AE3215">
        <v>20.035820000000001</v>
      </c>
      <c r="AF3215">
        <v>-15.372258893066601</v>
      </c>
      <c r="AG3215">
        <v>-1.02825502</v>
      </c>
      <c r="AH3215">
        <v>36.875393552240297</v>
      </c>
      <c r="AI3215">
        <v>91.474339216320004</v>
      </c>
      <c r="AJ3215">
        <v>112.629808959592</v>
      </c>
      <c r="AK3215">
        <v>39.964462982682797</v>
      </c>
      <c r="AL3215">
        <v>79.975451949017</v>
      </c>
      <c r="AM3215">
        <v>96.700295396379005</v>
      </c>
      <c r="AN3215">
        <v>1.0000000172404599</v>
      </c>
    </row>
    <row r="3216" spans="1:40" x14ac:dyDescent="0.3">
      <c r="A3216" t="str">
        <f>"20200111150415438"</f>
        <v>20200111150415438</v>
      </c>
      <c r="B3216" t="str">
        <f>"1578726255431603"</f>
        <v>1578726255431603</v>
      </c>
      <c r="C3216" t="s">
        <v>40</v>
      </c>
      <c r="D3216">
        <v>4.991377</v>
      </c>
      <c r="E3216">
        <v>0.3886308</v>
      </c>
      <c r="F3216" t="s">
        <v>66</v>
      </c>
      <c r="G3216">
        <v>-157.93819999999999</v>
      </c>
      <c r="H3216">
        <v>0.11106870000000001</v>
      </c>
      <c r="I3216">
        <v>-37.00761</v>
      </c>
      <c r="J3216">
        <v>-192.4308</v>
      </c>
      <c r="K3216">
        <v>1.1132029999999999</v>
      </c>
      <c r="L3216">
        <v>-57.20599</v>
      </c>
      <c r="M3216">
        <v>0.99068299999999998</v>
      </c>
      <c r="N3216">
        <v>0</v>
      </c>
      <c r="O3216">
        <v>0.135261299999999</v>
      </c>
      <c r="P3216">
        <v>0.95645469999999999</v>
      </c>
      <c r="Q3216">
        <v>0.16173080000000001</v>
      </c>
      <c r="R3216">
        <v>0.2429769</v>
      </c>
      <c r="S3216">
        <v>2.746658</v>
      </c>
      <c r="T3216">
        <v>-7.9556230000000006E-2</v>
      </c>
      <c r="U3216">
        <v>1.6052249999999999</v>
      </c>
      <c r="V3216">
        <v>-0.11475299999999999</v>
      </c>
      <c r="W3216">
        <v>0.1750805</v>
      </c>
      <c r="X3216">
        <v>0.97784380000000004</v>
      </c>
      <c r="Y3216">
        <v>-0.38306689999999999</v>
      </c>
      <c r="Z3216">
        <v>1.5507069999999999E-3</v>
      </c>
      <c r="AA3216">
        <v>0.92371930000000002</v>
      </c>
      <c r="AB3216">
        <v>23</v>
      </c>
      <c r="AC3216">
        <v>34.492600000000003</v>
      </c>
      <c r="AD3216">
        <v>-1.0021343</v>
      </c>
      <c r="AE3216">
        <v>20.19838</v>
      </c>
      <c r="AF3216">
        <v>-15.3369679648599</v>
      </c>
      <c r="AG3216">
        <v>-1.0021343</v>
      </c>
      <c r="AH3216">
        <v>36.884749814756198</v>
      </c>
      <c r="AI3216">
        <v>91.437079690223896</v>
      </c>
      <c r="AJ3216">
        <v>112.577923942878</v>
      </c>
      <c r="AK3216">
        <v>39.958874213465201</v>
      </c>
      <c r="AL3216">
        <v>79.916656898986801</v>
      </c>
      <c r="AM3216">
        <v>96.693223502686607</v>
      </c>
      <c r="AN3216">
        <v>0.99999996484384401</v>
      </c>
    </row>
    <row r="3217" spans="1:40" x14ac:dyDescent="0.3">
      <c r="A3217" t="str">
        <f>"20200111150415449"</f>
        <v>20200111150415449</v>
      </c>
      <c r="B3217" t="str">
        <f>"1578726255441362"</f>
        <v>1578726255441362</v>
      </c>
      <c r="C3217" t="s">
        <v>40</v>
      </c>
      <c r="D3217">
        <v>4.9918170000000002</v>
      </c>
      <c r="E3217">
        <v>0.38974370000000003</v>
      </c>
      <c r="F3217" t="s">
        <v>66</v>
      </c>
      <c r="G3217">
        <v>-157.9383</v>
      </c>
      <c r="H3217">
        <v>0.12774469999999999</v>
      </c>
      <c r="I3217">
        <v>-36.835619999999999</v>
      </c>
      <c r="J3217">
        <v>-192.32939999999999</v>
      </c>
      <c r="K3217">
        <v>1.1133360000000001</v>
      </c>
      <c r="L3217">
        <v>-57.186430000000001</v>
      </c>
      <c r="M3217">
        <v>0.98990060000000002</v>
      </c>
      <c r="N3217">
        <v>0</v>
      </c>
      <c r="O3217">
        <v>0.14087740000000001</v>
      </c>
      <c r="P3217">
        <v>0.95492520000000003</v>
      </c>
      <c r="Q3217">
        <v>0.1631724</v>
      </c>
      <c r="R3217">
        <v>0.24797720000000001</v>
      </c>
      <c r="S3217">
        <v>2.7389070000000002</v>
      </c>
      <c r="T3217">
        <v>-7.8252550000000004E-2</v>
      </c>
      <c r="U3217">
        <v>1.617523</v>
      </c>
      <c r="V3217">
        <v>-0.1144385</v>
      </c>
      <c r="W3217">
        <v>0.17645920000000001</v>
      </c>
      <c r="X3217">
        <v>0.97763279999999997</v>
      </c>
      <c r="Y3217">
        <v>-0.382052</v>
      </c>
      <c r="Z3217">
        <v>1.3696209999999999E-3</v>
      </c>
      <c r="AA3217">
        <v>0.92413979999999996</v>
      </c>
      <c r="AB3217">
        <v>23</v>
      </c>
      <c r="AC3217">
        <v>34.391099999999902</v>
      </c>
      <c r="AD3217">
        <v>-0.98559129999999995</v>
      </c>
      <c r="AE3217">
        <v>20.350809999999999</v>
      </c>
      <c r="AF3217">
        <v>-15.2929632862212</v>
      </c>
      <c r="AG3217">
        <v>-0.98559129999999995</v>
      </c>
      <c r="AH3217">
        <v>36.892919261200497</v>
      </c>
      <c r="AI3217">
        <v>91.413696393237899</v>
      </c>
      <c r="AJ3217">
        <v>112.51513101620201</v>
      </c>
      <c r="AK3217">
        <v>39.949137761631398</v>
      </c>
      <c r="AL3217">
        <v>79.836413822894599</v>
      </c>
      <c r="AM3217">
        <v>96.676473002784604</v>
      </c>
      <c r="AN3217">
        <v>0.99999995559136401</v>
      </c>
    </row>
    <row r="3218" spans="1:40" x14ac:dyDescent="0.3">
      <c r="A3218" t="str">
        <f>"20200111150415458"</f>
        <v>20200111150415458</v>
      </c>
      <c r="B3218" t="str">
        <f>"1578726255451121"</f>
        <v>1578726255451121</v>
      </c>
      <c r="C3218" t="s">
        <v>40</v>
      </c>
      <c r="D3218">
        <v>4.9912179999999999</v>
      </c>
      <c r="E3218">
        <v>0.39067750000000001</v>
      </c>
      <c r="F3218" t="s">
        <v>66</v>
      </c>
      <c r="G3218">
        <v>-157.9383</v>
      </c>
      <c r="H3218">
        <v>7.9755779999999998E-2</v>
      </c>
      <c r="I3218">
        <v>-36.770789999999998</v>
      </c>
      <c r="J3218">
        <v>-192.2276</v>
      </c>
      <c r="K3218">
        <v>1.1134649999999999</v>
      </c>
      <c r="L3218">
        <v>-57.165410000000001</v>
      </c>
      <c r="M3218">
        <v>0.98904990000000004</v>
      </c>
      <c r="N3218">
        <v>0</v>
      </c>
      <c r="O3218">
        <v>0.14673320000000001</v>
      </c>
      <c r="P3218">
        <v>0.95315620000000001</v>
      </c>
      <c r="Q3218">
        <v>0.1648329</v>
      </c>
      <c r="R3218">
        <v>0.25362079999999998</v>
      </c>
      <c r="S3218">
        <v>2.7341609999999998</v>
      </c>
      <c r="T3218">
        <v>-8.2172990000000001E-2</v>
      </c>
      <c r="U3218">
        <v>1.6230770000000001</v>
      </c>
      <c r="V3218">
        <v>-0.114564899999999</v>
      </c>
      <c r="W3218">
        <v>0.17805850000000001</v>
      </c>
      <c r="X3218">
        <v>0.97732799999999997</v>
      </c>
      <c r="Y3218">
        <v>-0.37866749999999999</v>
      </c>
      <c r="Z3218">
        <v>1.234495E-3</v>
      </c>
      <c r="AA3218">
        <v>0.92553200000000002</v>
      </c>
      <c r="AB3218">
        <v>23</v>
      </c>
      <c r="AC3218">
        <v>34.289299999999997</v>
      </c>
      <c r="AD3218">
        <v>-1.03370922</v>
      </c>
      <c r="AE3218">
        <v>20.3946199999999</v>
      </c>
      <c r="AF3218">
        <v>-15.131650111166801</v>
      </c>
      <c r="AG3218">
        <v>-1.03370922</v>
      </c>
      <c r="AH3218">
        <v>36.886241676004403</v>
      </c>
      <c r="AI3218">
        <v>91.485200358872206</v>
      </c>
      <c r="AJ3218">
        <v>112.30465348718801</v>
      </c>
      <c r="AK3218">
        <v>39.882705710857799</v>
      </c>
      <c r="AL3218">
        <v>79.743306521062607</v>
      </c>
      <c r="AM3218">
        <v>96.685846248591602</v>
      </c>
      <c r="AN3218">
        <v>0.99999998265912904</v>
      </c>
    </row>
    <row r="3219" spans="1:40" x14ac:dyDescent="0.3">
      <c r="A3219" t="str">
        <f>"20200111150415469"</f>
        <v>20200111150415469</v>
      </c>
      <c r="B3219" t="str">
        <f>"1578726255461859"</f>
        <v>1578726255461859</v>
      </c>
      <c r="C3219" t="s">
        <v>40</v>
      </c>
      <c r="D3219">
        <v>4.9945069999999996</v>
      </c>
      <c r="E3219">
        <v>0.39182729999999999</v>
      </c>
      <c r="F3219" t="s">
        <v>66</v>
      </c>
      <c r="G3219">
        <v>-157.9383</v>
      </c>
      <c r="H3219">
        <v>4.9036030000000001E-2</v>
      </c>
      <c r="I3219">
        <v>-36.652459999999998</v>
      </c>
      <c r="J3219">
        <v>-192.12780000000001</v>
      </c>
      <c r="K3219">
        <v>1.113591</v>
      </c>
      <c r="L3219">
        <v>-57.144710000000003</v>
      </c>
      <c r="M3219">
        <v>0.98818220000000001</v>
      </c>
      <c r="N3219">
        <v>0</v>
      </c>
      <c r="O3219">
        <v>0.15246889999999999</v>
      </c>
      <c r="P3219">
        <v>0.95140530000000001</v>
      </c>
      <c r="Q3219">
        <v>0.16657649999999999</v>
      </c>
      <c r="R3219">
        <v>0.25899840000000002</v>
      </c>
      <c r="S3219">
        <v>2.727875</v>
      </c>
      <c r="T3219">
        <v>-8.4681870000000006E-2</v>
      </c>
      <c r="U3219">
        <v>1.6318969999999999</v>
      </c>
      <c r="V3219">
        <v>-0.11454780000000001</v>
      </c>
      <c r="W3219">
        <v>0.17974409999999999</v>
      </c>
      <c r="X3219">
        <v>0.97702140000000004</v>
      </c>
      <c r="Y3219">
        <v>-0.37643729999999997</v>
      </c>
      <c r="Z3219">
        <v>1.0822679999999999E-3</v>
      </c>
      <c r="AA3219">
        <v>0.92644150000000003</v>
      </c>
      <c r="AB3219">
        <v>23</v>
      </c>
      <c r="AC3219">
        <v>34.189500000000002</v>
      </c>
      <c r="AD3219">
        <v>-1.0645549700000001</v>
      </c>
      <c r="AE3219">
        <v>20.492249999999999</v>
      </c>
      <c r="AF3219">
        <v>-15.0283957686047</v>
      </c>
      <c r="AG3219">
        <v>-1.0645549700000001</v>
      </c>
      <c r="AH3219">
        <v>36.888174379468602</v>
      </c>
      <c r="AI3219">
        <v>91.530928769526795</v>
      </c>
      <c r="AJ3219">
        <v>112.16618634112599</v>
      </c>
      <c r="AK3219">
        <v>39.846246569934898</v>
      </c>
      <c r="AL3219">
        <v>79.645145056194394</v>
      </c>
      <c r="AM3219">
        <v>96.686936135813895</v>
      </c>
      <c r="AN3219">
        <v>0.99999997801380403</v>
      </c>
    </row>
    <row r="3220" spans="1:40" x14ac:dyDescent="0.3">
      <c r="A3220" t="str">
        <f>"20200111150415480"</f>
        <v>20200111150415480</v>
      </c>
      <c r="B3220" t="str">
        <f>"1578726255471291"</f>
        <v>1578726255471291</v>
      </c>
      <c r="C3220" t="s">
        <v>40</v>
      </c>
      <c r="D3220">
        <v>5.0312060000000001</v>
      </c>
      <c r="E3220">
        <v>0.39255820000000002</v>
      </c>
      <c r="F3220" t="s">
        <v>43</v>
      </c>
      <c r="G3220">
        <v>-155.79390000000001</v>
      </c>
      <c r="H3220">
        <v>-0.05</v>
      </c>
      <c r="I3220">
        <v>-35.271700000000003</v>
      </c>
      <c r="J3220">
        <v>-192.02189999999999</v>
      </c>
      <c r="K3220">
        <v>1.113718</v>
      </c>
      <c r="L3220">
        <v>-57.121279999999999</v>
      </c>
      <c r="M3220">
        <v>0.98719109999999999</v>
      </c>
      <c r="N3220">
        <v>0</v>
      </c>
      <c r="O3220">
        <v>0.1587604</v>
      </c>
      <c r="P3220">
        <v>0.949461</v>
      </c>
      <c r="Q3220">
        <v>0.1680101</v>
      </c>
      <c r="R3220">
        <v>0.2651345</v>
      </c>
      <c r="S3220">
        <v>2.7223510000000002</v>
      </c>
      <c r="T3220">
        <v>-8.7183120000000003E-2</v>
      </c>
      <c r="U3220">
        <v>1.638855</v>
      </c>
      <c r="V3220">
        <v>-0.11475490000000001</v>
      </c>
      <c r="W3220">
        <v>0.18112400000000001</v>
      </c>
      <c r="X3220">
        <v>0.97674229999999995</v>
      </c>
      <c r="Y3220">
        <v>-0.3731003</v>
      </c>
      <c r="Z3220">
        <v>8.8612130000000002E-4</v>
      </c>
      <c r="AA3220">
        <v>0.92779060000000002</v>
      </c>
      <c r="AB3220">
        <v>23</v>
      </c>
      <c r="AC3220">
        <v>36.227999999999902</v>
      </c>
      <c r="AD3220">
        <v>-1.163718</v>
      </c>
      <c r="AE3220">
        <v>21.84958</v>
      </c>
      <c r="AF3220">
        <v>-15.8081471797824</v>
      </c>
      <c r="AG3220">
        <v>-1.163718</v>
      </c>
      <c r="AH3220">
        <v>39.208024746948198</v>
      </c>
      <c r="AI3220">
        <v>91.576805728733405</v>
      </c>
      <c r="AJ3220">
        <v>111.95862800448199</v>
      </c>
      <c r="AK3220">
        <v>42.290908732238002</v>
      </c>
      <c r="AL3220">
        <v>79.564764120166501</v>
      </c>
      <c r="AM3220">
        <v>96.700812978851403</v>
      </c>
      <c r="AN3220">
        <v>1.00000005552964</v>
      </c>
    </row>
    <row r="3221" spans="1:40" x14ac:dyDescent="0.3">
      <c r="A3221" t="str">
        <f>"20200111150415491"</f>
        <v>20200111150415491</v>
      </c>
      <c r="B3221" t="str">
        <f>"1578726255481052"</f>
        <v>1578726255481052</v>
      </c>
      <c r="C3221" t="s">
        <v>40</v>
      </c>
      <c r="D3221">
        <v>5.0231500000000002</v>
      </c>
      <c r="E3221">
        <v>0.3932215</v>
      </c>
      <c r="F3221" t="s">
        <v>43</v>
      </c>
      <c r="G3221">
        <v>-155.7346</v>
      </c>
      <c r="H3221">
        <v>-0.05</v>
      </c>
      <c r="I3221">
        <v>-35.035739999999997</v>
      </c>
      <c r="J3221">
        <v>-191.91120000000001</v>
      </c>
      <c r="K3221">
        <v>1.113847</v>
      </c>
      <c r="L3221">
        <v>-57.096469999999997</v>
      </c>
      <c r="M3221">
        <v>0.98610569999999997</v>
      </c>
      <c r="N3221">
        <v>0</v>
      </c>
      <c r="O3221">
        <v>0.16537019999999999</v>
      </c>
      <c r="P3221">
        <v>0.94749090000000002</v>
      </c>
      <c r="Q3221">
        <v>0.169088299999999</v>
      </c>
      <c r="R3221">
        <v>0.27142250000000001</v>
      </c>
      <c r="S3221">
        <v>2.7138520000000002</v>
      </c>
      <c r="T3221">
        <v>-8.7032200000000004E-2</v>
      </c>
      <c r="U3221">
        <v>1.6517329999999999</v>
      </c>
      <c r="V3221">
        <v>-0.1147966</v>
      </c>
      <c r="W3221">
        <v>0.1821518</v>
      </c>
      <c r="X3221">
        <v>0.97654620000000003</v>
      </c>
      <c r="Y3221">
        <v>-0.3713899</v>
      </c>
      <c r="Z3221">
        <v>6.721187E-4</v>
      </c>
      <c r="AA3221">
        <v>0.92847679999999999</v>
      </c>
      <c r="AB3221">
        <v>23</v>
      </c>
      <c r="AC3221">
        <v>36.176600000000001</v>
      </c>
      <c r="AD3221">
        <v>-1.1638469999999901</v>
      </c>
      <c r="AE3221">
        <v>22.0607299999999</v>
      </c>
      <c r="AF3221">
        <v>-15.7617467042299</v>
      </c>
      <c r="AG3221">
        <v>-1.1638469999999901</v>
      </c>
      <c r="AH3221">
        <v>39.2973729341455</v>
      </c>
      <c r="AI3221">
        <v>91.574538953465705</v>
      </c>
      <c r="AJ3221">
        <v>111.85518154250001</v>
      </c>
      <c r="AK3221">
        <v>42.356471979297602</v>
      </c>
      <c r="AL3221">
        <v>79.504878872409506</v>
      </c>
      <c r="AM3221">
        <v>96.704559607483503</v>
      </c>
      <c r="AN3221">
        <v>1.00000000917462</v>
      </c>
    </row>
    <row r="3222" spans="1:40" x14ac:dyDescent="0.3">
      <c r="A3222" t="str">
        <f>"20200111150415501"</f>
        <v>20200111150415501</v>
      </c>
      <c r="B3222" t="str">
        <f>"1578726255491787"</f>
        <v>1578726255491787</v>
      </c>
      <c r="C3222" t="s">
        <v>40</v>
      </c>
      <c r="D3222">
        <v>5.0076660000000004</v>
      </c>
      <c r="E3222">
        <v>0.39384150000000001</v>
      </c>
      <c r="F3222" t="s">
        <v>43</v>
      </c>
      <c r="G3222">
        <v>-155.60759999999999</v>
      </c>
      <c r="H3222">
        <v>-0.05</v>
      </c>
      <c r="I3222">
        <v>-34.736370000000001</v>
      </c>
      <c r="J3222">
        <v>-191.80510000000001</v>
      </c>
      <c r="K3222">
        <v>1.113961</v>
      </c>
      <c r="L3222">
        <v>-57.071469999999998</v>
      </c>
      <c r="M3222">
        <v>0.98499490000000001</v>
      </c>
      <c r="N3222">
        <v>0</v>
      </c>
      <c r="O3222">
        <v>0.1718635</v>
      </c>
      <c r="P3222">
        <v>0.94565600000000005</v>
      </c>
      <c r="Q3222">
        <v>0.1699705</v>
      </c>
      <c r="R3222">
        <v>0.27720929999999999</v>
      </c>
      <c r="S3222">
        <v>2.704529</v>
      </c>
      <c r="T3222">
        <v>-8.6703779999999994E-2</v>
      </c>
      <c r="U3222">
        <v>1.6657709999999999</v>
      </c>
      <c r="V3222">
        <v>-0.114428</v>
      </c>
      <c r="W3222">
        <v>0.1830032</v>
      </c>
      <c r="X3222">
        <v>0.97643029999999997</v>
      </c>
      <c r="Y3222">
        <v>-0.37019780000000002</v>
      </c>
      <c r="Z3222">
        <v>4.6874440000000002E-4</v>
      </c>
      <c r="AA3222">
        <v>0.92895280000000002</v>
      </c>
      <c r="AB3222">
        <v>23</v>
      </c>
      <c r="AC3222">
        <v>36.197499999999998</v>
      </c>
      <c r="AD3222">
        <v>-1.163961</v>
      </c>
      <c r="AE3222">
        <v>22.335100000000001</v>
      </c>
      <c r="AF3222">
        <v>-15.7690782768804</v>
      </c>
      <c r="AG3222">
        <v>-1.163961</v>
      </c>
      <c r="AH3222">
        <v>39.468282187723503</v>
      </c>
      <c r="AI3222">
        <v>91.568716496304106</v>
      </c>
      <c r="AJ3222">
        <v>111.778586010349</v>
      </c>
      <c r="AK3222">
        <v>42.517807254862902</v>
      </c>
      <c r="AL3222">
        <v>79.455263549985204</v>
      </c>
      <c r="AM3222">
        <v>96.684013113828001</v>
      </c>
      <c r="AN3222">
        <v>1.0000000345761599</v>
      </c>
    </row>
    <row r="3223" spans="1:40" x14ac:dyDescent="0.3">
      <c r="A3223" t="str">
        <f>"20200111150415513"</f>
        <v>20200111150415513</v>
      </c>
      <c r="B3223" t="str">
        <f>"1578726255501547"</f>
        <v>1578726255501547</v>
      </c>
      <c r="C3223" t="s">
        <v>40</v>
      </c>
      <c r="D3223">
        <v>5.0134129999999999</v>
      </c>
      <c r="E3223">
        <v>0.3944223</v>
      </c>
      <c r="F3223" t="s">
        <v>43</v>
      </c>
      <c r="G3223">
        <v>-155.80350000000001</v>
      </c>
      <c r="H3223">
        <v>-0.05</v>
      </c>
      <c r="I3223">
        <v>-34.657260000000001</v>
      </c>
      <c r="J3223">
        <v>-191.69370000000001</v>
      </c>
      <c r="K3223">
        <v>1.1140749999999999</v>
      </c>
      <c r="L3223">
        <v>-57.044559999999997</v>
      </c>
      <c r="M3223">
        <v>0.98376739999999996</v>
      </c>
      <c r="N3223">
        <v>0</v>
      </c>
      <c r="O3223">
        <v>0.17875529999999901</v>
      </c>
      <c r="P3223">
        <v>0.9435654</v>
      </c>
      <c r="Q3223">
        <v>0.17115239999999901</v>
      </c>
      <c r="R3223">
        <v>0.28353329999999999</v>
      </c>
      <c r="S3223">
        <v>2.6960449999999998</v>
      </c>
      <c r="T3223">
        <v>-8.7165359999999997E-2</v>
      </c>
      <c r="U3223">
        <v>1.67852799999999</v>
      </c>
      <c r="V3223">
        <v>-0.11424429999999999</v>
      </c>
      <c r="W3223">
        <v>0.1841497</v>
      </c>
      <c r="X3223">
        <v>0.9762362</v>
      </c>
      <c r="Y3223">
        <v>-0.36817430000000001</v>
      </c>
      <c r="Z3223">
        <v>2.4523349999999998E-4</v>
      </c>
      <c r="AA3223">
        <v>0.92975680000000005</v>
      </c>
      <c r="AB3223">
        <v>23</v>
      </c>
      <c r="AC3223">
        <v>35.890199999999901</v>
      </c>
      <c r="AD3223">
        <v>-1.164075</v>
      </c>
      <c r="AE3223">
        <v>22.3873</v>
      </c>
      <c r="AF3223">
        <v>-15.5984571342786</v>
      </c>
      <c r="AG3223">
        <v>-1.164075</v>
      </c>
      <c r="AH3223">
        <v>39.2845863756841</v>
      </c>
      <c r="AI3223">
        <v>91.577543378437497</v>
      </c>
      <c r="AJ3223">
        <v>111.656197525588</v>
      </c>
      <c r="AK3223">
        <v>42.284106497407997</v>
      </c>
      <c r="AL3223">
        <v>79.388437847201104</v>
      </c>
      <c r="AM3223">
        <v>96.674694478248298</v>
      </c>
      <c r="AN3223">
        <v>0.99999999514150995</v>
      </c>
    </row>
    <row r="3224" spans="1:40" x14ac:dyDescent="0.3">
      <c r="A3224" t="str">
        <f>"20200111150415523"</f>
        <v>20200111150415523</v>
      </c>
      <c r="B3224" t="str">
        <f>"1578726255522042"</f>
        <v>1578726255522042</v>
      </c>
      <c r="C3224" t="s">
        <v>40</v>
      </c>
      <c r="D3224">
        <v>4.9838899999999997</v>
      </c>
      <c r="E3224">
        <v>0.39545639999999999</v>
      </c>
      <c r="F3224" t="s">
        <v>66</v>
      </c>
      <c r="G3224">
        <v>-165.62870000000001</v>
      </c>
      <c r="H3224">
        <v>0.27220250000000001</v>
      </c>
      <c r="I3224">
        <v>-40.619770000000003</v>
      </c>
      <c r="J3224">
        <v>-191.583</v>
      </c>
      <c r="K3224">
        <v>1.114187</v>
      </c>
      <c r="L3224">
        <v>-57.016779999999997</v>
      </c>
      <c r="M3224">
        <v>0.98247450000000003</v>
      </c>
      <c r="N3224">
        <v>0</v>
      </c>
      <c r="O3224">
        <v>0.18573049999999999</v>
      </c>
      <c r="P3224">
        <v>0.94144649999999996</v>
      </c>
      <c r="Q3224">
        <v>0.17191319999999999</v>
      </c>
      <c r="R3224">
        <v>0.29004180000000002</v>
      </c>
      <c r="S3224">
        <v>2.6864780000000001</v>
      </c>
      <c r="T3224">
        <v>-8.677232E-2</v>
      </c>
      <c r="U3224">
        <v>1.692871</v>
      </c>
      <c r="V3224">
        <v>-0.1141525</v>
      </c>
      <c r="W3224">
        <v>0.18487990000000001</v>
      </c>
      <c r="X3224">
        <v>0.97610889999999995</v>
      </c>
      <c r="Y3224">
        <v>-0.36662679999999997</v>
      </c>
      <c r="Z3224" s="1">
        <v>2.368493E-5</v>
      </c>
      <c r="AA3224">
        <v>0.93036810000000003</v>
      </c>
      <c r="AB3224">
        <v>23</v>
      </c>
      <c r="AC3224">
        <v>25.9542999999999</v>
      </c>
      <c r="AD3224">
        <v>-0.84198449999999903</v>
      </c>
      <c r="AE3224">
        <v>16.397010000000002</v>
      </c>
      <c r="AF3224">
        <v>-11.282053069747001</v>
      </c>
      <c r="AG3224">
        <v>-0.84198449999999903</v>
      </c>
      <c r="AH3224">
        <v>28.526945618982801</v>
      </c>
      <c r="AI3224">
        <v>91.572195082051707</v>
      </c>
      <c r="AJ3224">
        <v>111.578182363587</v>
      </c>
      <c r="AK3224">
        <v>30.688438958591998</v>
      </c>
      <c r="AL3224">
        <v>79.345869370626801</v>
      </c>
      <c r="AM3224">
        <v>96.670241377322199</v>
      </c>
      <c r="AN3224">
        <v>0.99999997766973403</v>
      </c>
    </row>
    <row r="3225" spans="1:40" x14ac:dyDescent="0.3">
      <c r="A3225" t="str">
        <f>"20200111150415536"</f>
        <v>20200111150415536</v>
      </c>
      <c r="B3225" t="str">
        <f>"1578726255531802"</f>
        <v>1578726255531802</v>
      </c>
      <c r="C3225" t="s">
        <v>40</v>
      </c>
      <c r="D3225">
        <v>4.9583380000000004</v>
      </c>
      <c r="E3225">
        <v>0.39600629999999998</v>
      </c>
      <c r="F3225" t="s">
        <v>66</v>
      </c>
      <c r="G3225">
        <v>-165.81720000000001</v>
      </c>
      <c r="H3225">
        <v>0.2376356</v>
      </c>
      <c r="I3225">
        <v>-40.619770000000003</v>
      </c>
      <c r="J3225">
        <v>-191.47040000000001</v>
      </c>
      <c r="K3225">
        <v>1.1142989999999999</v>
      </c>
      <c r="L3225">
        <v>-56.987430000000003</v>
      </c>
      <c r="M3225">
        <v>0.98108079999999998</v>
      </c>
      <c r="N3225">
        <v>0</v>
      </c>
      <c r="O3225">
        <v>0.1929563</v>
      </c>
      <c r="P3225">
        <v>0.93923959999999995</v>
      </c>
      <c r="Q3225">
        <v>0.172366299999999</v>
      </c>
      <c r="R3225">
        <v>0.29684850000000002</v>
      </c>
      <c r="S3225">
        <v>2.6781619999999999</v>
      </c>
      <c r="T3225">
        <v>-9.1113089999999994E-2</v>
      </c>
      <c r="U3225">
        <v>1.7043459999999999</v>
      </c>
      <c r="V3225">
        <v>-0.11411109999999999</v>
      </c>
      <c r="W3225">
        <v>0.18530489999999999</v>
      </c>
      <c r="X3225">
        <v>0.97603320000000005</v>
      </c>
      <c r="Y3225">
        <v>-0.36391960000000001</v>
      </c>
      <c r="Z3225">
        <v>-2.3250469999999999E-4</v>
      </c>
      <c r="AA3225">
        <v>0.93143030000000004</v>
      </c>
      <c r="AB3225">
        <v>23</v>
      </c>
      <c r="AC3225">
        <v>25.653199999999998</v>
      </c>
      <c r="AD3225">
        <v>-0.87666339999999898</v>
      </c>
      <c r="AE3225">
        <v>16.367660000000001</v>
      </c>
      <c r="AF3225">
        <v>-11.1002170856733</v>
      </c>
      <c r="AG3225">
        <v>-0.87666339999999898</v>
      </c>
      <c r="AH3225">
        <v>28.306129703703</v>
      </c>
      <c r="AI3225">
        <v>91.651555094198898</v>
      </c>
      <c r="AJ3225">
        <v>111.412573103817</v>
      </c>
      <c r="AK3225">
        <v>30.417434751616199</v>
      </c>
      <c r="AL3225">
        <v>79.321091059771604</v>
      </c>
      <c r="AM3225">
        <v>96.668356542364506</v>
      </c>
      <c r="AN3225">
        <v>1.0000000283047199</v>
      </c>
    </row>
    <row r="3226" spans="1:40" x14ac:dyDescent="0.3">
      <c r="A3226" t="str">
        <f>"20200111150415547"</f>
        <v>20200111150415547</v>
      </c>
      <c r="B3226" t="str">
        <f>"1578726255541562"</f>
        <v>1578726255541562</v>
      </c>
      <c r="C3226" t="s">
        <v>40</v>
      </c>
      <c r="D3226">
        <v>4.9884259999999996</v>
      </c>
      <c r="E3226">
        <v>0.3965284</v>
      </c>
      <c r="F3226" t="s">
        <v>66</v>
      </c>
      <c r="G3226">
        <v>-166.08580000000001</v>
      </c>
      <c r="H3226">
        <v>0.22818949999999999</v>
      </c>
      <c r="I3226">
        <v>-40.619770000000003</v>
      </c>
      <c r="J3226">
        <v>-191.3603</v>
      </c>
      <c r="K3226">
        <v>1.114406</v>
      </c>
      <c r="L3226">
        <v>-56.958159999999999</v>
      </c>
      <c r="M3226">
        <v>0.97965040000000003</v>
      </c>
      <c r="N3226">
        <v>0</v>
      </c>
      <c r="O3226">
        <v>0.20009189999999999</v>
      </c>
      <c r="P3226">
        <v>0.93692120000000001</v>
      </c>
      <c r="Q3226">
        <v>0.1731395</v>
      </c>
      <c r="R3226">
        <v>0.30364679999999999</v>
      </c>
      <c r="S3226">
        <v>2.667557</v>
      </c>
      <c r="T3226">
        <v>-9.3119380000000002E-2</v>
      </c>
      <c r="U3226">
        <v>1.7200009999999999</v>
      </c>
      <c r="V3226">
        <v>-0.11417670000000001</v>
      </c>
      <c r="W3226">
        <v>0.1860494</v>
      </c>
      <c r="X3226">
        <v>0.97588379999999997</v>
      </c>
      <c r="Y3226">
        <v>-0.36268709999999998</v>
      </c>
      <c r="Z3226">
        <v>-4.745722E-4</v>
      </c>
      <c r="AA3226">
        <v>0.93191089999999999</v>
      </c>
      <c r="AB3226">
        <v>23</v>
      </c>
      <c r="AC3226">
        <v>25.2744999999999</v>
      </c>
      <c r="AD3226">
        <v>-0.88621649999999996</v>
      </c>
      <c r="AE3226">
        <v>16.338389999999901</v>
      </c>
      <c r="AF3226">
        <v>-10.940560567324599</v>
      </c>
      <c r="AG3226">
        <v>-0.88621649999999996</v>
      </c>
      <c r="AH3226">
        <v>28.008547870584199</v>
      </c>
      <c r="AI3226">
        <v>91.688148357253297</v>
      </c>
      <c r="AJ3226">
        <v>111.33636509687599</v>
      </c>
      <c r="AK3226">
        <v>30.082553067035001</v>
      </c>
      <c r="AL3226">
        <v>79.277678550979005</v>
      </c>
      <c r="AM3226">
        <v>96.673167724820104</v>
      </c>
      <c r="AN3226">
        <v>0.99999994458284303</v>
      </c>
    </row>
    <row r="3227" spans="1:40" x14ac:dyDescent="0.3">
      <c r="A3227" t="str">
        <f>"20200111150415558"</f>
        <v>20200111150415558</v>
      </c>
      <c r="B3227" t="str">
        <f>"1578726255551323"</f>
        <v>1578726255551323</v>
      </c>
      <c r="C3227" t="s">
        <v>40</v>
      </c>
      <c r="D3227">
        <v>4.9721539999999997</v>
      </c>
      <c r="E3227">
        <v>0.39694620000000003</v>
      </c>
      <c r="F3227" t="s">
        <v>66</v>
      </c>
      <c r="G3227">
        <v>-166.3588</v>
      </c>
      <c r="H3227">
        <v>0.2314138</v>
      </c>
      <c r="I3227">
        <v>-40.619770000000003</v>
      </c>
      <c r="J3227">
        <v>-191.2551</v>
      </c>
      <c r="K3227">
        <v>1.114509</v>
      </c>
      <c r="L3227">
        <v>-56.928649999999998</v>
      </c>
      <c r="M3227">
        <v>0.97819480000000003</v>
      </c>
      <c r="N3227">
        <v>0</v>
      </c>
      <c r="O3227">
        <v>0.2070902</v>
      </c>
      <c r="P3227">
        <v>0.9348088</v>
      </c>
      <c r="Q3227">
        <v>0.17338499999999901</v>
      </c>
      <c r="R3227">
        <v>0.30995209999999901</v>
      </c>
      <c r="S3227">
        <v>2.6566619999999999</v>
      </c>
      <c r="T3227">
        <v>-9.3828800000000004E-2</v>
      </c>
      <c r="U3227">
        <v>1.7361150000000001</v>
      </c>
      <c r="V3227">
        <v>-0.1138369</v>
      </c>
      <c r="W3227">
        <v>0.18628510000000001</v>
      </c>
      <c r="X3227">
        <v>0.97587860000000004</v>
      </c>
      <c r="Y3227">
        <v>-0.36173739999999999</v>
      </c>
      <c r="Z3227">
        <v>-7.0845619999999995E-4</v>
      </c>
      <c r="AA3227">
        <v>0.93227979999999999</v>
      </c>
      <c r="AB3227">
        <v>23</v>
      </c>
      <c r="AC3227">
        <v>24.8963</v>
      </c>
      <c r="AD3227">
        <v>-0.88309519999999997</v>
      </c>
      <c r="AE3227">
        <v>16.308879999999899</v>
      </c>
      <c r="AF3227">
        <v>-10.789325294881101</v>
      </c>
      <c r="AG3227">
        <v>-0.88309519999999997</v>
      </c>
      <c r="AH3227">
        <v>27.709892155854199</v>
      </c>
      <c r="AI3227">
        <v>91.701044089913196</v>
      </c>
      <c r="AJ3227">
        <v>111.274310623237</v>
      </c>
      <c r="AK3227">
        <v>29.749412107470199</v>
      </c>
      <c r="AL3227">
        <v>79.263934359339203</v>
      </c>
      <c r="AM3227">
        <v>96.653521243251305</v>
      </c>
      <c r="AN3227">
        <v>1.00000001011079</v>
      </c>
    </row>
    <row r="3228" spans="1:40" x14ac:dyDescent="0.3">
      <c r="A3228" t="str">
        <f>"20200111150415570"</f>
        <v>20200111150415570</v>
      </c>
      <c r="B3228" t="str">
        <f>"1578726255561083"</f>
        <v>1578726255561083</v>
      </c>
      <c r="C3228" t="s">
        <v>40</v>
      </c>
      <c r="D3228">
        <v>4.8916760000000004</v>
      </c>
      <c r="E3228">
        <v>0.3972579</v>
      </c>
      <c r="F3228" t="s">
        <v>66</v>
      </c>
      <c r="G3228">
        <v>-166.60919999999999</v>
      </c>
      <c r="H3228">
        <v>0.22332949999999999</v>
      </c>
      <c r="I3228">
        <v>-40.619770000000003</v>
      </c>
      <c r="J3228">
        <v>-191.14320000000001</v>
      </c>
      <c r="K3228">
        <v>1.1146119999999999</v>
      </c>
      <c r="L3228">
        <v>-56.896909999999998</v>
      </c>
      <c r="M3228">
        <v>0.97658120000000004</v>
      </c>
      <c r="N3228">
        <v>0</v>
      </c>
      <c r="O3228">
        <v>0.21457000000000001</v>
      </c>
      <c r="P3228">
        <v>0.93229099999999998</v>
      </c>
      <c r="Q3228">
        <v>0.17364479999999999</v>
      </c>
      <c r="R3228">
        <v>0.31730259999999999</v>
      </c>
      <c r="S3228">
        <v>2.646347</v>
      </c>
      <c r="T3228">
        <v>-9.5692280000000005E-2</v>
      </c>
      <c r="U3228">
        <v>1.7511599999999901</v>
      </c>
      <c r="V3228">
        <v>-0.11412170000000001</v>
      </c>
      <c r="W3228">
        <v>0.18651880000000001</v>
      </c>
      <c r="X3228">
        <v>0.97580069999999997</v>
      </c>
      <c r="Y3228">
        <v>-0.35996139999999999</v>
      </c>
      <c r="Z3228">
        <v>-9.8625990000000005E-4</v>
      </c>
      <c r="AA3228">
        <v>0.93296659999999998</v>
      </c>
      <c r="AB3228">
        <v>23</v>
      </c>
      <c r="AC3228">
        <v>24.533999999999999</v>
      </c>
      <c r="AD3228">
        <v>-0.89128249999999998</v>
      </c>
      <c r="AE3228">
        <v>16.2771399999999</v>
      </c>
      <c r="AF3228">
        <v>-10.623276691319701</v>
      </c>
      <c r="AG3228">
        <v>-0.89128249999999998</v>
      </c>
      <c r="AH3228">
        <v>27.430308914838601</v>
      </c>
      <c r="AI3228">
        <v>91.735512986477801</v>
      </c>
      <c r="AJ3228">
        <v>111.170510313633</v>
      </c>
      <c r="AK3228">
        <v>29.429071329530899</v>
      </c>
      <c r="AL3228">
        <v>79.250305530149006</v>
      </c>
      <c r="AM3228">
        <v>96.670545069684295</v>
      </c>
      <c r="AN3228">
        <v>1.0000000156424</v>
      </c>
    </row>
    <row r="3229" spans="1:40" x14ac:dyDescent="0.3">
      <c r="A3229" t="str">
        <f>"20200111150415580"</f>
        <v>20200111150415580</v>
      </c>
      <c r="B3229" t="str">
        <f>"1578726255571492"</f>
        <v>1578726255571492</v>
      </c>
      <c r="C3229" t="s">
        <v>40</v>
      </c>
      <c r="D3229">
        <v>4.9374229999999999</v>
      </c>
      <c r="E3229">
        <v>0.39766839999999998</v>
      </c>
      <c r="F3229" t="s">
        <v>66</v>
      </c>
      <c r="G3229">
        <v>-166.92519999999999</v>
      </c>
      <c r="H3229">
        <v>0.22301199999999999</v>
      </c>
      <c r="I3229">
        <v>-40.619770000000003</v>
      </c>
      <c r="J3229">
        <v>-191.0421</v>
      </c>
      <c r="K3229">
        <v>1.1147049999999901</v>
      </c>
      <c r="L3229">
        <v>-56.866729999999997</v>
      </c>
      <c r="M3229">
        <v>0.97503169999999995</v>
      </c>
      <c r="N3229">
        <v>0</v>
      </c>
      <c r="O3229">
        <v>0.2215028</v>
      </c>
      <c r="P3229">
        <v>0.92977770000000004</v>
      </c>
      <c r="Q3229">
        <v>0.17425789999999999</v>
      </c>
      <c r="R3229">
        <v>0.32426460000000001</v>
      </c>
      <c r="S3229">
        <v>2.6335299999999999</v>
      </c>
      <c r="T3229">
        <v>-9.6957329999999994E-2</v>
      </c>
      <c r="U3229">
        <v>1.7700199999999999</v>
      </c>
      <c r="V3229">
        <v>-0.11457299999999999</v>
      </c>
      <c r="W3229">
        <v>0.18710860000000001</v>
      </c>
      <c r="X3229">
        <v>0.97563489999999997</v>
      </c>
      <c r="Y3229">
        <v>-0.36003839999999998</v>
      </c>
      <c r="Z3229">
        <v>-1.218717E-3</v>
      </c>
      <c r="AA3229">
        <v>0.93293669999999995</v>
      </c>
      <c r="AB3229">
        <v>23</v>
      </c>
      <c r="AC3229">
        <v>24.116900000000001</v>
      </c>
      <c r="AD3229">
        <v>-0.89169299999999896</v>
      </c>
      <c r="AE3229">
        <v>16.246960000000001</v>
      </c>
      <c r="AF3229">
        <v>-10.4907866016691</v>
      </c>
      <c r="AG3229">
        <v>-0.89169299999999896</v>
      </c>
      <c r="AH3229">
        <v>27.0914004562168</v>
      </c>
      <c r="AI3229">
        <v>91.758046233987898</v>
      </c>
      <c r="AJ3229">
        <v>111.168235721511</v>
      </c>
      <c r="AK3229">
        <v>29.065369404277501</v>
      </c>
      <c r="AL3229">
        <v>79.215907053076805</v>
      </c>
      <c r="AM3229">
        <v>96.697812658268703</v>
      </c>
      <c r="AN3229">
        <v>1.00000002931048</v>
      </c>
    </row>
    <row r="3230" spans="1:40" x14ac:dyDescent="0.3">
      <c r="A3230" t="str">
        <f>"20200111150415591"</f>
        <v>20200111150415591</v>
      </c>
      <c r="B3230" t="str">
        <f>"1578726255581253"</f>
        <v>1578726255581253</v>
      </c>
      <c r="C3230" t="s">
        <v>40</v>
      </c>
      <c r="D3230">
        <v>4.9447049999999999</v>
      </c>
      <c r="E3230">
        <v>0.39771810000000002</v>
      </c>
      <c r="F3230" t="s">
        <v>66</v>
      </c>
      <c r="G3230">
        <v>-167.20240000000001</v>
      </c>
      <c r="H3230">
        <v>0.220274</v>
      </c>
      <c r="I3230">
        <v>-40.619770000000003</v>
      </c>
      <c r="J3230">
        <v>-190.93799999999999</v>
      </c>
      <c r="K3230">
        <v>1.1148009999999999</v>
      </c>
      <c r="L3230">
        <v>-56.835239999999999</v>
      </c>
      <c r="M3230">
        <v>0.97337340000000006</v>
      </c>
      <c r="N3230">
        <v>0</v>
      </c>
      <c r="O3230">
        <v>0.2286793</v>
      </c>
      <c r="P3230">
        <v>0.92704759999999997</v>
      </c>
      <c r="Q3230">
        <v>0.17444949999999901</v>
      </c>
      <c r="R3230">
        <v>0.3318892</v>
      </c>
      <c r="S3230">
        <v>2.6218409999999999</v>
      </c>
      <c r="T3230">
        <v>-9.836984E-2</v>
      </c>
      <c r="U3230">
        <v>1.7868040000000001</v>
      </c>
      <c r="V3230">
        <v>-0.1154617</v>
      </c>
      <c r="W3230">
        <v>0.1872665</v>
      </c>
      <c r="X3230">
        <v>0.97549980000000003</v>
      </c>
      <c r="Y3230">
        <v>-0.35918099999999997</v>
      </c>
      <c r="Z3230">
        <v>-1.4829610000000001E-3</v>
      </c>
      <c r="AA3230">
        <v>0.93326679999999995</v>
      </c>
      <c r="AB3230">
        <v>23</v>
      </c>
      <c r="AC3230">
        <v>23.735599999999899</v>
      </c>
      <c r="AD3230">
        <v>-0.89452699999999996</v>
      </c>
      <c r="AE3230">
        <v>16.2154699999999</v>
      </c>
      <c r="AF3230">
        <v>-10.347141711912199</v>
      </c>
      <c r="AG3230">
        <v>-0.89452699999999996</v>
      </c>
      <c r="AH3230">
        <v>26.789154476413302</v>
      </c>
      <c r="AI3230">
        <v>91.784110963004196</v>
      </c>
      <c r="AJ3230">
        <v>111.11873881987</v>
      </c>
      <c r="AK3230">
        <v>28.731904178478299</v>
      </c>
      <c r="AL3230">
        <v>79.206696971777902</v>
      </c>
      <c r="AM3230">
        <v>96.750213744207699</v>
      </c>
      <c r="AN3230">
        <v>1.0000000029945899</v>
      </c>
    </row>
    <row r="3231" spans="1:40" x14ac:dyDescent="0.3">
      <c r="A3231" t="str">
        <f>"20200111150415601"</f>
        <v>20200111150415601</v>
      </c>
      <c r="B3231" t="str">
        <f>"1578726255591989"</f>
        <v>1578726255591989</v>
      </c>
      <c r="C3231" t="s">
        <v>40</v>
      </c>
      <c r="D3231">
        <v>4.989668</v>
      </c>
      <c r="E3231">
        <v>0.39789069999999999</v>
      </c>
      <c r="F3231" t="s">
        <v>66</v>
      </c>
      <c r="G3231">
        <v>-167.54429999999999</v>
      </c>
      <c r="H3231">
        <v>0.22397990000000001</v>
      </c>
      <c r="I3231">
        <v>-40.619770000000003</v>
      </c>
      <c r="J3231">
        <v>-190.83170000000001</v>
      </c>
      <c r="K3231">
        <v>1.114895</v>
      </c>
      <c r="L3231">
        <v>-56.801699999999997</v>
      </c>
      <c r="M3231">
        <v>0.97158710000000004</v>
      </c>
      <c r="N3231">
        <v>0</v>
      </c>
      <c r="O3231">
        <v>0.2361518</v>
      </c>
      <c r="P3231">
        <v>0.92417309999999997</v>
      </c>
      <c r="Q3231">
        <v>0.1745922</v>
      </c>
      <c r="R3231">
        <v>0.33973769999999998</v>
      </c>
      <c r="S3231">
        <v>2.6076809999999999</v>
      </c>
      <c r="T3231">
        <v>-9.9301459999999994E-2</v>
      </c>
      <c r="U3231">
        <v>1.807526</v>
      </c>
      <c r="V3231">
        <v>-0.1162977</v>
      </c>
      <c r="W3231">
        <v>0.18738170000000001</v>
      </c>
      <c r="X3231">
        <v>0.97537830000000003</v>
      </c>
      <c r="Y3231">
        <v>-0.3593942</v>
      </c>
      <c r="Z3231">
        <v>-1.737597E-3</v>
      </c>
      <c r="AA3231">
        <v>0.93318420000000002</v>
      </c>
      <c r="AB3231">
        <v>23</v>
      </c>
      <c r="AC3231">
        <v>23.287400000000002</v>
      </c>
      <c r="AD3231">
        <v>-0.89091509999999996</v>
      </c>
      <c r="AE3231">
        <v>16.181929999999898</v>
      </c>
      <c r="AF3231">
        <v>-10.213993828460399</v>
      </c>
      <c r="AG3231">
        <v>-0.89091509999999996</v>
      </c>
      <c r="AH3231">
        <v>26.424365179647499</v>
      </c>
      <c r="AI3231">
        <v>91.801248533106701</v>
      </c>
      <c r="AJ3231">
        <v>111.13335955775599</v>
      </c>
      <c r="AK3231">
        <v>28.3437202002596</v>
      </c>
      <c r="AL3231">
        <v>79.199976888712399</v>
      </c>
      <c r="AM3231">
        <v>96.799471741038403</v>
      </c>
      <c r="AN3231">
        <v>0.99999994231553302</v>
      </c>
    </row>
    <row r="3232" spans="1:40" x14ac:dyDescent="0.3">
      <c r="A3232" t="str">
        <f>"20200111150415614"</f>
        <v>20200111150415614</v>
      </c>
      <c r="B3232" t="str">
        <f>"1578726255601748"</f>
        <v>1578726255601748</v>
      </c>
      <c r="C3232" t="s">
        <v>40</v>
      </c>
      <c r="D3232">
        <v>4.9696439999999997</v>
      </c>
      <c r="E3232">
        <v>0.39818750000000003</v>
      </c>
      <c r="F3232" t="s">
        <v>66</v>
      </c>
      <c r="G3232">
        <v>-167.87979999999999</v>
      </c>
      <c r="H3232">
        <v>0.22342210000000001</v>
      </c>
      <c r="I3232">
        <v>-40.619770000000003</v>
      </c>
      <c r="J3232">
        <v>-190.72149999999999</v>
      </c>
      <c r="K3232">
        <v>1.114987</v>
      </c>
      <c r="L3232">
        <v>-56.766080000000002</v>
      </c>
      <c r="M3232">
        <v>0.9696496</v>
      </c>
      <c r="N3232">
        <v>0</v>
      </c>
      <c r="O3232">
        <v>0.24398359999999999</v>
      </c>
      <c r="P3232">
        <v>0.92127250000000005</v>
      </c>
      <c r="Q3232">
        <v>0.17412739999999999</v>
      </c>
      <c r="R3232">
        <v>0.3477597</v>
      </c>
      <c r="S3232">
        <v>2.5930939999999998</v>
      </c>
      <c r="T3232">
        <v>-0.1007202</v>
      </c>
      <c r="U3232">
        <v>1.828217</v>
      </c>
      <c r="V3232">
        <v>-0.1169258</v>
      </c>
      <c r="W3232">
        <v>0.1868969</v>
      </c>
      <c r="X3232">
        <v>0.97539629999999999</v>
      </c>
      <c r="Y3232">
        <v>-0.35931229999999997</v>
      </c>
      <c r="Z3232">
        <v>-2.0238809999999999E-3</v>
      </c>
      <c r="AA3232">
        <v>0.93321520000000002</v>
      </c>
      <c r="AB3232">
        <v>23</v>
      </c>
      <c r="AC3232">
        <v>22.841699999999999</v>
      </c>
      <c r="AD3232">
        <v>-0.89156489999999999</v>
      </c>
      <c r="AE3232">
        <v>16.14631</v>
      </c>
      <c r="AF3232">
        <v>-10.0742973490136</v>
      </c>
      <c r="AG3232">
        <v>-0.89156489999999999</v>
      </c>
      <c r="AH3232">
        <v>26.064684187462699</v>
      </c>
      <c r="AI3232">
        <v>91.827434923798293</v>
      </c>
      <c r="AJ3232">
        <v>111.13208492001699</v>
      </c>
      <c r="AK3232">
        <v>27.958077845936099</v>
      </c>
      <c r="AL3232">
        <v>79.228254260349104</v>
      </c>
      <c r="AM3232">
        <v>96.835722764020005</v>
      </c>
      <c r="AN3232">
        <v>1.0000000179944699</v>
      </c>
    </row>
    <row r="3233" spans="1:40" x14ac:dyDescent="0.3">
      <c r="A3233" t="str">
        <f>"20200111150415624"</f>
        <v>20200111150415624</v>
      </c>
      <c r="B3233" t="str">
        <f>"1578726255621268"</f>
        <v>1578726255621268</v>
      </c>
      <c r="C3233" t="s">
        <v>40</v>
      </c>
      <c r="D3233">
        <v>5.0033539999999999</v>
      </c>
      <c r="E3233">
        <v>0.39868049999999999</v>
      </c>
      <c r="F3233" t="s">
        <v>66</v>
      </c>
      <c r="G3233">
        <v>-168.20830000000001</v>
      </c>
      <c r="H3233">
        <v>0.20716570000000001</v>
      </c>
      <c r="I3233">
        <v>-40.619770000000003</v>
      </c>
      <c r="J3233">
        <v>-190.61920000000001</v>
      </c>
      <c r="K3233">
        <v>1.115075</v>
      </c>
      <c r="L3233">
        <v>-56.732059999999997</v>
      </c>
      <c r="M3233">
        <v>0.96776799999999996</v>
      </c>
      <c r="N3233">
        <v>0</v>
      </c>
      <c r="O3233">
        <v>0.2513417</v>
      </c>
      <c r="P3233">
        <v>0.91873110000000002</v>
      </c>
      <c r="Q3233">
        <v>0.17345089999999999</v>
      </c>
      <c r="R3233">
        <v>0.35475079999999998</v>
      </c>
      <c r="S3233">
        <v>2.5780639999999999</v>
      </c>
      <c r="T3233">
        <v>-0.10396</v>
      </c>
      <c r="U3233">
        <v>1.8489690000000001</v>
      </c>
      <c r="V3233">
        <v>-0.1169258</v>
      </c>
      <c r="W3233">
        <v>0.18621950000000001</v>
      </c>
      <c r="X3233">
        <v>0.97552589999999995</v>
      </c>
      <c r="Y3233">
        <v>-0.35975990000000002</v>
      </c>
      <c r="Z3233">
        <v>-2.3337660000000001E-3</v>
      </c>
      <c r="AA3233">
        <v>0.93304200000000004</v>
      </c>
      <c r="AB3233">
        <v>23</v>
      </c>
      <c r="AC3233">
        <v>22.410900000000002</v>
      </c>
      <c r="AD3233">
        <v>-0.90790930000000003</v>
      </c>
      <c r="AE3233">
        <v>16.112289999999899</v>
      </c>
      <c r="AF3233">
        <v>-9.9506561580294495</v>
      </c>
      <c r="AG3233">
        <v>-0.90790930000000003</v>
      </c>
      <c r="AH3233">
        <v>25.7136703529013</v>
      </c>
      <c r="AI3233">
        <v>91.886000784337995</v>
      </c>
      <c r="AJ3233">
        <v>111.15540207517</v>
      </c>
      <c r="AK3233">
        <v>27.586821134194299</v>
      </c>
      <c r="AL3233">
        <v>79.267760478807404</v>
      </c>
      <c r="AM3233">
        <v>96.834823219893494</v>
      </c>
      <c r="AN3233">
        <v>1.0000000632283399</v>
      </c>
    </row>
    <row r="3234" spans="1:40" x14ac:dyDescent="0.3">
      <c r="A3234" t="str">
        <f>"20200111150415636"</f>
        <v>20200111150415636</v>
      </c>
      <c r="B3234" t="str">
        <f>"1578726255632004"</f>
        <v>1578726255632004</v>
      </c>
      <c r="C3234" t="s">
        <v>40</v>
      </c>
      <c r="D3234">
        <v>4.9922959999999996</v>
      </c>
      <c r="E3234">
        <v>0.39875939999999999</v>
      </c>
      <c r="F3234" t="s">
        <v>66</v>
      </c>
      <c r="G3234">
        <v>-168.45060000000001</v>
      </c>
      <c r="H3234">
        <v>0.17304710000000001</v>
      </c>
      <c r="I3234">
        <v>-40.608629999999998</v>
      </c>
      <c r="J3234">
        <v>-190.50659999999999</v>
      </c>
      <c r="K3234">
        <v>1.1151679999999999</v>
      </c>
      <c r="L3234">
        <v>-56.693269999999998</v>
      </c>
      <c r="M3234">
        <v>0.96559039999999996</v>
      </c>
      <c r="N3234">
        <v>0</v>
      </c>
      <c r="O3234">
        <v>0.25958029999999999</v>
      </c>
      <c r="P3234">
        <v>0.91594279999999995</v>
      </c>
      <c r="Q3234">
        <v>0.17249819999999999</v>
      </c>
      <c r="R3234">
        <v>0.36234420000000001</v>
      </c>
      <c r="S3234">
        <v>2.5654599999999999</v>
      </c>
      <c r="T3234">
        <v>-0.109018</v>
      </c>
      <c r="U3234">
        <v>1.865875</v>
      </c>
      <c r="V3234">
        <v>-0.11666459999999999</v>
      </c>
      <c r="W3234">
        <v>0.18527589999999999</v>
      </c>
      <c r="X3234">
        <v>0.97573670000000001</v>
      </c>
      <c r="Y3234">
        <v>-0.35800859999999901</v>
      </c>
      <c r="Z3234">
        <v>-2.7766879999999998E-3</v>
      </c>
      <c r="AA3234">
        <v>0.93371420000000005</v>
      </c>
      <c r="AB3234">
        <v>23</v>
      </c>
      <c r="AC3234">
        <v>22.055999999999901</v>
      </c>
      <c r="AD3234">
        <v>-0.94212090000000004</v>
      </c>
      <c r="AE3234">
        <v>16.08464</v>
      </c>
      <c r="AF3234">
        <v>-9.79544535042759</v>
      </c>
      <c r="AG3234">
        <v>-0.94212090000000004</v>
      </c>
      <c r="AH3234">
        <v>25.445235572785101</v>
      </c>
      <c r="AI3234">
        <v>91.978983150512093</v>
      </c>
      <c r="AJ3234">
        <v>111.054802668973</v>
      </c>
      <c r="AK3234">
        <v>27.281831953847199</v>
      </c>
      <c r="AL3234">
        <v>79.322781047631906</v>
      </c>
      <c r="AM3234">
        <v>96.818239427843693</v>
      </c>
      <c r="AN3234">
        <v>0.99999994787042801</v>
      </c>
    </row>
    <row r="3235" spans="1:40" x14ac:dyDescent="0.3">
      <c r="A3235" t="str">
        <f>"20200111150415648"</f>
        <v>20200111150415648</v>
      </c>
      <c r="B3235" t="str">
        <f>"1578726255641764"</f>
        <v>1578726255641764</v>
      </c>
      <c r="C3235" t="s">
        <v>40</v>
      </c>
      <c r="D3235">
        <v>4.979495</v>
      </c>
      <c r="E3235">
        <v>0.39881719999999998</v>
      </c>
      <c r="F3235" t="s">
        <v>66</v>
      </c>
      <c r="G3235">
        <v>-168.45060000000001</v>
      </c>
      <c r="H3235">
        <v>0.15228749999999999</v>
      </c>
      <c r="I3235">
        <v>-40.365659999999998</v>
      </c>
      <c r="J3235">
        <v>-190.3963</v>
      </c>
      <c r="K3235">
        <v>1.1152599999999999</v>
      </c>
      <c r="L3235">
        <v>-56.654629999999997</v>
      </c>
      <c r="M3235">
        <v>0.96337159999999999</v>
      </c>
      <c r="N3235">
        <v>0</v>
      </c>
      <c r="O3235">
        <v>0.26769549999999998</v>
      </c>
      <c r="P3235">
        <v>0.91319329999999999</v>
      </c>
      <c r="Q3235">
        <v>0.1716326</v>
      </c>
      <c r="R3235">
        <v>0.3696217</v>
      </c>
      <c r="S3235">
        <v>2.5496059999999998</v>
      </c>
      <c r="T3235">
        <v>-0.1113083</v>
      </c>
      <c r="U3235">
        <v>1.887421</v>
      </c>
      <c r="V3235">
        <v>-0.1161992</v>
      </c>
      <c r="W3235">
        <v>0.18442529999999999</v>
      </c>
      <c r="X3235">
        <v>0.97595339999999997</v>
      </c>
      <c r="Y3235">
        <v>-0.35802790000000001</v>
      </c>
      <c r="Z3235">
        <v>-3.1337629999999999E-3</v>
      </c>
      <c r="AA3235">
        <v>0.93370560000000002</v>
      </c>
      <c r="AB3235">
        <v>23</v>
      </c>
      <c r="AC3235">
        <v>21.945699999999899</v>
      </c>
      <c r="AD3235">
        <v>-0.96297250000000001</v>
      </c>
      <c r="AE3235">
        <v>16.288969999999999</v>
      </c>
      <c r="AF3235">
        <v>-9.8066396561152693</v>
      </c>
      <c r="AG3235">
        <v>-0.96297250000000001</v>
      </c>
      <c r="AH3235">
        <v>25.473965666106</v>
      </c>
      <c r="AI3235">
        <v>92.020464258242299</v>
      </c>
      <c r="AJ3235">
        <v>111.055065777625</v>
      </c>
      <c r="AK3235">
        <v>27.313374455357899</v>
      </c>
      <c r="AL3235">
        <v>79.372371927844299</v>
      </c>
      <c r="AM3235">
        <v>96.789800704630096</v>
      </c>
      <c r="AN3235">
        <v>0.99999999216614399</v>
      </c>
    </row>
    <row r="3236" spans="1:40" x14ac:dyDescent="0.3">
      <c r="A3236" t="str">
        <f>"20200111150415659"</f>
        <v>20200111150415659</v>
      </c>
      <c r="B3236" t="str">
        <f>"1578726255651525"</f>
        <v>1578726255651525</v>
      </c>
      <c r="C3236" t="s">
        <v>40</v>
      </c>
      <c r="D3236">
        <v>4.9753309999999997</v>
      </c>
      <c r="E3236">
        <v>0.39882849999999997</v>
      </c>
      <c r="F3236" t="s">
        <v>66</v>
      </c>
      <c r="G3236">
        <v>-168.45060000000001</v>
      </c>
      <c r="H3236">
        <v>0.1301899</v>
      </c>
      <c r="I3236">
        <v>-40.137819999999998</v>
      </c>
      <c r="J3236">
        <v>-190.29769999999999</v>
      </c>
      <c r="K3236">
        <v>1.115334</v>
      </c>
      <c r="L3236">
        <v>-56.618319999999997</v>
      </c>
      <c r="M3236">
        <v>0.96127419999999997</v>
      </c>
      <c r="N3236">
        <v>0</v>
      </c>
      <c r="O3236">
        <v>0.2751304</v>
      </c>
      <c r="P3236">
        <v>0.91073669999999995</v>
      </c>
      <c r="Q3236">
        <v>0.17083870000000001</v>
      </c>
      <c r="R3236">
        <v>0.37599579999999999</v>
      </c>
      <c r="S3236">
        <v>2.5344850000000001</v>
      </c>
      <c r="T3236">
        <v>-0.1137666</v>
      </c>
      <c r="U3236">
        <v>1.9075009999999999</v>
      </c>
      <c r="V3236">
        <v>-0.1154575</v>
      </c>
      <c r="W3236">
        <v>0.18365709999999999</v>
      </c>
      <c r="X3236">
        <v>0.97618629999999995</v>
      </c>
      <c r="Y3236">
        <v>-0.35821459999999999</v>
      </c>
      <c r="Z3236">
        <v>-3.4799869999999999E-3</v>
      </c>
      <c r="AA3236">
        <v>0.93363280000000004</v>
      </c>
      <c r="AB3236">
        <v>23</v>
      </c>
      <c r="AC3236">
        <v>21.847099999999902</v>
      </c>
      <c r="AD3236">
        <v>-0.98514409999999997</v>
      </c>
      <c r="AE3236">
        <v>16.480499999999999</v>
      </c>
      <c r="AF3236">
        <v>-9.8200068822641402</v>
      </c>
      <c r="AG3236">
        <v>-0.98514409999999997</v>
      </c>
      <c r="AH3236">
        <v>25.5055459117902</v>
      </c>
      <c r="AI3236">
        <v>92.0643539643482</v>
      </c>
      <c r="AJ3236">
        <v>111.057432798829</v>
      </c>
      <c r="AK3236">
        <v>27.348417071631701</v>
      </c>
      <c r="AL3236">
        <v>79.4171518361957</v>
      </c>
      <c r="AM3236">
        <v>96.745267324303995</v>
      </c>
      <c r="AN3236">
        <v>1.00000002849717</v>
      </c>
    </row>
    <row r="3237" spans="1:40" x14ac:dyDescent="0.3">
      <c r="A3237" t="str">
        <f>"20200111150415669"</f>
        <v>20200111150415669</v>
      </c>
      <c r="B3237" t="str">
        <f>"1578726255661285"</f>
        <v>1578726255661285</v>
      </c>
      <c r="C3237" t="s">
        <v>40</v>
      </c>
      <c r="D3237">
        <v>5.0294509999999999</v>
      </c>
      <c r="E3237">
        <v>0.39888639999999997</v>
      </c>
      <c r="F3237" t="s">
        <v>66</v>
      </c>
      <c r="G3237">
        <v>-168.45060000000001</v>
      </c>
      <c r="H3237">
        <v>0.104878399999999</v>
      </c>
      <c r="I3237">
        <v>-39.938609999999997</v>
      </c>
      <c r="J3237">
        <v>-190.19710000000001</v>
      </c>
      <c r="K3237">
        <v>1.115408</v>
      </c>
      <c r="L3237">
        <v>-56.581049999999998</v>
      </c>
      <c r="M3237">
        <v>0.95906780000000003</v>
      </c>
      <c r="N3237">
        <v>0</v>
      </c>
      <c r="O3237">
        <v>0.28272399999999998</v>
      </c>
      <c r="P3237">
        <v>0.90777240000000003</v>
      </c>
      <c r="Q3237">
        <v>0.17054929999999999</v>
      </c>
      <c r="R3237">
        <v>0.38322590000000001</v>
      </c>
      <c r="S3237">
        <v>2.5212400000000001</v>
      </c>
      <c r="T3237">
        <v>-0.1166124</v>
      </c>
      <c r="U3237">
        <v>1.9248959999999999</v>
      </c>
      <c r="V3237">
        <v>-0.1155168</v>
      </c>
      <c r="W3237">
        <v>0.1833707</v>
      </c>
      <c r="X3237">
        <v>0.97623309999999996</v>
      </c>
      <c r="Y3237">
        <v>-0.35726839999999999</v>
      </c>
      <c r="Z3237">
        <v>-3.879618E-3</v>
      </c>
      <c r="AA3237">
        <v>0.93399370000000004</v>
      </c>
      <c r="AB3237">
        <v>23</v>
      </c>
      <c r="AC3237">
        <v>21.746500000000001</v>
      </c>
      <c r="AD3237">
        <v>-1.0105295999999999</v>
      </c>
      <c r="AE3237">
        <v>16.642440000000001</v>
      </c>
      <c r="AF3237">
        <v>-9.8008810134723898</v>
      </c>
      <c r="AG3237">
        <v>-1.0105295999999999</v>
      </c>
      <c r="AH3237">
        <v>25.530092574671599</v>
      </c>
      <c r="AI3237">
        <v>92.116259534728499</v>
      </c>
      <c r="AJ3237">
        <v>111.00155827389</v>
      </c>
      <c r="AK3237">
        <v>27.365380786388201</v>
      </c>
      <c r="AL3237">
        <v>79.433844592567496</v>
      </c>
      <c r="AM3237">
        <v>96.748379262823207</v>
      </c>
      <c r="AN3237">
        <v>1.0000000051181599</v>
      </c>
    </row>
    <row r="3238" spans="1:40" x14ac:dyDescent="0.3">
      <c r="A3238" t="str">
        <f>"20200111150415680"</f>
        <v>20200111150415680</v>
      </c>
      <c r="B3238" t="str">
        <f>"1578726255671828"</f>
        <v>1578726255671828</v>
      </c>
      <c r="C3238" t="s">
        <v>40</v>
      </c>
      <c r="D3238">
        <v>5.0273149999999998</v>
      </c>
      <c r="E3238">
        <v>0.3989026</v>
      </c>
      <c r="F3238" t="s">
        <v>50</v>
      </c>
      <c r="G3238">
        <v>-177.3143</v>
      </c>
      <c r="H3238">
        <v>0.50443629999999995</v>
      </c>
      <c r="I3238">
        <v>-46.590200000000003</v>
      </c>
      <c r="J3238">
        <v>-190.095</v>
      </c>
      <c r="K3238">
        <v>1.115489</v>
      </c>
      <c r="L3238">
        <v>-56.541499999999999</v>
      </c>
      <c r="M3238">
        <v>0.95670840000000001</v>
      </c>
      <c r="N3238">
        <v>0</v>
      </c>
      <c r="O3238">
        <v>0.29060609999999998</v>
      </c>
      <c r="P3238">
        <v>0.90447120000000003</v>
      </c>
      <c r="Q3238">
        <v>0.17036219999999999</v>
      </c>
      <c r="R3238">
        <v>0.39103559999999998</v>
      </c>
      <c r="S3238">
        <v>2.5065309999999998</v>
      </c>
      <c r="T3238">
        <v>-0.11887250000000001</v>
      </c>
      <c r="U3238">
        <v>1.943848</v>
      </c>
      <c r="V3238">
        <v>-0.1159237</v>
      </c>
      <c r="W3238">
        <v>0.18318139999999999</v>
      </c>
      <c r="X3238">
        <v>0.97622039999999999</v>
      </c>
      <c r="Y3238">
        <v>-0.35664980000000002</v>
      </c>
      <c r="Z3238">
        <v>-4.2787950000000002E-3</v>
      </c>
      <c r="AA3238">
        <v>0.93422839999999996</v>
      </c>
      <c r="AB3238">
        <v>23</v>
      </c>
      <c r="AC3238">
        <v>12.7806999999999</v>
      </c>
      <c r="AD3238">
        <v>-0.611052699999999</v>
      </c>
      <c r="AE3238">
        <v>9.9512999999999892</v>
      </c>
      <c r="AF3238">
        <v>-5.7988372353033304</v>
      </c>
      <c r="AG3238">
        <v>-0.611052699999999</v>
      </c>
      <c r="AH3238">
        <v>15.099767255461501</v>
      </c>
      <c r="AI3238">
        <v>92.163473017722694</v>
      </c>
      <c r="AJ3238">
        <v>111.00853083548699</v>
      </c>
      <c r="AK3238">
        <v>16.186502706045701</v>
      </c>
      <c r="AL3238">
        <v>79.444877505242999</v>
      </c>
      <c r="AM3238">
        <v>96.7720168693765</v>
      </c>
      <c r="AN3238">
        <v>0.99999999945190499</v>
      </c>
    </row>
    <row r="3239" spans="1:40" x14ac:dyDescent="0.3">
      <c r="A3239" t="str">
        <f>"20200111150415692"</f>
        <v>20200111150415692</v>
      </c>
      <c r="B3239" t="str">
        <f>"1578726255681588"</f>
        <v>1578726255681588</v>
      </c>
      <c r="C3239" t="s">
        <v>40</v>
      </c>
      <c r="D3239">
        <v>5.0332780000000001</v>
      </c>
      <c r="E3239">
        <v>0.39898220000000001</v>
      </c>
      <c r="F3239" t="s">
        <v>50</v>
      </c>
      <c r="G3239">
        <v>-177.48089999999999</v>
      </c>
      <c r="H3239">
        <v>0.50340410000000002</v>
      </c>
      <c r="I3239">
        <v>-46.590429999999998</v>
      </c>
      <c r="J3239">
        <v>-189.9958</v>
      </c>
      <c r="K3239">
        <v>1.115567</v>
      </c>
      <c r="L3239">
        <v>-56.502560000000003</v>
      </c>
      <c r="M3239">
        <v>0.95434070000000004</v>
      </c>
      <c r="N3239">
        <v>0</v>
      </c>
      <c r="O3239">
        <v>0.2982881</v>
      </c>
      <c r="P3239">
        <v>0.90091330000000003</v>
      </c>
      <c r="Q3239">
        <v>0.17099320000000001</v>
      </c>
      <c r="R3239">
        <v>0.39889449999999999</v>
      </c>
      <c r="S3239">
        <v>2.490265</v>
      </c>
      <c r="T3239">
        <v>-0.120837899999999</v>
      </c>
      <c r="U3239">
        <v>1.964539</v>
      </c>
      <c r="V3239">
        <v>-0.1166645</v>
      </c>
      <c r="W3239">
        <v>0.18379870000000001</v>
      </c>
      <c r="X3239">
        <v>0.97601610000000005</v>
      </c>
      <c r="Y3239">
        <v>-0.35689399999999999</v>
      </c>
      <c r="Z3239">
        <v>-4.6538680000000002E-3</v>
      </c>
      <c r="AA3239">
        <v>0.93413330000000006</v>
      </c>
      <c r="AB3239">
        <v>23</v>
      </c>
      <c r="AC3239">
        <v>12.514900000000001</v>
      </c>
      <c r="AD3239">
        <v>-0.61216289999999995</v>
      </c>
      <c r="AE3239">
        <v>9.9121299999999906</v>
      </c>
      <c r="AF3239">
        <v>-5.7188338282303297</v>
      </c>
      <c r="AG3239">
        <v>-0.61216289999999995</v>
      </c>
      <c r="AH3239">
        <v>14.880193066512</v>
      </c>
      <c r="AI3239">
        <v>92.199137713442198</v>
      </c>
      <c r="AJ3239">
        <v>111.02302802209201</v>
      </c>
      <c r="AK3239">
        <v>15.9530545497632</v>
      </c>
      <c r="AL3239">
        <v>79.408897923157298</v>
      </c>
      <c r="AM3239">
        <v>96.816300178476197</v>
      </c>
      <c r="AN3239">
        <v>0.99999999757057501</v>
      </c>
    </row>
    <row r="3240" spans="1:40" x14ac:dyDescent="0.3">
      <c r="A3240" t="str">
        <f>"20200111150415703"</f>
        <v>20200111150415703</v>
      </c>
      <c r="B3240" t="str">
        <f>"1578726255691350"</f>
        <v>1578726255691350</v>
      </c>
      <c r="C3240" t="s">
        <v>40</v>
      </c>
      <c r="D3240">
        <v>5.0452680000000001</v>
      </c>
      <c r="E3240">
        <v>0.39905740000000001</v>
      </c>
      <c r="F3240" t="s">
        <v>50</v>
      </c>
      <c r="G3240">
        <v>-177.63890000000001</v>
      </c>
      <c r="H3240">
        <v>0.51121819999999996</v>
      </c>
      <c r="I3240">
        <v>-46.588679999999997</v>
      </c>
      <c r="J3240">
        <v>-189.89109999999999</v>
      </c>
      <c r="K3240">
        <v>1.115653</v>
      </c>
      <c r="L3240">
        <v>-56.459989999999998</v>
      </c>
      <c r="M3240">
        <v>0.95172429999999997</v>
      </c>
      <c r="N3240">
        <v>0</v>
      </c>
      <c r="O3240">
        <v>0.30653170000000002</v>
      </c>
      <c r="P3240">
        <v>0.89694259999999904</v>
      </c>
      <c r="Q3240">
        <v>0.17144579999999901</v>
      </c>
      <c r="R3240">
        <v>0.40755429999999998</v>
      </c>
      <c r="S3240">
        <v>2.4740600000000001</v>
      </c>
      <c r="T3240">
        <v>-0.121001</v>
      </c>
      <c r="U3240">
        <v>1.9849239999999999</v>
      </c>
      <c r="V3240">
        <v>-0.1177023</v>
      </c>
      <c r="W3240">
        <v>0.18423320000000001</v>
      </c>
      <c r="X3240">
        <v>0.97580960000000005</v>
      </c>
      <c r="Y3240">
        <v>-0.35648859999999999</v>
      </c>
      <c r="Z3240">
        <v>-5.0010719999999996E-3</v>
      </c>
      <c r="AA3240">
        <v>0.93428630000000001</v>
      </c>
      <c r="AB3240">
        <v>23</v>
      </c>
      <c r="AC3240">
        <v>12.252199999999901</v>
      </c>
      <c r="AD3240">
        <v>-0.60443480000000005</v>
      </c>
      <c r="AE3240">
        <v>9.8713099999999994</v>
      </c>
      <c r="AF3240">
        <v>-5.6314979781030203</v>
      </c>
      <c r="AG3240">
        <v>-0.60443480000000005</v>
      </c>
      <c r="AH3240">
        <v>14.6668445117313</v>
      </c>
      <c r="AI3240">
        <v>92.203225258493006</v>
      </c>
      <c r="AJ3240">
        <v>111.00484778548299</v>
      </c>
      <c r="AK3240">
        <v>15.722450153717499</v>
      </c>
      <c r="AL3240">
        <v>79.383570844548402</v>
      </c>
      <c r="AM3240">
        <v>96.877798400564402</v>
      </c>
      <c r="AN3240">
        <v>1.0000000394298401</v>
      </c>
    </row>
    <row r="3241" spans="1:40" x14ac:dyDescent="0.3">
      <c r="A3241" t="str">
        <f>"20200111150415714"</f>
        <v>20200111150415714</v>
      </c>
      <c r="B3241" t="str">
        <f>"1578726255711843"</f>
        <v>1578726255711843</v>
      </c>
      <c r="C3241" t="s">
        <v>40</v>
      </c>
      <c r="D3241">
        <v>5.106509</v>
      </c>
      <c r="E3241">
        <v>0.39914090000000002</v>
      </c>
      <c r="F3241" t="s">
        <v>50</v>
      </c>
      <c r="G3241">
        <v>-177.77369999999999</v>
      </c>
      <c r="H3241">
        <v>0.51755699999999905</v>
      </c>
      <c r="I3241">
        <v>-46.553489999999996</v>
      </c>
      <c r="J3241">
        <v>-189.78980000000001</v>
      </c>
      <c r="K3241">
        <v>1.1157319999999999</v>
      </c>
      <c r="L3241">
        <v>-56.417879999999997</v>
      </c>
      <c r="M3241">
        <v>0.94909500000000002</v>
      </c>
      <c r="N3241">
        <v>0</v>
      </c>
      <c r="O3241">
        <v>0.31457669999999999</v>
      </c>
      <c r="P3241">
        <v>0.89297539999999997</v>
      </c>
      <c r="Q3241">
        <v>0.17258180000000001</v>
      </c>
      <c r="R3241">
        <v>0.41570479999999999</v>
      </c>
      <c r="S3241">
        <v>2.4556429999999998</v>
      </c>
      <c r="T3241">
        <v>-0.1212071</v>
      </c>
      <c r="U3241">
        <v>2.0075989999999999</v>
      </c>
      <c r="V3241">
        <v>-0.1184632</v>
      </c>
      <c r="W3241">
        <v>0.18535689999999999</v>
      </c>
      <c r="X3241">
        <v>0.97550460000000006</v>
      </c>
      <c r="Y3241">
        <v>-0.35718899999999998</v>
      </c>
      <c r="Z3241">
        <v>-5.3214459999999996E-3</v>
      </c>
      <c r="AA3241">
        <v>0.93401699999999999</v>
      </c>
      <c r="AB3241">
        <v>23</v>
      </c>
      <c r="AC3241">
        <v>12.0161</v>
      </c>
      <c r="AD3241">
        <v>-0.59817500000000001</v>
      </c>
      <c r="AE3241">
        <v>9.8643900000000002</v>
      </c>
      <c r="AF3241">
        <v>-5.5747313905648701</v>
      </c>
      <c r="AG3241">
        <v>-0.59817500000000001</v>
      </c>
      <c r="AH3241">
        <v>14.487966682155699</v>
      </c>
      <c r="AI3241">
        <v>92.206717050867795</v>
      </c>
      <c r="AJ3241">
        <v>111.045904550537</v>
      </c>
      <c r="AK3241">
        <v>15.535012777298499</v>
      </c>
      <c r="AL3241">
        <v>79.318058496648305</v>
      </c>
      <c r="AM3241">
        <v>96.923973895390304</v>
      </c>
      <c r="AN3241">
        <v>0.99999996737650398</v>
      </c>
    </row>
    <row r="3242" spans="1:40" x14ac:dyDescent="0.3">
      <c r="A3242" t="str">
        <f>"20200111150415737"</f>
        <v>20200111150415737</v>
      </c>
      <c r="B3242" t="str">
        <f>"1578726255731366"</f>
        <v>1578726255731366</v>
      </c>
      <c r="C3242" t="s">
        <v>40</v>
      </c>
      <c r="D3242">
        <v>5.0274070000000002</v>
      </c>
      <c r="E3242">
        <v>0.39906900000000001</v>
      </c>
      <c r="F3242" t="s">
        <v>50</v>
      </c>
      <c r="G3242">
        <v>-177.7705</v>
      </c>
      <c r="H3242">
        <v>0.53206769999999903</v>
      </c>
      <c r="I3242">
        <v>-46.408639999999998</v>
      </c>
      <c r="J3242">
        <v>-189.58109999999999</v>
      </c>
      <c r="K3242">
        <v>1.1158859999999999</v>
      </c>
      <c r="L3242">
        <v>-56.327449999999999</v>
      </c>
      <c r="M3242">
        <v>0.94334150000000005</v>
      </c>
      <c r="N3242">
        <v>0</v>
      </c>
      <c r="O3242">
        <v>0.33142759999999999</v>
      </c>
      <c r="P3242">
        <v>0.88505540000000005</v>
      </c>
      <c r="Q3242">
        <v>0.1734947</v>
      </c>
      <c r="R3242">
        <v>0.43194519999999997</v>
      </c>
      <c r="S3242">
        <v>2.4374850000000001</v>
      </c>
      <c r="T3242">
        <v>-0.118365899999999</v>
      </c>
      <c r="U3242">
        <v>2.029846</v>
      </c>
      <c r="V3242">
        <v>-0.119063</v>
      </c>
      <c r="W3242">
        <v>0.1862799</v>
      </c>
      <c r="X3242">
        <v>0.97525580000000001</v>
      </c>
      <c r="Y3242">
        <v>-0.34901480000000001</v>
      </c>
      <c r="Z3242">
        <v>-6.0236700000000001E-3</v>
      </c>
      <c r="AA3242">
        <v>0.93709779999999998</v>
      </c>
      <c r="AB3242">
        <v>23</v>
      </c>
      <c r="AC3242">
        <v>11.8105999999999</v>
      </c>
      <c r="AD3242">
        <v>-0.58381830000000001</v>
      </c>
      <c r="AE3242">
        <v>9.9188099999999899</v>
      </c>
      <c r="AF3242">
        <v>-5.4353926485133801</v>
      </c>
      <c r="AG3242">
        <v>-0.58381830000000001</v>
      </c>
      <c r="AH3242">
        <v>14.410043223025101</v>
      </c>
      <c r="AI3242">
        <v>92.170909172359302</v>
      </c>
      <c r="AJ3242">
        <v>110.666212081151</v>
      </c>
      <c r="AK3242">
        <v>15.4121277810814</v>
      </c>
      <c r="AL3242">
        <v>79.264237900411402</v>
      </c>
      <c r="AM3242">
        <v>96.960446152276702</v>
      </c>
      <c r="AN3242">
        <v>1.00000003727332</v>
      </c>
    </row>
    <row r="3243" spans="1:40" x14ac:dyDescent="0.3">
      <c r="A3243" t="str">
        <f>"20200111150415747"</f>
        <v>20200111150415747</v>
      </c>
      <c r="B3243" t="str">
        <f>"1578726255741124"</f>
        <v>1578726255741124</v>
      </c>
      <c r="C3243" t="s">
        <v>40</v>
      </c>
      <c r="D3243">
        <v>5.0812530000000002</v>
      </c>
      <c r="E3243">
        <v>0.39901160000000002</v>
      </c>
      <c r="F3243" t="s">
        <v>50</v>
      </c>
      <c r="G3243">
        <v>-177.7645</v>
      </c>
      <c r="H3243">
        <v>0.55888919999999997</v>
      </c>
      <c r="I3243">
        <v>-46.100200000000001</v>
      </c>
      <c r="J3243">
        <v>-189.48310000000001</v>
      </c>
      <c r="K3243">
        <v>1.1159479999999999</v>
      </c>
      <c r="L3243">
        <v>-56.28369</v>
      </c>
      <c r="M3243">
        <v>0.94049139999999998</v>
      </c>
      <c r="N3243">
        <v>0</v>
      </c>
      <c r="O3243">
        <v>0.33942909999999998</v>
      </c>
      <c r="P3243">
        <v>0.88143459999999996</v>
      </c>
      <c r="Q3243">
        <v>0.1740285</v>
      </c>
      <c r="R3243">
        <v>0.4390754</v>
      </c>
      <c r="S3243">
        <v>2.3986209999999999</v>
      </c>
      <c r="T3243">
        <v>-0.11306289999999999</v>
      </c>
      <c r="U3243">
        <v>2.0759889999999999</v>
      </c>
      <c r="V3243">
        <v>-0.11873069999999999</v>
      </c>
      <c r="W3243">
        <v>0.186835</v>
      </c>
      <c r="X3243">
        <v>0.97519</v>
      </c>
      <c r="Y3243">
        <v>-0.35885689999999998</v>
      </c>
      <c r="Z3243">
        <v>-5.8747449999999998E-3</v>
      </c>
      <c r="AA3243">
        <v>0.93337409999999998</v>
      </c>
      <c r="AB3243">
        <v>23</v>
      </c>
      <c r="AC3243">
        <v>11.7186</v>
      </c>
      <c r="AD3243">
        <v>-0.55705879999999997</v>
      </c>
      <c r="AE3243">
        <v>10.183490000000001</v>
      </c>
      <c r="AF3243">
        <v>-5.5933884712341104</v>
      </c>
      <c r="AG3243">
        <v>-0.55705879999999997</v>
      </c>
      <c r="AH3243">
        <v>14.4611074068386</v>
      </c>
      <c r="AI3243">
        <v>92.057600205496001</v>
      </c>
      <c r="AJ3243">
        <v>111.14589175814299</v>
      </c>
      <c r="AK3243">
        <v>15.5151518371209</v>
      </c>
      <c r="AL3243">
        <v>79.231863352232494</v>
      </c>
      <c r="AM3243">
        <v>96.941673390087999</v>
      </c>
      <c r="AN3243">
        <v>0.99999991622374096</v>
      </c>
    </row>
    <row r="3244" spans="1:40" x14ac:dyDescent="0.3">
      <c r="A3244" t="str">
        <f>"20200111150415759"</f>
        <v>20200111150415759</v>
      </c>
      <c r="B3244" t="str">
        <f>"1578726255751860"</f>
        <v>1578726255751860</v>
      </c>
      <c r="C3244" t="s">
        <v>40</v>
      </c>
      <c r="D3244">
        <v>5.0842289999999997</v>
      </c>
      <c r="E3244">
        <v>0.3989183</v>
      </c>
      <c r="F3244" t="s">
        <v>66</v>
      </c>
      <c r="G3244">
        <v>-168.45060000000001</v>
      </c>
      <c r="H3244">
        <v>0.14705750000000001</v>
      </c>
      <c r="I3244">
        <v>-37.760249999999999</v>
      </c>
      <c r="J3244">
        <v>-189.3843</v>
      </c>
      <c r="K3244">
        <v>1.116009</v>
      </c>
      <c r="L3244">
        <v>-56.237729999999999</v>
      </c>
      <c r="M3244">
        <v>0.93748690000000001</v>
      </c>
      <c r="N3244">
        <v>0</v>
      </c>
      <c r="O3244">
        <v>0.3476399</v>
      </c>
      <c r="P3244">
        <v>0.87771679999999996</v>
      </c>
      <c r="Q3244">
        <v>0.17395620000000001</v>
      </c>
      <c r="R3244">
        <v>0.44648900000000002</v>
      </c>
      <c r="S3244">
        <v>2.3807529999999999</v>
      </c>
      <c r="T3244">
        <v>-0.10967490000000001</v>
      </c>
      <c r="U3244">
        <v>2.0967410000000002</v>
      </c>
      <c r="V3244">
        <v>-0.11844489999999901</v>
      </c>
      <c r="W3244">
        <v>0.1867868</v>
      </c>
      <c r="X3244">
        <v>0.97523409999999999</v>
      </c>
      <c r="Y3244">
        <v>-0.3587573</v>
      </c>
      <c r="Z3244">
        <v>-6.0033389999999999E-3</v>
      </c>
      <c r="AA3244">
        <v>0.93341149999999995</v>
      </c>
      <c r="AB3244">
        <v>23</v>
      </c>
      <c r="AC3244">
        <v>20.933699999999899</v>
      </c>
      <c r="AD3244">
        <v>-0.96895149999999997</v>
      </c>
      <c r="AE3244">
        <v>18.47748</v>
      </c>
      <c r="AF3244">
        <v>-10.0342527466767</v>
      </c>
      <c r="AG3244">
        <v>-0.96895149999999997</v>
      </c>
      <c r="AH3244">
        <v>26.020693439105202</v>
      </c>
      <c r="AI3244">
        <v>91.989878007037802</v>
      </c>
      <c r="AJ3244">
        <v>111.08792998062999</v>
      </c>
      <c r="AK3244">
        <v>27.9052249990111</v>
      </c>
      <c r="AL3244">
        <v>79.234675696940698</v>
      </c>
      <c r="AM3244">
        <v>96.924816233784497</v>
      </c>
      <c r="AN3244">
        <v>1.0000000263965201</v>
      </c>
    </row>
    <row r="3245" spans="1:40" x14ac:dyDescent="0.3">
      <c r="A3245" t="str">
        <f>"20200111150415771"</f>
        <v>20200111150415771</v>
      </c>
      <c r="B3245" t="str">
        <f>"1578726255761622"</f>
        <v>1578726255761622</v>
      </c>
      <c r="C3245" t="s">
        <v>40</v>
      </c>
      <c r="D3245">
        <v>5.1337859999999997</v>
      </c>
      <c r="E3245">
        <v>0.3989278</v>
      </c>
      <c r="F3245" t="s">
        <v>43</v>
      </c>
      <c r="G3245">
        <v>-164.005</v>
      </c>
      <c r="H3245">
        <v>-0.05</v>
      </c>
      <c r="I3245">
        <v>-33.485700000000001</v>
      </c>
      <c r="J3245">
        <v>-189.28309999999999</v>
      </c>
      <c r="K3245">
        <v>1.116069</v>
      </c>
      <c r="L3245">
        <v>-56.190089999999998</v>
      </c>
      <c r="M3245">
        <v>0.93431560000000002</v>
      </c>
      <c r="N3245">
        <v>0</v>
      </c>
      <c r="O3245">
        <v>0.35607329999999998</v>
      </c>
      <c r="P3245">
        <v>0.8739538</v>
      </c>
      <c r="Q3245">
        <v>0.17390079999999999</v>
      </c>
      <c r="R3245">
        <v>0.45383200000000001</v>
      </c>
      <c r="S3245">
        <v>2.3622130000000001</v>
      </c>
      <c r="T3245">
        <v>-0.10852779999999999</v>
      </c>
      <c r="U3245">
        <v>2.1176759999999999</v>
      </c>
      <c r="V3245">
        <v>-0.11785619999999999</v>
      </c>
      <c r="W3245">
        <v>0.18676429999999999</v>
      </c>
      <c r="X3245">
        <v>0.97530969999999995</v>
      </c>
      <c r="Y3245">
        <v>-0.35857840000000002</v>
      </c>
      <c r="Z3245">
        <v>-6.2522319999999999E-3</v>
      </c>
      <c r="AA3245">
        <v>0.93347869999999999</v>
      </c>
      <c r="AB3245">
        <v>23</v>
      </c>
      <c r="AC3245">
        <v>25.278099999999899</v>
      </c>
      <c r="AD3245">
        <v>-1.166069</v>
      </c>
      <c r="AE3245">
        <v>22.70439</v>
      </c>
      <c r="AF3245">
        <v>-12.1994665120249</v>
      </c>
      <c r="AG3245">
        <v>-1.166069</v>
      </c>
      <c r="AH3245">
        <v>31.669070789947899</v>
      </c>
      <c r="AI3245">
        <v>91.967866491414199</v>
      </c>
      <c r="AJ3245">
        <v>111.067536240702</v>
      </c>
      <c r="AK3245">
        <v>33.957572716398801</v>
      </c>
      <c r="AL3245">
        <v>79.235987648628594</v>
      </c>
      <c r="AM3245">
        <v>96.890200952615999</v>
      </c>
      <c r="AN3245">
        <v>0.99999999927350902</v>
      </c>
    </row>
    <row r="3246" spans="1:40" x14ac:dyDescent="0.3">
      <c r="A3246" t="str">
        <f>"20200111150415783"</f>
        <v>20200111150415783</v>
      </c>
      <c r="B3246" t="str">
        <f>"1578726255771380"</f>
        <v>1578726255771380</v>
      </c>
      <c r="C3246" t="s">
        <v>40</v>
      </c>
      <c r="D3246">
        <v>5.205711</v>
      </c>
      <c r="E3246">
        <v>0.3990148</v>
      </c>
      <c r="F3246" t="s">
        <v>43</v>
      </c>
      <c r="G3246">
        <v>-164.0581</v>
      </c>
      <c r="H3246">
        <v>-0.05</v>
      </c>
      <c r="I3246">
        <v>-33.18732</v>
      </c>
      <c r="J3246">
        <v>-189.17619999999999</v>
      </c>
      <c r="K3246">
        <v>1.116125</v>
      </c>
      <c r="L3246">
        <v>-56.137999999999998</v>
      </c>
      <c r="M3246">
        <v>0.9308208</v>
      </c>
      <c r="N3246">
        <v>0</v>
      </c>
      <c r="O3246">
        <v>0.3651103</v>
      </c>
      <c r="P3246">
        <v>0.86970419999999904</v>
      </c>
      <c r="Q3246">
        <v>0.1738767</v>
      </c>
      <c r="R3246">
        <v>0.46193230000000002</v>
      </c>
      <c r="S3246">
        <v>2.3441770000000002</v>
      </c>
      <c r="T3246">
        <v>-0.1083636</v>
      </c>
      <c r="U3246">
        <v>2.1376650000000001</v>
      </c>
      <c r="V3246">
        <v>-0.1174924</v>
      </c>
      <c r="W3246">
        <v>0.1867695</v>
      </c>
      <c r="X3246">
        <v>0.97535260000000001</v>
      </c>
      <c r="Y3246">
        <v>-0.35745909999999997</v>
      </c>
      <c r="Z3246">
        <v>-6.5931710000000001E-3</v>
      </c>
      <c r="AA3246">
        <v>0.93390550000000006</v>
      </c>
      <c r="AB3246">
        <v>23</v>
      </c>
      <c r="AC3246">
        <v>25.118099999999998</v>
      </c>
      <c r="AD3246">
        <v>-1.1661250000000001</v>
      </c>
      <c r="AE3246">
        <v>22.950679999999998</v>
      </c>
      <c r="AF3246">
        <v>-12.179415251510701</v>
      </c>
      <c r="AG3246">
        <v>-1.1661250000000001</v>
      </c>
      <c r="AH3246">
        <v>31.7269537420596</v>
      </c>
      <c r="AI3246">
        <v>91.965251280707307</v>
      </c>
      <c r="AJ3246">
        <v>111.000910961702</v>
      </c>
      <c r="AK3246">
        <v>34.004376146830701</v>
      </c>
      <c r="AL3246">
        <v>79.235684406739495</v>
      </c>
      <c r="AM3246">
        <v>96.868836474974998</v>
      </c>
      <c r="AN3246">
        <v>1.0000000022573801</v>
      </c>
    </row>
    <row r="3247" spans="1:40" x14ac:dyDescent="0.3">
      <c r="A3247" t="str">
        <f>"20200111150415792"</f>
        <v>20200111150415792</v>
      </c>
      <c r="B3247" t="str">
        <f>"1578726255782116"</f>
        <v>1578726255782116</v>
      </c>
      <c r="C3247" t="s">
        <v>40</v>
      </c>
      <c r="D3247">
        <v>5.1700119999999998</v>
      </c>
      <c r="E3247">
        <v>0.39912039999999999</v>
      </c>
      <c r="F3247" t="s">
        <v>43</v>
      </c>
      <c r="G3247">
        <v>-164.38550000000001</v>
      </c>
      <c r="H3247">
        <v>-0.05</v>
      </c>
      <c r="I3247">
        <v>-33.117600000000003</v>
      </c>
      <c r="J3247">
        <v>-189.09100000000001</v>
      </c>
      <c r="K3247">
        <v>1.116168</v>
      </c>
      <c r="L3247">
        <v>-56.095730000000003</v>
      </c>
      <c r="M3247">
        <v>0.92794699999999997</v>
      </c>
      <c r="N3247">
        <v>0</v>
      </c>
      <c r="O3247">
        <v>0.37235230000000002</v>
      </c>
      <c r="P3247">
        <v>0.86632279999999995</v>
      </c>
      <c r="Q3247">
        <v>0.17363390000000001</v>
      </c>
      <c r="R3247">
        <v>0.46833320000000001</v>
      </c>
      <c r="S3247">
        <v>2.324738</v>
      </c>
      <c r="T3247">
        <v>-0.10935259999999999</v>
      </c>
      <c r="U3247">
        <v>2.158722</v>
      </c>
      <c r="V3247">
        <v>-0.11708150000000001</v>
      </c>
      <c r="W3247">
        <v>0.18655440000000001</v>
      </c>
      <c r="X3247">
        <v>0.97544319999999896</v>
      </c>
      <c r="Y3247">
        <v>-0.35862060000000001</v>
      </c>
      <c r="Z3247">
        <v>-6.9007030000000002E-3</v>
      </c>
      <c r="AA3247">
        <v>0.93345789999999995</v>
      </c>
      <c r="AB3247">
        <v>23</v>
      </c>
      <c r="AC3247">
        <v>24.705499999999901</v>
      </c>
      <c r="AD3247">
        <v>-1.1661680000000001</v>
      </c>
      <c r="AE3247">
        <v>22.97813</v>
      </c>
      <c r="AF3247">
        <v>-12.110494777627601</v>
      </c>
      <c r="AG3247">
        <v>-1.1661680000000001</v>
      </c>
      <c r="AH3247">
        <v>31.448005905783798</v>
      </c>
      <c r="AI3247">
        <v>91.981937349957704</v>
      </c>
      <c r="AJ3247">
        <v>111.061485461853</v>
      </c>
      <c r="AK3247">
        <v>33.719447015237101</v>
      </c>
      <c r="AL3247">
        <v>79.248229506076797</v>
      </c>
      <c r="AM3247">
        <v>96.8444130273882</v>
      </c>
      <c r="AN3247">
        <v>1.0000000291139199</v>
      </c>
    </row>
    <row r="3248" spans="1:40" x14ac:dyDescent="0.3">
      <c r="A3248" t="str">
        <f>"20200111150415803"</f>
        <v>20200111150415803</v>
      </c>
      <c r="B3248" t="str">
        <f>"1578726255801635"</f>
        <v>1578726255801635</v>
      </c>
      <c r="C3248" t="s">
        <v>40</v>
      </c>
      <c r="D3248">
        <v>5.1845480000000004</v>
      </c>
      <c r="E3248">
        <v>0.39931270000000002</v>
      </c>
      <c r="F3248" t="s">
        <v>43</v>
      </c>
      <c r="G3248">
        <v>-164.89060000000001</v>
      </c>
      <c r="H3248">
        <v>-0.05</v>
      </c>
      <c r="I3248">
        <v>-33.30574</v>
      </c>
      <c r="J3248">
        <v>-188.9907</v>
      </c>
      <c r="K3248">
        <v>1.1162099999999999</v>
      </c>
      <c r="L3248">
        <v>-56.04468</v>
      </c>
      <c r="M3248">
        <v>0.92444850000000001</v>
      </c>
      <c r="N3248">
        <v>0</v>
      </c>
      <c r="O3248">
        <v>0.38095400000000001</v>
      </c>
      <c r="P3248">
        <v>0.86188039999999999</v>
      </c>
      <c r="Q3248">
        <v>0.1737947</v>
      </c>
      <c r="R3248">
        <v>0.47640080000000001</v>
      </c>
      <c r="S3248">
        <v>2.3094640000000002</v>
      </c>
      <c r="T3248">
        <v>-0.1112882</v>
      </c>
      <c r="U3248">
        <v>2.1748660000000002</v>
      </c>
      <c r="V3248">
        <v>-0.1171705</v>
      </c>
      <c r="W3248">
        <v>0.18673149999999999</v>
      </c>
      <c r="X3248">
        <v>0.9753986</v>
      </c>
      <c r="Y3248">
        <v>-0.35649509999999901</v>
      </c>
      <c r="Z3248">
        <v>-7.38564199999999E-3</v>
      </c>
      <c r="AA3248">
        <v>0.93426799999999999</v>
      </c>
      <c r="AB3248">
        <v>23</v>
      </c>
      <c r="AC3248">
        <v>24.100100000000001</v>
      </c>
      <c r="AD3248">
        <v>-1.16621</v>
      </c>
      <c r="AE3248">
        <v>22.738939999999999</v>
      </c>
      <c r="AF3248">
        <v>-11.826891252373199</v>
      </c>
      <c r="AG3248">
        <v>-1.16621</v>
      </c>
      <c r="AH3248">
        <v>30.907665881545899</v>
      </c>
      <c r="AI3248">
        <v>92.018278480451102</v>
      </c>
      <c r="AJ3248">
        <v>110.93946749396299</v>
      </c>
      <c r="AK3248">
        <v>33.113731482646898</v>
      </c>
      <c r="AL3248">
        <v>79.2379006548597</v>
      </c>
      <c r="AM3248">
        <v>96.849876646033294</v>
      </c>
      <c r="AN3248">
        <v>1.0000000040222199</v>
      </c>
    </row>
    <row r="3249" spans="1:40" x14ac:dyDescent="0.3">
      <c r="A3249" t="str">
        <f>"20200111150415817"</f>
        <v>20200111150415817</v>
      </c>
      <c r="B3249" t="str">
        <f>"1578726255811396"</f>
        <v>1578726255811396</v>
      </c>
      <c r="C3249" t="s">
        <v>40</v>
      </c>
      <c r="D3249">
        <v>5.5835039999999996</v>
      </c>
      <c r="E3249">
        <v>0.39931270000000002</v>
      </c>
      <c r="F3249" t="s">
        <v>43</v>
      </c>
      <c r="G3249">
        <v>-165.1909</v>
      </c>
      <c r="H3249">
        <v>-0.05</v>
      </c>
      <c r="I3249">
        <v>-33.228760000000001</v>
      </c>
      <c r="J3249">
        <v>-188.892</v>
      </c>
      <c r="K3249">
        <v>1.11625</v>
      </c>
      <c r="L3249">
        <v>-55.993130000000001</v>
      </c>
      <c r="M3249">
        <v>0.92088320000000001</v>
      </c>
      <c r="N3249">
        <v>0</v>
      </c>
      <c r="O3249">
        <v>0.3894918</v>
      </c>
      <c r="P3249">
        <v>0.85742600000000002</v>
      </c>
      <c r="Q3249">
        <v>0.17368690000000001</v>
      </c>
      <c r="R3249">
        <v>0.48441060000000002</v>
      </c>
      <c r="S3249">
        <v>2.2899479999999999</v>
      </c>
      <c r="T3249">
        <v>-0.1122094</v>
      </c>
      <c r="U3249">
        <v>2.1952820000000002</v>
      </c>
      <c r="V3249">
        <v>-0.11724370000000001</v>
      </c>
      <c r="W3249">
        <v>0.1866411</v>
      </c>
      <c r="X3249">
        <v>0.97540709999999997</v>
      </c>
      <c r="Y3249">
        <v>-0.35617209999999899</v>
      </c>
      <c r="Z3249">
        <v>-7.7779160000000002E-3</v>
      </c>
      <c r="AA3249">
        <v>0.934388</v>
      </c>
      <c r="AB3249">
        <v>23</v>
      </c>
      <c r="AC3249">
        <v>23.7011</v>
      </c>
      <c r="AD3249">
        <v>-1.16625</v>
      </c>
      <c r="AE3249">
        <v>22.76437</v>
      </c>
      <c r="AF3249">
        <v>-11.718768464921199</v>
      </c>
      <c r="AG3249">
        <v>-1.16625</v>
      </c>
      <c r="AH3249">
        <v>30.658016906780801</v>
      </c>
      <c r="AI3249">
        <v>92.0350480096632</v>
      </c>
      <c r="AJ3249">
        <v>110.918934248234</v>
      </c>
      <c r="AK3249">
        <v>32.842102156430101</v>
      </c>
      <c r="AL3249">
        <v>79.243172816430004</v>
      </c>
      <c r="AM3249">
        <v>96.854056115820299</v>
      </c>
      <c r="AN3249">
        <v>0.99999999806465401</v>
      </c>
    </row>
    <row r="3250" spans="1:40" x14ac:dyDescent="0.3">
      <c r="A3250" t="str">
        <f>"20200111150415826"</f>
        <v>20200111150415826</v>
      </c>
      <c r="B3250" t="str">
        <f>"1578726255822131"</f>
        <v>1578726255822131</v>
      </c>
      <c r="C3250" t="s">
        <v>40</v>
      </c>
      <c r="D3250">
        <v>5.1285629999999998</v>
      </c>
      <c r="E3250">
        <v>0.39956140000000001</v>
      </c>
      <c r="F3250" t="s">
        <v>43</v>
      </c>
      <c r="G3250">
        <v>-165.39410000000001</v>
      </c>
      <c r="H3250">
        <v>-0.05</v>
      </c>
      <c r="I3250">
        <v>-33.044429999999998</v>
      </c>
      <c r="J3250">
        <v>-188.80279999999999</v>
      </c>
      <c r="K3250">
        <v>1.116279</v>
      </c>
      <c r="L3250">
        <v>-55.945770000000003</v>
      </c>
      <c r="M3250">
        <v>0.91756700000000002</v>
      </c>
      <c r="N3250">
        <v>0</v>
      </c>
      <c r="O3250">
        <v>0.39723999999999998</v>
      </c>
      <c r="P3250">
        <v>0.85306530000000003</v>
      </c>
      <c r="Q3250">
        <v>0.17361940000000001</v>
      </c>
      <c r="R3250">
        <v>0.49207299999999998</v>
      </c>
      <c r="S3250">
        <v>2.2694700000000001</v>
      </c>
      <c r="T3250">
        <v>-0.1126388</v>
      </c>
      <c r="U3250">
        <v>2.216431</v>
      </c>
      <c r="V3250">
        <v>-0.11777360000000001</v>
      </c>
      <c r="W3250">
        <v>0.18657599999999999</v>
      </c>
      <c r="X3250">
        <v>0.97535570000000005</v>
      </c>
      <c r="Y3250">
        <v>-0.35697040000000002</v>
      </c>
      <c r="Z3250">
        <v>-8.0900139999999995E-3</v>
      </c>
      <c r="AA3250">
        <v>0.93408069999999999</v>
      </c>
      <c r="AB3250">
        <v>22</v>
      </c>
      <c r="AC3250">
        <v>23.4086999999999</v>
      </c>
      <c r="AD3250">
        <v>-1.1662790000000001</v>
      </c>
      <c r="AE3250">
        <v>22.901340000000001</v>
      </c>
      <c r="AF3250">
        <v>-11.701389350069601</v>
      </c>
      <c r="AG3250">
        <v>-1.1662790000000001</v>
      </c>
      <c r="AH3250">
        <v>30.541788588567599</v>
      </c>
      <c r="AI3250">
        <v>92.042233393963301</v>
      </c>
      <c r="AJ3250">
        <v>110.96319431766101</v>
      </c>
      <c r="AK3250">
        <v>32.727413121365402</v>
      </c>
      <c r="AL3250">
        <v>79.246969299167901</v>
      </c>
      <c r="AM3250">
        <v>96.885096686733903</v>
      </c>
      <c r="AN3250">
        <v>0.99999998307772398</v>
      </c>
    </row>
    <row r="3251" spans="1:40" x14ac:dyDescent="0.3">
      <c r="A3251" t="str">
        <f>"20200111150415839"</f>
        <v>20200111150415839</v>
      </c>
      <c r="B3251" t="str">
        <f>"1578726255831894"</f>
        <v>1578726255831894</v>
      </c>
      <c r="C3251" t="s">
        <v>40</v>
      </c>
      <c r="D3251">
        <v>5.1467289999999997</v>
      </c>
      <c r="E3251">
        <v>0.3998256</v>
      </c>
      <c r="F3251" t="s">
        <v>43</v>
      </c>
      <c r="G3251">
        <v>-165.99979999999999</v>
      </c>
      <c r="H3251">
        <v>-0.05</v>
      </c>
      <c r="I3251">
        <v>-33.306080000000001</v>
      </c>
      <c r="J3251">
        <v>-188.685</v>
      </c>
      <c r="K3251">
        <v>1.1163160000000001</v>
      </c>
      <c r="L3251">
        <v>-55.881100000000004</v>
      </c>
      <c r="M3251">
        <v>0.91301600000000005</v>
      </c>
      <c r="N3251">
        <v>0</v>
      </c>
      <c r="O3251">
        <v>0.4075896</v>
      </c>
      <c r="P3251">
        <v>0.84703639999999902</v>
      </c>
      <c r="Q3251">
        <v>0.17313519999999999</v>
      </c>
      <c r="R3251">
        <v>0.50254719999999997</v>
      </c>
      <c r="S3251">
        <v>2.251007</v>
      </c>
      <c r="T3251">
        <v>-0.1151301</v>
      </c>
      <c r="U3251">
        <v>2.2348940000000002</v>
      </c>
      <c r="V3251">
        <v>-0.1187344</v>
      </c>
      <c r="W3251">
        <v>0.1860888</v>
      </c>
      <c r="X3251">
        <v>0.97533230000000004</v>
      </c>
      <c r="Y3251">
        <v>-0.35410229999999998</v>
      </c>
      <c r="Z3251">
        <v>-8.727884E-3</v>
      </c>
      <c r="AA3251">
        <v>0.93516589999999999</v>
      </c>
      <c r="AB3251">
        <v>22</v>
      </c>
      <c r="AC3251">
        <v>22.685199999999998</v>
      </c>
      <c r="AD3251">
        <v>-1.1663159999999999</v>
      </c>
      <c r="AE3251">
        <v>22.575019999999999</v>
      </c>
      <c r="AF3251">
        <v>-11.3515758062468</v>
      </c>
      <c r="AG3251">
        <v>-1.1663159999999999</v>
      </c>
      <c r="AH3251">
        <v>29.877690304193901</v>
      </c>
      <c r="AI3251">
        <v>92.089871841065005</v>
      </c>
      <c r="AJ3251">
        <v>110.80352916523</v>
      </c>
      <c r="AK3251">
        <v>31.982728842457199</v>
      </c>
      <c r="AL3251">
        <v>79.275381546117202</v>
      </c>
      <c r="AM3251">
        <v>96.940884668514599</v>
      </c>
      <c r="AN3251">
        <v>0.99999999732604505</v>
      </c>
    </row>
    <row r="3252" spans="1:40" x14ac:dyDescent="0.3">
      <c r="A3252" t="str">
        <f>"20200111150415849"</f>
        <v>20200111150415849</v>
      </c>
      <c r="B3252" t="str">
        <f>"1578726255841652"</f>
        <v>1578726255841652</v>
      </c>
      <c r="C3252" t="s">
        <v>40</v>
      </c>
      <c r="D3252">
        <v>5.1326749999999999</v>
      </c>
      <c r="E3252">
        <v>0.40004919999999999</v>
      </c>
      <c r="F3252" t="s">
        <v>43</v>
      </c>
      <c r="G3252">
        <v>-166.9384</v>
      </c>
      <c r="H3252">
        <v>-0.05</v>
      </c>
      <c r="I3252">
        <v>-33.791530000000002</v>
      </c>
      <c r="J3252">
        <v>-188.6027</v>
      </c>
      <c r="K3252">
        <v>1.116341</v>
      </c>
      <c r="L3252">
        <v>-55.835450000000002</v>
      </c>
      <c r="M3252">
        <v>0.90975170000000005</v>
      </c>
      <c r="N3252">
        <v>0</v>
      </c>
      <c r="O3252">
        <v>0.41482370000000002</v>
      </c>
      <c r="P3252">
        <v>0.84254549999999995</v>
      </c>
      <c r="Q3252">
        <v>0.17253089999999999</v>
      </c>
      <c r="R3252">
        <v>0.51024539999999996</v>
      </c>
      <c r="S3252">
        <v>2.2251590000000001</v>
      </c>
      <c r="T3252">
        <v>-0.1193401</v>
      </c>
      <c r="U3252">
        <v>2.2602540000000002</v>
      </c>
      <c r="V3252">
        <v>-0.1198304</v>
      </c>
      <c r="W3252">
        <v>0.1854703</v>
      </c>
      <c r="X3252">
        <v>0.97531610000000002</v>
      </c>
      <c r="Y3252">
        <v>-0.35735660000000002</v>
      </c>
      <c r="Z3252">
        <v>-9.2805230000000006E-3</v>
      </c>
      <c r="AA3252">
        <v>0.93392189999999997</v>
      </c>
      <c r="AB3252">
        <v>22</v>
      </c>
      <c r="AC3252">
        <v>21.664300000000001</v>
      </c>
      <c r="AD3252">
        <v>-1.1663410000000001</v>
      </c>
      <c r="AE3252">
        <v>22.04392</v>
      </c>
      <c r="AF3252">
        <v>-11.0533999592882</v>
      </c>
      <c r="AG3252">
        <v>-1.1663410000000001</v>
      </c>
      <c r="AH3252">
        <v>28.8163799028878</v>
      </c>
      <c r="AI3252">
        <v>92.164188448177796</v>
      </c>
      <c r="AJ3252">
        <v>110.985837131837</v>
      </c>
      <c r="AK3252">
        <v>30.885623721981499</v>
      </c>
      <c r="AL3252">
        <v>79.311447140142604</v>
      </c>
      <c r="AM3252">
        <v>97.004435424989495</v>
      </c>
      <c r="AN3252">
        <v>1.00000002593272</v>
      </c>
    </row>
    <row r="3253" spans="1:40" x14ac:dyDescent="0.3">
      <c r="A3253" t="str">
        <f>"20200111150415860"</f>
        <v>20200111150415860</v>
      </c>
      <c r="B3253" t="str">
        <f>"1578726255851412"</f>
        <v>1578726255851412</v>
      </c>
      <c r="C3253" t="s">
        <v>40</v>
      </c>
      <c r="D3253">
        <v>5.1638250000000001</v>
      </c>
      <c r="E3253">
        <v>0.40032990000000002</v>
      </c>
      <c r="F3253" t="s">
        <v>43</v>
      </c>
      <c r="G3253">
        <v>-167.78469999999999</v>
      </c>
      <c r="H3253">
        <v>-0.05</v>
      </c>
      <c r="I3253">
        <v>-34.337709999999902</v>
      </c>
      <c r="J3253">
        <v>-188.5127</v>
      </c>
      <c r="K3253">
        <v>1.116363</v>
      </c>
      <c r="L3253">
        <v>-55.783569999999997</v>
      </c>
      <c r="M3253">
        <v>0.90604929999999995</v>
      </c>
      <c r="N3253">
        <v>0</v>
      </c>
      <c r="O3253">
        <v>0.4228481</v>
      </c>
      <c r="P3253">
        <v>0.83752530000000003</v>
      </c>
      <c r="Q3253">
        <v>0.17197799999999999</v>
      </c>
      <c r="R3253">
        <v>0.51862790000000003</v>
      </c>
      <c r="S3253">
        <v>2.2062529999999998</v>
      </c>
      <c r="T3253">
        <v>-0.1236067</v>
      </c>
      <c r="U3253">
        <v>2.2782900000000001</v>
      </c>
      <c r="V3253">
        <v>-0.1208953</v>
      </c>
      <c r="W3253">
        <v>0.18490570000000001</v>
      </c>
      <c r="X3253">
        <v>0.97529180000000004</v>
      </c>
      <c r="Y3253">
        <v>-0.35680200000000001</v>
      </c>
      <c r="Z3253">
        <v>-9.9630689999999997E-3</v>
      </c>
      <c r="AA3253">
        <v>0.93412689999999998</v>
      </c>
      <c r="AB3253">
        <v>22</v>
      </c>
      <c r="AC3253">
        <v>20.728000000000002</v>
      </c>
      <c r="AD3253">
        <v>-1.16636299999999</v>
      </c>
      <c r="AE3253">
        <v>21.44586</v>
      </c>
      <c r="AF3253">
        <v>-10.651384525118999</v>
      </c>
      <c r="AG3253">
        <v>-1.16636299999999</v>
      </c>
      <c r="AH3253">
        <v>27.8102198143118</v>
      </c>
      <c r="AI3253">
        <v>92.242884140053405</v>
      </c>
      <c r="AJ3253">
        <v>110.95696622258799</v>
      </c>
      <c r="AK3253">
        <v>29.803032078465701</v>
      </c>
      <c r="AL3253">
        <v>79.344364835212005</v>
      </c>
      <c r="AM3253">
        <v>97.066229696972599</v>
      </c>
      <c r="AN3253">
        <v>0.99999994330090802</v>
      </c>
    </row>
    <row r="3254" spans="1:40" x14ac:dyDescent="0.3">
      <c r="A3254" t="str">
        <f>"20200111150415871"</f>
        <v>20200111150415871</v>
      </c>
      <c r="B3254" t="str">
        <f>"1578726255862149"</f>
        <v>1578726255862149</v>
      </c>
      <c r="C3254" t="s">
        <v>40</v>
      </c>
      <c r="D3254">
        <v>5.1472009999999999</v>
      </c>
      <c r="E3254">
        <v>0.40062409999999998</v>
      </c>
      <c r="F3254" t="s">
        <v>43</v>
      </c>
      <c r="G3254">
        <v>-168.59209999999999</v>
      </c>
      <c r="H3254">
        <v>-0.05</v>
      </c>
      <c r="I3254">
        <v>-34.834470000000003</v>
      </c>
      <c r="J3254">
        <v>-188.41929999999999</v>
      </c>
      <c r="K3254">
        <v>1.116382</v>
      </c>
      <c r="L3254">
        <v>-55.72925</v>
      </c>
      <c r="M3254">
        <v>0.90211490000000005</v>
      </c>
      <c r="N3254">
        <v>0</v>
      </c>
      <c r="O3254">
        <v>0.43117680000000003</v>
      </c>
      <c r="P3254">
        <v>0.83215799999999995</v>
      </c>
      <c r="Q3254">
        <v>0.17119189999999901</v>
      </c>
      <c r="R3254">
        <v>0.52745259999999905</v>
      </c>
      <c r="S3254">
        <v>2.1852109999999998</v>
      </c>
      <c r="T3254">
        <v>-0.12794549999999999</v>
      </c>
      <c r="U3254">
        <v>2.298035</v>
      </c>
      <c r="V3254">
        <v>-0.122145</v>
      </c>
      <c r="W3254">
        <v>0.18410290000000001</v>
      </c>
      <c r="X3254">
        <v>0.97528800000000004</v>
      </c>
      <c r="Y3254">
        <v>-0.35670239999999998</v>
      </c>
      <c r="Z3254">
        <v>-1.068067E-2</v>
      </c>
      <c r="AA3254">
        <v>0.93415700000000002</v>
      </c>
      <c r="AB3254">
        <v>22</v>
      </c>
      <c r="AC3254">
        <v>19.827200000000001</v>
      </c>
      <c r="AD3254">
        <v>-1.166382</v>
      </c>
      <c r="AE3254">
        <v>20.894780000000001</v>
      </c>
      <c r="AF3254">
        <v>-10.2850177443232</v>
      </c>
      <c r="AG3254">
        <v>-1.166382</v>
      </c>
      <c r="AH3254">
        <v>26.8554256079486</v>
      </c>
      <c r="AI3254">
        <v>92.322597206108</v>
      </c>
      <c r="AJ3254">
        <v>110.95570440662399</v>
      </c>
      <c r="AK3254">
        <v>28.781173039941098</v>
      </c>
      <c r="AL3254">
        <v>79.391165779824803</v>
      </c>
      <c r="AM3254">
        <v>97.138551384240301</v>
      </c>
      <c r="AN3254">
        <v>0.99999998087870401</v>
      </c>
    </row>
    <row r="3255" spans="1:40" x14ac:dyDescent="0.3">
      <c r="A3255" t="str">
        <f>"20200111150415882"</f>
        <v>20200111150415882</v>
      </c>
      <c r="B3255" t="str">
        <f>"1578726255871908"</f>
        <v>1578726255871908</v>
      </c>
      <c r="C3255" t="s">
        <v>40</v>
      </c>
      <c r="D3255">
        <v>5.2895490000000001</v>
      </c>
      <c r="E3255">
        <v>0.40097290000000002</v>
      </c>
      <c r="F3255" t="s">
        <v>43</v>
      </c>
      <c r="G3255">
        <v>-169.3784</v>
      </c>
      <c r="H3255">
        <v>-0.05</v>
      </c>
      <c r="I3255">
        <v>-35.309249999999999</v>
      </c>
      <c r="J3255">
        <v>-188.32749999999999</v>
      </c>
      <c r="K3255">
        <v>1.116398</v>
      </c>
      <c r="L3255">
        <v>-55.674219999999998</v>
      </c>
      <c r="M3255">
        <v>0.89812080000000005</v>
      </c>
      <c r="N3255">
        <v>0</v>
      </c>
      <c r="O3255">
        <v>0.43943490000000002</v>
      </c>
      <c r="P3255">
        <v>0.82687719999999898</v>
      </c>
      <c r="Q3255">
        <v>0.1701328</v>
      </c>
      <c r="R3255">
        <v>0.53603089999999998</v>
      </c>
      <c r="S3255">
        <v>2.1624150000000002</v>
      </c>
      <c r="T3255">
        <v>-0.1324621</v>
      </c>
      <c r="U3255">
        <v>2.3190309999999998</v>
      </c>
      <c r="V3255">
        <v>-0.12317210000000001</v>
      </c>
      <c r="W3255">
        <v>0.18303459999999999</v>
      </c>
      <c r="X3255">
        <v>0.97535989999999995</v>
      </c>
      <c r="Y3255">
        <v>-0.357269</v>
      </c>
      <c r="Z3255">
        <v>-1.142235E-2</v>
      </c>
      <c r="AA3255">
        <v>0.93393170000000003</v>
      </c>
      <c r="AB3255">
        <v>22</v>
      </c>
      <c r="AC3255">
        <v>18.949099999999898</v>
      </c>
      <c r="AD3255">
        <v>-1.166398</v>
      </c>
      <c r="AE3255">
        <v>20.36497</v>
      </c>
      <c r="AF3255">
        <v>-9.9471934852541803</v>
      </c>
      <c r="AG3255">
        <v>-1.166398</v>
      </c>
      <c r="AH3255">
        <v>25.925661539355101</v>
      </c>
      <c r="AI3255">
        <v>92.405263168392096</v>
      </c>
      <c r="AJ3255">
        <v>110.990877906329</v>
      </c>
      <c r="AK3255">
        <v>27.792931993236799</v>
      </c>
      <c r="AL3255">
        <v>79.453433000199396</v>
      </c>
      <c r="AM3255">
        <v>97.197426401086403</v>
      </c>
      <c r="AN3255">
        <v>0.99999998277178903</v>
      </c>
    </row>
    <row r="3256" spans="1:40" x14ac:dyDescent="0.3">
      <c r="A3256" t="str">
        <f>"20200111150415894"</f>
        <v>20200111150415894</v>
      </c>
      <c r="B3256" t="str">
        <f>"1578726255891427"</f>
        <v>1578726255891427</v>
      </c>
      <c r="C3256" t="s">
        <v>40</v>
      </c>
      <c r="D3256">
        <v>5.2336980000000004</v>
      </c>
      <c r="E3256">
        <v>0.40163320000000002</v>
      </c>
      <c r="F3256" t="s">
        <v>43</v>
      </c>
      <c r="G3256">
        <v>-170.2938</v>
      </c>
      <c r="H3256">
        <v>-0.05</v>
      </c>
      <c r="I3256">
        <v>-35.966949999999997</v>
      </c>
      <c r="J3256">
        <v>-188.2353</v>
      </c>
      <c r="K3256">
        <v>1.116406</v>
      </c>
      <c r="L3256">
        <v>-55.617919999999998</v>
      </c>
      <c r="M3256">
        <v>0.89399930000000005</v>
      </c>
      <c r="N3256">
        <v>0</v>
      </c>
      <c r="O3256">
        <v>0.44775930000000003</v>
      </c>
      <c r="P3256">
        <v>0.82144019999999995</v>
      </c>
      <c r="Q3256">
        <v>0.1694147</v>
      </c>
      <c r="R3256">
        <v>0.54454979999999997</v>
      </c>
      <c r="S3256">
        <v>2.1403349999999999</v>
      </c>
      <c r="T3256">
        <v>-0.1384341</v>
      </c>
      <c r="U3256">
        <v>2.338959</v>
      </c>
      <c r="V3256">
        <v>-0.1241178</v>
      </c>
      <c r="W3256">
        <v>0.18230840000000001</v>
      </c>
      <c r="X3256">
        <v>0.97537600000000002</v>
      </c>
      <c r="Y3256">
        <v>-0.35736250000000003</v>
      </c>
      <c r="Z3256">
        <v>-1.233251E-2</v>
      </c>
      <c r="AA3256">
        <v>0.9338843</v>
      </c>
      <c r="AB3256">
        <v>22</v>
      </c>
      <c r="AC3256">
        <v>17.941499999999898</v>
      </c>
      <c r="AD3256">
        <v>-1.1664060000000001</v>
      </c>
      <c r="AE3256">
        <v>19.650970000000001</v>
      </c>
      <c r="AF3256">
        <v>-9.5175125902099698</v>
      </c>
      <c r="AG3256">
        <v>-1.1664060000000001</v>
      </c>
      <c r="AH3256">
        <v>24.794390792510399</v>
      </c>
      <c r="AI3256">
        <v>92.514737325988307</v>
      </c>
      <c r="AJ3256">
        <v>110.999673105773</v>
      </c>
      <c r="AK3256">
        <v>26.583930552748701</v>
      </c>
      <c r="AL3256">
        <v>79.495753048506401</v>
      </c>
      <c r="AM3256">
        <v>97.251982787831096</v>
      </c>
      <c r="AN3256">
        <v>0.99999996118169898</v>
      </c>
    </row>
    <row r="3257" spans="1:40" x14ac:dyDescent="0.3">
      <c r="A3257" t="str">
        <f>"20200111150415904"</f>
        <v>20200111150415904</v>
      </c>
      <c r="B3257" t="str">
        <f>"1578726255902164"</f>
        <v>1578726255902164</v>
      </c>
      <c r="C3257" t="s">
        <v>40</v>
      </c>
      <c r="D3257">
        <v>5.260802</v>
      </c>
      <c r="E3257">
        <v>0.40163320000000002</v>
      </c>
      <c r="F3257" t="s">
        <v>43</v>
      </c>
      <c r="G3257">
        <v>-171.22799999999901</v>
      </c>
      <c r="H3257">
        <v>-0.05</v>
      </c>
      <c r="I3257">
        <v>-36.707659999999997</v>
      </c>
      <c r="J3257">
        <v>-188.14429999999999</v>
      </c>
      <c r="K3257">
        <v>1.116412</v>
      </c>
      <c r="L3257">
        <v>-55.561250000000001</v>
      </c>
      <c r="M3257">
        <v>0.88981869999999996</v>
      </c>
      <c r="N3257">
        <v>0</v>
      </c>
      <c r="O3257">
        <v>0.45601009999999997</v>
      </c>
      <c r="P3257">
        <v>0.81591979999999997</v>
      </c>
      <c r="Q3257">
        <v>0.1686241</v>
      </c>
      <c r="R3257">
        <v>0.55302879999999999</v>
      </c>
      <c r="S3257">
        <v>2.119675</v>
      </c>
      <c r="T3257">
        <v>-0.1453729</v>
      </c>
      <c r="U3257">
        <v>2.3568419999999999</v>
      </c>
      <c r="V3257">
        <v>-0.12511</v>
      </c>
      <c r="W3257">
        <v>0.18150849999999999</v>
      </c>
      <c r="X3257">
        <v>0.97539849999999995</v>
      </c>
      <c r="Y3257">
        <v>-0.35678300000000002</v>
      </c>
      <c r="Z3257">
        <v>-1.3379139999999999E-2</v>
      </c>
      <c r="AA3257">
        <v>0.93409149999999996</v>
      </c>
      <c r="AB3257">
        <v>22</v>
      </c>
      <c r="AC3257">
        <v>16.9163</v>
      </c>
      <c r="AD3257">
        <v>-1.166412</v>
      </c>
      <c r="AE3257">
        <v>18.853590000000001</v>
      </c>
      <c r="AF3257">
        <v>-9.0443527660826692</v>
      </c>
      <c r="AG3257">
        <v>-1.166412</v>
      </c>
      <c r="AH3257">
        <v>23.6031002414257</v>
      </c>
      <c r="AI3257">
        <v>92.642091900671105</v>
      </c>
      <c r="AJ3257">
        <v>110.9660805005</v>
      </c>
      <c r="AK3257">
        <v>25.303501238324301</v>
      </c>
      <c r="AL3257">
        <v>79.5423624286083</v>
      </c>
      <c r="AM3257">
        <v>97.309163990502299</v>
      </c>
      <c r="AN3257">
        <v>1.00000004073724</v>
      </c>
    </row>
    <row r="3258" spans="1:40" x14ac:dyDescent="0.3">
      <c r="A3258" t="str">
        <f>"20200111150415917"</f>
        <v>20200111150415917</v>
      </c>
      <c r="B3258" t="str">
        <f>"1578726255911923"</f>
        <v>1578726255911923</v>
      </c>
      <c r="C3258" t="s">
        <v>40</v>
      </c>
      <c r="D3258">
        <v>5.2976510000000001</v>
      </c>
      <c r="E3258">
        <v>0.4193576</v>
      </c>
      <c r="F3258" t="s">
        <v>43</v>
      </c>
      <c r="G3258">
        <v>-171.65190000000001</v>
      </c>
      <c r="H3258">
        <v>-0.05</v>
      </c>
      <c r="I3258">
        <v>-36.844119999999997</v>
      </c>
      <c r="J3258">
        <v>-188.0444</v>
      </c>
      <c r="K3258">
        <v>1.116412</v>
      </c>
      <c r="L3258">
        <v>-55.497309999999999</v>
      </c>
      <c r="M3258">
        <v>0.8850846</v>
      </c>
      <c r="N3258">
        <v>0</v>
      </c>
      <c r="O3258">
        <v>0.46513120000000002</v>
      </c>
      <c r="P3258">
        <v>0.80962029999999996</v>
      </c>
      <c r="Q3258">
        <v>0.16823920000000001</v>
      </c>
      <c r="R3258">
        <v>0.5623262</v>
      </c>
      <c r="S3258">
        <v>2.0955349999999999</v>
      </c>
      <c r="T3258">
        <v>-0.14820459999999999</v>
      </c>
      <c r="U3258">
        <v>2.3782040000000002</v>
      </c>
      <c r="V3258">
        <v>-0.12620300000000001</v>
      </c>
      <c r="W3258">
        <v>0.18111179999999999</v>
      </c>
      <c r="X3258">
        <v>0.97533139999999996</v>
      </c>
      <c r="Y3258">
        <v>-0.35669079999999997</v>
      </c>
      <c r="Z3258">
        <v>-1.4108910000000001E-2</v>
      </c>
      <c r="AA3258">
        <v>0.9341159</v>
      </c>
      <c r="AB3258">
        <v>22</v>
      </c>
      <c r="AC3258">
        <v>16.392499999999899</v>
      </c>
      <c r="AD3258">
        <v>-1.166412</v>
      </c>
      <c r="AE3258">
        <v>18.653189999999899</v>
      </c>
      <c r="AF3258">
        <v>-8.8666618824499803</v>
      </c>
      <c r="AG3258">
        <v>-1.166412</v>
      </c>
      <c r="AH3258">
        <v>23.137108834547401</v>
      </c>
      <c r="AI3258">
        <v>92.695193271109403</v>
      </c>
      <c r="AJ3258">
        <v>110.96795909471101</v>
      </c>
      <c r="AK3258">
        <v>24.805322314235902</v>
      </c>
      <c r="AL3258">
        <v>79.565474409257305</v>
      </c>
      <c r="AM3258">
        <v>97.372821258390402</v>
      </c>
      <c r="AN3258">
        <v>1.0000000105670901</v>
      </c>
    </row>
    <row r="3259" spans="1:40" x14ac:dyDescent="0.3">
      <c r="A3259" t="str">
        <f>"20200111150415928"</f>
        <v>20200111150415928</v>
      </c>
      <c r="B3259" t="str">
        <f>"1578726255921683"</f>
        <v>1578726255921683</v>
      </c>
      <c r="C3259" t="s">
        <v>40</v>
      </c>
      <c r="D3259">
        <v>5.243811</v>
      </c>
      <c r="E3259">
        <v>0.42005740000000003</v>
      </c>
      <c r="F3259" t="s">
        <v>72</v>
      </c>
      <c r="G3259">
        <v>-179.3817</v>
      </c>
      <c r="H3259">
        <v>7.9986570000000007E-2</v>
      </c>
      <c r="I3259">
        <v>-46.303249999999998</v>
      </c>
      <c r="J3259">
        <v>-187.9522</v>
      </c>
      <c r="K3259">
        <v>1.116412</v>
      </c>
      <c r="L3259">
        <v>-55.437620000000003</v>
      </c>
      <c r="M3259">
        <v>0.88061080000000003</v>
      </c>
      <c r="N3259">
        <v>0</v>
      </c>
      <c r="O3259">
        <v>0.47354600000000002</v>
      </c>
      <c r="P3259">
        <v>0.80368759999999995</v>
      </c>
      <c r="Q3259">
        <v>0.16777129999999901</v>
      </c>
      <c r="R3259">
        <v>0.57091080000000005</v>
      </c>
      <c r="S3259">
        <v>2.1640169999999999</v>
      </c>
      <c r="T3259">
        <v>-0.25890760000000002</v>
      </c>
      <c r="U3259">
        <v>2.2967529999999998</v>
      </c>
      <c r="V3259">
        <v>-0.12723389999999901</v>
      </c>
      <c r="W3259">
        <v>0.18063109999999999</v>
      </c>
      <c r="X3259">
        <v>0.9752866</v>
      </c>
      <c r="Y3259">
        <v>-0.31660969999999999</v>
      </c>
      <c r="Z3259">
        <v>-2.706068E-2</v>
      </c>
      <c r="AA3259">
        <v>0.94816979999999995</v>
      </c>
      <c r="AB3259">
        <v>22</v>
      </c>
      <c r="AC3259">
        <v>8.5705000000000098</v>
      </c>
      <c r="AD3259">
        <v>-1.03642543</v>
      </c>
      <c r="AE3259">
        <v>9.1343699999999899</v>
      </c>
      <c r="AF3259">
        <v>-3.95875024094638</v>
      </c>
      <c r="AG3259">
        <v>-1.03642543</v>
      </c>
      <c r="AH3259">
        <v>11.793726751690301</v>
      </c>
      <c r="AI3259">
        <v>94.762383669132007</v>
      </c>
      <c r="AJ3259">
        <v>108.555138875635</v>
      </c>
      <c r="AK3259">
        <v>12.4835039886916</v>
      </c>
      <c r="AL3259">
        <v>79.593478317421997</v>
      </c>
      <c r="AM3259">
        <v>97.432713704418006</v>
      </c>
      <c r="AN3259">
        <v>1.0000000058679801</v>
      </c>
    </row>
    <row r="3260" spans="1:40" x14ac:dyDescent="0.3">
      <c r="A3260" t="str">
        <f>"20200111150415940"</f>
        <v>20200111150415940</v>
      </c>
      <c r="B3260" t="str">
        <f>"1578726255931443"</f>
        <v>1578726255931443</v>
      </c>
      <c r="C3260" t="s">
        <v>40</v>
      </c>
      <c r="D3260">
        <v>5.1508849999999997</v>
      </c>
      <c r="E3260">
        <v>0.42099370000000003</v>
      </c>
      <c r="F3260" t="s">
        <v>72</v>
      </c>
      <c r="G3260">
        <v>-179.44380000000001</v>
      </c>
      <c r="H3260">
        <v>7.9986559999999998E-2</v>
      </c>
      <c r="I3260">
        <v>-46.253520000000002</v>
      </c>
      <c r="J3260">
        <v>-187.86179999999999</v>
      </c>
      <c r="K3260">
        <v>1.1164080000000001</v>
      </c>
      <c r="L3260">
        <v>-55.376829999999998</v>
      </c>
      <c r="M3260">
        <v>0.87607409999999997</v>
      </c>
      <c r="N3260">
        <v>0</v>
      </c>
      <c r="O3260">
        <v>0.4818867</v>
      </c>
      <c r="P3260">
        <v>0.79777589999999998</v>
      </c>
      <c r="Q3260">
        <v>0.16727639999999999</v>
      </c>
      <c r="R3260">
        <v>0.57928590000000002</v>
      </c>
      <c r="S3260">
        <v>2.1436160000000002</v>
      </c>
      <c r="T3260">
        <v>-0.26112039999999997</v>
      </c>
      <c r="U3260">
        <v>2.3138730000000001</v>
      </c>
      <c r="V3260">
        <v>-0.12811320000000001</v>
      </c>
      <c r="W3260">
        <v>0.18012829999999999</v>
      </c>
      <c r="X3260">
        <v>0.97526449999999998</v>
      </c>
      <c r="Y3260">
        <v>-0.31562600000000002</v>
      </c>
      <c r="Z3260">
        <v>-2.8091290000000001E-2</v>
      </c>
      <c r="AA3260">
        <v>0.94846779999999997</v>
      </c>
      <c r="AB3260">
        <v>22</v>
      </c>
      <c r="AC3260">
        <v>8.4179999999999708</v>
      </c>
      <c r="AD3260">
        <v>-1.03642144</v>
      </c>
      <c r="AE3260">
        <v>9.12331</v>
      </c>
      <c r="AF3260">
        <v>-3.9094715142151202</v>
      </c>
      <c r="AG3260">
        <v>-1.03642144</v>
      </c>
      <c r="AH3260">
        <v>11.6913412077283</v>
      </c>
      <c r="AI3260">
        <v>94.805714202066397</v>
      </c>
      <c r="AJ3260">
        <v>108.48943713843499</v>
      </c>
      <c r="AK3260">
        <v>12.3711598549722</v>
      </c>
      <c r="AL3260">
        <v>79.622767212966295</v>
      </c>
      <c r="AM3260">
        <v>97.483667820370599</v>
      </c>
      <c r="AN3260">
        <v>1.00000002071768</v>
      </c>
    </row>
    <row r="3261" spans="1:40" x14ac:dyDescent="0.3">
      <c r="A3261" t="str">
        <f>"20200111150415950"</f>
        <v>20200111150415950</v>
      </c>
      <c r="B3261" t="str">
        <f>"1578726255942180"</f>
        <v>1578726255942180</v>
      </c>
      <c r="C3261" t="s">
        <v>40</v>
      </c>
      <c r="D3261">
        <v>5.2148659999999998</v>
      </c>
      <c r="E3261">
        <v>0.42160429999999999</v>
      </c>
      <c r="F3261" t="s">
        <v>72</v>
      </c>
      <c r="G3261">
        <v>-179.81299999999999</v>
      </c>
      <c r="H3261">
        <v>7.9986559999999998E-2</v>
      </c>
      <c r="I3261">
        <v>-46.552050000000001</v>
      </c>
      <c r="J3261">
        <v>-187.7764</v>
      </c>
      <c r="K3261">
        <v>1.116403</v>
      </c>
      <c r="L3261">
        <v>-55.319090000000003</v>
      </c>
      <c r="M3261">
        <v>0.87170530000000002</v>
      </c>
      <c r="N3261">
        <v>0</v>
      </c>
      <c r="O3261">
        <v>0.48974459999999997</v>
      </c>
      <c r="P3261">
        <v>0.79228189999999998</v>
      </c>
      <c r="Q3261">
        <v>0.16689209999999999</v>
      </c>
      <c r="R3261">
        <v>0.58688699999999905</v>
      </c>
      <c r="S3261">
        <v>2.1255950000000001</v>
      </c>
      <c r="T3261">
        <v>-0.27370850000000002</v>
      </c>
      <c r="U3261">
        <v>2.3305359999999999</v>
      </c>
      <c r="V3261">
        <v>-0.12862029999999999</v>
      </c>
      <c r="W3261">
        <v>0.17974509999999999</v>
      </c>
      <c r="X3261">
        <v>0.97526840000000004</v>
      </c>
      <c r="Y3261">
        <v>-0.31453819999999999</v>
      </c>
      <c r="Z3261">
        <v>-3.0224170000000002E-2</v>
      </c>
      <c r="AA3261">
        <v>0.94876349999999998</v>
      </c>
      <c r="AB3261">
        <v>22</v>
      </c>
      <c r="AC3261">
        <v>7.9634</v>
      </c>
      <c r="AD3261">
        <v>-1.03641644</v>
      </c>
      <c r="AE3261">
        <v>8.7670399999999997</v>
      </c>
      <c r="AF3261">
        <v>-3.7143251116405902</v>
      </c>
      <c r="AG3261">
        <v>-1.03641644</v>
      </c>
      <c r="AH3261">
        <v>11.1515302605403</v>
      </c>
      <c r="AI3261">
        <v>95.039126096864507</v>
      </c>
      <c r="AJ3261">
        <v>108.421761429328</v>
      </c>
      <c r="AK3261">
        <v>11.7994490220439</v>
      </c>
      <c r="AL3261">
        <v>79.645086699560693</v>
      </c>
      <c r="AM3261">
        <v>97.5129223846061</v>
      </c>
      <c r="AN3261">
        <v>0.99999996729232898</v>
      </c>
    </row>
    <row r="3262" spans="1:40" x14ac:dyDescent="0.3">
      <c r="A3262" t="str">
        <f>"20200111150415960"</f>
        <v>20200111150415960</v>
      </c>
      <c r="B3262" t="str">
        <f>"1578726255951940"</f>
        <v>1578726255951940</v>
      </c>
      <c r="C3262" t="s">
        <v>40</v>
      </c>
      <c r="D3262">
        <v>5.2781440000000002</v>
      </c>
      <c r="E3262">
        <v>0.42160429999999999</v>
      </c>
      <c r="F3262" t="s">
        <v>72</v>
      </c>
      <c r="G3262">
        <v>-179.93549999999999</v>
      </c>
      <c r="H3262">
        <v>7.2242180000000003E-2</v>
      </c>
      <c r="I3262">
        <v>-46.584919999999997</v>
      </c>
      <c r="J3262">
        <v>-187.69239999999999</v>
      </c>
      <c r="K3262">
        <v>1.1163989999999999</v>
      </c>
      <c r="L3262">
        <v>-55.260530000000003</v>
      </c>
      <c r="M3262">
        <v>0.8672801</v>
      </c>
      <c r="N3262">
        <v>0</v>
      </c>
      <c r="O3262">
        <v>0.4975387</v>
      </c>
      <c r="P3262">
        <v>0.78687859999999998</v>
      </c>
      <c r="Q3262">
        <v>0.16668769999999999</v>
      </c>
      <c r="R3262">
        <v>0.59416939999999996</v>
      </c>
      <c r="S3262">
        <v>2.1070250000000001</v>
      </c>
      <c r="T3262">
        <v>-0.28059040000000002</v>
      </c>
      <c r="U3262">
        <v>2.3470759999999999</v>
      </c>
      <c r="V3262">
        <v>-0.12884499999999999</v>
      </c>
      <c r="W3262">
        <v>0.1795485</v>
      </c>
      <c r="X3262">
        <v>0.975275</v>
      </c>
      <c r="Y3262">
        <v>-0.31355850000000002</v>
      </c>
      <c r="Z3262">
        <v>-3.1777619999999999E-2</v>
      </c>
      <c r="AA3262">
        <v>0.94903700000000002</v>
      </c>
      <c r="AB3262">
        <v>22</v>
      </c>
      <c r="AC3262">
        <v>7.7568999999999999</v>
      </c>
      <c r="AD3262">
        <v>-1.04415682</v>
      </c>
      <c r="AE3262">
        <v>8.6756099999999901</v>
      </c>
      <c r="AF3262">
        <v>-3.6360694903807702</v>
      </c>
      <c r="AG3262">
        <v>-1.04415682</v>
      </c>
      <c r="AH3262">
        <v>10.957199844312701</v>
      </c>
      <c r="AI3262">
        <v>95.168015906893103</v>
      </c>
      <c r="AJ3262">
        <v>108.358060944146</v>
      </c>
      <c r="AK3262">
        <v>11.5918718605683</v>
      </c>
      <c r="AL3262">
        <v>79.656537803562102</v>
      </c>
      <c r="AM3262">
        <v>97.525846814956296</v>
      </c>
      <c r="AN3262">
        <v>1.0000000117511201</v>
      </c>
    </row>
    <row r="3263" spans="1:40" x14ac:dyDescent="0.3">
      <c r="A3263" t="str">
        <f>"20200111150415973"</f>
        <v>20200111150415973</v>
      </c>
      <c r="B3263" t="str">
        <f>"1578726255961701"</f>
        <v>1578726255961701</v>
      </c>
      <c r="C3263" t="s">
        <v>40</v>
      </c>
      <c r="D3263">
        <v>5.2473830000000001</v>
      </c>
      <c r="E3263">
        <v>0.42247020000000002</v>
      </c>
      <c r="F3263" t="s">
        <v>72</v>
      </c>
      <c r="G3263">
        <v>-179.9366</v>
      </c>
      <c r="H3263">
        <v>7.1133210000000002E-2</v>
      </c>
      <c r="I3263">
        <v>-46.459130000000002</v>
      </c>
      <c r="J3263">
        <v>-187.6003</v>
      </c>
      <c r="K3263">
        <v>1.116393</v>
      </c>
      <c r="L3263">
        <v>-55.195369999999997</v>
      </c>
      <c r="M3263">
        <v>0.86231759999999902</v>
      </c>
      <c r="N3263">
        <v>0</v>
      </c>
      <c r="O3263">
        <v>0.5060905</v>
      </c>
      <c r="P3263">
        <v>0.78108759999999999</v>
      </c>
      <c r="Q3263">
        <v>0.16661329999999999</v>
      </c>
      <c r="R3263">
        <v>0.6017825</v>
      </c>
      <c r="S3263">
        <v>2.0852360000000001</v>
      </c>
      <c r="T3263">
        <v>-0.28103240000000002</v>
      </c>
      <c r="U3263">
        <v>2.3663639999999999</v>
      </c>
      <c r="V3263">
        <v>-0.12865879999999999</v>
      </c>
      <c r="W3263">
        <v>0.17949599999999999</v>
      </c>
      <c r="X3263">
        <v>0.97530930000000005</v>
      </c>
      <c r="Y3263">
        <v>-0.31295279999999998</v>
      </c>
      <c r="Z3263">
        <v>-3.2683700000000003E-2</v>
      </c>
      <c r="AA3263">
        <v>0.9492062</v>
      </c>
      <c r="AB3263">
        <v>22</v>
      </c>
      <c r="AC3263">
        <v>7.6637000000000004</v>
      </c>
      <c r="AD3263">
        <v>-1.04525979</v>
      </c>
      <c r="AE3263">
        <v>8.7362399999999898</v>
      </c>
      <c r="AF3263">
        <v>-3.6260665982703402</v>
      </c>
      <c r="AG3263">
        <v>-1.04525979</v>
      </c>
      <c r="AH3263">
        <v>10.9428938118185</v>
      </c>
      <c r="AI3263">
        <v>95.180911330564697</v>
      </c>
      <c r="AJ3263">
        <v>108.33326960572801</v>
      </c>
      <c r="AK3263">
        <v>11.5753121763699</v>
      </c>
      <c r="AL3263">
        <v>79.659596072188904</v>
      </c>
      <c r="AM3263">
        <v>97.514833983433306</v>
      </c>
      <c r="AN3263">
        <v>1.0000000657499599</v>
      </c>
    </row>
    <row r="3264" spans="1:40" x14ac:dyDescent="0.3">
      <c r="A3264" t="str">
        <f>"20200111150415984"</f>
        <v>20200111150415984</v>
      </c>
      <c r="B3264" t="str">
        <f>"1578726255981466"</f>
        <v>1578726255981466</v>
      </c>
      <c r="C3264" t="s">
        <v>40</v>
      </c>
      <c r="D3264">
        <v>5.1838480000000002</v>
      </c>
      <c r="E3264">
        <v>0.42326079999999999</v>
      </c>
      <c r="F3264" t="s">
        <v>72</v>
      </c>
      <c r="G3264">
        <v>-179.94970000000001</v>
      </c>
      <c r="H3264">
        <v>5.8100720000000002E-2</v>
      </c>
      <c r="I3264">
        <v>-46.379330000000003</v>
      </c>
      <c r="J3264">
        <v>-187.50970000000001</v>
      </c>
      <c r="K3264">
        <v>1.1163829999999999</v>
      </c>
      <c r="L3264">
        <v>-55.129820000000002</v>
      </c>
      <c r="M3264">
        <v>0.85730629999999997</v>
      </c>
      <c r="N3264">
        <v>0</v>
      </c>
      <c r="O3264">
        <v>0.51453320000000002</v>
      </c>
      <c r="P3264">
        <v>0.77542409999999995</v>
      </c>
      <c r="Q3264">
        <v>0.1666291</v>
      </c>
      <c r="R3264">
        <v>0.6090584</v>
      </c>
      <c r="S3264">
        <v>2.0668329999999999</v>
      </c>
      <c r="T3264">
        <v>-0.28590090000000001</v>
      </c>
      <c r="U3264">
        <v>2.3816830000000002</v>
      </c>
      <c r="V3264">
        <v>-0.1281978</v>
      </c>
      <c r="W3264">
        <v>0.17954059999999999</v>
      </c>
      <c r="X3264">
        <v>0.9753617</v>
      </c>
      <c r="Y3264">
        <v>-0.31088070000000001</v>
      </c>
      <c r="Z3264">
        <v>-3.4175379999999998E-2</v>
      </c>
      <c r="AA3264">
        <v>0.94983430000000002</v>
      </c>
      <c r="AB3264">
        <v>22</v>
      </c>
      <c r="AC3264">
        <v>7.56</v>
      </c>
      <c r="AD3264">
        <v>-1.05828227999999</v>
      </c>
      <c r="AE3264">
        <v>8.7504899999999992</v>
      </c>
      <c r="AF3264">
        <v>-3.5824839313294898</v>
      </c>
      <c r="AG3264">
        <v>-1.05828227999999</v>
      </c>
      <c r="AH3264">
        <v>10.8939611640699</v>
      </c>
      <c r="AI3264">
        <v>95.272446899522194</v>
      </c>
      <c r="AJ3264">
        <v>108.203473038537</v>
      </c>
      <c r="AK3264">
        <v>11.516620265801</v>
      </c>
      <c r="AL3264">
        <v>79.6569975265582</v>
      </c>
      <c r="AM3264">
        <v>97.487815811454695</v>
      </c>
      <c r="AN3264">
        <v>0.99999997440004396</v>
      </c>
    </row>
    <row r="3265" spans="1:40" x14ac:dyDescent="0.3">
      <c r="A3265" t="str">
        <f>"20200111150415995"</f>
        <v>20200111150415995</v>
      </c>
      <c r="B3265" t="str">
        <f>"1578726255992201"</f>
        <v>1578726255992201</v>
      </c>
      <c r="C3265" t="s">
        <v>40</v>
      </c>
      <c r="D3265">
        <v>5.2975260000000004</v>
      </c>
      <c r="E3265">
        <v>0.42383910000000002</v>
      </c>
      <c r="F3265" t="s">
        <v>72</v>
      </c>
      <c r="G3265">
        <v>-179.75739999999999</v>
      </c>
      <c r="H3265">
        <v>7.9986570000000007E-2</v>
      </c>
      <c r="I3265">
        <v>-46.058309999999999</v>
      </c>
      <c r="J3265">
        <v>-187.4308</v>
      </c>
      <c r="K3265">
        <v>1.1163719999999999</v>
      </c>
      <c r="L3265">
        <v>-55.071469999999998</v>
      </c>
      <c r="M3265">
        <v>0.85283369999999903</v>
      </c>
      <c r="N3265">
        <v>0</v>
      </c>
      <c r="O3265">
        <v>0.52191290000000001</v>
      </c>
      <c r="P3265">
        <v>0.77063359999999903</v>
      </c>
      <c r="Q3265">
        <v>0.1665711</v>
      </c>
      <c r="R3265">
        <v>0.61512449999999996</v>
      </c>
      <c r="S3265">
        <v>2.0466160000000002</v>
      </c>
      <c r="T3265">
        <v>-0.2736111</v>
      </c>
      <c r="U3265">
        <v>2.3948969999999998</v>
      </c>
      <c r="V3265">
        <v>-0.12742020000000001</v>
      </c>
      <c r="W3265">
        <v>0.17951800000000001</v>
      </c>
      <c r="X3265">
        <v>0.97546770000000005</v>
      </c>
      <c r="Y3265">
        <v>-0.3098689</v>
      </c>
      <c r="Z3265">
        <v>-3.3487419999999997E-2</v>
      </c>
      <c r="AA3265">
        <v>0.95018939999999996</v>
      </c>
      <c r="AB3265">
        <v>22</v>
      </c>
      <c r="AC3265">
        <v>7.6734000000000098</v>
      </c>
      <c r="AD3265">
        <v>-1.0363854299999999</v>
      </c>
      <c r="AE3265">
        <v>9.0131599999999992</v>
      </c>
      <c r="AF3265">
        <v>-3.6543854766425201</v>
      </c>
      <c r="AG3265">
        <v>-1.0363854299999999</v>
      </c>
      <c r="AH3265">
        <v>11.1642218184695</v>
      </c>
      <c r="AI3265">
        <v>95.041853444322896</v>
      </c>
      <c r="AJ3265">
        <v>108.124827685997</v>
      </c>
      <c r="AK3265">
        <v>11.7927298274574</v>
      </c>
      <c r="AL3265">
        <v>79.658313298607098</v>
      </c>
      <c r="AM3265">
        <v>97.442108548442903</v>
      </c>
      <c r="AN3265">
        <v>0.99999992671766202</v>
      </c>
    </row>
    <row r="3266" spans="1:40" x14ac:dyDescent="0.3">
      <c r="A3266" t="str">
        <f>"20200111150416006"</f>
        <v>20200111150416006</v>
      </c>
      <c r="B3266" t="str">
        <f>"1578726256001961"</f>
        <v>1578726256001961</v>
      </c>
      <c r="C3266" t="s">
        <v>40</v>
      </c>
      <c r="D3266">
        <v>5.5692940000000002</v>
      </c>
      <c r="E3266">
        <v>0.42404579999999997</v>
      </c>
      <c r="F3266" t="s">
        <v>72</v>
      </c>
      <c r="G3266">
        <v>-179.62469999999999</v>
      </c>
      <c r="H3266">
        <v>7.9986570000000007E-2</v>
      </c>
      <c r="I3266">
        <v>-45.812289999999997</v>
      </c>
      <c r="J3266">
        <v>-187.34010000000001</v>
      </c>
      <c r="K3266">
        <v>1.116357</v>
      </c>
      <c r="L3266">
        <v>-55.003450000000001</v>
      </c>
      <c r="M3266">
        <v>0.84758140000000004</v>
      </c>
      <c r="N3266">
        <v>0</v>
      </c>
      <c r="O3266">
        <v>0.53039959999999997</v>
      </c>
      <c r="P3266">
        <v>0.76481829999999995</v>
      </c>
      <c r="Q3266">
        <v>0.16672609999999999</v>
      </c>
      <c r="R3266">
        <v>0.62229840000000003</v>
      </c>
      <c r="S3266">
        <v>2.0295719999999999</v>
      </c>
      <c r="T3266">
        <v>-0.26945980000000003</v>
      </c>
      <c r="U3266">
        <v>2.4073790000000002</v>
      </c>
      <c r="V3266">
        <v>-0.12681489999999901</v>
      </c>
      <c r="W3266">
        <v>0.179703799999999</v>
      </c>
      <c r="X3266">
        <v>0.97551239999999995</v>
      </c>
      <c r="Y3266">
        <v>-0.30674820000000003</v>
      </c>
      <c r="Z3266">
        <v>-3.3914430000000002E-2</v>
      </c>
      <c r="AA3266">
        <v>0.95118630000000004</v>
      </c>
      <c r="AB3266">
        <v>22</v>
      </c>
      <c r="AC3266">
        <v>7.7154000000000096</v>
      </c>
      <c r="AD3266">
        <v>-1.0363704300000001</v>
      </c>
      <c r="AE3266">
        <v>9.1911599999999893</v>
      </c>
      <c r="AF3266">
        <v>-3.6711514029833601</v>
      </c>
      <c r="AG3266">
        <v>-1.0363704300000001</v>
      </c>
      <c r="AH3266">
        <v>11.331510726731301</v>
      </c>
      <c r="AI3266">
        <v>94.972605299418007</v>
      </c>
      <c r="AJ3266">
        <v>107.95114337280999</v>
      </c>
      <c r="AK3266">
        <v>11.9563603007701</v>
      </c>
      <c r="AL3266">
        <v>79.647492092612396</v>
      </c>
      <c r="AM3266">
        <v>97.406813246903496</v>
      </c>
      <c r="AN3266">
        <v>0.99999995857510404</v>
      </c>
    </row>
    <row r="3267" spans="1:40" x14ac:dyDescent="0.3">
      <c r="A3267" t="str">
        <f>"20200111150416018"</f>
        <v>20200111150416018</v>
      </c>
      <c r="B3267" t="str">
        <f>"1578726256011721"</f>
        <v>1578726256011721</v>
      </c>
      <c r="C3267" t="s">
        <v>40</v>
      </c>
      <c r="D3267">
        <v>5.3159109999999998</v>
      </c>
      <c r="E3267">
        <v>0.42414750000000001</v>
      </c>
      <c r="F3267" t="s">
        <v>72</v>
      </c>
      <c r="G3267">
        <v>-179.4579</v>
      </c>
      <c r="H3267">
        <v>7.9986570000000007E-2</v>
      </c>
      <c r="I3267">
        <v>-45.479039999999998</v>
      </c>
      <c r="J3267">
        <v>-187.25139999999999</v>
      </c>
      <c r="K3267">
        <v>1.1163459999999901</v>
      </c>
      <c r="L3267">
        <v>-54.935000000000002</v>
      </c>
      <c r="M3267">
        <v>0.84229949999999998</v>
      </c>
      <c r="N3267">
        <v>0</v>
      </c>
      <c r="O3267">
        <v>0.53874789999999995</v>
      </c>
      <c r="P3267">
        <v>0.75890579999999996</v>
      </c>
      <c r="Q3267">
        <v>0.1668857</v>
      </c>
      <c r="R3267">
        <v>0.62945309999999999</v>
      </c>
      <c r="S3267">
        <v>2.0068969999999999</v>
      </c>
      <c r="T3267">
        <v>-0.26387139999999998</v>
      </c>
      <c r="U3267">
        <v>2.4250180000000001</v>
      </c>
      <c r="V3267">
        <v>-0.1263542</v>
      </c>
      <c r="W3267">
        <v>0.17988959999999901</v>
      </c>
      <c r="X3267">
        <v>0.97553800000000002</v>
      </c>
      <c r="Y3267">
        <v>-0.30601869999999998</v>
      </c>
      <c r="Z3267">
        <v>-3.4019609999999999E-2</v>
      </c>
      <c r="AA3267">
        <v>0.95141750000000003</v>
      </c>
      <c r="AB3267">
        <v>22</v>
      </c>
      <c r="AC3267">
        <v>7.7934999999999901</v>
      </c>
      <c r="AD3267">
        <v>-1.0363594300000001</v>
      </c>
      <c r="AE3267">
        <v>9.4559599999999904</v>
      </c>
      <c r="AF3267">
        <v>-3.7397996656618702</v>
      </c>
      <c r="AG3267">
        <v>-1.0363594300000001</v>
      </c>
      <c r="AH3267">
        <v>11.5776711075422</v>
      </c>
      <c r="AI3267">
        <v>94.868701981918704</v>
      </c>
      <c r="AJ3267">
        <v>107.901406175291</v>
      </c>
      <c r="AK3267">
        <v>12.210757989652</v>
      </c>
      <c r="AL3267">
        <v>79.636670831554099</v>
      </c>
      <c r="AM3267">
        <v>97.380011018019303</v>
      </c>
      <c r="AN3267">
        <v>1.00000002074489</v>
      </c>
    </row>
    <row r="3268" spans="1:40" x14ac:dyDescent="0.3">
      <c r="A3268" t="str">
        <f>"20200111150416029"</f>
        <v>20200111150416029</v>
      </c>
      <c r="B3268" t="str">
        <f>"1578726256021481"</f>
        <v>1578726256021481</v>
      </c>
      <c r="C3268" t="s">
        <v>40</v>
      </c>
      <c r="D3268">
        <v>5.3166479999999998</v>
      </c>
      <c r="E3268">
        <v>0.42414750000000001</v>
      </c>
      <c r="F3268" t="s">
        <v>72</v>
      </c>
      <c r="G3268">
        <v>-179.28200000000001</v>
      </c>
      <c r="H3268">
        <v>7.998661E-2</v>
      </c>
      <c r="I3268">
        <v>-45.121670000000002</v>
      </c>
      <c r="J3268">
        <v>-187.16919999999999</v>
      </c>
      <c r="K3268">
        <v>1.116333</v>
      </c>
      <c r="L3268">
        <v>-54.870910000000002</v>
      </c>
      <c r="M3268">
        <v>0.83730469999999901</v>
      </c>
      <c r="N3268">
        <v>0</v>
      </c>
      <c r="O3268">
        <v>0.54647809999999997</v>
      </c>
      <c r="P3268">
        <v>0.75313299999999905</v>
      </c>
      <c r="Q3268">
        <v>0.1670343</v>
      </c>
      <c r="R3268">
        <v>0.63630989999999998</v>
      </c>
      <c r="S3268">
        <v>1.9837340000000001</v>
      </c>
      <c r="T3268">
        <v>-0.25796930000000001</v>
      </c>
      <c r="U3268">
        <v>2.4427189999999999</v>
      </c>
      <c r="V3268">
        <v>-0.1262392</v>
      </c>
      <c r="W3268">
        <v>0.1800523</v>
      </c>
      <c r="X3268">
        <v>0.97552289999999997</v>
      </c>
      <c r="Y3268">
        <v>-0.30605719999999997</v>
      </c>
      <c r="Z3268">
        <v>-3.396706E-2</v>
      </c>
      <c r="AA3268">
        <v>0.951407</v>
      </c>
      <c r="AB3268">
        <v>22</v>
      </c>
      <c r="AC3268">
        <v>7.8871999999999698</v>
      </c>
      <c r="AD3268">
        <v>-1.0363463900000001</v>
      </c>
      <c r="AE3268">
        <v>9.7492399999999897</v>
      </c>
      <c r="AF3268">
        <v>-3.8273073020252002</v>
      </c>
      <c r="AG3268">
        <v>-1.0363463900000001</v>
      </c>
      <c r="AH3268">
        <v>11.852472423249401</v>
      </c>
      <c r="AI3268">
        <v>94.756431815849197</v>
      </c>
      <c r="AJ3268">
        <v>107.89589835241</v>
      </c>
      <c r="AK3268">
        <v>12.498135763708399</v>
      </c>
      <c r="AL3268">
        <v>79.627194350591395</v>
      </c>
      <c r="AM3268">
        <v>97.373480997240804</v>
      </c>
      <c r="AN3268">
        <v>1.0000000473881601</v>
      </c>
    </row>
    <row r="3269" spans="1:40" x14ac:dyDescent="0.3">
      <c r="A3269" t="str">
        <f>"20200111150416041"</f>
        <v>20200111150416041</v>
      </c>
      <c r="B3269" t="str">
        <f>"1578726256032219"</f>
        <v>1578726256032219</v>
      </c>
      <c r="C3269" t="s">
        <v>40</v>
      </c>
      <c r="D3269">
        <v>5.3212679999999999</v>
      </c>
      <c r="E3269">
        <v>0.43408730000000001</v>
      </c>
      <c r="F3269" t="s">
        <v>72</v>
      </c>
      <c r="G3269">
        <v>-179.28649999999999</v>
      </c>
      <c r="H3269">
        <v>7.9986639999999998E-2</v>
      </c>
      <c r="I3269">
        <v>-44.986080000000001</v>
      </c>
      <c r="J3269">
        <v>-187.08090000000001</v>
      </c>
      <c r="K3269">
        <v>1.1163190000000001</v>
      </c>
      <c r="L3269">
        <v>-54.799799999999998</v>
      </c>
      <c r="M3269">
        <v>0.83178259999999904</v>
      </c>
      <c r="N3269">
        <v>0</v>
      </c>
      <c r="O3269">
        <v>0.55484659999999997</v>
      </c>
      <c r="P3269">
        <v>0.74653579999999997</v>
      </c>
      <c r="Q3269">
        <v>0.16702069999999999</v>
      </c>
      <c r="R3269">
        <v>0.64404079999999997</v>
      </c>
      <c r="S3269">
        <v>1.961929</v>
      </c>
      <c r="T3269">
        <v>-0.25793959999999999</v>
      </c>
      <c r="U3269">
        <v>2.4602659999999998</v>
      </c>
      <c r="V3269">
        <v>-0.1265078</v>
      </c>
      <c r="W3269">
        <v>0.18004200000000001</v>
      </c>
      <c r="X3269">
        <v>0.97548999999999997</v>
      </c>
      <c r="Y3269">
        <v>-0.3049946</v>
      </c>
      <c r="Z3269">
        <v>-3.4756799999999997E-2</v>
      </c>
      <c r="AA3269">
        <v>0.9517196</v>
      </c>
      <c r="AB3269">
        <v>22</v>
      </c>
      <c r="AC3269">
        <v>7.79440000000002</v>
      </c>
      <c r="AD3269">
        <v>-1.0363323600000001</v>
      </c>
      <c r="AE3269">
        <v>9.8137199999999893</v>
      </c>
      <c r="AF3269">
        <v>-3.81265747023805</v>
      </c>
      <c r="AG3269">
        <v>-1.0363323600000001</v>
      </c>
      <c r="AH3269">
        <v>11.849020110323099</v>
      </c>
      <c r="AI3269">
        <v>94.759327089119907</v>
      </c>
      <c r="AJ3269">
        <v>107.836610126914</v>
      </c>
      <c r="AK3269">
        <v>12.490381071872299</v>
      </c>
      <c r="AL3269">
        <v>79.627794251941594</v>
      </c>
      <c r="AM3269">
        <v>97.389242865407596</v>
      </c>
      <c r="AN3269">
        <v>1.00000004266241</v>
      </c>
    </row>
    <row r="3270" spans="1:40" x14ac:dyDescent="0.3">
      <c r="A3270" t="str">
        <f>"20200111150416051"</f>
        <v>20200111150416051</v>
      </c>
      <c r="B3270" t="str">
        <f>"1578726256041977"</f>
        <v>1578726256041977</v>
      </c>
      <c r="C3270" t="s">
        <v>40</v>
      </c>
      <c r="D3270">
        <v>5.3149579999999998</v>
      </c>
      <c r="E3270">
        <v>0.43488680000000002</v>
      </c>
      <c r="F3270" t="s">
        <v>72</v>
      </c>
      <c r="G3270">
        <v>-179.95779999999999</v>
      </c>
      <c r="H3270">
        <v>7.2947269999999896E-3</v>
      </c>
      <c r="I3270">
        <v>-46.138779999999997</v>
      </c>
      <c r="J3270">
        <v>-187.00640000000001</v>
      </c>
      <c r="K3270">
        <v>1.1163069999999999</v>
      </c>
      <c r="L3270">
        <v>-54.739289999999997</v>
      </c>
      <c r="M3270">
        <v>0.82704059999999902</v>
      </c>
      <c r="N3270">
        <v>0</v>
      </c>
      <c r="O3270">
        <v>0.56189040000000001</v>
      </c>
      <c r="P3270">
        <v>0.74090249999999902</v>
      </c>
      <c r="Q3270">
        <v>0.16725799999999999</v>
      </c>
      <c r="R3270">
        <v>0.65045240000000004</v>
      </c>
      <c r="S3270">
        <v>1.995163</v>
      </c>
      <c r="T3270">
        <v>-0.31063489999999999</v>
      </c>
      <c r="U3270">
        <v>2.4259339999999998</v>
      </c>
      <c r="V3270">
        <v>-0.1266649</v>
      </c>
      <c r="W3270">
        <v>0.18028259999999999</v>
      </c>
      <c r="X3270">
        <v>0.97542510000000004</v>
      </c>
      <c r="Y3270">
        <v>-0.28282279999999999</v>
      </c>
      <c r="Z3270">
        <v>-4.3625249999999997E-2</v>
      </c>
      <c r="AA3270">
        <v>0.95817960000000002</v>
      </c>
      <c r="AB3270">
        <v>22</v>
      </c>
      <c r="AC3270">
        <v>7.04860000000002</v>
      </c>
      <c r="AD3270">
        <v>-1.109012273</v>
      </c>
      <c r="AE3270">
        <v>8.6005099999999999</v>
      </c>
      <c r="AF3270">
        <v>-3.12182503853772</v>
      </c>
      <c r="AG3270">
        <v>-1.109012273</v>
      </c>
      <c r="AH3270">
        <v>10.558510574787199</v>
      </c>
      <c r="AI3270">
        <v>95.7516883270699</v>
      </c>
      <c r="AJ3270">
        <v>106.47131887362001</v>
      </c>
      <c r="AK3270">
        <v>11.0660672937949</v>
      </c>
      <c r="AL3270">
        <v>79.613778793059694</v>
      </c>
      <c r="AM3270">
        <v>97.398804178032705</v>
      </c>
      <c r="AN3270">
        <v>0.99999996923238899</v>
      </c>
    </row>
    <row r="3271" spans="1:40" x14ac:dyDescent="0.3">
      <c r="A3271" t="str">
        <f>"20200111150416061"</f>
        <v>20200111150416061</v>
      </c>
      <c r="B3271" t="str">
        <f>"1578726256051737"</f>
        <v>1578726256051737</v>
      </c>
      <c r="C3271" t="s">
        <v>40</v>
      </c>
      <c r="D3271">
        <v>5.2869320000000002</v>
      </c>
      <c r="E3271">
        <v>0.43604910000000002</v>
      </c>
      <c r="F3271" t="s">
        <v>72</v>
      </c>
      <c r="G3271">
        <v>-179.95779999999999</v>
      </c>
      <c r="H3271">
        <v>2.9807719999999999E-2</v>
      </c>
      <c r="I3271">
        <v>-46.051859999999998</v>
      </c>
      <c r="J3271">
        <v>-186.92750000000001</v>
      </c>
      <c r="K3271">
        <v>1.1162920000000001</v>
      </c>
      <c r="L3271">
        <v>-54.673549999999999</v>
      </c>
      <c r="M3271">
        <v>0.82189269999999903</v>
      </c>
      <c r="N3271">
        <v>0</v>
      </c>
      <c r="O3271">
        <v>0.5693937</v>
      </c>
      <c r="P3271">
        <v>0.73507089999999997</v>
      </c>
      <c r="Q3271">
        <v>0.16722419999999999</v>
      </c>
      <c r="R3271">
        <v>0.65704410000000002</v>
      </c>
      <c r="S3271">
        <v>1.9778439999999999</v>
      </c>
      <c r="T3271">
        <v>-0.3048708</v>
      </c>
      <c r="U3271">
        <v>2.4376829999999998</v>
      </c>
      <c r="V3271">
        <v>-0.12648909999999999</v>
      </c>
      <c r="W3271">
        <v>0.18026339999999999</v>
      </c>
      <c r="X3271">
        <v>0.97545150000000003</v>
      </c>
      <c r="Y3271">
        <v>-0.28045249999999999</v>
      </c>
      <c r="Z3271">
        <v>-4.3743890000000001E-2</v>
      </c>
      <c r="AA3271">
        <v>0.95887060000000002</v>
      </c>
      <c r="AB3271">
        <v>22</v>
      </c>
      <c r="AC3271">
        <v>6.9697000000000102</v>
      </c>
      <c r="AD3271">
        <v>-1.0864842800000001</v>
      </c>
      <c r="AE3271">
        <v>8.6216899999999992</v>
      </c>
      <c r="AF3271">
        <v>-3.0883810902588298</v>
      </c>
      <c r="AG3271">
        <v>-1.0864842800000001</v>
      </c>
      <c r="AH3271">
        <v>10.5377817318174</v>
      </c>
      <c r="AI3271">
        <v>95.650565863191702</v>
      </c>
      <c r="AJ3271">
        <v>106.33464555670599</v>
      </c>
      <c r="AK3271">
        <v>11.034644972847101</v>
      </c>
      <c r="AL3271">
        <v>79.614897595264097</v>
      </c>
      <c r="AM3271">
        <v>97.388451059039696</v>
      </c>
      <c r="AN3271">
        <v>1.0000000073253099</v>
      </c>
    </row>
    <row r="3272" spans="1:40" x14ac:dyDescent="0.3">
      <c r="A3272" t="str">
        <f>"20200111150416073"</f>
        <v>20200111150416073</v>
      </c>
      <c r="B3272" t="str">
        <f>"1578726256061497"</f>
        <v>1578726256061497</v>
      </c>
      <c r="C3272" t="s">
        <v>40</v>
      </c>
      <c r="D3272">
        <v>5.2975199999999996</v>
      </c>
      <c r="E3272">
        <v>0.43702350000000001</v>
      </c>
      <c r="F3272" t="s">
        <v>72</v>
      </c>
      <c r="G3272">
        <v>-179.95779999999999</v>
      </c>
      <c r="H3272">
        <v>8.6616190000000006E-3</v>
      </c>
      <c r="I3272">
        <v>-45.973660000000002</v>
      </c>
      <c r="J3272">
        <v>-186.84780000000001</v>
      </c>
      <c r="K3272">
        <v>1.116276</v>
      </c>
      <c r="L3272">
        <v>-54.606110000000001</v>
      </c>
      <c r="M3272">
        <v>0.81658140000000001</v>
      </c>
      <c r="N3272">
        <v>0</v>
      </c>
      <c r="O3272">
        <v>0.57698479999999996</v>
      </c>
      <c r="P3272">
        <v>0.72886589999999996</v>
      </c>
      <c r="Q3272">
        <v>0.167231399999999</v>
      </c>
      <c r="R3272">
        <v>0.66391880000000003</v>
      </c>
      <c r="S3272">
        <v>1.9625090000000001</v>
      </c>
      <c r="T3272">
        <v>-0.31188110000000002</v>
      </c>
      <c r="U3272">
        <v>2.4496769999999999</v>
      </c>
      <c r="V3272">
        <v>-0.1266079</v>
      </c>
      <c r="W3272">
        <v>0.18027560000000001</v>
      </c>
      <c r="X3272">
        <v>0.97543380000000002</v>
      </c>
      <c r="Y3272">
        <v>-0.27758090000000002</v>
      </c>
      <c r="Z3272">
        <v>-4.5696680000000003E-2</v>
      </c>
      <c r="AA3272">
        <v>0.95961490000000005</v>
      </c>
      <c r="AB3272">
        <v>22</v>
      </c>
      <c r="AC3272">
        <v>6.8900000000000103</v>
      </c>
      <c r="AD3272">
        <v>-1.1076143809999901</v>
      </c>
      <c r="AE3272">
        <v>8.6324500000000004</v>
      </c>
      <c r="AF3272">
        <v>-3.0435013261524499</v>
      </c>
      <c r="AG3272">
        <v>-1.1076143809999901</v>
      </c>
      <c r="AH3272">
        <v>10.5029184363782</v>
      </c>
      <c r="AI3272">
        <v>95.783806896441206</v>
      </c>
      <c r="AJ3272">
        <v>106.160358096137</v>
      </c>
      <c r="AK3272">
        <v>10.9909510789787</v>
      </c>
      <c r="AL3272">
        <v>79.614186607418404</v>
      </c>
      <c r="AM3272">
        <v>97.395446304771795</v>
      </c>
      <c r="AN3272">
        <v>0.99999997524010398</v>
      </c>
    </row>
    <row r="3273" spans="1:40" x14ac:dyDescent="0.3">
      <c r="A3273" t="str">
        <f>"20200111150416085"</f>
        <v>20200111150416085</v>
      </c>
      <c r="B3273" t="str">
        <f>"1578726256081993"</f>
        <v>1578726256081993</v>
      </c>
      <c r="C3273" t="s">
        <v>40</v>
      </c>
      <c r="D3273">
        <v>4.2605149999999998</v>
      </c>
      <c r="E3273">
        <v>0.43681900000000001</v>
      </c>
      <c r="F3273" t="s">
        <v>72</v>
      </c>
      <c r="G3273">
        <v>-179.95779999999999</v>
      </c>
      <c r="H3273">
        <v>1.536365E-2</v>
      </c>
      <c r="I3273">
        <v>-45.876139999999999</v>
      </c>
      <c r="J3273">
        <v>-186.75909999999999</v>
      </c>
      <c r="K3273">
        <v>1.116258</v>
      </c>
      <c r="L3273">
        <v>-54.529600000000002</v>
      </c>
      <c r="M3273">
        <v>0.81053980000000003</v>
      </c>
      <c r="N3273">
        <v>0</v>
      </c>
      <c r="O3273">
        <v>0.58544130000000005</v>
      </c>
      <c r="P3273">
        <v>0.72181329999999999</v>
      </c>
      <c r="Q3273">
        <v>0.16746340000000001</v>
      </c>
      <c r="R3273">
        <v>0.67152179999999995</v>
      </c>
      <c r="S3273">
        <v>1.9438169999999999</v>
      </c>
      <c r="T3273">
        <v>-0.31059179999999997</v>
      </c>
      <c r="U3273">
        <v>2.4629210000000001</v>
      </c>
      <c r="V3273">
        <v>-0.12672459999999999</v>
      </c>
      <c r="W3273">
        <v>0.1805129</v>
      </c>
      <c r="X3273">
        <v>0.97537479999999999</v>
      </c>
      <c r="Y3273">
        <v>-0.27461799999999997</v>
      </c>
      <c r="Z3273">
        <v>-4.6570609999999998E-2</v>
      </c>
      <c r="AA3273">
        <v>0.96042499999999997</v>
      </c>
      <c r="AB3273">
        <v>22</v>
      </c>
      <c r="AC3273">
        <v>6.8012999999999897</v>
      </c>
      <c r="AD3273">
        <v>-1.1008943499999999</v>
      </c>
      <c r="AE3273">
        <v>8.6534600000000008</v>
      </c>
      <c r="AF3273">
        <v>-3.0026019658093301</v>
      </c>
      <c r="AG3273">
        <v>-1.1008943499999999</v>
      </c>
      <c r="AH3273">
        <v>10.475513982897199</v>
      </c>
      <c r="AI3273">
        <v>95.768685054175606</v>
      </c>
      <c r="AJ3273">
        <v>105.99391823920899</v>
      </c>
      <c r="AK3273">
        <v>10.952806952595299</v>
      </c>
      <c r="AL3273">
        <v>79.600363970163301</v>
      </c>
      <c r="AM3273">
        <v>97.402630234415298</v>
      </c>
      <c r="AN3273">
        <v>1.0000000158933</v>
      </c>
    </row>
    <row r="3274" spans="1:40" x14ac:dyDescent="0.3">
      <c r="A3274" t="str">
        <f>"20200111150416096"</f>
        <v>20200111150416096</v>
      </c>
      <c r="B3274" t="str">
        <f>"1578726256091754"</f>
        <v>1578726256091754</v>
      </c>
      <c r="C3274" t="s">
        <v>40</v>
      </c>
      <c r="D3274">
        <v>5.2882239999999996</v>
      </c>
      <c r="E3274">
        <v>0.38801469999999999</v>
      </c>
      <c r="F3274" t="s">
        <v>72</v>
      </c>
      <c r="G3274">
        <v>-179.95779999999999</v>
      </c>
      <c r="H3274">
        <v>1.6307510000000001E-2</v>
      </c>
      <c r="I3274">
        <v>-45.711599999999997</v>
      </c>
      <c r="J3274">
        <v>-186.6883</v>
      </c>
      <c r="K3274">
        <v>1.116244</v>
      </c>
      <c r="L3274">
        <v>-54.46698</v>
      </c>
      <c r="M3274">
        <v>0.80559340000000002</v>
      </c>
      <c r="N3274">
        <v>0</v>
      </c>
      <c r="O3274">
        <v>0.59222929999999996</v>
      </c>
      <c r="P3274">
        <v>0.71593200000000001</v>
      </c>
      <c r="Q3274">
        <v>0.16741510000000001</v>
      </c>
      <c r="R3274">
        <v>0.67780050000000003</v>
      </c>
      <c r="S3274">
        <v>1.9164890000000001</v>
      </c>
      <c r="T3274">
        <v>-0.30994500000000003</v>
      </c>
      <c r="U3274">
        <v>2.4847410000000001</v>
      </c>
      <c r="V3274">
        <v>-0.12703699999999901</v>
      </c>
      <c r="W3274">
        <v>0.1804627</v>
      </c>
      <c r="X3274">
        <v>0.97534350000000003</v>
      </c>
      <c r="Y3274">
        <v>-0.27725270000000002</v>
      </c>
      <c r="Z3274">
        <v>-4.709315E-2</v>
      </c>
      <c r="AA3274">
        <v>0.9596422</v>
      </c>
      <c r="AB3274">
        <v>22</v>
      </c>
      <c r="AC3274">
        <v>6.7305000000000001</v>
      </c>
      <c r="AD3274">
        <v>-1.0999364899999999</v>
      </c>
      <c r="AE3274">
        <v>8.7553800000000095</v>
      </c>
      <c r="AF3274">
        <v>-3.0375781581564798</v>
      </c>
      <c r="AG3274">
        <v>-1.0999364899999999</v>
      </c>
      <c r="AH3274">
        <v>10.5045344573546</v>
      </c>
      <c r="AI3274">
        <v>95.744032449367495</v>
      </c>
      <c r="AJ3274">
        <v>106.128191985095</v>
      </c>
      <c r="AK3274">
        <v>10.990085782863201</v>
      </c>
      <c r="AL3274">
        <v>79.603288751019505</v>
      </c>
      <c r="AM3274">
        <v>97.420911452057595</v>
      </c>
      <c r="AN3274">
        <v>1.0000000642262601</v>
      </c>
    </row>
    <row r="3275" spans="1:40" x14ac:dyDescent="0.3">
      <c r="A3275" t="str">
        <f>"20200111150416109"</f>
        <v>20200111150416109</v>
      </c>
      <c r="B3275" t="str">
        <f>"1578726256101513"</f>
        <v>1578726256101513</v>
      </c>
      <c r="C3275" t="s">
        <v>40</v>
      </c>
      <c r="D3275">
        <v>5.0119660000000001</v>
      </c>
      <c r="E3275">
        <v>0.38295170000000001</v>
      </c>
      <c r="F3275" t="s">
        <v>86</v>
      </c>
      <c r="G3275">
        <v>-166.8784</v>
      </c>
      <c r="H3275">
        <v>1.0208919999999999</v>
      </c>
      <c r="I3275">
        <v>-20.31495</v>
      </c>
      <c r="J3275">
        <v>-186.59309999999999</v>
      </c>
      <c r="K3275">
        <v>1.1162240000000001</v>
      </c>
      <c r="L3275">
        <v>-54.381900000000002</v>
      </c>
      <c r="M3275">
        <v>0.79882010000000003</v>
      </c>
      <c r="N3275">
        <v>0</v>
      </c>
      <c r="O3275">
        <v>0.60133400000000004</v>
      </c>
      <c r="P3275">
        <v>0.70762539999999996</v>
      </c>
      <c r="Q3275">
        <v>0.16734160000000001</v>
      </c>
      <c r="R3275">
        <v>0.68648609999999999</v>
      </c>
      <c r="S3275">
        <v>1.5926670000000001</v>
      </c>
      <c r="T3275">
        <v>-7.6661109999999998E-3</v>
      </c>
      <c r="U3275">
        <v>2.7457280000000002</v>
      </c>
      <c r="V3275">
        <v>-0.12785099999999999</v>
      </c>
      <c r="W3275">
        <v>0.18037410000000001</v>
      </c>
      <c r="X3275">
        <v>0.9752535</v>
      </c>
      <c r="Y3275">
        <v>-0.38932349999999999</v>
      </c>
      <c r="Z3275">
        <v>-1.0614699999999999E-3</v>
      </c>
      <c r="AA3275">
        <v>0.92110049999999999</v>
      </c>
      <c r="AB3275">
        <v>22</v>
      </c>
      <c r="AC3275">
        <v>19.714700000000001</v>
      </c>
      <c r="AD3275">
        <v>-9.5331999999999903E-2</v>
      </c>
      <c r="AE3275">
        <v>34.066949999999999</v>
      </c>
      <c r="AF3275">
        <v>-15.360335211427801</v>
      </c>
      <c r="AG3275">
        <v>-9.5331999999999903E-2</v>
      </c>
      <c r="AH3275">
        <v>36.239045301505399</v>
      </c>
      <c r="AI3275">
        <v>90.138773192570795</v>
      </c>
      <c r="AJ3275">
        <v>112.970216729817</v>
      </c>
      <c r="AK3275">
        <v>39.360098962810198</v>
      </c>
      <c r="AL3275">
        <v>79.608449614012599</v>
      </c>
      <c r="AM3275">
        <v>97.468607907554002</v>
      </c>
      <c r="AN3275">
        <v>1.0000000417070201</v>
      </c>
    </row>
    <row r="3276" spans="1:40" x14ac:dyDescent="0.3">
      <c r="A3276" t="str">
        <f>"20200111150416120"</f>
        <v>20200111150416120</v>
      </c>
      <c r="B3276" t="str">
        <f>"1578726256112249"</f>
        <v>1578726256112249</v>
      </c>
      <c r="C3276" t="s">
        <v>40</v>
      </c>
      <c r="D3276">
        <v>5.3384099999999997</v>
      </c>
      <c r="E3276">
        <v>0.3809884</v>
      </c>
      <c r="F3276" t="s">
        <v>86</v>
      </c>
      <c r="G3276">
        <v>-167.9288</v>
      </c>
      <c r="H3276">
        <v>1.1861109999999999</v>
      </c>
      <c r="I3276">
        <v>-20.31495</v>
      </c>
      <c r="J3276">
        <v>-186.5111</v>
      </c>
      <c r="K3276">
        <v>1.1162000000000001</v>
      </c>
      <c r="L3276">
        <v>-54.306060000000002</v>
      </c>
      <c r="M3276">
        <v>0.79280169999999905</v>
      </c>
      <c r="N3276">
        <v>0</v>
      </c>
      <c r="O3276">
        <v>0.60924669999999903</v>
      </c>
      <c r="P3276">
        <v>0.70011690000000004</v>
      </c>
      <c r="Q3276">
        <v>0.1670394</v>
      </c>
      <c r="R3276">
        <v>0.69421480000000002</v>
      </c>
      <c r="S3276">
        <v>1.529617</v>
      </c>
      <c r="T3276">
        <v>5.7274099999999996E-3</v>
      </c>
      <c r="U3276">
        <v>2.7919309999999999</v>
      </c>
      <c r="V3276">
        <v>-0.12880549999999999</v>
      </c>
      <c r="W3276">
        <v>0.1800514</v>
      </c>
      <c r="X3276">
        <v>0.97518749999999998</v>
      </c>
      <c r="Y3276">
        <v>-0.40261350000000001</v>
      </c>
      <c r="Z3276">
        <v>7.9639049999999996E-4</v>
      </c>
      <c r="AA3276">
        <v>0.91536969999999995</v>
      </c>
      <c r="AB3276">
        <v>22</v>
      </c>
      <c r="AC3276">
        <v>18.5823</v>
      </c>
      <c r="AD3276">
        <v>6.9911000000000001E-2</v>
      </c>
      <c r="AE3276">
        <v>33.9911099999999</v>
      </c>
      <c r="AF3276">
        <v>-15.6291728432741</v>
      </c>
      <c r="AG3276">
        <v>6.9911000000000001E-2</v>
      </c>
      <c r="AH3276">
        <v>35.445967521131003</v>
      </c>
      <c r="AI3276">
        <v>89.896599528312905</v>
      </c>
      <c r="AJ3276">
        <v>113.794097666173</v>
      </c>
      <c r="AK3276">
        <v>38.738773145544101</v>
      </c>
      <c r="AL3276">
        <v>79.627246400447603</v>
      </c>
      <c r="AM3276">
        <v>97.524233378633696</v>
      </c>
      <c r="AN3276">
        <v>1.00000001181423</v>
      </c>
    </row>
    <row r="3277" spans="1:40" x14ac:dyDescent="0.3">
      <c r="A3277" t="str">
        <f>"20200111150416230"</f>
        <v>20200111150416230</v>
      </c>
      <c r="B3277" t="str">
        <f>"1578726256221561"</f>
        <v>1578726256221561</v>
      </c>
      <c r="C3277" t="s">
        <v>40</v>
      </c>
      <c r="D3277">
        <v>5.0057609999999997</v>
      </c>
      <c r="E3277">
        <v>0.38266339999999999</v>
      </c>
      <c r="F3277" t="s">
        <v>86</v>
      </c>
      <c r="G3277">
        <v>-168.45050000000001</v>
      </c>
      <c r="H3277">
        <v>1.2137439999999999</v>
      </c>
      <c r="I3277">
        <v>-20.08642</v>
      </c>
      <c r="J3277">
        <v>-185.7895</v>
      </c>
      <c r="K3277">
        <v>1.11596299999999</v>
      </c>
      <c r="L3277">
        <v>-53.57199</v>
      </c>
      <c r="M3277">
        <v>0.73358639999999997</v>
      </c>
      <c r="N3277">
        <v>0</v>
      </c>
      <c r="O3277">
        <v>0.67938750000000003</v>
      </c>
      <c r="P3277">
        <v>0.63218599999999903</v>
      </c>
      <c r="Q3277">
        <v>0.16178439999999999</v>
      </c>
      <c r="R3277">
        <v>0.75773789999999996</v>
      </c>
      <c r="S3277">
        <v>1.4878229999999999</v>
      </c>
      <c r="T3277">
        <v>8.0355410000000002E-3</v>
      </c>
      <c r="U3277">
        <v>2.819</v>
      </c>
      <c r="V3277">
        <v>-0.13111519999999999</v>
      </c>
      <c r="W3277">
        <v>0.1747918</v>
      </c>
      <c r="X3277">
        <v>0.97583640000000005</v>
      </c>
      <c r="Y3277">
        <v>-0.33170559999999899</v>
      </c>
      <c r="Z3277">
        <v>1.3972310000000001E-3</v>
      </c>
      <c r="AA3277">
        <v>0.9433819</v>
      </c>
      <c r="AB3277">
        <v>22</v>
      </c>
      <c r="AC3277">
        <v>17.338999999999999</v>
      </c>
      <c r="AD3277">
        <v>9.7781000000000298E-2</v>
      </c>
      <c r="AE3277">
        <v>33.485570000000003</v>
      </c>
      <c r="AF3277">
        <v>-12.7863862782736</v>
      </c>
      <c r="AG3277">
        <v>9.7781000000000298E-2</v>
      </c>
      <c r="AH3277">
        <v>35.474124698329298</v>
      </c>
      <c r="AI3277">
        <v>89.851426685305896</v>
      </c>
      <c r="AJ3277">
        <v>109.821323596874</v>
      </c>
      <c r="AK3277">
        <v>37.708285008653</v>
      </c>
      <c r="AL3277">
        <v>79.933457861070494</v>
      </c>
      <c r="AM3277">
        <v>97.652536796184194</v>
      </c>
      <c r="AN3277">
        <v>1.0000000242916101</v>
      </c>
    </row>
    <row r="3278" spans="1:40" x14ac:dyDescent="0.3">
      <c r="A3278" t="str">
        <f>"20200111150416244"</f>
        <v>20200111150416244</v>
      </c>
      <c r="B3278" t="str">
        <f>"1578726256231320"</f>
        <v>1578726256231320</v>
      </c>
      <c r="C3278" t="s">
        <v>40</v>
      </c>
      <c r="D3278">
        <v>5.0234940000000003</v>
      </c>
      <c r="E3278">
        <v>0.38448169999999998</v>
      </c>
      <c r="F3278" t="s">
        <v>77</v>
      </c>
      <c r="G3278">
        <v>-152.96950000000001</v>
      </c>
      <c r="H3278">
        <v>1.358285</v>
      </c>
      <c r="I3278">
        <v>25.184979999999999</v>
      </c>
      <c r="J3278">
        <v>-185.70660000000001</v>
      </c>
      <c r="K3278">
        <v>1.115934</v>
      </c>
      <c r="L3278">
        <v>-53.478059999999999</v>
      </c>
      <c r="M3278">
        <v>0.72594250000000005</v>
      </c>
      <c r="N3278">
        <v>0</v>
      </c>
      <c r="O3278">
        <v>0.68754939999999998</v>
      </c>
      <c r="P3278">
        <v>0.6236022</v>
      </c>
      <c r="Q3278">
        <v>0.1612701</v>
      </c>
      <c r="R3278">
        <v>0.76492629999999995</v>
      </c>
      <c r="S3278">
        <v>1.223633</v>
      </c>
      <c r="T3278">
        <v>9.0345140000000004E-3</v>
      </c>
      <c r="U3278">
        <v>2.9363100000000002</v>
      </c>
      <c r="V3278">
        <v>-0.13125800000000001</v>
      </c>
      <c r="W3278">
        <v>0.17427809999999999</v>
      </c>
      <c r="X3278">
        <v>0.97590909999999997</v>
      </c>
      <c r="Y3278">
        <v>-0.40567150000000002</v>
      </c>
      <c r="Z3278">
        <v>1.5159310000000001E-3</v>
      </c>
      <c r="AA3278">
        <v>0.91401770000000004</v>
      </c>
      <c r="AB3278">
        <v>22</v>
      </c>
      <c r="AC3278">
        <v>32.737099999999998</v>
      </c>
      <c r="AD3278">
        <v>0.24235100000000001</v>
      </c>
      <c r="AE3278">
        <v>78.663039999999995</v>
      </c>
      <c r="AF3278">
        <v>-34.6010923026545</v>
      </c>
      <c r="AG3278">
        <v>0.24235100000000001</v>
      </c>
      <c r="AH3278">
        <v>77.860378391874804</v>
      </c>
      <c r="AI3278">
        <v>89.837027736736303</v>
      </c>
      <c r="AJ3278">
        <v>113.960325716478</v>
      </c>
      <c r="AK3278">
        <v>85.202892238878505</v>
      </c>
      <c r="AL3278">
        <v>79.963349721010999</v>
      </c>
      <c r="AM3278">
        <v>97.660208481534696</v>
      </c>
      <c r="AN3278">
        <v>1.0000000450832001</v>
      </c>
    </row>
    <row r="3279" spans="1:40" x14ac:dyDescent="0.3">
      <c r="A3279" t="str">
        <f>"20200111150416257"</f>
        <v>20200111150416257</v>
      </c>
      <c r="B3279" t="str">
        <f>"1578726256251817"</f>
        <v>1578726256251817</v>
      </c>
      <c r="C3279" t="s">
        <v>40</v>
      </c>
      <c r="D3279">
        <v>5.1440140000000003</v>
      </c>
      <c r="E3279">
        <v>0.38705509999999999</v>
      </c>
      <c r="F3279" t="s">
        <v>77</v>
      </c>
      <c r="G3279">
        <v>-153.58580000000001</v>
      </c>
      <c r="H3279">
        <v>1.577304</v>
      </c>
      <c r="I3279">
        <v>25.18497</v>
      </c>
      <c r="J3279">
        <v>-185.62739999999999</v>
      </c>
      <c r="K3279">
        <v>1.115907</v>
      </c>
      <c r="L3279">
        <v>-53.386539999999997</v>
      </c>
      <c r="M3279">
        <v>0.71846699999999997</v>
      </c>
      <c r="N3279">
        <v>0</v>
      </c>
      <c r="O3279">
        <v>0.69535740000000001</v>
      </c>
      <c r="P3279">
        <v>0.61531759999999902</v>
      </c>
      <c r="Q3279">
        <v>0.160464299999999</v>
      </c>
      <c r="R3279">
        <v>0.77177419999999997</v>
      </c>
      <c r="S3279">
        <v>1.2003779999999999</v>
      </c>
      <c r="T3279">
        <v>1.7241719999999999E-2</v>
      </c>
      <c r="U3279">
        <v>2.9396969999999998</v>
      </c>
      <c r="V3279">
        <v>-0.1313193</v>
      </c>
      <c r="W3279">
        <v>0.17347609999999999</v>
      </c>
      <c r="X3279">
        <v>0.97604369999999996</v>
      </c>
      <c r="Y3279">
        <v>-0.40234229999999999</v>
      </c>
      <c r="Z3279">
        <v>2.9566689999999999E-3</v>
      </c>
      <c r="AA3279">
        <v>0.91548450000000003</v>
      </c>
      <c r="AB3279">
        <v>22</v>
      </c>
      <c r="AC3279">
        <v>32.041599999999903</v>
      </c>
      <c r="AD3279">
        <v>0.461397</v>
      </c>
      <c r="AE3279">
        <v>78.571510000000004</v>
      </c>
      <c r="AF3279">
        <v>-34.174503523081398</v>
      </c>
      <c r="AG3279">
        <v>0.461397</v>
      </c>
      <c r="AH3279">
        <v>77.664817438080505</v>
      </c>
      <c r="AI3279">
        <v>89.688444589204494</v>
      </c>
      <c r="AJ3279">
        <v>113.750720644865</v>
      </c>
      <c r="AK3279">
        <v>84.852421567867395</v>
      </c>
      <c r="AL3279">
        <v>80.010011367456798</v>
      </c>
      <c r="AM3279">
        <v>97.662699137652993</v>
      </c>
      <c r="AN3279">
        <v>1.0000000100666899</v>
      </c>
    </row>
    <row r="3280" spans="1:40" x14ac:dyDescent="0.3">
      <c r="A3280" t="str">
        <f>"20200111150416276"</f>
        <v>20200111150416276</v>
      </c>
      <c r="B3280" t="str">
        <f>"1578726256271338"</f>
        <v>1578726256271338</v>
      </c>
      <c r="C3280" t="s">
        <v>40</v>
      </c>
      <c r="D3280">
        <v>5.2820609999999997</v>
      </c>
      <c r="E3280">
        <v>0.3880941</v>
      </c>
      <c r="F3280" t="s">
        <v>77</v>
      </c>
      <c r="G3280">
        <v>-154.2612</v>
      </c>
      <c r="H3280">
        <v>1.613718</v>
      </c>
      <c r="I3280">
        <v>24.52337</v>
      </c>
      <c r="J3280">
        <v>-185.51240000000001</v>
      </c>
      <c r="K3280">
        <v>1.1158669999999999</v>
      </c>
      <c r="L3280">
        <v>-53.25</v>
      </c>
      <c r="M3280">
        <v>0.70728619999999898</v>
      </c>
      <c r="N3280">
        <v>0</v>
      </c>
      <c r="O3280">
        <v>0.70672709999999905</v>
      </c>
      <c r="P3280">
        <v>0.60318780000000005</v>
      </c>
      <c r="Q3280">
        <v>0.1599884</v>
      </c>
      <c r="R3280">
        <v>0.78138859999999999</v>
      </c>
      <c r="S3280">
        <v>1.183487</v>
      </c>
      <c r="T3280">
        <v>1.878297E-2</v>
      </c>
      <c r="U3280">
        <v>2.9396360000000001</v>
      </c>
      <c r="V3280">
        <v>-0.1310383</v>
      </c>
      <c r="W3280">
        <v>0.17301349999999999</v>
      </c>
      <c r="X3280">
        <v>0.97616360000000002</v>
      </c>
      <c r="Y3280">
        <v>-0.39222889999999999</v>
      </c>
      <c r="Z3280">
        <v>3.3328870000000001E-3</v>
      </c>
      <c r="AA3280">
        <v>0.91986159999999995</v>
      </c>
      <c r="AB3280">
        <v>22</v>
      </c>
      <c r="AC3280">
        <v>31.251200000000001</v>
      </c>
      <c r="AD3280">
        <v>0.49785099999999999</v>
      </c>
      <c r="AE3280">
        <v>77.77337</v>
      </c>
      <c r="AF3280">
        <v>-32.925459824927003</v>
      </c>
      <c r="AG3280">
        <v>0.49785099999999999</v>
      </c>
      <c r="AH3280">
        <v>77.076280352061602</v>
      </c>
      <c r="AI3280">
        <v>89.659671182971806</v>
      </c>
      <c r="AJ3280">
        <v>113.131213461923</v>
      </c>
      <c r="AK3280">
        <v>83.8157905958698</v>
      </c>
      <c r="AL3280">
        <v>80.036923643852901</v>
      </c>
      <c r="AM3280">
        <v>97.645568432952302</v>
      </c>
      <c r="AN3280">
        <v>1.00000004060704</v>
      </c>
    </row>
    <row r="3281" spans="1:40" x14ac:dyDescent="0.3">
      <c r="A3281" t="str">
        <f>"20200111150416289"</f>
        <v>20200111150416289</v>
      </c>
      <c r="B3281" t="str">
        <f>"1578726256271338"</f>
        <v>1578726256271338</v>
      </c>
      <c r="C3281" t="s">
        <v>40</v>
      </c>
      <c r="D3281">
        <v>5.2820609999999997</v>
      </c>
      <c r="E3281">
        <v>0.3880941</v>
      </c>
      <c r="F3281" t="s">
        <v>77</v>
      </c>
      <c r="G3281">
        <v>-155.3777</v>
      </c>
      <c r="H3281">
        <v>1.374628</v>
      </c>
      <c r="I3281">
        <v>24.52336</v>
      </c>
      <c r="J3281">
        <v>-185.43209999999999</v>
      </c>
      <c r="K3281">
        <v>1.1158410000000001</v>
      </c>
      <c r="L3281">
        <v>-53.152500000000003</v>
      </c>
      <c r="M3281">
        <v>0.69926699999999997</v>
      </c>
      <c r="N3281">
        <v>0</v>
      </c>
      <c r="O3281">
        <v>0.71466269999999998</v>
      </c>
      <c r="P3281">
        <v>0.59441699999999997</v>
      </c>
      <c r="Q3281">
        <v>0.15968389999999999</v>
      </c>
      <c r="R3281">
        <v>0.78814300000000004</v>
      </c>
      <c r="S3281">
        <v>1.144501</v>
      </c>
      <c r="T3281">
        <v>9.8276140000000001E-3</v>
      </c>
      <c r="U3281">
        <v>2.9537960000000001</v>
      </c>
      <c r="V3281">
        <v>-0.1309582</v>
      </c>
      <c r="W3281">
        <v>0.1727148</v>
      </c>
      <c r="X3281">
        <v>0.97622719999999996</v>
      </c>
      <c r="Y3281">
        <v>-0.39388499999999999</v>
      </c>
      <c r="Z3281">
        <v>1.7721529999999901E-3</v>
      </c>
      <c r="AA3281">
        <v>0.91915800000000003</v>
      </c>
      <c r="AB3281">
        <v>22</v>
      </c>
      <c r="AC3281">
        <v>30.054399999999902</v>
      </c>
      <c r="AD3281">
        <v>0.25878699999999899</v>
      </c>
      <c r="AE3281">
        <v>77.67586</v>
      </c>
      <c r="AF3281">
        <v>-32.841735515310098</v>
      </c>
      <c r="AG3281">
        <v>0.25878699999999899</v>
      </c>
      <c r="AH3281">
        <v>76.538177760898805</v>
      </c>
      <c r="AI3281">
        <v>89.821972085893904</v>
      </c>
      <c r="AJ3281">
        <v>113.223667566643</v>
      </c>
      <c r="AK3281">
        <v>83.287089139481196</v>
      </c>
      <c r="AL3281">
        <v>80.054299057435202</v>
      </c>
      <c r="AM3281">
        <v>97.640458227351601</v>
      </c>
      <c r="AN3281">
        <v>0.99999999915306004</v>
      </c>
    </row>
    <row r="3282" spans="1:40" x14ac:dyDescent="0.3">
      <c r="A3282" t="str">
        <f>"20200111150416302"</f>
        <v>20200111150416302</v>
      </c>
      <c r="B3282" t="str">
        <f>"1578726256291834"</f>
        <v>1578726256291834</v>
      </c>
      <c r="C3282" t="s">
        <v>40</v>
      </c>
      <c r="D3282">
        <v>5.3797870000000003</v>
      </c>
      <c r="E3282">
        <v>0.3889222</v>
      </c>
      <c r="F3282" t="s">
        <v>77</v>
      </c>
      <c r="G3282">
        <v>-156.3304</v>
      </c>
      <c r="H3282">
        <v>1.3468290000000001</v>
      </c>
      <c r="I3282">
        <v>24.523350000000001</v>
      </c>
      <c r="J3282">
        <v>-185.35380000000001</v>
      </c>
      <c r="K3282">
        <v>1.1158159999999999</v>
      </c>
      <c r="L3282">
        <v>-53.0541699999999</v>
      </c>
      <c r="M3282">
        <v>0.69119229999999998</v>
      </c>
      <c r="N3282">
        <v>0</v>
      </c>
      <c r="O3282">
        <v>0.72247530000000004</v>
      </c>
      <c r="P3282">
        <v>0.58562890000000001</v>
      </c>
      <c r="Q3282">
        <v>0.1597845</v>
      </c>
      <c r="R3282">
        <v>0.79467460000000001</v>
      </c>
      <c r="S3282">
        <v>1.111389</v>
      </c>
      <c r="T3282">
        <v>8.8213679999999996E-3</v>
      </c>
      <c r="U3282">
        <v>2.966431</v>
      </c>
      <c r="V3282">
        <v>-0.1308058</v>
      </c>
      <c r="W3282">
        <v>0.17282139999999999</v>
      </c>
      <c r="X3282">
        <v>0.97622880000000001</v>
      </c>
      <c r="Y3282">
        <v>-0.39383940000000001</v>
      </c>
      <c r="Z3282">
        <v>1.6171200000000001E-3</v>
      </c>
      <c r="AA3282">
        <v>0.91917780000000004</v>
      </c>
      <c r="AB3282">
        <v>22</v>
      </c>
      <c r="AC3282">
        <v>29.023399999999999</v>
      </c>
      <c r="AD3282">
        <v>0.231013</v>
      </c>
      <c r="AE3282">
        <v>77.577519999999893</v>
      </c>
      <c r="AF3282">
        <v>-32.656656315098701</v>
      </c>
      <c r="AG3282">
        <v>0.231013</v>
      </c>
      <c r="AH3282">
        <v>76.118758676563701</v>
      </c>
      <c r="AI3282">
        <v>89.840199061377902</v>
      </c>
      <c r="AJ3282">
        <v>113.220418650341</v>
      </c>
      <c r="AK3282">
        <v>82.828594043057294</v>
      </c>
      <c r="AL3282">
        <v>80.048098408327704</v>
      </c>
      <c r="AM3282">
        <v>97.631659288657801</v>
      </c>
      <c r="AN3282">
        <v>1.00000003178051</v>
      </c>
    </row>
    <row r="3283" spans="1:40" x14ac:dyDescent="0.3">
      <c r="A3283" t="str">
        <f>"20200111150416314"</f>
        <v>20200111150416314</v>
      </c>
      <c r="B3283" t="str">
        <f>"1578726256311353"</f>
        <v>1578726256311353</v>
      </c>
      <c r="C3283" t="s">
        <v>40</v>
      </c>
      <c r="D3283">
        <v>5.0576559999999997</v>
      </c>
      <c r="E3283">
        <v>0.3896482</v>
      </c>
      <c r="F3283" t="s">
        <v>77</v>
      </c>
      <c r="G3283">
        <v>-156.84209999999999</v>
      </c>
      <c r="H3283">
        <v>1.1656409999999999</v>
      </c>
      <c r="I3283">
        <v>25.18496</v>
      </c>
      <c r="J3283">
        <v>-185.28659999999999</v>
      </c>
      <c r="K3283">
        <v>1.1157950000000001</v>
      </c>
      <c r="L3283">
        <v>-52.96848</v>
      </c>
      <c r="M3283">
        <v>0.68412799999999996</v>
      </c>
      <c r="N3283">
        <v>0</v>
      </c>
      <c r="O3283">
        <v>0.72916840000000005</v>
      </c>
      <c r="P3283">
        <v>0.57817879999999999</v>
      </c>
      <c r="Q3283">
        <v>0.1599981</v>
      </c>
      <c r="R3283">
        <v>0.80006869999999997</v>
      </c>
      <c r="S3283">
        <v>1.0843659999999999</v>
      </c>
      <c r="T3283">
        <v>1.894951E-3</v>
      </c>
      <c r="U3283">
        <v>2.975616</v>
      </c>
      <c r="V3283">
        <v>-0.13039139999999999</v>
      </c>
      <c r="W3283">
        <v>0.17304829999999999</v>
      </c>
      <c r="X3283">
        <v>0.976244</v>
      </c>
      <c r="Y3283">
        <v>-0.39317249999999998</v>
      </c>
      <c r="Z3283">
        <v>3.5249020000000002E-4</v>
      </c>
      <c r="AA3283">
        <v>0.91946459999999997</v>
      </c>
      <c r="AB3283">
        <v>22</v>
      </c>
      <c r="AC3283">
        <v>28.444500000000001</v>
      </c>
      <c r="AD3283">
        <v>4.98459999999998E-2</v>
      </c>
      <c r="AE3283">
        <v>78.153440000000003</v>
      </c>
      <c r="AF3283">
        <v>-32.730734954309497</v>
      </c>
      <c r="AG3283">
        <v>4.98459999999998E-2</v>
      </c>
      <c r="AH3283">
        <v>76.4574638880311</v>
      </c>
      <c r="AI3283">
        <v>89.965660608156398</v>
      </c>
      <c r="AJ3283">
        <v>113.175320392458</v>
      </c>
      <c r="AK3283">
        <v>83.168787892228806</v>
      </c>
      <c r="AL3283">
        <v>80.034898699953203</v>
      </c>
      <c r="AM3283">
        <v>97.607648324319399</v>
      </c>
      <c r="AN3283">
        <v>0.99999998943142399</v>
      </c>
    </row>
    <row r="3284" spans="1:40" x14ac:dyDescent="0.3">
      <c r="A3284" t="str">
        <f>"20200111150416332"</f>
        <v>20200111150416332</v>
      </c>
      <c r="B3284" t="str">
        <f>"1578726256322089"</f>
        <v>1578726256322089</v>
      </c>
      <c r="C3284" t="s">
        <v>40</v>
      </c>
      <c r="D3284">
        <v>5.0693950000000001</v>
      </c>
      <c r="E3284">
        <v>0.38988610000000001</v>
      </c>
      <c r="F3284" t="s">
        <v>77</v>
      </c>
      <c r="G3284">
        <v>-157.4699</v>
      </c>
      <c r="H3284">
        <v>0.98731009999999997</v>
      </c>
      <c r="I3284">
        <v>25.184950000000001</v>
      </c>
      <c r="J3284">
        <v>-185.18690000000001</v>
      </c>
      <c r="K3284">
        <v>1.1157589999999999</v>
      </c>
      <c r="L3284">
        <v>-52.83813</v>
      </c>
      <c r="M3284">
        <v>0.67335929999999999</v>
      </c>
      <c r="N3284">
        <v>0</v>
      </c>
      <c r="O3284">
        <v>0.73912449999999996</v>
      </c>
      <c r="P3284">
        <v>0.56727780000000005</v>
      </c>
      <c r="Q3284">
        <v>0.16011689999999901</v>
      </c>
      <c r="R3284">
        <v>0.80781099999999995</v>
      </c>
      <c r="S3284">
        <v>1.0618289999999999</v>
      </c>
      <c r="T3284">
        <v>-4.9046280000000003E-3</v>
      </c>
      <c r="U3284">
        <v>2.9833069999999999</v>
      </c>
      <c r="V3284">
        <v>-0.12927939999999999</v>
      </c>
      <c r="W3284">
        <v>0.1732004</v>
      </c>
      <c r="X3284">
        <v>0.97636489999999998</v>
      </c>
      <c r="Y3284">
        <v>-0.38658880000000001</v>
      </c>
      <c r="Z3284">
        <v>-9.3517350000000003E-4</v>
      </c>
      <c r="AA3284">
        <v>0.92225170000000001</v>
      </c>
      <c r="AB3284">
        <v>21</v>
      </c>
      <c r="AC3284">
        <v>27.716999999999999</v>
      </c>
      <c r="AD3284">
        <v>-0.12844889999999901</v>
      </c>
      <c r="AE3284">
        <v>78.023079999999993</v>
      </c>
      <c r="AF3284">
        <v>-32.055699437173899</v>
      </c>
      <c r="AG3284">
        <v>-0.12844889999999901</v>
      </c>
      <c r="AH3284">
        <v>76.342859765398202</v>
      </c>
      <c r="AI3284">
        <v>90.088884001971905</v>
      </c>
      <c r="AJ3284">
        <v>112.777109325087</v>
      </c>
      <c r="AK3284">
        <v>82.799858711749096</v>
      </c>
      <c r="AL3284">
        <v>80.026050306106299</v>
      </c>
      <c r="AM3284">
        <v>97.542595984991607</v>
      </c>
      <c r="AN3284">
        <v>0.99999997988826395</v>
      </c>
    </row>
    <row r="3285" spans="1:40" x14ac:dyDescent="0.3">
      <c r="A3285" t="str">
        <f>"20200111150416347"</f>
        <v>20200111150416347</v>
      </c>
      <c r="B3285" t="str">
        <f>"1578726256341610"</f>
        <v>1578726256341610</v>
      </c>
      <c r="C3285" t="s">
        <v>40</v>
      </c>
      <c r="D3285">
        <v>4.9493539999999996</v>
      </c>
      <c r="E3285">
        <v>0.39066200000000001</v>
      </c>
      <c r="F3285" t="s">
        <v>77</v>
      </c>
      <c r="G3285">
        <v>-158.5712</v>
      </c>
      <c r="H3285">
        <v>0.9509822</v>
      </c>
      <c r="I3285">
        <v>25.184940000000001</v>
      </c>
      <c r="J3285">
        <v>-185.1053</v>
      </c>
      <c r="K3285">
        <v>1.1157319999999999</v>
      </c>
      <c r="L3285">
        <v>-52.72833</v>
      </c>
      <c r="M3285">
        <v>0.66426549999999995</v>
      </c>
      <c r="N3285">
        <v>0</v>
      </c>
      <c r="O3285">
        <v>0.74730810000000003</v>
      </c>
      <c r="P3285">
        <v>0.55765640000000005</v>
      </c>
      <c r="Q3285">
        <v>0.16034039999999999</v>
      </c>
      <c r="R3285">
        <v>0.81443859999999901</v>
      </c>
      <c r="S3285">
        <v>1.0223690000000001</v>
      </c>
      <c r="T3285">
        <v>-6.3295360000000002E-3</v>
      </c>
      <c r="U3285">
        <v>2.9970400000000001</v>
      </c>
      <c r="V3285">
        <v>-0.12887870000000001</v>
      </c>
      <c r="W3285">
        <v>0.17343529999999999</v>
      </c>
      <c r="X3285">
        <v>0.97637620000000003</v>
      </c>
      <c r="Y3285">
        <v>-0.3874727</v>
      </c>
      <c r="Z3285">
        <v>-1.226223E-3</v>
      </c>
      <c r="AA3285">
        <v>0.92188040000000004</v>
      </c>
      <c r="AB3285">
        <v>21</v>
      </c>
      <c r="AC3285">
        <v>26.534099999999899</v>
      </c>
      <c r="AD3285">
        <v>-0.164749799999999</v>
      </c>
      <c r="AE3285">
        <v>77.913269999999997</v>
      </c>
      <c r="AF3285">
        <v>-31.930323166290801</v>
      </c>
      <c r="AG3285">
        <v>-0.164749799999999</v>
      </c>
      <c r="AH3285">
        <v>75.861296342286195</v>
      </c>
      <c r="AI3285">
        <v>90.114685604383396</v>
      </c>
      <c r="AJ3285">
        <v>112.826420293109</v>
      </c>
      <c r="AK3285">
        <v>82.307405272748895</v>
      </c>
      <c r="AL3285">
        <v>80.012384947126904</v>
      </c>
      <c r="AM3285">
        <v>97.519399693168594</v>
      </c>
      <c r="AN3285">
        <v>1.00000000326311</v>
      </c>
    </row>
    <row r="3286" spans="1:40" x14ac:dyDescent="0.3">
      <c r="A3286" t="str">
        <f>"20200111150416361"</f>
        <v>20200111150416361</v>
      </c>
      <c r="B3286" t="str">
        <f>"1578726256351369"</f>
        <v>1578726256351369</v>
      </c>
      <c r="C3286" t="s">
        <v>40</v>
      </c>
      <c r="D3286">
        <v>5.2396140000000004</v>
      </c>
      <c r="E3286">
        <v>0.39066200000000001</v>
      </c>
      <c r="F3286" t="s">
        <v>77</v>
      </c>
      <c r="G3286">
        <v>-159.3991</v>
      </c>
      <c r="H3286">
        <v>0.81331549999999997</v>
      </c>
      <c r="I3286">
        <v>25.184940000000001</v>
      </c>
      <c r="J3286">
        <v>-185.03059999999999</v>
      </c>
      <c r="K3286">
        <v>1.11571</v>
      </c>
      <c r="L3286">
        <v>-52.624850000000002</v>
      </c>
      <c r="M3286">
        <v>0.65568979999999999</v>
      </c>
      <c r="N3286">
        <v>0</v>
      </c>
      <c r="O3286">
        <v>0.75484379999999995</v>
      </c>
      <c r="P3286">
        <v>0.54850969999999999</v>
      </c>
      <c r="Q3286">
        <v>0.1601862</v>
      </c>
      <c r="R3286">
        <v>0.82065669999999902</v>
      </c>
      <c r="S3286">
        <v>0.99197389999999996</v>
      </c>
      <c r="T3286">
        <v>-1.166999E-2</v>
      </c>
      <c r="U3286">
        <v>3.0065919999999999</v>
      </c>
      <c r="V3286">
        <v>-0.12866</v>
      </c>
      <c r="W3286">
        <v>0.17328829999999901</v>
      </c>
      <c r="X3286">
        <v>0.9764311</v>
      </c>
      <c r="Y3286">
        <v>-0.3862218</v>
      </c>
      <c r="Z3286">
        <v>-2.2971189999999998E-3</v>
      </c>
      <c r="AA3286">
        <v>0.92240310000000003</v>
      </c>
      <c r="AB3286">
        <v>21</v>
      </c>
      <c r="AC3286">
        <v>25.6314999999999</v>
      </c>
      <c r="AD3286">
        <v>-0.30239450000000001</v>
      </c>
      <c r="AE3286">
        <v>77.809790000000007</v>
      </c>
      <c r="AF3286">
        <v>-31.6753374277299</v>
      </c>
      <c r="AG3286">
        <v>-0.30239450000000001</v>
      </c>
      <c r="AH3286">
        <v>75.550164326783204</v>
      </c>
      <c r="AI3286">
        <v>90.211492969385603</v>
      </c>
      <c r="AJ3286">
        <v>112.74646822157401</v>
      </c>
      <c r="AK3286">
        <v>81.922193411786296</v>
      </c>
      <c r="AL3286">
        <v>80.020936500709496</v>
      </c>
      <c r="AM3286">
        <v>97.506368076447202</v>
      </c>
      <c r="AN3286">
        <v>0.99999996178204897</v>
      </c>
    </row>
    <row r="3287" spans="1:40" x14ac:dyDescent="0.3">
      <c r="A3287" t="str">
        <f>"20200111150416376"</f>
        <v>20200111150416376</v>
      </c>
      <c r="B3287" t="str">
        <f>"1578726256371865"</f>
        <v>1578726256371865</v>
      </c>
      <c r="C3287" t="s">
        <v>40</v>
      </c>
      <c r="D3287">
        <v>5.3063640000000003</v>
      </c>
      <c r="E3287">
        <v>0.41680830000000002</v>
      </c>
      <c r="F3287" t="s">
        <v>86</v>
      </c>
      <c r="G3287">
        <v>-165.98330000000001</v>
      </c>
      <c r="H3287">
        <v>0.88533209999999996</v>
      </c>
      <c r="I3287">
        <v>7.3802310000000002</v>
      </c>
      <c r="J3287">
        <v>-184.94739999999999</v>
      </c>
      <c r="K3287">
        <v>1.1156820000000001</v>
      </c>
      <c r="L3287">
        <v>-52.507080000000002</v>
      </c>
      <c r="M3287">
        <v>0.64589169999999996</v>
      </c>
      <c r="N3287">
        <v>0</v>
      </c>
      <c r="O3287">
        <v>0.76324459999999905</v>
      </c>
      <c r="P3287">
        <v>0.53812230000000005</v>
      </c>
      <c r="Q3287">
        <v>0.15974659999999999</v>
      </c>
      <c r="R3287">
        <v>0.8275901</v>
      </c>
      <c r="S3287">
        <v>0.95788569999999995</v>
      </c>
      <c r="T3287">
        <v>-1.1585710000000001E-2</v>
      </c>
      <c r="U3287">
        <v>3.017639</v>
      </c>
      <c r="V3287">
        <v>-0.12839610000000001</v>
      </c>
      <c r="W3287">
        <v>0.17285809999999999</v>
      </c>
      <c r="X3287">
        <v>0.97654209999999997</v>
      </c>
      <c r="Y3287">
        <v>-0.3847546</v>
      </c>
      <c r="Z3287">
        <v>-2.320426E-3</v>
      </c>
      <c r="AA3287">
        <v>0.92301599999999995</v>
      </c>
      <c r="AB3287">
        <v>21</v>
      </c>
      <c r="AC3287">
        <v>18.964099999999899</v>
      </c>
      <c r="AD3287">
        <v>-0.2303499</v>
      </c>
      <c r="AE3287">
        <v>59.887310999999997</v>
      </c>
      <c r="AF3287">
        <v>-24.2095535602807</v>
      </c>
      <c r="AG3287">
        <v>-0.2303499</v>
      </c>
      <c r="AH3287">
        <v>57.964804010883597</v>
      </c>
      <c r="AI3287">
        <v>90.210101434902995</v>
      </c>
      <c r="AJ3287">
        <v>112.66832015646401</v>
      </c>
      <c r="AK3287">
        <v>62.817784493602502</v>
      </c>
      <c r="AL3287">
        <v>80.045962973862501</v>
      </c>
      <c r="AM3287">
        <v>97.490304663691205</v>
      </c>
      <c r="AN3287">
        <v>0.99999997715161404</v>
      </c>
    </row>
    <row r="3288" spans="1:40" x14ac:dyDescent="0.3">
      <c r="A3288" t="str">
        <f>"20200111150416390"</f>
        <v>20200111150416390</v>
      </c>
      <c r="B3288" t="str">
        <f>"1578726256381625"</f>
        <v>1578726256381625</v>
      </c>
      <c r="C3288" t="s">
        <v>40</v>
      </c>
      <c r="D3288">
        <v>5.2785710000000003</v>
      </c>
      <c r="E3288">
        <v>0.41605229999999999</v>
      </c>
      <c r="F3288" t="s">
        <v>41</v>
      </c>
      <c r="G3288">
        <v>-179.95779999999999</v>
      </c>
      <c r="H3288">
        <v>3.5360339999999997E-2</v>
      </c>
      <c r="I3288">
        <v>-39.260899999999999</v>
      </c>
      <c r="J3288">
        <v>-184.87190000000001</v>
      </c>
      <c r="K3288">
        <v>1.1156600000000001</v>
      </c>
      <c r="L3288">
        <v>-52.397460000000002</v>
      </c>
      <c r="M3288">
        <v>0.63674580000000003</v>
      </c>
      <c r="N3288">
        <v>0</v>
      </c>
      <c r="O3288">
        <v>0.7708914</v>
      </c>
      <c r="P3288">
        <v>0.52814329999999998</v>
      </c>
      <c r="Q3288">
        <v>0.15933459999999999</v>
      </c>
      <c r="R3288">
        <v>0.83407260000000005</v>
      </c>
      <c r="S3288">
        <v>1.110886</v>
      </c>
      <c r="T3288">
        <v>-0.24051990000000001</v>
      </c>
      <c r="U3288">
        <v>2.9490970000000001</v>
      </c>
      <c r="V3288">
        <v>-0.12851270000000001</v>
      </c>
      <c r="W3288">
        <v>0.17244429999999999</v>
      </c>
      <c r="X3288">
        <v>0.97659989999999997</v>
      </c>
      <c r="Y3288">
        <v>-0.32469680000000001</v>
      </c>
      <c r="Z3288">
        <v>-5.0612320000000002E-2</v>
      </c>
      <c r="AA3288">
        <v>0.94446300000000005</v>
      </c>
      <c r="AB3288">
        <v>21</v>
      </c>
      <c r="AC3288">
        <v>4.9141000000000101</v>
      </c>
      <c r="AD3288">
        <v>-1.0802996600000001</v>
      </c>
      <c r="AE3288">
        <v>13.1365599999999</v>
      </c>
      <c r="AF3288">
        <v>-4.5500619272560003</v>
      </c>
      <c r="AG3288">
        <v>-1.0802996600000001</v>
      </c>
      <c r="AH3288">
        <v>13.179568922624499</v>
      </c>
      <c r="AI3288">
        <v>94.430445116657395</v>
      </c>
      <c r="AJ3288">
        <v>109.046518085381</v>
      </c>
      <c r="AK3288">
        <v>13.984675465790099</v>
      </c>
      <c r="AL3288">
        <v>80.070033238229001</v>
      </c>
      <c r="AM3288">
        <v>97.496590808679599</v>
      </c>
      <c r="AN3288">
        <v>0.99999995767189398</v>
      </c>
    </row>
    <row r="3289" spans="1:40" x14ac:dyDescent="0.3">
      <c r="A3289" t="str">
        <f>"20200111150416403"</f>
        <v>20200111150416403</v>
      </c>
      <c r="B3289" t="str">
        <f>"1578726256391386"</f>
        <v>1578726256391386</v>
      </c>
      <c r="C3289" t="s">
        <v>40</v>
      </c>
      <c r="D3289">
        <v>5.2666659999999998</v>
      </c>
      <c r="E3289">
        <v>0.41579120000000003</v>
      </c>
      <c r="F3289" t="s">
        <v>41</v>
      </c>
      <c r="G3289">
        <v>-179.95779999999999</v>
      </c>
      <c r="H3289">
        <v>1.434062E-2</v>
      </c>
      <c r="I3289">
        <v>-38.777700000000003</v>
      </c>
      <c r="J3289">
        <v>-184.80459999999999</v>
      </c>
      <c r="K3289">
        <v>1.115639</v>
      </c>
      <c r="L3289">
        <v>-52.296779999999998</v>
      </c>
      <c r="M3289">
        <v>0.62834159999999994</v>
      </c>
      <c r="N3289">
        <v>0</v>
      </c>
      <c r="O3289">
        <v>0.77775689999999997</v>
      </c>
      <c r="P3289">
        <v>0.51910859999999903</v>
      </c>
      <c r="Q3289">
        <v>0.15918660000000001</v>
      </c>
      <c r="R3289">
        <v>0.83975349999999904</v>
      </c>
      <c r="S3289">
        <v>1.069855</v>
      </c>
      <c r="T3289">
        <v>-0.23977010000000001</v>
      </c>
      <c r="U3289">
        <v>2.965179</v>
      </c>
      <c r="V3289">
        <v>-0.12846199999999999</v>
      </c>
      <c r="W3289">
        <v>0.17229820000000001</v>
      </c>
      <c r="X3289">
        <v>0.97663239999999996</v>
      </c>
      <c r="Y3289">
        <v>-0.3276348</v>
      </c>
      <c r="Z3289">
        <v>-5.0991460000000002E-2</v>
      </c>
      <c r="AA3289">
        <v>0.94342740000000003</v>
      </c>
      <c r="AB3289">
        <v>21</v>
      </c>
      <c r="AC3289">
        <v>4.8468</v>
      </c>
      <c r="AD3289">
        <v>-1.10129838</v>
      </c>
      <c r="AE3289">
        <v>13.519079999999899</v>
      </c>
      <c r="AF3289">
        <v>-4.6980064988989501</v>
      </c>
      <c r="AG3289">
        <v>-1.10129838</v>
      </c>
      <c r="AH3289">
        <v>13.4826274312083</v>
      </c>
      <c r="AI3289">
        <v>94.410730383766193</v>
      </c>
      <c r="AJ3289">
        <v>109.210834393497</v>
      </c>
      <c r="AK3289">
        <v>14.320103548307801</v>
      </c>
      <c r="AL3289">
        <v>80.078531774955295</v>
      </c>
      <c r="AM3289">
        <v>97.493420383008697</v>
      </c>
      <c r="AN3289">
        <v>0.99999999994849997</v>
      </c>
    </row>
    <row r="3290" spans="1:40" x14ac:dyDescent="0.3">
      <c r="A3290" t="str">
        <f>"20200111150416421"</f>
        <v>20200111150416421</v>
      </c>
      <c r="B3290" t="str">
        <f>"1578726256411884"</f>
        <v>1578726256411884</v>
      </c>
      <c r="C3290" t="s">
        <v>40</v>
      </c>
      <c r="D3290">
        <v>5.1773509999999998</v>
      </c>
      <c r="E3290">
        <v>0.41491289999999997</v>
      </c>
      <c r="F3290" t="s">
        <v>41</v>
      </c>
      <c r="G3290">
        <v>-180.01339999999999</v>
      </c>
      <c r="H3290" s="1">
        <v>-3.2806380000000002E-6</v>
      </c>
      <c r="I3290">
        <v>-38.5199</v>
      </c>
      <c r="J3290">
        <v>-184.7158</v>
      </c>
      <c r="K3290">
        <v>1.115607</v>
      </c>
      <c r="L3290">
        <v>-52.160490000000003</v>
      </c>
      <c r="M3290">
        <v>0.61692519999999995</v>
      </c>
      <c r="N3290">
        <v>0</v>
      </c>
      <c r="O3290">
        <v>0.78684330000000002</v>
      </c>
      <c r="P3290">
        <v>0.50691330000000001</v>
      </c>
      <c r="Q3290">
        <v>0.15809409999999999</v>
      </c>
      <c r="R3290">
        <v>0.84737549999999995</v>
      </c>
      <c r="S3290">
        <v>1.03566</v>
      </c>
      <c r="T3290">
        <v>-0.24115610000000001</v>
      </c>
      <c r="U3290">
        <v>2.9779969999999998</v>
      </c>
      <c r="V3290">
        <v>-0.1284178</v>
      </c>
      <c r="W3290">
        <v>0.17121029999999901</v>
      </c>
      <c r="X3290">
        <v>0.97682950000000002</v>
      </c>
      <c r="Y3290">
        <v>-0.324791</v>
      </c>
      <c r="Z3290">
        <v>-5.218594E-2</v>
      </c>
      <c r="AA3290">
        <v>0.94434499999999999</v>
      </c>
      <c r="AB3290">
        <v>21</v>
      </c>
      <c r="AC3290">
        <v>4.7024000000000097</v>
      </c>
      <c r="AD3290">
        <v>-1.1156102806379999</v>
      </c>
      <c r="AE3290">
        <v>13.64059</v>
      </c>
      <c r="AF3290">
        <v>-4.68780831528961</v>
      </c>
      <c r="AG3290">
        <v>-1.1156102806379999</v>
      </c>
      <c r="AH3290">
        <v>13.5549137746762</v>
      </c>
      <c r="AI3290">
        <v>94.447670159012702</v>
      </c>
      <c r="AJ3290">
        <v>109.077345409529</v>
      </c>
      <c r="AK3290">
        <v>14.3859591455721</v>
      </c>
      <c r="AL3290">
        <v>80.141803947022893</v>
      </c>
      <c r="AM3290">
        <v>97.489377089699403</v>
      </c>
      <c r="AN3290">
        <v>0.99999998512658905</v>
      </c>
    </row>
    <row r="3291" spans="1:40" x14ac:dyDescent="0.3">
      <c r="A3291" t="str">
        <f>"20200111150416435"</f>
        <v>20200111150416435</v>
      </c>
      <c r="B3291" t="str">
        <f>"1578726256431402"</f>
        <v>1578726256431402</v>
      </c>
      <c r="C3291" t="s">
        <v>40</v>
      </c>
      <c r="D3291">
        <v>5.10839</v>
      </c>
      <c r="E3291">
        <v>0.41417779999999998</v>
      </c>
      <c r="F3291" t="s">
        <v>41</v>
      </c>
      <c r="G3291">
        <v>-180.18520000000001</v>
      </c>
      <c r="H3291" s="1">
        <v>-3.281184E-6</v>
      </c>
      <c r="I3291">
        <v>-38.383949999999999</v>
      </c>
      <c r="J3291">
        <v>-184.6473</v>
      </c>
      <c r="K3291">
        <v>1.115591</v>
      </c>
      <c r="L3291">
        <v>-52.052399999999999</v>
      </c>
      <c r="M3291">
        <v>0.60784179999999999</v>
      </c>
      <c r="N3291">
        <v>0</v>
      </c>
      <c r="O3291">
        <v>0.79388139999999996</v>
      </c>
      <c r="P3291">
        <v>0.49727300000000002</v>
      </c>
      <c r="Q3291">
        <v>0.15776660000000001</v>
      </c>
      <c r="R3291">
        <v>0.85312909999999997</v>
      </c>
      <c r="S3291">
        <v>0.98533630000000005</v>
      </c>
      <c r="T3291">
        <v>-0.24262790000000001</v>
      </c>
      <c r="U3291">
        <v>2.9961850000000001</v>
      </c>
      <c r="V3291">
        <v>-0.1282886</v>
      </c>
      <c r="W3291">
        <v>0.17088709999999999</v>
      </c>
      <c r="X3291">
        <v>0.97690310000000002</v>
      </c>
      <c r="Y3291">
        <v>-0.32994590000000001</v>
      </c>
      <c r="Z3291">
        <v>-5.3009290000000001E-2</v>
      </c>
      <c r="AA3291">
        <v>0.94251039999999997</v>
      </c>
      <c r="AB3291">
        <v>21</v>
      </c>
      <c r="AC3291">
        <v>4.4620999999999897</v>
      </c>
      <c r="AD3291">
        <v>-1.1155942811839901</v>
      </c>
      <c r="AE3291">
        <v>13.66845</v>
      </c>
      <c r="AF3291">
        <v>-4.7380232356104601</v>
      </c>
      <c r="AG3291">
        <v>-1.1155942811839901</v>
      </c>
      <c r="AH3291">
        <v>13.484108938161601</v>
      </c>
      <c r="AI3291">
        <v>94.4632053689119</v>
      </c>
      <c r="AJ3291">
        <v>109.36036839218001</v>
      </c>
      <c r="AK3291">
        <v>14.335780712525001</v>
      </c>
      <c r="AL3291">
        <v>80.160599242935305</v>
      </c>
      <c r="AM3291">
        <v>97.481370200274995</v>
      </c>
      <c r="AN3291">
        <v>1.0000000163129801</v>
      </c>
    </row>
    <row r="3292" spans="1:40" x14ac:dyDescent="0.3">
      <c r="A3292" t="str">
        <f>"20200111150416449"</f>
        <v>20200111150416449</v>
      </c>
      <c r="B3292" t="str">
        <f>"1578726256442138"</f>
        <v>1578726256442138</v>
      </c>
      <c r="C3292" t="s">
        <v>40</v>
      </c>
      <c r="D3292">
        <v>5.1426400000000001</v>
      </c>
      <c r="E3292">
        <v>0.41358650000000002</v>
      </c>
      <c r="F3292" t="s">
        <v>41</v>
      </c>
      <c r="G3292">
        <v>-180.3031</v>
      </c>
      <c r="H3292" s="1">
        <v>-3.3048300000000001E-6</v>
      </c>
      <c r="I3292">
        <v>-38.222239999999999</v>
      </c>
      <c r="J3292">
        <v>-184.57820000000001</v>
      </c>
      <c r="K3292">
        <v>1.115575</v>
      </c>
      <c r="L3292">
        <v>-51.940770000000001</v>
      </c>
      <c r="M3292">
        <v>0.59843020000000002</v>
      </c>
      <c r="N3292">
        <v>0</v>
      </c>
      <c r="O3292">
        <v>0.80099980000000004</v>
      </c>
      <c r="P3292">
        <v>0.4872302</v>
      </c>
      <c r="Q3292">
        <v>0.15767439999999999</v>
      </c>
      <c r="R3292">
        <v>0.85892119999999905</v>
      </c>
      <c r="S3292">
        <v>0.94554139999999998</v>
      </c>
      <c r="T3292">
        <v>-0.24281639999999999</v>
      </c>
      <c r="U3292">
        <v>3.0102229999999999</v>
      </c>
      <c r="V3292">
        <v>-0.12822069999999999</v>
      </c>
      <c r="W3292">
        <v>0.17079730000000001</v>
      </c>
      <c r="X3292">
        <v>0.97692769999999995</v>
      </c>
      <c r="Y3292">
        <v>-0.33141369999999998</v>
      </c>
      <c r="Z3292">
        <v>-5.366191E-2</v>
      </c>
      <c r="AA3292">
        <v>0.94195819999999997</v>
      </c>
      <c r="AB3292">
        <v>21</v>
      </c>
      <c r="AC3292">
        <v>4.2751000000000001</v>
      </c>
      <c r="AD3292">
        <v>-1.1155783048299901</v>
      </c>
      <c r="AE3292">
        <v>13.718529999999999</v>
      </c>
      <c r="AF3292">
        <v>-4.7572260131851696</v>
      </c>
      <c r="AG3292">
        <v>-1.1155783048299901</v>
      </c>
      <c r="AH3292">
        <v>13.467614502030299</v>
      </c>
      <c r="AI3292">
        <v>94.465997507518907</v>
      </c>
      <c r="AJ3292">
        <v>109.45497780946199</v>
      </c>
      <c r="AK3292">
        <v>14.3266309602094</v>
      </c>
      <c r="AL3292">
        <v>80.165820995797802</v>
      </c>
      <c r="AM3292">
        <v>97.477269155537797</v>
      </c>
      <c r="AN3292">
        <v>0.99999999831153397</v>
      </c>
    </row>
    <row r="3293" spans="1:40" x14ac:dyDescent="0.3">
      <c r="A3293" t="str">
        <f>"20200111150416465"</f>
        <v>20200111150416465</v>
      </c>
      <c r="B3293" t="str">
        <f>"1578726256461657"</f>
        <v>1578726256461657</v>
      </c>
      <c r="C3293" t="s">
        <v>40</v>
      </c>
      <c r="D3293">
        <v>5.1314469999999996</v>
      </c>
      <c r="E3293">
        <v>0.40738190000000002</v>
      </c>
      <c r="F3293" t="s">
        <v>41</v>
      </c>
      <c r="G3293">
        <v>-180.3768</v>
      </c>
      <c r="H3293" s="1">
        <v>-3.3899630000000002E-6</v>
      </c>
      <c r="I3293">
        <v>-37.914490000000001</v>
      </c>
      <c r="J3293">
        <v>-184.50069999999999</v>
      </c>
      <c r="K3293">
        <v>1.1155630000000001</v>
      </c>
      <c r="L3293">
        <v>-51.811190000000003</v>
      </c>
      <c r="M3293">
        <v>0.58748659999999997</v>
      </c>
      <c r="N3293">
        <v>0</v>
      </c>
      <c r="O3293">
        <v>0.80906060000000002</v>
      </c>
      <c r="P3293">
        <v>0.47552850000000002</v>
      </c>
      <c r="Q3293">
        <v>0.15793650000000001</v>
      </c>
      <c r="R3293">
        <v>0.86540669999999897</v>
      </c>
      <c r="S3293">
        <v>0.90556340000000002</v>
      </c>
      <c r="T3293">
        <v>-0.24045179999999999</v>
      </c>
      <c r="U3293">
        <v>3.0232239999999999</v>
      </c>
      <c r="V3293">
        <v>-0.12817100000000001</v>
      </c>
      <c r="W3293">
        <v>0.17105989999999999</v>
      </c>
      <c r="X3293">
        <v>0.97688819999999998</v>
      </c>
      <c r="Y3293">
        <v>-0.33113480000000001</v>
      </c>
      <c r="Z3293">
        <v>-5.3890470000000003E-2</v>
      </c>
      <c r="AA3293">
        <v>0.94204330000000003</v>
      </c>
      <c r="AB3293">
        <v>21</v>
      </c>
      <c r="AC3293">
        <v>4.1238999999999901</v>
      </c>
      <c r="AD3293">
        <v>-1.1155663899629999</v>
      </c>
      <c r="AE3293">
        <v>13.896699999999999</v>
      </c>
      <c r="AF3293">
        <v>-4.7998892062129803</v>
      </c>
      <c r="AG3293">
        <v>-1.1155663899629999</v>
      </c>
      <c r="AH3293">
        <v>13.587451840314699</v>
      </c>
      <c r="AI3293">
        <v>94.426684997113</v>
      </c>
      <c r="AJ3293">
        <v>109.456224395303</v>
      </c>
      <c r="AK3293">
        <v>14.453451915553201</v>
      </c>
      <c r="AL3293">
        <v>80.150549663310002</v>
      </c>
      <c r="AM3293">
        <v>97.474702452379802</v>
      </c>
      <c r="AN3293">
        <v>0.99999992496412204</v>
      </c>
    </row>
    <row r="3294" spans="1:40" x14ac:dyDescent="0.3">
      <c r="A3294" t="str">
        <f>"20200111150416479"</f>
        <v>20200111150416479</v>
      </c>
      <c r="B3294" t="str">
        <f>"1578726256471417"</f>
        <v>1578726256471417</v>
      </c>
      <c r="C3294" t="s">
        <v>40</v>
      </c>
      <c r="D3294">
        <v>5.1170429999999998</v>
      </c>
      <c r="E3294">
        <v>0.40658300000000003</v>
      </c>
      <c r="F3294" t="s">
        <v>41</v>
      </c>
      <c r="G3294">
        <v>-180.1566</v>
      </c>
      <c r="H3294" s="1">
        <v>-4.2314200000000004E-6</v>
      </c>
      <c r="I3294">
        <v>-35.61401</v>
      </c>
      <c r="J3294">
        <v>-184.4427</v>
      </c>
      <c r="K3294">
        <v>1.1155520000000001</v>
      </c>
      <c r="L3294">
        <v>-51.711269999999999</v>
      </c>
      <c r="M3294">
        <v>0.57902619999999905</v>
      </c>
      <c r="N3294">
        <v>0</v>
      </c>
      <c r="O3294">
        <v>0.815137</v>
      </c>
      <c r="P3294">
        <v>0.4668059</v>
      </c>
      <c r="Q3294">
        <v>0.158246</v>
      </c>
      <c r="R3294">
        <v>0.87008649999999998</v>
      </c>
      <c r="S3294">
        <v>0.81929019999999997</v>
      </c>
      <c r="T3294">
        <v>-0.21039530000000001</v>
      </c>
      <c r="U3294">
        <v>3.0547789999999999</v>
      </c>
      <c r="V3294">
        <v>-0.12778320000000001</v>
      </c>
      <c r="W3294">
        <v>0.17138030000000001</v>
      </c>
      <c r="X3294">
        <v>0.9768829</v>
      </c>
      <c r="Y3294">
        <v>-0.3484603</v>
      </c>
      <c r="Z3294">
        <v>-4.7213930000000001E-2</v>
      </c>
      <c r="AA3294">
        <v>0.93613369999999996</v>
      </c>
      <c r="AB3294">
        <v>21</v>
      </c>
      <c r="AC3294">
        <v>4.2861000000000002</v>
      </c>
      <c r="AD3294">
        <v>-1.11555623142</v>
      </c>
      <c r="AE3294">
        <v>16.097259999999999</v>
      </c>
      <c r="AF3294">
        <v>-5.8017743839507903</v>
      </c>
      <c r="AG3294">
        <v>-1.11555623142</v>
      </c>
      <c r="AH3294">
        <v>15.5357509908601</v>
      </c>
      <c r="AI3294">
        <v>93.848381036843904</v>
      </c>
      <c r="AJ3294">
        <v>110.477978368222</v>
      </c>
      <c r="AK3294">
        <v>16.621209659881501</v>
      </c>
      <c r="AL3294">
        <v>80.131917458327905</v>
      </c>
      <c r="AM3294">
        <v>97.452381218728405</v>
      </c>
      <c r="AN3294">
        <v>0.99999997687136899</v>
      </c>
    </row>
    <row r="3295" spans="1:40" x14ac:dyDescent="0.3">
      <c r="A3295" t="str">
        <f>"20200111150416492"</f>
        <v>20200111150416492</v>
      </c>
      <c r="B3295" t="str">
        <f>"1578726256482153"</f>
        <v>1578726256482153</v>
      </c>
      <c r="C3295" t="s">
        <v>40</v>
      </c>
      <c r="D3295">
        <v>5.1524409999999996</v>
      </c>
      <c r="E3295">
        <v>0.40657369999999998</v>
      </c>
      <c r="F3295" t="s">
        <v>41</v>
      </c>
      <c r="G3295">
        <v>-180.20869999999999</v>
      </c>
      <c r="H3295" s="1">
        <v>-4.3830890000000003E-6</v>
      </c>
      <c r="I3295">
        <v>-35.127600000000001</v>
      </c>
      <c r="J3295">
        <v>-184.37880000000001</v>
      </c>
      <c r="K3295">
        <v>1.1155459999999999</v>
      </c>
      <c r="L3295">
        <v>-51.599060000000001</v>
      </c>
      <c r="M3295">
        <v>0.56948449999999995</v>
      </c>
      <c r="N3295">
        <v>0</v>
      </c>
      <c r="O3295">
        <v>0.821831599999999</v>
      </c>
      <c r="P3295">
        <v>0.45704349999999999</v>
      </c>
      <c r="Q3295">
        <v>0.158304799999999</v>
      </c>
      <c r="R3295">
        <v>0.87524329999999995</v>
      </c>
      <c r="S3295">
        <v>0.78266910000000001</v>
      </c>
      <c r="T3295">
        <v>-0.2062147</v>
      </c>
      <c r="U3295">
        <v>3.0655519999999998</v>
      </c>
      <c r="V3295">
        <v>-0.12731300000000001</v>
      </c>
      <c r="W3295">
        <v>0.1714522</v>
      </c>
      <c r="X3295">
        <v>0.97693169999999996</v>
      </c>
      <c r="Y3295">
        <v>-0.3488175</v>
      </c>
      <c r="Z3295">
        <v>-4.6801919999999997E-2</v>
      </c>
      <c r="AA3295">
        <v>0.93602129999999995</v>
      </c>
      <c r="AB3295">
        <v>21</v>
      </c>
      <c r="AC3295">
        <v>4.1701000000000104</v>
      </c>
      <c r="AD3295">
        <v>-1.1155503830889999</v>
      </c>
      <c r="AE3295">
        <v>16.471459999999901</v>
      </c>
      <c r="AF3295">
        <v>-5.9284007744668301</v>
      </c>
      <c r="AG3295">
        <v>-1.1155503830889999</v>
      </c>
      <c r="AH3295">
        <v>15.845500570971399</v>
      </c>
      <c r="AI3295">
        <v>93.772499483863896</v>
      </c>
      <c r="AJ3295">
        <v>110.512723150957</v>
      </c>
      <c r="AK3295">
        <v>16.954948444172899</v>
      </c>
      <c r="AL3295">
        <v>80.127736247817097</v>
      </c>
      <c r="AM3295">
        <v>97.424898707836306</v>
      </c>
      <c r="AN3295">
        <v>1.00000000165936</v>
      </c>
    </row>
    <row r="3296" spans="1:40" x14ac:dyDescent="0.3">
      <c r="A3296" t="str">
        <f>"20200111150416506"</f>
        <v>20200111150416506</v>
      </c>
      <c r="B3296" t="str">
        <f>"1578726256501673"</f>
        <v>1578726256501673</v>
      </c>
      <c r="C3296" t="s">
        <v>40</v>
      </c>
      <c r="D3296">
        <v>5.1183709999999998</v>
      </c>
      <c r="E3296">
        <v>0.4075665</v>
      </c>
      <c r="F3296" t="s">
        <v>41</v>
      </c>
      <c r="G3296">
        <v>-180.35730000000001</v>
      </c>
      <c r="H3296" s="1">
        <v>-4.3629000000000002E-6</v>
      </c>
      <c r="I3296">
        <v>-35.07067</v>
      </c>
      <c r="J3296">
        <v>-184.3168</v>
      </c>
      <c r="K3296">
        <v>1.1155389999999901</v>
      </c>
      <c r="L3296">
        <v>-51.486969999999999</v>
      </c>
      <c r="M3296">
        <v>0.55992759999999997</v>
      </c>
      <c r="N3296">
        <v>0</v>
      </c>
      <c r="O3296">
        <v>0.82837240000000001</v>
      </c>
      <c r="P3296">
        <v>0.44723190000000002</v>
      </c>
      <c r="Q3296">
        <v>0.15814</v>
      </c>
      <c r="R3296">
        <v>0.88032690000000002</v>
      </c>
      <c r="S3296">
        <v>0.74804689999999996</v>
      </c>
      <c r="T3296">
        <v>-0.20750879999999999</v>
      </c>
      <c r="U3296">
        <v>3.0745239999999998</v>
      </c>
      <c r="V3296">
        <v>-0.12692510000000001</v>
      </c>
      <c r="W3296">
        <v>0.17129949999999999</v>
      </c>
      <c r="X3296">
        <v>0.97700889999999996</v>
      </c>
      <c r="Y3296">
        <v>-0.34855069999999999</v>
      </c>
      <c r="Z3296">
        <v>-4.7635320000000002E-2</v>
      </c>
      <c r="AA3296">
        <v>0.93607870000000004</v>
      </c>
      <c r="AB3296">
        <v>21</v>
      </c>
      <c r="AC3296">
        <v>3.95949999999999</v>
      </c>
      <c r="AD3296">
        <v>-1.11554336289999</v>
      </c>
      <c r="AE3296">
        <v>16.4163</v>
      </c>
      <c r="AF3296">
        <v>-5.8871372232843404</v>
      </c>
      <c r="AG3296">
        <v>-1.11554336289999</v>
      </c>
      <c r="AH3296">
        <v>15.7493328247725</v>
      </c>
      <c r="AI3296">
        <v>93.795860529774899</v>
      </c>
      <c r="AJ3296">
        <v>110.49586002090901</v>
      </c>
      <c r="AK3296">
        <v>16.850647053028801</v>
      </c>
      <c r="AL3296">
        <v>80.136616130604494</v>
      </c>
      <c r="AM3296">
        <v>97.401949212128798</v>
      </c>
      <c r="AN3296">
        <v>0.99999994519473301</v>
      </c>
    </row>
    <row r="3297" spans="1:40" x14ac:dyDescent="0.3">
      <c r="A3297" t="str">
        <f>"20200111150416523"</f>
        <v>20200111150416523</v>
      </c>
      <c r="B3297" t="str">
        <f>"1578726256511433"</f>
        <v>1578726256511433</v>
      </c>
      <c r="C3297" t="s">
        <v>40</v>
      </c>
      <c r="D3297">
        <v>5.1329279999999997</v>
      </c>
      <c r="E3297">
        <v>0.40800019999999998</v>
      </c>
      <c r="F3297" t="s">
        <v>41</v>
      </c>
      <c r="G3297">
        <v>-180.61250000000001</v>
      </c>
      <c r="H3297" s="1">
        <v>-4.0970340000000004E-6</v>
      </c>
      <c r="I3297">
        <v>-35.652389999999997</v>
      </c>
      <c r="J3297">
        <v>-184.24930000000001</v>
      </c>
      <c r="K3297">
        <v>1.115529</v>
      </c>
      <c r="L3297">
        <v>-51.360750000000003</v>
      </c>
      <c r="M3297">
        <v>0.54913650000000003</v>
      </c>
      <c r="N3297">
        <v>0</v>
      </c>
      <c r="O3297">
        <v>0.83556509999999995</v>
      </c>
      <c r="P3297">
        <v>0.4367993</v>
      </c>
      <c r="Q3297">
        <v>0.1573059</v>
      </c>
      <c r="R3297">
        <v>0.88569819999999999</v>
      </c>
      <c r="S3297">
        <v>0.7206726</v>
      </c>
      <c r="T3297">
        <v>-0.2170339</v>
      </c>
      <c r="U3297">
        <v>3.0806879999999999</v>
      </c>
      <c r="V3297">
        <v>-0.1258512</v>
      </c>
      <c r="W3297">
        <v>0.17049800000000001</v>
      </c>
      <c r="X3297">
        <v>0.97728800000000005</v>
      </c>
      <c r="Y3297">
        <v>-0.34472419999999998</v>
      </c>
      <c r="Z3297">
        <v>-5.0522589999999999E-2</v>
      </c>
      <c r="AA3297">
        <v>0.93734340000000005</v>
      </c>
      <c r="AB3297">
        <v>21</v>
      </c>
      <c r="AC3297">
        <v>3.6367999999999898</v>
      </c>
      <c r="AD3297">
        <v>-1.1155330970340001</v>
      </c>
      <c r="AE3297">
        <v>15.708360000000001</v>
      </c>
      <c r="AF3297">
        <v>-5.56141300380086</v>
      </c>
      <c r="AG3297">
        <v>-1.1155330970340001</v>
      </c>
      <c r="AH3297">
        <v>15.052524755257</v>
      </c>
      <c r="AI3297">
        <v>93.976598688623199</v>
      </c>
      <c r="AJ3297">
        <v>110.277613880505</v>
      </c>
      <c r="AK3297">
        <v>16.085777264311702</v>
      </c>
      <c r="AL3297">
        <v>80.183224558471807</v>
      </c>
      <c r="AM3297">
        <v>97.337934558044594</v>
      </c>
      <c r="AN3297">
        <v>0.999999963744719</v>
      </c>
    </row>
    <row r="3298" spans="1:40" x14ac:dyDescent="0.3">
      <c r="A3298" t="str">
        <f>"20200111150416538"</f>
        <v>20200111150416538</v>
      </c>
      <c r="B3298" t="str">
        <f>"1578726256531929"</f>
        <v>1578726256531929</v>
      </c>
      <c r="C3298" t="s">
        <v>40</v>
      </c>
      <c r="D3298">
        <v>5.1177239999999999</v>
      </c>
      <c r="E3298">
        <v>0.40815220000000002</v>
      </c>
      <c r="F3298" t="s">
        <v>41</v>
      </c>
      <c r="G3298">
        <v>-180.8237</v>
      </c>
      <c r="H3298" s="1">
        <v>-3.9337759999999997E-6</v>
      </c>
      <c r="I3298">
        <v>-35.967019999999998</v>
      </c>
      <c r="J3298">
        <v>-184.1806</v>
      </c>
      <c r="K3298">
        <v>1.115524</v>
      </c>
      <c r="L3298">
        <v>-51.22824</v>
      </c>
      <c r="M3298">
        <v>0.53776190000000001</v>
      </c>
      <c r="N3298">
        <v>0</v>
      </c>
      <c r="O3298">
        <v>0.84293059999999997</v>
      </c>
      <c r="P3298">
        <v>0.42504069999999999</v>
      </c>
      <c r="Q3298">
        <v>0.1568261</v>
      </c>
      <c r="R3298">
        <v>0.89148530000000004</v>
      </c>
      <c r="S3298">
        <v>0.687179599999999</v>
      </c>
      <c r="T3298">
        <v>-0.22377820000000001</v>
      </c>
      <c r="U3298">
        <v>3.0880130000000001</v>
      </c>
      <c r="V3298">
        <v>-0.12556800000000001</v>
      </c>
      <c r="W3298">
        <v>0.17002809999999999</v>
      </c>
      <c r="X3298">
        <v>0.97740629999999995</v>
      </c>
      <c r="Y3298">
        <v>-0.34218310000000002</v>
      </c>
      <c r="Z3298">
        <v>-5.28058E-2</v>
      </c>
      <c r="AA3298">
        <v>0.93814830000000005</v>
      </c>
      <c r="AB3298">
        <v>21</v>
      </c>
      <c r="AC3298">
        <v>3.3568999999999898</v>
      </c>
      <c r="AD3298">
        <v>-1.115527933776</v>
      </c>
      <c r="AE3298">
        <v>15.26122</v>
      </c>
      <c r="AF3298">
        <v>-5.3507527988539296</v>
      </c>
      <c r="AG3298">
        <v>-1.115527933776</v>
      </c>
      <c r="AH3298">
        <v>14.5970253900422</v>
      </c>
      <c r="AI3298">
        <v>94.104098438953997</v>
      </c>
      <c r="AJ3298">
        <v>110.131148410016</v>
      </c>
      <c r="AK3298">
        <v>15.5867927529371</v>
      </c>
      <c r="AL3298">
        <v>80.210546912643807</v>
      </c>
      <c r="AM3298">
        <v>97.320724991979006</v>
      </c>
      <c r="AN3298">
        <v>0.99999997634664906</v>
      </c>
    </row>
    <row r="3299" spans="1:40" x14ac:dyDescent="0.3">
      <c r="A3299" t="str">
        <f>"20200111150416558"</f>
        <v>20200111150416558</v>
      </c>
      <c r="B3299" t="str">
        <f>"1578726256551449"</f>
        <v>1578726256551449</v>
      </c>
      <c r="C3299" t="s">
        <v>40</v>
      </c>
      <c r="D3299">
        <v>5.1522199999999998</v>
      </c>
      <c r="E3299">
        <v>0.40833819999999998</v>
      </c>
      <c r="F3299" t="s">
        <v>41</v>
      </c>
      <c r="G3299">
        <v>-181.01329999999999</v>
      </c>
      <c r="H3299" s="1">
        <v>-3.8446009999999998E-6</v>
      </c>
      <c r="I3299">
        <v>-36.080880000000001</v>
      </c>
      <c r="J3299">
        <v>-184.10429999999999</v>
      </c>
      <c r="K3299">
        <v>1.1155189999999999</v>
      </c>
      <c r="L3299">
        <v>-51.075679999999998</v>
      </c>
      <c r="M3299">
        <v>0.5246111</v>
      </c>
      <c r="N3299">
        <v>0</v>
      </c>
      <c r="O3299">
        <v>0.85117759999999998</v>
      </c>
      <c r="P3299">
        <v>0.41164309999999998</v>
      </c>
      <c r="Q3299">
        <v>0.1566698</v>
      </c>
      <c r="R3299">
        <v>0.89777759999999995</v>
      </c>
      <c r="S3299">
        <v>0.64750669999999899</v>
      </c>
      <c r="T3299">
        <v>-0.2280461</v>
      </c>
      <c r="U3299">
        <v>3.0965579999999999</v>
      </c>
      <c r="V3299">
        <v>-0.12503739999999999</v>
      </c>
      <c r="W3299">
        <v>0.1698886</v>
      </c>
      <c r="X3299">
        <v>0.9774986</v>
      </c>
      <c r="Y3299">
        <v>-0.33964759999999899</v>
      </c>
      <c r="Z3299">
        <v>-5.4620179999999997E-2</v>
      </c>
      <c r="AA3299">
        <v>0.93896550000000001</v>
      </c>
      <c r="AB3299">
        <v>21</v>
      </c>
      <c r="AC3299">
        <v>3.0910000000000002</v>
      </c>
      <c r="AD3299">
        <v>-1.1155228446009999</v>
      </c>
      <c r="AE3299">
        <v>14.9947999999999</v>
      </c>
      <c r="AF3299">
        <v>-5.20852994935316</v>
      </c>
      <c r="AG3299">
        <v>-1.1155228446009999</v>
      </c>
      <c r="AH3299">
        <v>14.31084976374</v>
      </c>
      <c r="AI3299">
        <v>94.189367516529998</v>
      </c>
      <c r="AJ3299">
        <v>109.999316295295</v>
      </c>
      <c r="AK3299">
        <v>15.2700228032074</v>
      </c>
      <c r="AL3299">
        <v>80.218657913217697</v>
      </c>
      <c r="AM3299">
        <v>97.289443064582002</v>
      </c>
      <c r="AN3299">
        <v>1.00000000040534</v>
      </c>
    </row>
    <row r="3300" spans="1:40" x14ac:dyDescent="0.3">
      <c r="A3300" t="str">
        <f>"20200111150416579"</f>
        <v>20200111150416579</v>
      </c>
      <c r="B3300" t="str">
        <f>"1578726256571945"</f>
        <v>1578726256571945</v>
      </c>
      <c r="C3300" t="s">
        <v>40</v>
      </c>
      <c r="D3300">
        <v>5.129035</v>
      </c>
      <c r="E3300">
        <v>0.40854990000000002</v>
      </c>
      <c r="F3300" t="s">
        <v>41</v>
      </c>
      <c r="G3300">
        <v>-181.2056</v>
      </c>
      <c r="H3300" s="1">
        <v>-3.769811E-6</v>
      </c>
      <c r="I3300">
        <v>-36.150300000000001</v>
      </c>
      <c r="J3300">
        <v>-184.01920000000001</v>
      </c>
      <c r="K3300">
        <v>1.115515</v>
      </c>
      <c r="L3300">
        <v>-50.897829999999999</v>
      </c>
      <c r="M3300">
        <v>0.50920719999999997</v>
      </c>
      <c r="N3300">
        <v>0</v>
      </c>
      <c r="O3300">
        <v>0.86048119999999995</v>
      </c>
      <c r="P3300">
        <v>0.39534789999999997</v>
      </c>
      <c r="Q3300">
        <v>0.1567345</v>
      </c>
      <c r="R3300">
        <v>0.90506039999999999</v>
      </c>
      <c r="S3300">
        <v>0.60314939999999995</v>
      </c>
      <c r="T3300">
        <v>-0.23210700000000001</v>
      </c>
      <c r="U3300">
        <v>3.1055299999999999</v>
      </c>
      <c r="V3300">
        <v>-0.1251072</v>
      </c>
      <c r="W3300">
        <v>0.16995439999999901</v>
      </c>
      <c r="X3300">
        <v>0.97747830000000002</v>
      </c>
      <c r="Y3300">
        <v>-0.33616829999999998</v>
      </c>
      <c r="Z3300">
        <v>-5.6536019999999999E-2</v>
      </c>
      <c r="AA3300">
        <v>0.94010349999999998</v>
      </c>
      <c r="AB3300">
        <v>21</v>
      </c>
      <c r="AC3300">
        <v>2.8136000000000001</v>
      </c>
      <c r="AD3300">
        <v>-1.1155187698109901</v>
      </c>
      <c r="AE3300">
        <v>14.7475299999999</v>
      </c>
      <c r="AF3300">
        <v>-5.06127005054182</v>
      </c>
      <c r="AG3300">
        <v>-1.1155187698109901</v>
      </c>
      <c r="AH3300">
        <v>14.047107386493201</v>
      </c>
      <c r="AI3300">
        <v>94.272692932982906</v>
      </c>
      <c r="AJ3300">
        <v>109.814442676468</v>
      </c>
      <c r="AK3300">
        <v>14.9727105955463</v>
      </c>
      <c r="AL3300">
        <v>80.214832886723499</v>
      </c>
      <c r="AM3300">
        <v>97.293618305690202</v>
      </c>
      <c r="AN3300">
        <v>1.0000000682710399</v>
      </c>
    </row>
    <row r="3301" spans="1:40" x14ac:dyDescent="0.3">
      <c r="A3301" t="str">
        <f>"20200111150416602"</f>
        <v>20200111150416602</v>
      </c>
      <c r="B3301" t="str">
        <f>"1578726256591465"</f>
        <v>1578726256591465</v>
      </c>
      <c r="C3301" t="s">
        <v>40</v>
      </c>
      <c r="D3301">
        <v>5.1508450000000003</v>
      </c>
      <c r="E3301">
        <v>0.4084663</v>
      </c>
      <c r="F3301" t="s">
        <v>41</v>
      </c>
      <c r="G3301">
        <v>-181.41890000000001</v>
      </c>
      <c r="H3301" s="1">
        <v>-3.712498E-6</v>
      </c>
      <c r="I3301">
        <v>-36.151890000000002</v>
      </c>
      <c r="J3301">
        <v>-183.93219999999999</v>
      </c>
      <c r="K3301">
        <v>1.115502</v>
      </c>
      <c r="L3301">
        <v>-50.707180000000001</v>
      </c>
      <c r="M3301">
        <v>0.4926162</v>
      </c>
      <c r="N3301">
        <v>0</v>
      </c>
      <c r="O3301">
        <v>0.87008569999999996</v>
      </c>
      <c r="P3301">
        <v>0.37742920000000002</v>
      </c>
      <c r="Q3301">
        <v>0.157015299999999</v>
      </c>
      <c r="R3301">
        <v>0.91262989999999999</v>
      </c>
      <c r="S3301">
        <v>0.54937740000000002</v>
      </c>
      <c r="T3301">
        <v>-0.2356857</v>
      </c>
      <c r="U3301">
        <v>3.1155089999999999</v>
      </c>
      <c r="V3301">
        <v>-0.125615899999999</v>
      </c>
      <c r="W3301">
        <v>0.17022409999999999</v>
      </c>
      <c r="X3301">
        <v>0.97736610000000002</v>
      </c>
      <c r="Y3301">
        <v>-0.33437830000000002</v>
      </c>
      <c r="Z3301">
        <v>-5.8364949999999999E-2</v>
      </c>
      <c r="AA3301">
        <v>0.94062999999999997</v>
      </c>
      <c r="AB3301">
        <v>21</v>
      </c>
      <c r="AC3301">
        <v>2.5132999999999801</v>
      </c>
      <c r="AD3301">
        <v>-1.1155057124979999</v>
      </c>
      <c r="AE3301">
        <v>14.555289999999999</v>
      </c>
      <c r="AF3301">
        <v>-4.9558179011615104</v>
      </c>
      <c r="AG3301">
        <v>-1.1155057124979999</v>
      </c>
      <c r="AH3301">
        <v>13.8255357071847</v>
      </c>
      <c r="AI3301">
        <v>94.343408927930795</v>
      </c>
      <c r="AJ3301">
        <v>109.720418771534</v>
      </c>
      <c r="AK3301">
        <v>14.729219994783399</v>
      </c>
      <c r="AL3301">
        <v>80.199151499927495</v>
      </c>
      <c r="AM3301">
        <v>97.323785244203094</v>
      </c>
      <c r="AN3301">
        <v>1.00000004599141</v>
      </c>
    </row>
    <row r="3302" spans="1:40" x14ac:dyDescent="0.3">
      <c r="A3302" t="str">
        <f>"20200111150416617"</f>
        <v>20200111150416617</v>
      </c>
      <c r="B3302" t="str">
        <f>"1578726256611961"</f>
        <v>1578726256611961</v>
      </c>
      <c r="C3302" t="s">
        <v>40</v>
      </c>
      <c r="D3302">
        <v>5.1482140000000003</v>
      </c>
      <c r="E3302">
        <v>0.40229179999999998</v>
      </c>
      <c r="F3302" t="s">
        <v>41</v>
      </c>
      <c r="G3302">
        <v>-181.61240000000001</v>
      </c>
      <c r="H3302" s="1">
        <v>-3.770418E-6</v>
      </c>
      <c r="I3302">
        <v>-35.830440000000003</v>
      </c>
      <c r="J3302">
        <v>-183.87790000000001</v>
      </c>
      <c r="K3302">
        <v>1.1154919999999999</v>
      </c>
      <c r="L3302">
        <v>-50.582729999999998</v>
      </c>
      <c r="M3302">
        <v>0.48174339999999999</v>
      </c>
      <c r="N3302">
        <v>0</v>
      </c>
      <c r="O3302">
        <v>0.8761525</v>
      </c>
      <c r="P3302">
        <v>0.36573729999999999</v>
      </c>
      <c r="Q3302">
        <v>0.1568116</v>
      </c>
      <c r="R3302">
        <v>0.91741289999999998</v>
      </c>
      <c r="S3302">
        <v>0.48745729999999998</v>
      </c>
      <c r="T3302">
        <v>-0.2343934</v>
      </c>
      <c r="U3302">
        <v>3.1259459999999999</v>
      </c>
      <c r="V3302">
        <v>-0.12594250000000001</v>
      </c>
      <c r="W3302">
        <v>0.1700149</v>
      </c>
      <c r="X3302">
        <v>0.97736040000000002</v>
      </c>
      <c r="Y3302">
        <v>-0.34130110000000002</v>
      </c>
      <c r="Z3302">
        <v>-5.849472E-2</v>
      </c>
      <c r="AA3302">
        <v>0.93813219999999997</v>
      </c>
      <c r="AB3302">
        <v>21</v>
      </c>
      <c r="AC3302">
        <v>2.2654999999999998</v>
      </c>
      <c r="AD3302">
        <v>-1.115495770418</v>
      </c>
      <c r="AE3302">
        <v>14.752289999999901</v>
      </c>
      <c r="AF3302">
        <v>-5.0941568240543997</v>
      </c>
      <c r="AG3302">
        <v>-1.115495770418</v>
      </c>
      <c r="AH3302">
        <v>13.9407371770184</v>
      </c>
      <c r="AI3302">
        <v>94.298064614121301</v>
      </c>
      <c r="AJ3302">
        <v>110.07307022812699</v>
      </c>
      <c r="AK3302">
        <v>14.884183471073699</v>
      </c>
      <c r="AL3302">
        <v>80.211314284029598</v>
      </c>
      <c r="AM3302">
        <v>97.342661827309598</v>
      </c>
      <c r="AN3302">
        <v>0.99999996550820902</v>
      </c>
    </row>
    <row r="3303" spans="1:40" x14ac:dyDescent="0.3">
      <c r="A3303" t="str">
        <f>"20200111150416634"</f>
        <v>20200111150416634</v>
      </c>
      <c r="B3303" t="str">
        <f>"1578726256621721"</f>
        <v>1578726256621721</v>
      </c>
      <c r="C3303" t="s">
        <v>40</v>
      </c>
      <c r="D3303">
        <v>5.1922560000000004</v>
      </c>
      <c r="E3303">
        <v>0.4033484</v>
      </c>
      <c r="F3303" t="s">
        <v>41</v>
      </c>
      <c r="G3303">
        <v>-181.53200000000001</v>
      </c>
      <c r="H3303" s="1">
        <v>-5.0495249999999997E-6</v>
      </c>
      <c r="I3303">
        <v>-32.13456</v>
      </c>
      <c r="J3303">
        <v>-183.81899999999999</v>
      </c>
      <c r="K3303">
        <v>1.1154759999999999</v>
      </c>
      <c r="L3303">
        <v>-50.442720000000001</v>
      </c>
      <c r="M3303">
        <v>0.46947270000000002</v>
      </c>
      <c r="N3303">
        <v>0</v>
      </c>
      <c r="O3303">
        <v>0.88278840000000003</v>
      </c>
      <c r="P3303">
        <v>0.35257850000000002</v>
      </c>
      <c r="Q3303">
        <v>0.15609899999999999</v>
      </c>
      <c r="R3303">
        <v>0.92267080000000001</v>
      </c>
      <c r="S3303">
        <v>0.399704</v>
      </c>
      <c r="T3303">
        <v>-0.19005939999999999</v>
      </c>
      <c r="U3303">
        <v>3.1432190000000002</v>
      </c>
      <c r="V3303">
        <v>-0.1263186</v>
      </c>
      <c r="W3303">
        <v>0.16929739999999999</v>
      </c>
      <c r="X3303">
        <v>0.97743639999999998</v>
      </c>
      <c r="Y3303">
        <v>-0.35454279999999999</v>
      </c>
      <c r="Z3303">
        <v>-4.7720819999999997E-2</v>
      </c>
      <c r="AA3303">
        <v>0.93382129999999997</v>
      </c>
      <c r="AB3303">
        <v>21</v>
      </c>
      <c r="AC3303">
        <v>2.2869999999999999</v>
      </c>
      <c r="AD3303">
        <v>-1.1154810495249901</v>
      </c>
      <c r="AE3303">
        <v>18.308160000000001</v>
      </c>
      <c r="AF3303">
        <v>-6.5532119217262004</v>
      </c>
      <c r="AG3303">
        <v>-1.1154810495249901</v>
      </c>
      <c r="AH3303">
        <v>17.175549115208401</v>
      </c>
      <c r="AI3303">
        <v>93.472403945911196</v>
      </c>
      <c r="AJ3303">
        <v>110.884007614539</v>
      </c>
      <c r="AK3303">
        <v>18.417067406941801</v>
      </c>
      <c r="AL3303">
        <v>80.253028647524502</v>
      </c>
      <c r="AM3303">
        <v>97.363782419953395</v>
      </c>
      <c r="AN3303">
        <v>0.99999995719883905</v>
      </c>
    </row>
    <row r="3304" spans="1:40" x14ac:dyDescent="0.3">
      <c r="A3304" t="str">
        <f>"20200111150416649"</f>
        <v>20200111150416649</v>
      </c>
      <c r="B3304" t="str">
        <f>"1578726256642217"</f>
        <v>1578726256642217</v>
      </c>
      <c r="C3304" t="s">
        <v>40</v>
      </c>
      <c r="D3304">
        <v>5.1832289999999999</v>
      </c>
      <c r="E3304">
        <v>0.40458840000000001</v>
      </c>
      <c r="F3304" t="s">
        <v>41</v>
      </c>
      <c r="G3304">
        <v>-181.80019999999999</v>
      </c>
      <c r="H3304" s="1">
        <v>-4.7148159999999998E-6</v>
      </c>
      <c r="I3304">
        <v>-32.908410000000003</v>
      </c>
      <c r="J3304">
        <v>-183.7671</v>
      </c>
      <c r="K3304">
        <v>1.1154599999999999</v>
      </c>
      <c r="L3304">
        <v>-50.315309999999997</v>
      </c>
      <c r="M3304">
        <v>0.45827220000000002</v>
      </c>
      <c r="N3304">
        <v>0</v>
      </c>
      <c r="O3304">
        <v>0.88865439999999996</v>
      </c>
      <c r="P3304">
        <v>0.34106700000000001</v>
      </c>
      <c r="Q3304">
        <v>0.15560850000000001</v>
      </c>
      <c r="R3304">
        <v>0.92707030000000001</v>
      </c>
      <c r="S3304">
        <v>0.36230469999999998</v>
      </c>
      <c r="T3304">
        <v>-0.20019319999999999</v>
      </c>
      <c r="U3304">
        <v>3.1468509999999998</v>
      </c>
      <c r="V3304">
        <v>-0.12614220000000001</v>
      </c>
      <c r="W3304">
        <v>0.16881660000000001</v>
      </c>
      <c r="X3304">
        <v>0.97754240000000003</v>
      </c>
      <c r="Y3304">
        <v>-0.35380660000000003</v>
      </c>
      <c r="Z3304">
        <v>-5.0781119999999999E-2</v>
      </c>
      <c r="AA3304">
        <v>0.93393899999999996</v>
      </c>
      <c r="AB3304">
        <v>21</v>
      </c>
      <c r="AC3304">
        <v>1.9669000000000001</v>
      </c>
      <c r="AD3304">
        <v>-1.115464714816</v>
      </c>
      <c r="AE3304">
        <v>17.4069</v>
      </c>
      <c r="AF3304">
        <v>-6.2049170445243202</v>
      </c>
      <c r="AG3304">
        <v>-1.115464714816</v>
      </c>
      <c r="AH3304">
        <v>16.306268688562501</v>
      </c>
      <c r="AI3304">
        <v>93.658210810009294</v>
      </c>
      <c r="AJ3304">
        <v>110.832991858024</v>
      </c>
      <c r="AK3304">
        <v>17.4825528914693</v>
      </c>
      <c r="AL3304">
        <v>80.280979396418601</v>
      </c>
      <c r="AM3304">
        <v>97.352823095381595</v>
      </c>
      <c r="AN3304">
        <v>1.0000000214270699</v>
      </c>
    </row>
    <row r="3305" spans="1:40" x14ac:dyDescent="0.3">
      <c r="A3305" t="str">
        <f>"20200111150416668"</f>
        <v>20200111150416668</v>
      </c>
      <c r="B3305" t="str">
        <f>"1578726256661739"</f>
        <v>1578726256661739</v>
      </c>
      <c r="C3305" t="s">
        <v>40</v>
      </c>
      <c r="D3305">
        <v>5.18377</v>
      </c>
      <c r="E3305">
        <v>0.40537830000000002</v>
      </c>
      <c r="F3305" t="s">
        <v>41</v>
      </c>
      <c r="G3305">
        <v>-182.01009999999999</v>
      </c>
      <c r="H3305" s="1">
        <v>-4.4004740000000002E-6</v>
      </c>
      <c r="I3305">
        <v>-33.668050000000001</v>
      </c>
      <c r="J3305">
        <v>-183.7045</v>
      </c>
      <c r="K3305">
        <v>1.1154329999999999</v>
      </c>
      <c r="L3305">
        <v>-50.154209999999999</v>
      </c>
      <c r="M3305">
        <v>0.44407980000000002</v>
      </c>
      <c r="N3305">
        <v>0</v>
      </c>
      <c r="O3305">
        <v>0.89583099999999904</v>
      </c>
      <c r="P3305">
        <v>0.32740170000000002</v>
      </c>
      <c r="Q3305">
        <v>0.1548871</v>
      </c>
      <c r="R3305">
        <v>0.93210409999999999</v>
      </c>
      <c r="S3305">
        <v>0.33238220000000002</v>
      </c>
      <c r="T3305">
        <v>-0.2110108</v>
      </c>
      <c r="U3305">
        <v>3.1491389999999999</v>
      </c>
      <c r="V3305">
        <v>-0.1249851</v>
      </c>
      <c r="W3305">
        <v>0.1681337</v>
      </c>
      <c r="X3305">
        <v>0.97780869999999998</v>
      </c>
      <c r="Y3305">
        <v>-0.34778500000000001</v>
      </c>
      <c r="Z3305">
        <v>-5.4278399999999997E-2</v>
      </c>
      <c r="AA3305">
        <v>0.93600179999999999</v>
      </c>
      <c r="AB3305">
        <v>21</v>
      </c>
      <c r="AC3305">
        <v>1.6943999999999999</v>
      </c>
      <c r="AD3305">
        <v>-1.115437400474</v>
      </c>
      <c r="AE3305">
        <v>16.486159999999899</v>
      </c>
      <c r="AF3305">
        <v>-5.7779137447489903</v>
      </c>
      <c r="AG3305">
        <v>-1.115437400474</v>
      </c>
      <c r="AH3305">
        <v>15.453432667625099</v>
      </c>
      <c r="AI3305">
        <v>93.867844865948797</v>
      </c>
      <c r="AJ3305">
        <v>110.500364406698</v>
      </c>
      <c r="AK3305">
        <v>16.535932663413899</v>
      </c>
      <c r="AL3305">
        <v>80.320674217116505</v>
      </c>
      <c r="AM3305">
        <v>97.284140870059701</v>
      </c>
      <c r="AN3305">
        <v>1.00000003504669</v>
      </c>
    </row>
    <row r="3306" spans="1:40" x14ac:dyDescent="0.3">
      <c r="A3306" t="str">
        <f>"20200111150416691"</f>
        <v>20200111150416691</v>
      </c>
      <c r="B3306" t="str">
        <f>"1578726256681260"</f>
        <v>1578726256681260</v>
      </c>
      <c r="C3306" t="s">
        <v>40</v>
      </c>
      <c r="D3306">
        <v>5.2482790000000001</v>
      </c>
      <c r="E3306">
        <v>0.40588649999999998</v>
      </c>
      <c r="F3306" t="s">
        <v>41</v>
      </c>
      <c r="G3306">
        <v>-182.2131</v>
      </c>
      <c r="H3306" s="1">
        <v>-4.2192610000000004E-6</v>
      </c>
      <c r="I3306">
        <v>-34.041789999999999</v>
      </c>
      <c r="J3306">
        <v>-183.63480000000001</v>
      </c>
      <c r="K3306">
        <v>1.1153919999999999</v>
      </c>
      <c r="L3306">
        <v>-49.96454</v>
      </c>
      <c r="M3306">
        <v>0.42732829999999999</v>
      </c>
      <c r="N3306">
        <v>0</v>
      </c>
      <c r="O3306">
        <v>0.90394180000000002</v>
      </c>
      <c r="P3306">
        <v>0.31134499999999998</v>
      </c>
      <c r="Q3306">
        <v>0.15436</v>
      </c>
      <c r="R3306">
        <v>0.93767650000000002</v>
      </c>
      <c r="S3306">
        <v>0.29179379999999999</v>
      </c>
      <c r="T3306">
        <v>-0.2182298</v>
      </c>
      <c r="U3306">
        <v>3.1523129999999999</v>
      </c>
      <c r="V3306">
        <v>-0.123583399999999</v>
      </c>
      <c r="W3306">
        <v>0.1676523</v>
      </c>
      <c r="X3306">
        <v>0.97806939999999998</v>
      </c>
      <c r="Y3306">
        <v>-0.34237299999999998</v>
      </c>
      <c r="Z3306">
        <v>-5.6993530000000001E-2</v>
      </c>
      <c r="AA3306">
        <v>0.93783399999999995</v>
      </c>
      <c r="AB3306">
        <v>21</v>
      </c>
      <c r="AC3306">
        <v>1.42170000000001</v>
      </c>
      <c r="AD3306">
        <v>-1.1153962192610001</v>
      </c>
      <c r="AE3306">
        <v>15.922750000000001</v>
      </c>
      <c r="AF3306">
        <v>-5.4931377548697302</v>
      </c>
      <c r="AG3306">
        <v>-1.1153962192610001</v>
      </c>
      <c r="AH3306">
        <v>14.9301865797791</v>
      </c>
      <c r="AI3306">
        <v>94.010591682991702</v>
      </c>
      <c r="AJ3306">
        <v>110.19965756211499</v>
      </c>
      <c r="AK3306">
        <v>15.947700223760499</v>
      </c>
      <c r="AL3306">
        <v>80.348652744698697</v>
      </c>
      <c r="AM3306">
        <v>97.201412708204998</v>
      </c>
      <c r="AN3306">
        <v>0.99999995083360305</v>
      </c>
    </row>
    <row r="3307" spans="1:40" x14ac:dyDescent="0.3">
      <c r="A3307" t="str">
        <f>"20200111150416706"</f>
        <v>20200111150416706</v>
      </c>
      <c r="B3307" t="str">
        <f>"1578726256701753"</f>
        <v>1578726256701753</v>
      </c>
      <c r="C3307" t="s">
        <v>40</v>
      </c>
      <c r="D3307">
        <v>5.128196</v>
      </c>
      <c r="E3307">
        <v>0.40643249999999997</v>
      </c>
      <c r="F3307" t="s">
        <v>41</v>
      </c>
      <c r="G3307">
        <v>-182.4272</v>
      </c>
      <c r="H3307" s="1">
        <v>-4.1021180000000002E-6</v>
      </c>
      <c r="I3307">
        <v>-34.218620000000001</v>
      </c>
      <c r="J3307">
        <v>-183.58760000000001</v>
      </c>
      <c r="K3307">
        <v>1.1153630000000001</v>
      </c>
      <c r="L3307">
        <v>-49.829740000000001</v>
      </c>
      <c r="M3307">
        <v>0.41539009999999998</v>
      </c>
      <c r="N3307">
        <v>0</v>
      </c>
      <c r="O3307">
        <v>0.90948960000000001</v>
      </c>
      <c r="P3307">
        <v>0.29949019999999998</v>
      </c>
      <c r="Q3307">
        <v>0.15382889999999999</v>
      </c>
      <c r="R3307">
        <v>0.94161680000000003</v>
      </c>
      <c r="S3307">
        <v>0.2420349</v>
      </c>
      <c r="T3307">
        <v>-0.22354950000000001</v>
      </c>
      <c r="U3307">
        <v>3.1558229999999998</v>
      </c>
      <c r="V3307">
        <v>-0.1230556</v>
      </c>
      <c r="W3307">
        <v>0.16714039999999999</v>
      </c>
      <c r="X3307">
        <v>0.97822359999999997</v>
      </c>
      <c r="Y3307">
        <v>-0.34478540000000002</v>
      </c>
      <c r="Z3307">
        <v>-5.8889289999999997E-2</v>
      </c>
      <c r="AA3307">
        <v>0.93683249999999996</v>
      </c>
      <c r="AB3307">
        <v>21</v>
      </c>
      <c r="AC3307">
        <v>1.1604000000000101</v>
      </c>
      <c r="AD3307">
        <v>-1.1153671021179901</v>
      </c>
      <c r="AE3307">
        <v>15.61112</v>
      </c>
      <c r="AF3307">
        <v>-5.4026652316926302</v>
      </c>
      <c r="AG3307">
        <v>-1.1153671021179901</v>
      </c>
      <c r="AH3307">
        <v>14.608064068709799</v>
      </c>
      <c r="AI3307">
        <v>94.096079164811698</v>
      </c>
      <c r="AJ3307">
        <v>110.296474772332</v>
      </c>
      <c r="AK3307">
        <v>15.615004681835901</v>
      </c>
      <c r="AL3307">
        <v>80.378402735584601</v>
      </c>
      <c r="AM3307">
        <v>97.1698591477778</v>
      </c>
      <c r="AN3307">
        <v>1.00000000280024</v>
      </c>
    </row>
    <row r="3308" spans="1:40" x14ac:dyDescent="0.3">
      <c r="A3308" t="str">
        <f>"20200111150416724"</f>
        <v>20200111150416724</v>
      </c>
      <c r="B3308" t="str">
        <f>"1578726256721274"</f>
        <v>1578726256721274</v>
      </c>
      <c r="C3308" t="s">
        <v>40</v>
      </c>
      <c r="D3308">
        <v>5.2160609999999998</v>
      </c>
      <c r="E3308">
        <v>0.40732940000000001</v>
      </c>
      <c r="F3308" t="s">
        <v>41</v>
      </c>
      <c r="G3308">
        <v>-182.5686</v>
      </c>
      <c r="H3308" s="1">
        <v>-4.0525410000000002E-6</v>
      </c>
      <c r="I3308">
        <v>-34.253749999999997</v>
      </c>
      <c r="J3308">
        <v>-183.53790000000001</v>
      </c>
      <c r="K3308">
        <v>1.115326</v>
      </c>
      <c r="L3308">
        <v>-49.680540000000001</v>
      </c>
      <c r="M3308">
        <v>0.40215820000000002</v>
      </c>
      <c r="N3308">
        <v>0</v>
      </c>
      <c r="O3308">
        <v>0.91541760000000005</v>
      </c>
      <c r="P3308">
        <v>0.28684769999999998</v>
      </c>
      <c r="Q3308">
        <v>0.15316109999999999</v>
      </c>
      <c r="R3308">
        <v>0.94565330000000003</v>
      </c>
      <c r="S3308">
        <v>0.2065582</v>
      </c>
      <c r="T3308">
        <v>-0.22608519999999999</v>
      </c>
      <c r="U3308">
        <v>3.157257</v>
      </c>
      <c r="V3308">
        <v>-0.1219875</v>
      </c>
      <c r="W3308">
        <v>0.1665066</v>
      </c>
      <c r="X3308">
        <v>0.97846540000000004</v>
      </c>
      <c r="Y3308">
        <v>-0.34168290000000001</v>
      </c>
      <c r="Z3308">
        <v>-6.02129E-2</v>
      </c>
      <c r="AA3308">
        <v>0.93788439999999995</v>
      </c>
      <c r="AB3308">
        <v>21</v>
      </c>
      <c r="AC3308">
        <v>0.96930000000000405</v>
      </c>
      <c r="AD3308">
        <v>-1.1153300525409999</v>
      </c>
      <c r="AE3308">
        <v>15.42679</v>
      </c>
      <c r="AF3308">
        <v>-5.2898969544864096</v>
      </c>
      <c r="AG3308">
        <v>-1.1153300525409999</v>
      </c>
      <c r="AH3308">
        <v>14.4386202987709</v>
      </c>
      <c r="AI3308">
        <v>94.148492509017402</v>
      </c>
      <c r="AJ3308">
        <v>110.12138736600799</v>
      </c>
      <c r="AK3308">
        <v>15.417546077351799</v>
      </c>
      <c r="AL3308">
        <v>80.415232578881501</v>
      </c>
      <c r="AM3308">
        <v>97.106526797117098</v>
      </c>
      <c r="AN3308">
        <v>0.99999996849848405</v>
      </c>
    </row>
    <row r="3309" spans="1:40" x14ac:dyDescent="0.3">
      <c r="A3309" t="str">
        <f>"20200111150416739"</f>
        <v>20200111150416739</v>
      </c>
      <c r="B3309" t="str">
        <f>"1578726256732009"</f>
        <v>1578726256732009</v>
      </c>
      <c r="C3309" t="s">
        <v>40</v>
      </c>
      <c r="D3309">
        <v>5.2178969999999998</v>
      </c>
      <c r="E3309">
        <v>0.40732940000000001</v>
      </c>
      <c r="F3309" t="s">
        <v>41</v>
      </c>
      <c r="G3309">
        <v>-182.7157</v>
      </c>
      <c r="H3309" s="1">
        <v>-3.9316679999999999E-6</v>
      </c>
      <c r="I3309">
        <v>-34.493929999999999</v>
      </c>
      <c r="J3309">
        <v>-183.49690000000001</v>
      </c>
      <c r="K3309">
        <v>1.115297</v>
      </c>
      <c r="L3309">
        <v>-49.552030000000002</v>
      </c>
      <c r="M3309">
        <v>0.39074500000000001</v>
      </c>
      <c r="N3309">
        <v>0</v>
      </c>
      <c r="O3309">
        <v>0.92034729999999998</v>
      </c>
      <c r="P3309">
        <v>0.27588040000000003</v>
      </c>
      <c r="Q3309">
        <v>0.15306629999999999</v>
      </c>
      <c r="R3309">
        <v>0.94892609999999999</v>
      </c>
      <c r="S3309">
        <v>0.17097470000000001</v>
      </c>
      <c r="T3309">
        <v>-0.231937</v>
      </c>
      <c r="U3309">
        <v>3.158112</v>
      </c>
      <c r="V3309">
        <v>-0.12113980000000001</v>
      </c>
      <c r="W3309">
        <v>0.166438</v>
      </c>
      <c r="X3309">
        <v>0.97858239999999996</v>
      </c>
      <c r="Y3309">
        <v>-0.3405492</v>
      </c>
      <c r="Z3309">
        <v>-6.2313100000000003E-2</v>
      </c>
      <c r="AA3309">
        <v>0.93815950000000004</v>
      </c>
      <c r="AB3309">
        <v>21</v>
      </c>
      <c r="AC3309">
        <v>0.781200000000012</v>
      </c>
      <c r="AD3309">
        <v>-1.115300931668</v>
      </c>
      <c r="AE3309">
        <v>15.0581</v>
      </c>
      <c r="AF3309">
        <v>-5.1375151485702197</v>
      </c>
      <c r="AG3309">
        <v>-1.115300931668</v>
      </c>
      <c r="AH3309">
        <v>14.0888276096727</v>
      </c>
      <c r="AI3309">
        <v>94.253355333557195</v>
      </c>
      <c r="AJ3309">
        <v>110.034470899076</v>
      </c>
      <c r="AK3309">
        <v>15.0377199563313</v>
      </c>
      <c r="AL3309">
        <v>80.419218863224003</v>
      </c>
      <c r="AM3309">
        <v>97.056807454418902</v>
      </c>
      <c r="AN3309">
        <v>0.99999998628889897</v>
      </c>
    </row>
    <row r="3310" spans="1:40" x14ac:dyDescent="0.3">
      <c r="A3310" t="str">
        <f>"20200111150416759"</f>
        <v>20200111150416759</v>
      </c>
      <c r="B3310" t="str">
        <f>"1578726256751529"</f>
        <v>1578726256751529</v>
      </c>
      <c r="C3310" t="s">
        <v>40</v>
      </c>
      <c r="D3310">
        <v>5.2779059999999998</v>
      </c>
      <c r="E3310">
        <v>0.41559220000000002</v>
      </c>
      <c r="F3310" t="s">
        <v>41</v>
      </c>
      <c r="G3310">
        <v>-182.8528</v>
      </c>
      <c r="H3310" s="1">
        <v>-3.9525449999999996E-6</v>
      </c>
      <c r="I3310">
        <v>-34.325369999999999</v>
      </c>
      <c r="J3310">
        <v>-183.44759999999999</v>
      </c>
      <c r="K3310">
        <v>1.1152610000000001</v>
      </c>
      <c r="L3310">
        <v>-49.389949999999999</v>
      </c>
      <c r="M3310">
        <v>0.3763184</v>
      </c>
      <c r="N3310">
        <v>0</v>
      </c>
      <c r="O3310">
        <v>0.92633980000000005</v>
      </c>
      <c r="P3310">
        <v>0.26288650000000002</v>
      </c>
      <c r="Q3310">
        <v>0.15298229999999999</v>
      </c>
      <c r="R3310">
        <v>0.95262119999999995</v>
      </c>
      <c r="S3310">
        <v>0.13366700000000001</v>
      </c>
      <c r="T3310">
        <v>-0.2314551</v>
      </c>
      <c r="U3310">
        <v>3.1599430000000002</v>
      </c>
      <c r="V3310">
        <v>-0.11920739999999901</v>
      </c>
      <c r="W3310">
        <v>0.16640929999999901</v>
      </c>
      <c r="X3310">
        <v>0.97882460000000004</v>
      </c>
      <c r="Y3310">
        <v>-0.33693899999999999</v>
      </c>
      <c r="Z3310">
        <v>-6.2859520000000002E-2</v>
      </c>
      <c r="AA3310">
        <v>0.93942579999999998</v>
      </c>
      <c r="AB3310">
        <v>21</v>
      </c>
      <c r="AC3310">
        <v>0.594799999999992</v>
      </c>
      <c r="AD3310">
        <v>-1.115264952545</v>
      </c>
      <c r="AE3310">
        <v>15.064579999999999</v>
      </c>
      <c r="AF3310">
        <v>-5.0909470364249296</v>
      </c>
      <c r="AG3310">
        <v>-1.115264952545</v>
      </c>
      <c r="AH3310">
        <v>14.103554710872899</v>
      </c>
      <c r="AI3310">
        <v>94.253794664565802</v>
      </c>
      <c r="AJ3310">
        <v>109.848014545352</v>
      </c>
      <c r="AK3310">
        <v>15.035684657661699</v>
      </c>
      <c r="AL3310">
        <v>80.420886916229904</v>
      </c>
      <c r="AM3310">
        <v>96.943645039953395</v>
      </c>
      <c r="AN3310">
        <v>1.0000000284532</v>
      </c>
    </row>
    <row r="3311" spans="1:40" x14ac:dyDescent="0.3">
      <c r="A3311" t="str">
        <f>"20200111150416773"</f>
        <v>20200111150416773</v>
      </c>
      <c r="B3311" t="str">
        <f>"1578726256761289"</f>
        <v>1578726256761289</v>
      </c>
      <c r="C3311" t="s">
        <v>40</v>
      </c>
      <c r="D3311">
        <v>5.4097759999999999</v>
      </c>
      <c r="E3311">
        <v>0.41559859999999998</v>
      </c>
      <c r="F3311" t="s">
        <v>41</v>
      </c>
      <c r="G3311">
        <v>-182.82669999999999</v>
      </c>
      <c r="H3311" s="1">
        <v>-3.1651430000000001E-6</v>
      </c>
      <c r="I3311">
        <v>-36.659610000000001</v>
      </c>
      <c r="J3311">
        <v>-183.41120000000001</v>
      </c>
      <c r="K3311">
        <v>1.1152310000000001</v>
      </c>
      <c r="L3311">
        <v>-49.264189999999999</v>
      </c>
      <c r="M3311">
        <v>0.3651027</v>
      </c>
      <c r="N3311">
        <v>0</v>
      </c>
      <c r="O3311">
        <v>0.93081749999999996</v>
      </c>
      <c r="P3311">
        <v>0.25213400000000002</v>
      </c>
      <c r="Q3311">
        <v>0.1529036</v>
      </c>
      <c r="R3311">
        <v>0.95553589999999999</v>
      </c>
      <c r="S3311">
        <v>0.153701799999999</v>
      </c>
      <c r="T3311">
        <v>-0.27605970000000002</v>
      </c>
      <c r="U3311">
        <v>3.1511230000000001</v>
      </c>
      <c r="V3311">
        <v>-0.1184056</v>
      </c>
      <c r="W3311">
        <v>0.16635329999999901</v>
      </c>
      <c r="X3311">
        <v>0.97893140000000001</v>
      </c>
      <c r="Y3311">
        <v>-0.31947829999999999</v>
      </c>
      <c r="Z3311">
        <v>-7.5941170000000002E-2</v>
      </c>
      <c r="AA3311">
        <v>0.94454570000000004</v>
      </c>
      <c r="AB3311">
        <v>21</v>
      </c>
      <c r="AC3311">
        <v>0.584500000000019</v>
      </c>
      <c r="AD3311">
        <v>-1.11523416514299</v>
      </c>
      <c r="AE3311">
        <v>12.60458</v>
      </c>
      <c r="AF3311">
        <v>-4.0270115682348999</v>
      </c>
      <c r="AG3311">
        <v>-1.11523416514299</v>
      </c>
      <c r="AH3311">
        <v>11.8550245490413</v>
      </c>
      <c r="AI3311">
        <v>95.090126649287001</v>
      </c>
      <c r="AJ3311">
        <v>108.762016400181</v>
      </c>
      <c r="AK3311">
        <v>12.5698916650929</v>
      </c>
      <c r="AL3311">
        <v>80.424140522985198</v>
      </c>
      <c r="AM3311">
        <v>96.896647602298998</v>
      </c>
      <c r="AN3311">
        <v>0.99999999621910496</v>
      </c>
    </row>
    <row r="3312" spans="1:40" x14ac:dyDescent="0.3">
      <c r="A3312" t="str">
        <f>"20200111150416792"</f>
        <v>20200111150416792</v>
      </c>
      <c r="B3312" t="str">
        <f>"1578726256781784"</f>
        <v>1578726256781784</v>
      </c>
      <c r="C3312" t="s">
        <v>40</v>
      </c>
      <c r="D3312">
        <v>5.4314869999999997</v>
      </c>
      <c r="E3312">
        <v>0.41617399999999999</v>
      </c>
      <c r="F3312" t="s">
        <v>41</v>
      </c>
      <c r="G3312">
        <v>-182.92269999999999</v>
      </c>
      <c r="H3312" s="1">
        <v>-3.284282E-6</v>
      </c>
      <c r="I3312">
        <v>-36.234499999999997</v>
      </c>
      <c r="J3312">
        <v>-183.36580000000001</v>
      </c>
      <c r="K3312">
        <v>1.115197</v>
      </c>
      <c r="L3312">
        <v>-49.09854</v>
      </c>
      <c r="M3312">
        <v>0.35031410000000002</v>
      </c>
      <c r="N3312">
        <v>0</v>
      </c>
      <c r="O3312">
        <v>0.93648359999999997</v>
      </c>
      <c r="P3312">
        <v>0.2382543</v>
      </c>
      <c r="Q3312">
        <v>0.1526382</v>
      </c>
      <c r="R3312">
        <v>0.95913320000000002</v>
      </c>
      <c r="S3312">
        <v>0.11816409999999999</v>
      </c>
      <c r="T3312">
        <v>-0.26974939999999997</v>
      </c>
      <c r="U3312">
        <v>3.1515810000000002</v>
      </c>
      <c r="V3312">
        <v>-0.11708300000000001</v>
      </c>
      <c r="W3312">
        <v>0.16612579999999999</v>
      </c>
      <c r="X3312">
        <v>0.97912909999999997</v>
      </c>
      <c r="Y3312">
        <v>-0.31510339999999998</v>
      </c>
      <c r="Z3312">
        <v>-7.5001899999999899E-2</v>
      </c>
      <c r="AA3312">
        <v>0.94608910000000002</v>
      </c>
      <c r="AB3312">
        <v>21</v>
      </c>
      <c r="AC3312">
        <v>0.44310000000001498</v>
      </c>
      <c r="AD3312">
        <v>-1.1152002842819999</v>
      </c>
      <c r="AE3312">
        <v>12.864039999999999</v>
      </c>
      <c r="AF3312">
        <v>-4.0615804184271402</v>
      </c>
      <c r="AG3312">
        <v>-1.1152002842819999</v>
      </c>
      <c r="AH3312">
        <v>12.1129605363293</v>
      </c>
      <c r="AI3312">
        <v>94.988719238299197</v>
      </c>
      <c r="AJ3312">
        <v>108.536747854723</v>
      </c>
      <c r="AK3312">
        <v>12.824348721244499</v>
      </c>
      <c r="AL3312">
        <v>80.437359305750704</v>
      </c>
      <c r="AM3312">
        <v>96.818977049743395</v>
      </c>
      <c r="AN3312">
        <v>1.0000000023907201</v>
      </c>
    </row>
    <row r="3313" spans="1:40" x14ac:dyDescent="0.3">
      <c r="A3313" t="str">
        <f>"20200111150416814"</f>
        <v>20200111150416814</v>
      </c>
      <c r="B3313" t="str">
        <f>"1578726256812041"</f>
        <v>1578726256812041</v>
      </c>
      <c r="C3313" t="s">
        <v>40</v>
      </c>
      <c r="D3313">
        <v>5.3109409999999997</v>
      </c>
      <c r="E3313">
        <v>0.42490129999999998</v>
      </c>
      <c r="F3313" t="s">
        <v>41</v>
      </c>
      <c r="G3313">
        <v>-183.03870000000001</v>
      </c>
      <c r="H3313" s="1">
        <v>-3.457364E-6</v>
      </c>
      <c r="I3313">
        <v>-35.635159999999999</v>
      </c>
      <c r="J3313">
        <v>-183.3176</v>
      </c>
      <c r="K3313">
        <v>1.1151580000000001</v>
      </c>
      <c r="L3313">
        <v>-48.909849999999999</v>
      </c>
      <c r="M3313">
        <v>0.33344299999999999</v>
      </c>
      <c r="N3313">
        <v>0</v>
      </c>
      <c r="O3313">
        <v>0.94262279999999998</v>
      </c>
      <c r="P3313">
        <v>0.22223390000000001</v>
      </c>
      <c r="Q3313">
        <v>0.15249889999999999</v>
      </c>
      <c r="R3313">
        <v>0.96299330000000005</v>
      </c>
      <c r="S3313">
        <v>7.6538090000000003E-2</v>
      </c>
      <c r="T3313">
        <v>-0.26094850000000003</v>
      </c>
      <c r="U3313">
        <v>3.1503299999999999</v>
      </c>
      <c r="V3313">
        <v>-0.1158071</v>
      </c>
      <c r="W3313">
        <v>0.166020899999999</v>
      </c>
      <c r="X3313">
        <v>0.97929860000000002</v>
      </c>
      <c r="Y3313">
        <v>-0.31053370000000002</v>
      </c>
      <c r="Z3313">
        <v>-7.3427829999999999E-2</v>
      </c>
      <c r="AA3313">
        <v>0.94772210000000001</v>
      </c>
      <c r="AB3313">
        <v>21</v>
      </c>
      <c r="AC3313">
        <v>0.27889999999999299</v>
      </c>
      <c r="AD3313">
        <v>-1.1151614573639901</v>
      </c>
      <c r="AE3313">
        <v>13.27469</v>
      </c>
      <c r="AF3313">
        <v>-4.1348665247537797</v>
      </c>
      <c r="AG3313">
        <v>-1.1151614573639901</v>
      </c>
      <c r="AH3313">
        <v>12.5194632411713</v>
      </c>
      <c r="AI3313">
        <v>94.834599346066298</v>
      </c>
      <c r="AJ3313">
        <v>108.27710107305801</v>
      </c>
      <c r="AK3313">
        <v>13.231691732373401</v>
      </c>
      <c r="AL3313">
        <v>80.443454111351798</v>
      </c>
      <c r="AM3313">
        <v>96.744199627252399</v>
      </c>
      <c r="AN3313">
        <v>0.99999998580458904</v>
      </c>
    </row>
    <row r="3314" spans="1:40" x14ac:dyDescent="0.3">
      <c r="A3314" t="str">
        <f>"20200111150416837"</f>
        <v>20200111150416837</v>
      </c>
      <c r="B3314" t="str">
        <f>"1578726256831562"</f>
        <v>1578726256831562</v>
      </c>
      <c r="C3314" t="s">
        <v>40</v>
      </c>
      <c r="D3314">
        <v>5.359934</v>
      </c>
      <c r="E3314">
        <v>0.42517860000000002</v>
      </c>
      <c r="F3314" t="s">
        <v>41</v>
      </c>
      <c r="G3314">
        <v>-183.00569999999999</v>
      </c>
      <c r="H3314" s="1">
        <v>-2.570432E-6</v>
      </c>
      <c r="I3314">
        <v>-38.267270000000003</v>
      </c>
      <c r="J3314">
        <v>-183.27099999999999</v>
      </c>
      <c r="K3314">
        <v>1.1151089999999999</v>
      </c>
      <c r="L3314">
        <v>-48.712130000000002</v>
      </c>
      <c r="M3314">
        <v>0.31572699999999998</v>
      </c>
      <c r="N3314">
        <v>0</v>
      </c>
      <c r="O3314">
        <v>0.94870370000000004</v>
      </c>
      <c r="P3314">
        <v>0.2052784</v>
      </c>
      <c r="Q3314">
        <v>0.15246270000000001</v>
      </c>
      <c r="R3314">
        <v>0.96675529999999998</v>
      </c>
      <c r="S3314">
        <v>9.2224120000000007E-2</v>
      </c>
      <c r="T3314">
        <v>-0.3296692</v>
      </c>
      <c r="U3314">
        <v>3.14621</v>
      </c>
      <c r="V3314">
        <v>-0.1146514</v>
      </c>
      <c r="W3314">
        <v>0.16601529999999901</v>
      </c>
      <c r="X3314">
        <v>0.97943559999999996</v>
      </c>
      <c r="Y3314">
        <v>-0.28793350000000001</v>
      </c>
      <c r="Z3314">
        <v>-9.4015719999999997E-2</v>
      </c>
      <c r="AA3314">
        <v>0.95302430000000005</v>
      </c>
      <c r="AB3314">
        <v>21</v>
      </c>
      <c r="AC3314">
        <v>0.26529999999999598</v>
      </c>
      <c r="AD3314">
        <v>-1.1151115704319901</v>
      </c>
      <c r="AE3314">
        <v>10.444859999999901</v>
      </c>
      <c r="AF3314">
        <v>-3.01214581016364</v>
      </c>
      <c r="AG3314">
        <v>-1.1151115704319901</v>
      </c>
      <c r="AH3314">
        <v>9.8816684019426102</v>
      </c>
      <c r="AI3314">
        <v>96.160826055744394</v>
      </c>
      <c r="AJ3314">
        <v>106.952352925897</v>
      </c>
      <c r="AK3314">
        <v>10.390566231065</v>
      </c>
      <c r="AL3314">
        <v>80.443780188564503</v>
      </c>
      <c r="AM3314">
        <v>96.676580923996198</v>
      </c>
      <c r="AN3314">
        <v>1.0000000589517</v>
      </c>
    </row>
    <row r="3315" spans="1:40" x14ac:dyDescent="0.3">
      <c r="A3315" t="str">
        <f>"20200111150416859"</f>
        <v>20200111150416859</v>
      </c>
      <c r="B3315" t="str">
        <f>"1578726256852057"</f>
        <v>1578726256852057</v>
      </c>
      <c r="C3315" t="s">
        <v>40</v>
      </c>
      <c r="D3315">
        <v>5.3305220000000002</v>
      </c>
      <c r="E3315">
        <v>0.42439009999999999</v>
      </c>
      <c r="F3315" t="s">
        <v>41</v>
      </c>
      <c r="G3315">
        <v>-183.14230000000001</v>
      </c>
      <c r="H3315" s="1">
        <v>-2.6239259999999999E-6</v>
      </c>
      <c r="I3315">
        <v>-38.003270000000001</v>
      </c>
      <c r="J3315">
        <v>-183.22880000000001</v>
      </c>
      <c r="K3315">
        <v>1.1150690000000001</v>
      </c>
      <c r="L3315">
        <v>-48.517359999999996</v>
      </c>
      <c r="M3315">
        <v>0.29823820000000001</v>
      </c>
      <c r="N3315">
        <v>0</v>
      </c>
      <c r="O3315">
        <v>0.95434620000000003</v>
      </c>
      <c r="P3315">
        <v>0.1886796</v>
      </c>
      <c r="Q3315">
        <v>0.15213209999999999</v>
      </c>
      <c r="R3315">
        <v>0.97018340000000003</v>
      </c>
      <c r="S3315">
        <v>3.7826539999999999E-2</v>
      </c>
      <c r="T3315">
        <v>-0.32767800000000002</v>
      </c>
      <c r="U3315">
        <v>3.14682</v>
      </c>
      <c r="V3315">
        <v>-0.1134246</v>
      </c>
      <c r="W3315">
        <v>0.16571710000000001</v>
      </c>
      <c r="X3315">
        <v>0.97962890000000002</v>
      </c>
      <c r="Y3315">
        <v>-0.28680709999999998</v>
      </c>
      <c r="Z3315">
        <v>-9.4336110000000001E-2</v>
      </c>
      <c r="AA3315">
        <v>0.95333219999999996</v>
      </c>
      <c r="AB3315">
        <v>21</v>
      </c>
      <c r="AC3315">
        <v>8.6500000000000896E-2</v>
      </c>
      <c r="AD3315">
        <v>-1.1150716239259999</v>
      </c>
      <c r="AE3315">
        <v>10.5140899999999</v>
      </c>
      <c r="AF3315">
        <v>-3.0196144521230401</v>
      </c>
      <c r="AG3315">
        <v>-1.1150716239259999</v>
      </c>
      <c r="AH3315">
        <v>9.9493749632448303</v>
      </c>
      <c r="AI3315">
        <v>96.121240841226793</v>
      </c>
      <c r="AJ3315">
        <v>106.88293388346401</v>
      </c>
      <c r="AK3315">
        <v>10.457127632634</v>
      </c>
      <c r="AL3315">
        <v>80.461105590416906</v>
      </c>
      <c r="AM3315">
        <v>96.604482593926306</v>
      </c>
      <c r="AN3315">
        <v>1.0000000394163799</v>
      </c>
    </row>
    <row r="3316" spans="1:40" x14ac:dyDescent="0.3">
      <c r="A3316" t="str">
        <f>"20200111150416883"</f>
        <v>20200111150416883</v>
      </c>
      <c r="B3316" t="str">
        <f>"1578726256871576"</f>
        <v>1578726256871576</v>
      </c>
      <c r="C3316" t="s">
        <v>40</v>
      </c>
      <c r="D3316">
        <v>5.3181240000000001</v>
      </c>
      <c r="E3316">
        <v>0.40911920000000002</v>
      </c>
      <c r="F3316" t="s">
        <v>41</v>
      </c>
      <c r="G3316">
        <v>-183.31120000000001</v>
      </c>
      <c r="H3316" s="1">
        <v>-2.8234610000000001E-6</v>
      </c>
      <c r="I3316">
        <v>-37.284829999999999</v>
      </c>
      <c r="J3316">
        <v>-183.1884</v>
      </c>
      <c r="K3316">
        <v>1.115024</v>
      </c>
      <c r="L3316">
        <v>-48.312469999999998</v>
      </c>
      <c r="M3316">
        <v>0.27980349999999998</v>
      </c>
      <c r="N3316">
        <v>0</v>
      </c>
      <c r="O3316">
        <v>0.95991309999999996</v>
      </c>
      <c r="P3316">
        <v>0.17022799999999999</v>
      </c>
      <c r="Q3316">
        <v>0.15134449999999999</v>
      </c>
      <c r="R3316">
        <v>0.97371319999999995</v>
      </c>
      <c r="S3316">
        <v>-2.3071290000000001E-2</v>
      </c>
      <c r="T3316">
        <v>-0.31227480000000002</v>
      </c>
      <c r="U3316">
        <v>3.1456599999999999</v>
      </c>
      <c r="V3316">
        <v>-0.1131523</v>
      </c>
      <c r="W3316">
        <v>0.1649369</v>
      </c>
      <c r="X3316">
        <v>0.979792</v>
      </c>
      <c r="Y3316">
        <v>-0.28681489999999998</v>
      </c>
      <c r="Z3316">
        <v>-9.0796459999999996E-2</v>
      </c>
      <c r="AA3316">
        <v>0.95367349999999995</v>
      </c>
      <c r="AB3316">
        <v>20</v>
      </c>
      <c r="AC3316">
        <v>-0.122800000000012</v>
      </c>
      <c r="AD3316">
        <v>-1.1150268234609999</v>
      </c>
      <c r="AE3316">
        <v>11.02764</v>
      </c>
      <c r="AF3316">
        <v>-3.1714731403118201</v>
      </c>
      <c r="AG3316">
        <v>-1.1150268234609999</v>
      </c>
      <c r="AH3316">
        <v>10.445895228873001</v>
      </c>
      <c r="AI3316">
        <v>95.831925378634594</v>
      </c>
      <c r="AJ3316">
        <v>106.888788941728</v>
      </c>
      <c r="AK3316">
        <v>10.973525132305801</v>
      </c>
      <c r="AL3316">
        <v>80.506431056816098</v>
      </c>
      <c r="AM3316">
        <v>96.587679549195798</v>
      </c>
      <c r="AN3316">
        <v>0.99999999362045</v>
      </c>
    </row>
    <row r="3317" spans="1:40" x14ac:dyDescent="0.3">
      <c r="A3317" t="str">
        <f>"20200111150416903"</f>
        <v>20200111150416903</v>
      </c>
      <c r="B3317" t="str">
        <f>"1578726256892076"</f>
        <v>1578726256892076</v>
      </c>
      <c r="C3317" t="s">
        <v>40</v>
      </c>
      <c r="D3317">
        <v>5.544022</v>
      </c>
      <c r="E3317">
        <v>0.41081459999999997</v>
      </c>
      <c r="F3317" t="s">
        <v>41</v>
      </c>
      <c r="G3317">
        <v>-184.35149999999999</v>
      </c>
      <c r="H3317" s="1">
        <v>-1.507065E-6</v>
      </c>
      <c r="I3317">
        <v>-30.339759999999998</v>
      </c>
      <c r="J3317">
        <v>-183.1568</v>
      </c>
      <c r="K3317">
        <v>1.1149770000000001</v>
      </c>
      <c r="L3317">
        <v>-48.134549999999997</v>
      </c>
      <c r="M3317">
        <v>0.26377089999999997</v>
      </c>
      <c r="N3317">
        <v>0</v>
      </c>
      <c r="O3317">
        <v>0.96444200000000002</v>
      </c>
      <c r="P3317">
        <v>0.15387899999999999</v>
      </c>
      <c r="Q3317">
        <v>0.15058579999999999</v>
      </c>
      <c r="R3317">
        <v>0.97654759999999996</v>
      </c>
      <c r="S3317">
        <v>-0.20364380000000001</v>
      </c>
      <c r="T3317">
        <v>-0.1952361</v>
      </c>
      <c r="U3317">
        <v>3.1469420000000001</v>
      </c>
      <c r="V3317">
        <v>-0.113251</v>
      </c>
      <c r="W3317">
        <v>0.16417590000000001</v>
      </c>
      <c r="X3317">
        <v>0.97990840000000001</v>
      </c>
      <c r="Y3317">
        <v>-0.32542349999999998</v>
      </c>
      <c r="Z3317">
        <v>-5.6878159999999997E-2</v>
      </c>
      <c r="AA3317">
        <v>0.94385609999999998</v>
      </c>
      <c r="AB3317">
        <v>20</v>
      </c>
      <c r="AC3317">
        <v>-1.1946999999999799</v>
      </c>
      <c r="AD3317">
        <v>-1.114978507065</v>
      </c>
      <c r="AE3317">
        <v>17.794789999999999</v>
      </c>
      <c r="AF3317">
        <v>-5.8240128091892798</v>
      </c>
      <c r="AG3317">
        <v>-1.114978507065</v>
      </c>
      <c r="AH3317">
        <v>16.783649204953701</v>
      </c>
      <c r="AI3317">
        <v>93.591240529996099</v>
      </c>
      <c r="AJ3317">
        <v>109.13703784401</v>
      </c>
      <c r="AK3317">
        <v>17.800370302546</v>
      </c>
      <c r="AL3317">
        <v>80.550635760723196</v>
      </c>
      <c r="AM3317">
        <v>96.592598937941901</v>
      </c>
      <c r="AN3317">
        <v>0.99999999376618498</v>
      </c>
    </row>
    <row r="3318" spans="1:40" x14ac:dyDescent="0.3">
      <c r="A3318" t="str">
        <f>"20200111150416926"</f>
        <v>20200111150416926</v>
      </c>
      <c r="B3318" t="str">
        <f>"1578726256921353"</f>
        <v>1578726256921353</v>
      </c>
      <c r="C3318" t="s">
        <v>40</v>
      </c>
      <c r="D3318">
        <v>5.3370069999999998</v>
      </c>
      <c r="E3318">
        <v>0.41215429999999997</v>
      </c>
      <c r="F3318" t="s">
        <v>41</v>
      </c>
      <c r="G3318">
        <v>-184.3338</v>
      </c>
      <c r="H3318" s="1">
        <v>-4.1886190000000003E-6</v>
      </c>
      <c r="I3318">
        <v>-32.946350000000002</v>
      </c>
      <c r="J3318">
        <v>-183.1266</v>
      </c>
      <c r="K3318">
        <v>1.1149389999999999</v>
      </c>
      <c r="L3318">
        <v>-47.947299999999998</v>
      </c>
      <c r="M3318">
        <v>0.2468861</v>
      </c>
      <c r="N3318">
        <v>0</v>
      </c>
      <c r="O3318">
        <v>0.96890209999999999</v>
      </c>
      <c r="P3318">
        <v>0.1374107</v>
      </c>
      <c r="Q3318">
        <v>0.15011450000000001</v>
      </c>
      <c r="R3318">
        <v>0.97907299999999997</v>
      </c>
      <c r="S3318">
        <v>-0.24380489999999999</v>
      </c>
      <c r="T3318">
        <v>-0.23095740000000001</v>
      </c>
      <c r="U3318">
        <v>3.1460880000000002</v>
      </c>
      <c r="V3318">
        <v>-0.11262510000000001</v>
      </c>
      <c r="W3318">
        <v>0.16372110000000001</v>
      </c>
      <c r="X3318">
        <v>0.98005659999999994</v>
      </c>
      <c r="Y3318">
        <v>-0.32085190000000002</v>
      </c>
      <c r="Z3318">
        <v>-6.7768060000000005E-2</v>
      </c>
      <c r="AA3318">
        <v>0.94470189999999998</v>
      </c>
      <c r="AB3318">
        <v>20</v>
      </c>
      <c r="AC3318">
        <v>-1.2072000000000001</v>
      </c>
      <c r="AD3318">
        <v>-1.114943188619</v>
      </c>
      <c r="AE3318">
        <v>15.0009499999999</v>
      </c>
      <c r="AF3318">
        <v>-4.8472524282697096</v>
      </c>
      <c r="AG3318">
        <v>-1.114943188619</v>
      </c>
      <c r="AH3318">
        <v>14.160653232856999</v>
      </c>
      <c r="AI3318">
        <v>94.260206344293707</v>
      </c>
      <c r="AJ3318">
        <v>108.896295649622</v>
      </c>
      <c r="AK3318">
        <v>15.008765918570299</v>
      </c>
      <c r="AL3318">
        <v>80.577051139180696</v>
      </c>
      <c r="AM3318">
        <v>96.555499167700304</v>
      </c>
      <c r="AN3318">
        <v>0.99999997546938901</v>
      </c>
    </row>
    <row r="3319" spans="1:40" x14ac:dyDescent="0.3">
      <c r="A3319" t="str">
        <f>"20200111150416949"</f>
        <v>20200111150416949</v>
      </c>
      <c r="B3319" t="str">
        <f>"1578726256941849"</f>
        <v>1578726256941849</v>
      </c>
      <c r="C3319" t="s">
        <v>40</v>
      </c>
      <c r="D3319">
        <v>5.4332520000000004</v>
      </c>
      <c r="E3319">
        <v>0.41299730000000001</v>
      </c>
      <c r="F3319" t="s">
        <v>41</v>
      </c>
      <c r="G3319">
        <v>-184.53880000000001</v>
      </c>
      <c r="H3319" s="1">
        <v>-4.3303870000000004E-6</v>
      </c>
      <c r="I3319">
        <v>-32.531109999999998</v>
      </c>
      <c r="J3319">
        <v>-183.09710000000001</v>
      </c>
      <c r="K3319">
        <v>1.1148739999999999</v>
      </c>
      <c r="L3319">
        <v>-47.740569999999998</v>
      </c>
      <c r="M3319">
        <v>0.2282554</v>
      </c>
      <c r="N3319">
        <v>0</v>
      </c>
      <c r="O3319">
        <v>0.97345979999999999</v>
      </c>
      <c r="P3319">
        <v>0.12145259999999999</v>
      </c>
      <c r="Q3319">
        <v>0.14987500000000001</v>
      </c>
      <c r="R3319">
        <v>0.98121700000000001</v>
      </c>
      <c r="S3319">
        <v>-0.28756710000000002</v>
      </c>
      <c r="T3319">
        <v>-0.2270442</v>
      </c>
      <c r="U3319">
        <v>3.139313</v>
      </c>
      <c r="V3319">
        <v>-0.1097484</v>
      </c>
      <c r="W3319">
        <v>0.16355549999999999</v>
      </c>
      <c r="X3319">
        <v>0.98041060000000002</v>
      </c>
      <c r="Y3319">
        <v>-0.3159188</v>
      </c>
      <c r="Z3319">
        <v>-6.7281480000000005E-2</v>
      </c>
      <c r="AA3319">
        <v>0.94639770000000001</v>
      </c>
      <c r="AB3319">
        <v>20</v>
      </c>
      <c r="AC3319">
        <v>-1.44169999999999</v>
      </c>
      <c r="AD3319">
        <v>-1.114878330387</v>
      </c>
      <c r="AE3319">
        <v>15.20946</v>
      </c>
      <c r="AF3319">
        <v>-4.8499228198126598</v>
      </c>
      <c r="AG3319">
        <v>-1.114878330387</v>
      </c>
      <c r="AH3319">
        <v>14.402021761401</v>
      </c>
      <c r="AI3319">
        <v>94.195881437071705</v>
      </c>
      <c r="AJ3319">
        <v>108.61110242825499</v>
      </c>
      <c r="AK3319">
        <v>15.237550192389</v>
      </c>
      <c r="AL3319">
        <v>80.586669470920299</v>
      </c>
      <c r="AM3319">
        <v>96.387171555742796</v>
      </c>
      <c r="AN3319">
        <v>1.0000000287375801</v>
      </c>
    </row>
    <row r="3320" spans="1:40" x14ac:dyDescent="0.3">
      <c r="A3320" t="str">
        <f>"20200111150416972"</f>
        <v>20200111150416972</v>
      </c>
      <c r="B3320" t="str">
        <f>"1578726256961369"</f>
        <v>1578726256961369</v>
      </c>
      <c r="C3320" t="s">
        <v>40</v>
      </c>
      <c r="D3320">
        <v>5.4075959999999998</v>
      </c>
      <c r="E3320">
        <v>0.41381079999999998</v>
      </c>
      <c r="F3320" t="s">
        <v>41</v>
      </c>
      <c r="G3320">
        <v>-184.79159999999999</v>
      </c>
      <c r="H3320" s="1">
        <v>-4.5972050000000001E-6</v>
      </c>
      <c r="I3320">
        <v>-31.804600000000001</v>
      </c>
      <c r="J3320">
        <v>-183.07230000000001</v>
      </c>
      <c r="K3320">
        <v>1.1147769999999999</v>
      </c>
      <c r="L3320">
        <v>-47.537379999999999</v>
      </c>
      <c r="M3320">
        <v>0.2100291</v>
      </c>
      <c r="N3320">
        <v>0</v>
      </c>
      <c r="O3320">
        <v>0.97755479999999995</v>
      </c>
      <c r="P3320">
        <v>0.10551430000000001</v>
      </c>
      <c r="Q3320">
        <v>0.15032619999999999</v>
      </c>
      <c r="R3320">
        <v>0.98298969999999997</v>
      </c>
      <c r="S3320">
        <v>-0.33305359999999901</v>
      </c>
      <c r="T3320">
        <v>-0.21912419999999999</v>
      </c>
      <c r="U3320">
        <v>3.1321409999999998</v>
      </c>
      <c r="V3320">
        <v>-0.1072925</v>
      </c>
      <c r="W3320">
        <v>0.164066299999999</v>
      </c>
      <c r="X3320">
        <v>0.98059700000000005</v>
      </c>
      <c r="Y3320">
        <v>-0.31201420000000002</v>
      </c>
      <c r="Z3320">
        <v>-6.5520030000000007E-2</v>
      </c>
      <c r="AA3320">
        <v>0.94781550000000003</v>
      </c>
      <c r="AB3320">
        <v>20</v>
      </c>
      <c r="AC3320">
        <v>-1.7192999999999701</v>
      </c>
      <c r="AD3320">
        <v>-1.1147815972049999</v>
      </c>
      <c r="AE3320">
        <v>15.732779999999901</v>
      </c>
      <c r="AF3320">
        <v>-4.9611210635173899</v>
      </c>
      <c r="AG3320">
        <v>-1.1147815972049999</v>
      </c>
      <c r="AH3320">
        <v>14.946455657011301</v>
      </c>
      <c r="AI3320">
        <v>94.049064088679998</v>
      </c>
      <c r="AJ3320">
        <v>108.36236057618299</v>
      </c>
      <c r="AK3320">
        <v>15.7877166469172</v>
      </c>
      <c r="AL3320">
        <v>80.557001318975594</v>
      </c>
      <c r="AM3320">
        <v>96.244206746759303</v>
      </c>
      <c r="AN3320">
        <v>0.99999995388046803</v>
      </c>
    </row>
    <row r="3321" spans="1:40" x14ac:dyDescent="0.3">
      <c r="A3321" t="str">
        <f>"20200111150416993"</f>
        <v>20200111150416993</v>
      </c>
      <c r="B3321" t="str">
        <f>"1578726256981865"</f>
        <v>1578726256981865</v>
      </c>
      <c r="C3321" t="s">
        <v>40</v>
      </c>
      <c r="D3321">
        <v>5.4005409999999996</v>
      </c>
      <c r="E3321">
        <v>0.4146531</v>
      </c>
      <c r="F3321" t="s">
        <v>41</v>
      </c>
      <c r="G3321">
        <v>-185.04929999999999</v>
      </c>
      <c r="H3321" s="1">
        <v>-4.8369759999999998E-6</v>
      </c>
      <c r="I3321">
        <v>-31.139140000000001</v>
      </c>
      <c r="J3321">
        <v>-183.053</v>
      </c>
      <c r="K3321">
        <v>1.114673</v>
      </c>
      <c r="L3321">
        <v>-47.354129999999998</v>
      </c>
      <c r="M3321">
        <v>0.1936591</v>
      </c>
      <c r="N3321">
        <v>0</v>
      </c>
      <c r="O3321">
        <v>0.98092959999999996</v>
      </c>
      <c r="P3321">
        <v>9.1445109999999996E-2</v>
      </c>
      <c r="Q3321">
        <v>0.15055950000000001</v>
      </c>
      <c r="R3321">
        <v>0.98436250000000003</v>
      </c>
      <c r="S3321">
        <v>-0.3767395</v>
      </c>
      <c r="T3321">
        <v>-0.2124326</v>
      </c>
      <c r="U3321">
        <v>3.1248469999999999</v>
      </c>
      <c r="V3321">
        <v>-0.1048738</v>
      </c>
      <c r="W3321">
        <v>0.16435520000000001</v>
      </c>
      <c r="X3321">
        <v>0.98081030000000002</v>
      </c>
      <c r="Y3321">
        <v>-0.3094614</v>
      </c>
      <c r="Z3321">
        <v>-6.3996330000000004E-2</v>
      </c>
      <c r="AA3321">
        <v>0.94875609999999999</v>
      </c>
      <c r="AB3321">
        <v>20</v>
      </c>
      <c r="AC3321">
        <v>-1.99629999999999</v>
      </c>
      <c r="AD3321">
        <v>-1.114677836976</v>
      </c>
      <c r="AE3321">
        <v>16.214989999999901</v>
      </c>
      <c r="AF3321">
        <v>-5.0754798689279301</v>
      </c>
      <c r="AG3321">
        <v>-1.114677836976</v>
      </c>
      <c r="AH3321">
        <v>15.4493640694989</v>
      </c>
      <c r="AI3321">
        <v>93.921271106802905</v>
      </c>
      <c r="AJ3321">
        <v>108.18656952258</v>
      </c>
      <c r="AK3321">
        <v>16.299872782695701</v>
      </c>
      <c r="AL3321">
        <v>80.540221170116695</v>
      </c>
      <c r="AM3321">
        <v>96.1032006948369</v>
      </c>
      <c r="AN3321">
        <v>0.99999999513978499</v>
      </c>
    </row>
    <row r="3322" spans="1:40" x14ac:dyDescent="0.3">
      <c r="A3322" t="str">
        <f>"20200111150417016"</f>
        <v>20200111150417016</v>
      </c>
      <c r="B3322" t="str">
        <f>"1578726257012121"</f>
        <v>1578726257012121</v>
      </c>
      <c r="C3322" t="s">
        <v>40</v>
      </c>
      <c r="D3322">
        <v>5.4304889999999997</v>
      </c>
      <c r="E3322">
        <v>0.41597079999999997</v>
      </c>
      <c r="F3322" t="s">
        <v>41</v>
      </c>
      <c r="G3322">
        <v>-185.20050000000001</v>
      </c>
      <c r="H3322" s="1">
        <v>-4.813264E-6</v>
      </c>
      <c r="I3322">
        <v>-31.131900000000002</v>
      </c>
      <c r="J3322">
        <v>-183.03550000000001</v>
      </c>
      <c r="K3322">
        <v>1.1145160000000001</v>
      </c>
      <c r="L3322">
        <v>-47.155209999999997</v>
      </c>
      <c r="M3322">
        <v>0.176041</v>
      </c>
      <c r="N3322">
        <v>0</v>
      </c>
      <c r="O3322">
        <v>0.98424480000000003</v>
      </c>
      <c r="P3322">
        <v>7.5398999999999994E-2</v>
      </c>
      <c r="Q3322">
        <v>0.1497185</v>
      </c>
      <c r="R3322">
        <v>0.98584959999999999</v>
      </c>
      <c r="S3322">
        <v>-0.41285709999999998</v>
      </c>
      <c r="T3322">
        <v>-0.2143003</v>
      </c>
      <c r="U3322">
        <v>3.1187740000000002</v>
      </c>
      <c r="V3322">
        <v>-0.103203</v>
      </c>
      <c r="W3322">
        <v>0.16355029999999901</v>
      </c>
      <c r="X3322">
        <v>0.98112200000000005</v>
      </c>
      <c r="Y3322">
        <v>-0.30343350000000002</v>
      </c>
      <c r="Z3322">
        <v>-6.5040689999999998E-2</v>
      </c>
      <c r="AA3322">
        <v>0.95063019999999998</v>
      </c>
      <c r="AB3322">
        <v>20</v>
      </c>
      <c r="AC3322">
        <v>-2.1649999999999898</v>
      </c>
      <c r="AD3322">
        <v>-1.1145208132639901</v>
      </c>
      <c r="AE3322">
        <v>16.023309999999899</v>
      </c>
      <c r="AF3322">
        <v>-4.9289035983456797</v>
      </c>
      <c r="AG3322">
        <v>-1.1145208132639901</v>
      </c>
      <c r="AH3322">
        <v>15.319036476097899</v>
      </c>
      <c r="AI3322">
        <v>93.961828674945494</v>
      </c>
      <c r="AJ3322">
        <v>107.83559154346401</v>
      </c>
      <c r="AK3322">
        <v>16.1309989114438</v>
      </c>
      <c r="AL3322">
        <v>80.586970911597405</v>
      </c>
      <c r="AM3322">
        <v>96.004789573275303</v>
      </c>
      <c r="AN3322">
        <v>0.99999996936154401</v>
      </c>
    </row>
    <row r="3323" spans="1:40" x14ac:dyDescent="0.3">
      <c r="A3323" t="str">
        <f>"20200111150417031"</f>
        <v>20200111150417031</v>
      </c>
      <c r="B3323" t="str">
        <f>"1578726257021881"</f>
        <v>1578726257021881</v>
      </c>
      <c r="C3323" t="s">
        <v>40</v>
      </c>
      <c r="D3323">
        <v>5.465846</v>
      </c>
      <c r="E3323">
        <v>0.41655239999999999</v>
      </c>
      <c r="F3323" t="s">
        <v>41</v>
      </c>
      <c r="G3323">
        <v>-185.27260000000001</v>
      </c>
      <c r="H3323" s="1">
        <v>-4.5461530000000004E-6</v>
      </c>
      <c r="I3323">
        <v>-31.724720000000001</v>
      </c>
      <c r="J3323">
        <v>-183.02520000000001</v>
      </c>
      <c r="K3323">
        <v>1.114382</v>
      </c>
      <c r="L3323">
        <v>-47.019010000000002</v>
      </c>
      <c r="M3323">
        <v>0.16410060000000001</v>
      </c>
      <c r="N3323">
        <v>0</v>
      </c>
      <c r="O3323">
        <v>0.98630640000000003</v>
      </c>
      <c r="P3323">
        <v>6.4984169999999994E-2</v>
      </c>
      <c r="Q3323">
        <v>0.14902550000000001</v>
      </c>
      <c r="R3323">
        <v>0.98669569999999995</v>
      </c>
      <c r="S3323">
        <v>-0.45114140000000003</v>
      </c>
      <c r="T3323">
        <v>-0.2247528</v>
      </c>
      <c r="U3323">
        <v>3.111694</v>
      </c>
      <c r="V3323">
        <v>-0.1016193</v>
      </c>
      <c r="W3323">
        <v>0.16289310000000001</v>
      </c>
      <c r="X3323">
        <v>0.98139659999999995</v>
      </c>
      <c r="Y3323">
        <v>-0.30360979999999999</v>
      </c>
      <c r="Z3323">
        <v>-6.8513149999999995E-2</v>
      </c>
      <c r="AA3323">
        <v>0.95033000000000001</v>
      </c>
      <c r="AB3323">
        <v>20</v>
      </c>
      <c r="AC3323">
        <v>-2.2473999999999901</v>
      </c>
      <c r="AD3323">
        <v>-1.114386546153</v>
      </c>
      <c r="AE3323">
        <v>15.294289999999901</v>
      </c>
      <c r="AF3323">
        <v>-4.70262838442319</v>
      </c>
      <c r="AG3323">
        <v>-1.114386546153</v>
      </c>
      <c r="AH3323">
        <v>14.6419572678095</v>
      </c>
      <c r="AI3323">
        <v>94.144603587983596</v>
      </c>
      <c r="AJ3323">
        <v>107.80571189877099</v>
      </c>
      <c r="AK3323">
        <v>15.4189326390833</v>
      </c>
      <c r="AL3323">
        <v>80.625137498369099</v>
      </c>
      <c r="AM3323">
        <v>95.911658290786306</v>
      </c>
      <c r="AN3323">
        <v>0.99999996532582902</v>
      </c>
    </row>
    <row r="3324" spans="1:40" x14ac:dyDescent="0.3">
      <c r="A3324" t="str">
        <f>"20200111150417060"</f>
        <v>20200111150417060</v>
      </c>
      <c r="B3324" t="str">
        <f>"1578726257052137"</f>
        <v>1578726257052137</v>
      </c>
      <c r="C3324" t="s">
        <v>40</v>
      </c>
      <c r="D3324">
        <v>5.417675</v>
      </c>
      <c r="E3324">
        <v>0.42988510000000002</v>
      </c>
      <c r="F3324" t="s">
        <v>41</v>
      </c>
      <c r="G3324">
        <v>-185.32980000000001</v>
      </c>
      <c r="H3324" s="1">
        <v>-4.4141069999999998E-6</v>
      </c>
      <c r="I3324">
        <v>-32.008859999999999</v>
      </c>
      <c r="J3324">
        <v>-183.0102</v>
      </c>
      <c r="K3324">
        <v>1.1140330000000001</v>
      </c>
      <c r="L3324">
        <v>-46.762419999999999</v>
      </c>
      <c r="M3324">
        <v>0.14212089999999999</v>
      </c>
      <c r="N3324">
        <v>0</v>
      </c>
      <c r="O3324">
        <v>0.98971430000000005</v>
      </c>
      <c r="P3324">
        <v>4.6992010000000001E-2</v>
      </c>
      <c r="Q3324">
        <v>0.1492532</v>
      </c>
      <c r="R3324">
        <v>0.9876817</v>
      </c>
      <c r="S3324">
        <v>-0.47700500000000001</v>
      </c>
      <c r="T3324">
        <v>-0.2306473</v>
      </c>
      <c r="U3324">
        <v>3.1066889999999998</v>
      </c>
      <c r="V3324">
        <v>-9.7526160000000001E-2</v>
      </c>
      <c r="W3324">
        <v>0.16319990000000001</v>
      </c>
      <c r="X3324">
        <v>0.98176090000000005</v>
      </c>
      <c r="Y3324">
        <v>-0.29032140000000001</v>
      </c>
      <c r="Z3324">
        <v>-7.0898989999999995E-2</v>
      </c>
      <c r="AA3324">
        <v>0.95429920000000001</v>
      </c>
      <c r="AB3324">
        <v>20</v>
      </c>
      <c r="AC3324">
        <v>-2.3195999999999999</v>
      </c>
      <c r="AD3324">
        <v>-1.114037414107</v>
      </c>
      <c r="AE3324">
        <v>14.75356</v>
      </c>
      <c r="AF3324">
        <v>-4.3688087616926499</v>
      </c>
      <c r="AG3324">
        <v>-1.114037414107</v>
      </c>
      <c r="AH3324">
        <v>14.195069293439699</v>
      </c>
      <c r="AI3324">
        <v>94.289636126996896</v>
      </c>
      <c r="AJ3324">
        <v>107.10676688724701</v>
      </c>
      <c r="AK3324">
        <v>14.8938766478653</v>
      </c>
      <c r="AL3324">
        <v>80.607321177888707</v>
      </c>
      <c r="AM3324">
        <v>95.673036170252402</v>
      </c>
      <c r="AN3324">
        <v>1.00000001200658</v>
      </c>
    </row>
    <row r="3325" spans="1:40" x14ac:dyDescent="0.3">
      <c r="A3325" t="str">
        <f>"20200111150417083"</f>
        <v>20200111150417083</v>
      </c>
      <c r="B3325" t="str">
        <f>"1578726257071656"</f>
        <v>1578726257071656</v>
      </c>
      <c r="C3325" t="s">
        <v>40</v>
      </c>
      <c r="D3325">
        <v>5.4559559999999996</v>
      </c>
      <c r="E3325">
        <v>0.43144130000000003</v>
      </c>
      <c r="F3325" t="s">
        <v>41</v>
      </c>
      <c r="G3325">
        <v>-184.66220000000001</v>
      </c>
      <c r="H3325" s="1">
        <v>-3.4014199999999999E-6</v>
      </c>
      <c r="I3325">
        <v>-34.645530000000001</v>
      </c>
      <c r="J3325">
        <v>-183.00190000000001</v>
      </c>
      <c r="K3325">
        <v>1.113686</v>
      </c>
      <c r="L3325">
        <v>-46.567749999999997</v>
      </c>
      <c r="M3325">
        <v>0.12595039999999999</v>
      </c>
      <c r="N3325">
        <v>0</v>
      </c>
      <c r="O3325">
        <v>0.99190339999999999</v>
      </c>
      <c r="P3325">
        <v>3.2442800000000001E-2</v>
      </c>
      <c r="Q3325">
        <v>0.15061279999999999</v>
      </c>
      <c r="R3325">
        <v>0.98806039999999995</v>
      </c>
      <c r="S3325">
        <v>-0.42272949999999998</v>
      </c>
      <c r="T3325">
        <v>-0.28507300000000002</v>
      </c>
      <c r="U3325">
        <v>3.100616</v>
      </c>
      <c r="V3325">
        <v>-9.5823679999999994E-2</v>
      </c>
      <c r="W3325">
        <v>0.16457339999999901</v>
      </c>
      <c r="X3325">
        <v>0.98169919999999999</v>
      </c>
      <c r="Y3325">
        <v>-0.25828079999999998</v>
      </c>
      <c r="Z3325">
        <v>-8.8498300000000002E-2</v>
      </c>
      <c r="AA3325">
        <v>0.96200779999999997</v>
      </c>
      <c r="AB3325">
        <v>20</v>
      </c>
      <c r="AC3325">
        <v>-1.6603000000000001</v>
      </c>
      <c r="AD3325">
        <v>-1.1136894014200001</v>
      </c>
      <c r="AE3325">
        <v>11.9222199999999</v>
      </c>
      <c r="AF3325">
        <v>-3.1221559497173401</v>
      </c>
      <c r="AG3325">
        <v>-1.1136894014200001</v>
      </c>
      <c r="AH3325">
        <v>11.519503074553</v>
      </c>
      <c r="AI3325">
        <v>95.330949888726195</v>
      </c>
      <c r="AJ3325">
        <v>105.164681636141</v>
      </c>
      <c r="AK3325">
        <v>11.986955949774201</v>
      </c>
      <c r="AL3325">
        <v>80.527546215210194</v>
      </c>
      <c r="AM3325">
        <v>95.574981417241901</v>
      </c>
      <c r="AN3325">
        <v>0.99999995045847001</v>
      </c>
    </row>
    <row r="3326" spans="1:40" x14ac:dyDescent="0.3">
      <c r="A3326" t="str">
        <f>"20200111150417105"</f>
        <v>20200111150417105</v>
      </c>
      <c r="B3326" t="str">
        <f>"1578726257101913"</f>
        <v>1578726257101913</v>
      </c>
      <c r="C3326" t="s">
        <v>40</v>
      </c>
      <c r="D3326">
        <v>5.4561699999999904</v>
      </c>
      <c r="E3326">
        <v>0.43369629999999998</v>
      </c>
      <c r="F3326" t="s">
        <v>41</v>
      </c>
      <c r="G3326">
        <v>-184.7619</v>
      </c>
      <c r="H3326" s="1">
        <v>-3.4083029999999999E-6</v>
      </c>
      <c r="I3326">
        <v>-34.588250000000002</v>
      </c>
      <c r="J3326">
        <v>-182.99619999999999</v>
      </c>
      <c r="K3326">
        <v>1.1132740000000001</v>
      </c>
      <c r="L3326">
        <v>-46.380159999999997</v>
      </c>
      <c r="M3326">
        <v>0.1109253</v>
      </c>
      <c r="N3326">
        <v>0</v>
      </c>
      <c r="O3326">
        <v>0.99369779999999996</v>
      </c>
      <c r="P3326">
        <v>1.8986260000000001E-2</v>
      </c>
      <c r="Q3326">
        <v>0.15166729999999901</v>
      </c>
      <c r="R3326">
        <v>0.98824920000000005</v>
      </c>
      <c r="S3326">
        <v>-0.4547272</v>
      </c>
      <c r="T3326">
        <v>-0.28773349999999998</v>
      </c>
      <c r="U3326">
        <v>3.0950319999999998</v>
      </c>
      <c r="V3326">
        <v>-9.4170989999999996E-2</v>
      </c>
      <c r="W3326">
        <v>0.1656358</v>
      </c>
      <c r="X3326">
        <v>0.98168049999999996</v>
      </c>
      <c r="Y3326">
        <v>-0.25362780000000001</v>
      </c>
      <c r="Z3326">
        <v>-8.971643E-2</v>
      </c>
      <c r="AA3326">
        <v>0.96313230000000005</v>
      </c>
      <c r="AB3326">
        <v>20</v>
      </c>
      <c r="AC3326">
        <v>-1.7657</v>
      </c>
      <c r="AD3326">
        <v>-1.1132774083029999</v>
      </c>
      <c r="AE3326">
        <v>11.7919099999999</v>
      </c>
      <c r="AF3326">
        <v>-3.0365201013577301</v>
      </c>
      <c r="AG3326">
        <v>-1.1132774083029999</v>
      </c>
      <c r="AH3326">
        <v>11.4236444278938</v>
      </c>
      <c r="AI3326">
        <v>95.380434494390897</v>
      </c>
      <c r="AJ3326">
        <v>104.88558818484201</v>
      </c>
      <c r="AK3326">
        <v>11.8726363091242</v>
      </c>
      <c r="AL3326">
        <v>80.465828623573103</v>
      </c>
      <c r="AM3326">
        <v>95.479522628320197</v>
      </c>
      <c r="AN3326">
        <v>0.99999999883973401</v>
      </c>
    </row>
    <row r="3327" spans="1:40" x14ac:dyDescent="0.3">
      <c r="A3327" t="str">
        <f>"20200111150417130"</f>
        <v>20200111150417130</v>
      </c>
      <c r="B3327" t="str">
        <f>"1578726257121433"</f>
        <v>1578726257121433</v>
      </c>
      <c r="C3327" t="s">
        <v>40</v>
      </c>
      <c r="D3327">
        <v>5.4024590000000003</v>
      </c>
      <c r="E3327">
        <v>0.43430780000000002</v>
      </c>
      <c r="F3327" t="s">
        <v>41</v>
      </c>
      <c r="G3327">
        <v>-184.85140000000001</v>
      </c>
      <c r="H3327" s="1">
        <v>-3.4574679999999999E-6</v>
      </c>
      <c r="I3327">
        <v>-34.43665</v>
      </c>
      <c r="J3327">
        <v>-182.9923</v>
      </c>
      <c r="K3327">
        <v>1.112725</v>
      </c>
      <c r="L3327">
        <v>-46.169339999999998</v>
      </c>
      <c r="M3327">
        <v>9.4796309999999995E-2</v>
      </c>
      <c r="N3327">
        <v>0</v>
      </c>
      <c r="O3327">
        <v>0.99536840000000004</v>
      </c>
      <c r="P3327">
        <v>2.1073789999999999E-3</v>
      </c>
      <c r="Q3327">
        <v>0.150675</v>
      </c>
      <c r="R3327">
        <v>0.98858109999999999</v>
      </c>
      <c r="S3327">
        <v>-0.47981259999999998</v>
      </c>
      <c r="T3327">
        <v>-0.28793940000000001</v>
      </c>
      <c r="U3327">
        <v>3.0890810000000002</v>
      </c>
      <c r="V3327">
        <v>-9.4795210000000005E-2</v>
      </c>
      <c r="W3327">
        <v>0.16460159999999999</v>
      </c>
      <c r="X3327">
        <v>0.98179439999999996</v>
      </c>
      <c r="Y3327">
        <v>-0.2458437</v>
      </c>
      <c r="Z3327">
        <v>-9.0220010000000003E-2</v>
      </c>
      <c r="AA3327">
        <v>0.96510169999999995</v>
      </c>
      <c r="AB3327">
        <v>20</v>
      </c>
      <c r="AC3327">
        <v>-1.85910000000001</v>
      </c>
      <c r="AD3327">
        <v>-1.1127284574680001</v>
      </c>
      <c r="AE3327">
        <v>11.73269</v>
      </c>
      <c r="AF3327">
        <v>-2.9373106201752601</v>
      </c>
      <c r="AG3327">
        <v>-1.1127284574680001</v>
      </c>
      <c r="AH3327">
        <v>11.403523996342701</v>
      </c>
      <c r="AI3327">
        <v>95.398036715236998</v>
      </c>
      <c r="AJ3327">
        <v>104.44422084003099</v>
      </c>
      <c r="AK3327">
        <v>11.828200109679299</v>
      </c>
      <c r="AL3327">
        <v>80.525908906960595</v>
      </c>
      <c r="AM3327">
        <v>95.514984902021496</v>
      </c>
      <c r="AN3327">
        <v>1.0000000312164301</v>
      </c>
    </row>
    <row r="3328" spans="1:40" x14ac:dyDescent="0.3">
      <c r="A3328" t="str">
        <f>"20200111150417151"</f>
        <v>20200111150417151</v>
      </c>
      <c r="B3328" t="str">
        <f>"1578726257141929"</f>
        <v>1578726257141929</v>
      </c>
      <c r="C3328" t="s">
        <v>40</v>
      </c>
      <c r="D3328">
        <v>5.3793839999999999</v>
      </c>
      <c r="E3328">
        <v>0.44479609999999897</v>
      </c>
      <c r="F3328" t="s">
        <v>41</v>
      </c>
      <c r="G3328">
        <v>-185.00800000000001</v>
      </c>
      <c r="H3328" s="1">
        <v>-3.445373E-6</v>
      </c>
      <c r="I3328">
        <v>-34.400069999999999</v>
      </c>
      <c r="J3328">
        <v>-182.99090000000001</v>
      </c>
      <c r="K3328">
        <v>1.112177</v>
      </c>
      <c r="L3328">
        <v>-45.976289999999999</v>
      </c>
      <c r="M3328">
        <v>8.089855E-2</v>
      </c>
      <c r="N3328">
        <v>0</v>
      </c>
      <c r="O3328">
        <v>0.99659679999999995</v>
      </c>
      <c r="P3328">
        <v>-1.370447E-2</v>
      </c>
      <c r="Q3328">
        <v>0.14802580000000001</v>
      </c>
      <c r="R3328">
        <v>0.98888860000000001</v>
      </c>
      <c r="S3328">
        <v>-0.52754209999999901</v>
      </c>
      <c r="T3328">
        <v>-0.29121529999999901</v>
      </c>
      <c r="U3328">
        <v>3.0801699999999999</v>
      </c>
      <c r="V3328">
        <v>-9.6571619999999997E-2</v>
      </c>
      <c r="W3328">
        <v>0.16189000000000001</v>
      </c>
      <c r="X3328">
        <v>0.9820721</v>
      </c>
      <c r="Y3328">
        <v>-0.24729000000000001</v>
      </c>
      <c r="Z3328">
        <v>-9.1538499999999995E-2</v>
      </c>
      <c r="AA3328">
        <v>0.96460789999999996</v>
      </c>
      <c r="AB3328">
        <v>20</v>
      </c>
      <c r="AC3328">
        <v>-2.0170999999999699</v>
      </c>
      <c r="AD3328">
        <v>-1.112180445373</v>
      </c>
      <c r="AE3328">
        <v>11.576219999999999</v>
      </c>
      <c r="AF3328">
        <v>-2.92093684971743</v>
      </c>
      <c r="AG3328">
        <v>-1.112180445373</v>
      </c>
      <c r="AH3328">
        <v>11.2740697790501</v>
      </c>
      <c r="AI3328">
        <v>95.454997581538905</v>
      </c>
      <c r="AJ3328">
        <v>104.52507291328899</v>
      </c>
      <c r="AK3328">
        <v>11.6992934319128</v>
      </c>
      <c r="AL3328">
        <v>80.683384646450804</v>
      </c>
      <c r="AM3328">
        <v>95.616099284550003</v>
      </c>
      <c r="AN3328">
        <v>1.00000002974391</v>
      </c>
    </row>
    <row r="3329" spans="1:40" x14ac:dyDescent="0.3">
      <c r="A3329" t="str">
        <f>"20200111150417174"</f>
        <v>20200111150417174</v>
      </c>
      <c r="B3329" t="str">
        <f>"1578726257161452"</f>
        <v>1578726257161452</v>
      </c>
      <c r="C3329" t="s">
        <v>40</v>
      </c>
      <c r="D3329">
        <v>5.4098519999999999</v>
      </c>
      <c r="E3329">
        <v>0.44558920000000002</v>
      </c>
      <c r="F3329" t="s">
        <v>41</v>
      </c>
      <c r="G3329">
        <v>-184.70650000000001</v>
      </c>
      <c r="H3329" s="1">
        <v>-3.1475400000000002E-6</v>
      </c>
      <c r="I3329">
        <v>-35.241609999999902</v>
      </c>
      <c r="J3329">
        <v>-182.9913</v>
      </c>
      <c r="K3329">
        <v>1.111658</v>
      </c>
      <c r="L3329">
        <v>-45.77908</v>
      </c>
      <c r="M3329">
        <v>6.7407439999999999E-2</v>
      </c>
      <c r="N3329">
        <v>0</v>
      </c>
      <c r="O3329">
        <v>0.99760260000000001</v>
      </c>
      <c r="P3329">
        <v>-2.6344449999999998E-2</v>
      </c>
      <c r="Q3329">
        <v>0.14567060000000001</v>
      </c>
      <c r="R3329">
        <v>0.98898229999999998</v>
      </c>
      <c r="S3329">
        <v>-0.49136350000000001</v>
      </c>
      <c r="T3329">
        <v>-0.3185462</v>
      </c>
      <c r="U3329">
        <v>3.0745849999999999</v>
      </c>
      <c r="V3329">
        <v>-9.5619540000000003E-2</v>
      </c>
      <c r="W3329">
        <v>0.15951470000000001</v>
      </c>
      <c r="X3329">
        <v>0.98255380000000003</v>
      </c>
      <c r="Y3329">
        <v>-0.2232143</v>
      </c>
      <c r="Z3329">
        <v>-0.10076880000000001</v>
      </c>
      <c r="AA3329">
        <v>0.96954680000000004</v>
      </c>
      <c r="AB3329">
        <v>20</v>
      </c>
      <c r="AC3329">
        <v>-1.71520000000001</v>
      </c>
      <c r="AD3329">
        <v>-1.11166114754</v>
      </c>
      <c r="AE3329">
        <v>10.537470000000001</v>
      </c>
      <c r="AF3329">
        <v>-2.3957141842813301</v>
      </c>
      <c r="AG3329">
        <v>-1.11166114754</v>
      </c>
      <c r="AH3329">
        <v>10.2863394924738</v>
      </c>
      <c r="AI3329">
        <v>96.008521096889197</v>
      </c>
      <c r="AJ3329">
        <v>103.11060971173001</v>
      </c>
      <c r="AK3329">
        <v>10.619981973343601</v>
      </c>
      <c r="AL3329">
        <v>80.821271221217202</v>
      </c>
      <c r="AM3329">
        <v>95.558370827217004</v>
      </c>
      <c r="AN3329">
        <v>1.0000000029201701</v>
      </c>
    </row>
    <row r="3330" spans="1:40" x14ac:dyDescent="0.3">
      <c r="A3330" t="str">
        <f>"20200111150417195"</f>
        <v>20200111150417195</v>
      </c>
      <c r="B3330" t="str">
        <f>"1578726257191705"</f>
        <v>1578726257191705</v>
      </c>
      <c r="C3330" t="s">
        <v>40</v>
      </c>
      <c r="D3330">
        <v>5.3768890000000003</v>
      </c>
      <c r="E3330">
        <v>0.45647749999999998</v>
      </c>
      <c r="F3330" t="s">
        <v>41</v>
      </c>
      <c r="G3330">
        <v>-184.77350000000001</v>
      </c>
      <c r="H3330" s="1">
        <v>-3.0892739999999999E-6</v>
      </c>
      <c r="I3330">
        <v>-35.360409999999902</v>
      </c>
      <c r="J3330">
        <v>-182.9933</v>
      </c>
      <c r="K3330">
        <v>1.111202</v>
      </c>
      <c r="L3330">
        <v>-45.589170000000003</v>
      </c>
      <c r="M3330">
        <v>5.5108600000000001E-2</v>
      </c>
      <c r="N3330">
        <v>0</v>
      </c>
      <c r="O3330">
        <v>0.99835989999999997</v>
      </c>
      <c r="P3330">
        <v>-3.554351E-2</v>
      </c>
      <c r="Q3330">
        <v>0.1466219</v>
      </c>
      <c r="R3330">
        <v>0.98855380000000004</v>
      </c>
      <c r="S3330">
        <v>-0.52474980000000004</v>
      </c>
      <c r="T3330">
        <v>-0.32731569999999999</v>
      </c>
      <c r="U3330">
        <v>3.0676570000000001</v>
      </c>
      <c r="V3330">
        <v>-9.2480989999999999E-2</v>
      </c>
      <c r="W3330">
        <v>0.16046740000000001</v>
      </c>
      <c r="X3330">
        <v>0.98269910000000005</v>
      </c>
      <c r="Y3330">
        <v>-0.22176380000000001</v>
      </c>
      <c r="Z3330">
        <v>-0.1037872</v>
      </c>
      <c r="AA3330">
        <v>0.96956120000000001</v>
      </c>
      <c r="AB3330">
        <v>20</v>
      </c>
      <c r="AC3330">
        <v>-1.7802</v>
      </c>
      <c r="AD3330">
        <v>-1.111205089274</v>
      </c>
      <c r="AE3330">
        <v>10.228759999999999</v>
      </c>
      <c r="AF3330">
        <v>-2.3147399311332402</v>
      </c>
      <c r="AG3330">
        <v>-1.111205089274</v>
      </c>
      <c r="AH3330">
        <v>10.0005430734242</v>
      </c>
      <c r="AI3330">
        <v>96.178353845999894</v>
      </c>
      <c r="AJ3330">
        <v>103.03226550791101</v>
      </c>
      <c r="AK3330">
        <v>10.3249048161532</v>
      </c>
      <c r="AL3330">
        <v>80.765973370930496</v>
      </c>
      <c r="AM3330">
        <v>95.376223607649607</v>
      </c>
      <c r="AN3330">
        <v>1.0000000205574699</v>
      </c>
    </row>
    <row r="3331" spans="1:40" x14ac:dyDescent="0.3">
      <c r="A3331" t="str">
        <f>"20200111150417218"</f>
        <v>20200111150417218</v>
      </c>
      <c r="B3331" t="str">
        <f>"1578726257212204"</f>
        <v>1578726257212204</v>
      </c>
      <c r="C3331" t="s">
        <v>40</v>
      </c>
      <c r="D3331">
        <v>5.3698489999999897</v>
      </c>
      <c r="E3331">
        <v>0.45758500000000002</v>
      </c>
      <c r="F3331" t="s">
        <v>41</v>
      </c>
      <c r="G3331">
        <v>-184.44649999999999</v>
      </c>
      <c r="H3331" s="1">
        <v>-2.9407390000000001E-6</v>
      </c>
      <c r="I3331">
        <v>-36.052570000000003</v>
      </c>
      <c r="J3331">
        <v>-182.99719999999999</v>
      </c>
      <c r="K3331">
        <v>1.11077</v>
      </c>
      <c r="L3331">
        <v>-45.387569999999997</v>
      </c>
      <c r="M3331">
        <v>4.2863859999999997E-2</v>
      </c>
      <c r="N3331">
        <v>0</v>
      </c>
      <c r="O3331">
        <v>0.99896289999999999</v>
      </c>
      <c r="P3331">
        <v>-4.6061129999999999E-2</v>
      </c>
      <c r="Q3331">
        <v>0.14580560000000001</v>
      </c>
      <c r="R3331">
        <v>0.98824040000000002</v>
      </c>
      <c r="S3331">
        <v>-0.4679565</v>
      </c>
      <c r="T3331">
        <v>-0.35783100000000001</v>
      </c>
      <c r="U3331">
        <v>3.0709840000000002</v>
      </c>
      <c r="V3331">
        <v>-9.0711470000000002E-2</v>
      </c>
      <c r="W3331">
        <v>0.15961729999999999</v>
      </c>
      <c r="X3331">
        <v>0.98300240000000005</v>
      </c>
      <c r="Y3331">
        <v>-0.19189929999999999</v>
      </c>
      <c r="Z3331">
        <v>-0.11385240000000001</v>
      </c>
      <c r="AA3331">
        <v>0.97478830000000005</v>
      </c>
      <c r="AB3331">
        <v>20</v>
      </c>
      <c r="AC3331">
        <v>-1.44929999999999</v>
      </c>
      <c r="AD3331">
        <v>-1.1107729407389999</v>
      </c>
      <c r="AE3331">
        <v>9.3350000000000009</v>
      </c>
      <c r="AF3331">
        <v>-1.8229460171759799</v>
      </c>
      <c r="AG3331">
        <v>-1.1107729407389999</v>
      </c>
      <c r="AH3331">
        <v>9.1379525606923995</v>
      </c>
      <c r="AI3331">
        <v>96.797984290220995</v>
      </c>
      <c r="AJ3331">
        <v>101.28192839419199</v>
      </c>
      <c r="AK3331">
        <v>9.3839824013518207</v>
      </c>
      <c r="AL3331">
        <v>80.815316218040294</v>
      </c>
      <c r="AM3331">
        <v>95.2723231990621</v>
      </c>
      <c r="AN3331">
        <v>0.99999998582730498</v>
      </c>
    </row>
    <row r="3332" spans="1:40" x14ac:dyDescent="0.3">
      <c r="A3332" t="str">
        <f>"20200111150417242"</f>
        <v>20200111150417242</v>
      </c>
      <c r="B3332" t="str">
        <f>"1578726257231722"</f>
        <v>1578726257231722</v>
      </c>
      <c r="C3332" t="s">
        <v>40</v>
      </c>
      <c r="D3332">
        <v>5.3398099999999999</v>
      </c>
      <c r="E3332">
        <v>0.4582503</v>
      </c>
      <c r="F3332" t="s">
        <v>41</v>
      </c>
      <c r="G3332">
        <v>-184.50059999999999</v>
      </c>
      <c r="H3332" s="1">
        <v>-2.942062E-6</v>
      </c>
      <c r="I3332">
        <v>-36.006340000000002</v>
      </c>
      <c r="J3332">
        <v>-183.00280000000001</v>
      </c>
      <c r="K3332">
        <v>1.1103259999999999</v>
      </c>
      <c r="L3332">
        <v>-45.178890000000003</v>
      </c>
      <c r="M3332">
        <v>3.1065499999999999E-2</v>
      </c>
      <c r="N3332">
        <v>0</v>
      </c>
      <c r="O3332">
        <v>0.99940200000000001</v>
      </c>
      <c r="P3332">
        <v>-5.6724539999999997E-2</v>
      </c>
      <c r="Q3332">
        <v>0.1424974</v>
      </c>
      <c r="R3332">
        <v>0.98816839999999995</v>
      </c>
      <c r="S3332">
        <v>-0.49142459999999999</v>
      </c>
      <c r="T3332">
        <v>-0.36306680000000002</v>
      </c>
      <c r="U3332">
        <v>3.0663450000000001</v>
      </c>
      <c r="V3332">
        <v>-8.9510370000000006E-2</v>
      </c>
      <c r="W3332">
        <v>0.15626289999999901</v>
      </c>
      <c r="X3332">
        <v>0.98365130000000001</v>
      </c>
      <c r="Y3332">
        <v>-0.18778030000000001</v>
      </c>
      <c r="Z3332">
        <v>-0.1157224</v>
      </c>
      <c r="AA3332">
        <v>0.97537010000000002</v>
      </c>
      <c r="AB3332">
        <v>20</v>
      </c>
      <c r="AC3332">
        <v>-1.49779999999998</v>
      </c>
      <c r="AD3332">
        <v>-1.1103289420619999</v>
      </c>
      <c r="AE3332">
        <v>9.1725499999999993</v>
      </c>
      <c r="AF3332">
        <v>-1.7569833909374599</v>
      </c>
      <c r="AG3332">
        <v>-1.1103289420619999</v>
      </c>
      <c r="AH3332">
        <v>8.9932322426188307</v>
      </c>
      <c r="AI3332">
        <v>96.908956534039405</v>
      </c>
      <c r="AJ3332">
        <v>101.054480752556</v>
      </c>
      <c r="AK3332">
        <v>9.2302788238107691</v>
      </c>
      <c r="AL3332">
        <v>81.009952711157595</v>
      </c>
      <c r="AM3332">
        <v>95.199485214101998</v>
      </c>
      <c r="AN3332">
        <v>1.00000004012281</v>
      </c>
    </row>
    <row r="3333" spans="1:40" x14ac:dyDescent="0.3">
      <c r="A3333" t="str">
        <f>"20200111150417264"</f>
        <v>20200111150417264</v>
      </c>
      <c r="B3333" t="str">
        <f>"1578726257261977"</f>
        <v>1578726257261977</v>
      </c>
      <c r="C3333" t="s">
        <v>40</v>
      </c>
      <c r="D3333">
        <v>5.3473350000000002</v>
      </c>
      <c r="E3333">
        <v>0.45954610000000001</v>
      </c>
      <c r="F3333" t="s">
        <v>41</v>
      </c>
      <c r="G3333">
        <v>-184.51560000000001</v>
      </c>
      <c r="H3333" s="1">
        <v>-2.8641350000000001E-6</v>
      </c>
      <c r="I3333">
        <v>-36.223660000000002</v>
      </c>
      <c r="J3333">
        <v>-183.00919999999999</v>
      </c>
      <c r="K3333">
        <v>1.109883</v>
      </c>
      <c r="L3333">
        <v>-44.987090000000002</v>
      </c>
      <c r="M3333">
        <v>2.099504E-2</v>
      </c>
      <c r="N3333">
        <v>0</v>
      </c>
      <c r="O3333">
        <v>0.99966659999999996</v>
      </c>
      <c r="P3333">
        <v>-6.5541130000000003E-2</v>
      </c>
      <c r="Q3333">
        <v>0.1406482</v>
      </c>
      <c r="R3333">
        <v>0.98788790000000004</v>
      </c>
      <c r="S3333">
        <v>-0.51708980000000004</v>
      </c>
      <c r="T3333">
        <v>-0.37951970000000002</v>
      </c>
      <c r="U3333">
        <v>3.0609739999999999</v>
      </c>
      <c r="V3333">
        <v>-8.8196289999999997E-2</v>
      </c>
      <c r="W3333">
        <v>0.15437310000000001</v>
      </c>
      <c r="X3333">
        <v>0.98406830000000001</v>
      </c>
      <c r="Y3333">
        <v>-0.18601000000000001</v>
      </c>
      <c r="Z3333">
        <v>-0.12108439999999999</v>
      </c>
      <c r="AA3333">
        <v>0.97505839999999999</v>
      </c>
      <c r="AB3333">
        <v>20</v>
      </c>
      <c r="AC3333">
        <v>-1.50640000000001</v>
      </c>
      <c r="AD3333">
        <v>-1.109885864135</v>
      </c>
      <c r="AE3333">
        <v>8.7634299999999996</v>
      </c>
      <c r="AF3333">
        <v>-1.66415011838619</v>
      </c>
      <c r="AG3333">
        <v>-1.109885864135</v>
      </c>
      <c r="AH3333">
        <v>8.59594439438062</v>
      </c>
      <c r="AI3333">
        <v>97.224492256063499</v>
      </c>
      <c r="AJ3333">
        <v>100.95675424400299</v>
      </c>
      <c r="AK3333">
        <v>8.8256162549260608</v>
      </c>
      <c r="AL3333">
        <v>81.119560333632194</v>
      </c>
      <c r="AM3333">
        <v>95.121402545088301</v>
      </c>
      <c r="AN3333">
        <v>1.00000002931913</v>
      </c>
    </row>
    <row r="3334" spans="1:40" x14ac:dyDescent="0.3">
      <c r="A3334" t="str">
        <f>"20200111150417288"</f>
        <v>20200111150417288</v>
      </c>
      <c r="B3334" t="str">
        <f>"1578726257281497"</f>
        <v>1578726257281497</v>
      </c>
      <c r="C3334" t="s">
        <v>40</v>
      </c>
      <c r="D3334">
        <v>4.7281579999999996</v>
      </c>
      <c r="E3334">
        <v>0.46010649999999997</v>
      </c>
      <c r="F3334" t="s">
        <v>41</v>
      </c>
      <c r="G3334">
        <v>-184.5316</v>
      </c>
      <c r="H3334" s="1">
        <v>-2.8509000000000001E-6</v>
      </c>
      <c r="I3334">
        <v>-36.250030000000002</v>
      </c>
      <c r="J3334">
        <v>-183.01730000000001</v>
      </c>
      <c r="K3334">
        <v>1.109389</v>
      </c>
      <c r="L3334">
        <v>-44.780940000000001</v>
      </c>
      <c r="M3334">
        <v>1.0964420000000001E-2</v>
      </c>
      <c r="N3334">
        <v>0</v>
      </c>
      <c r="O3334">
        <v>0.99982930000000003</v>
      </c>
      <c r="P3334">
        <v>-7.399385E-2</v>
      </c>
      <c r="Q3334">
        <v>0.14407420000000001</v>
      </c>
      <c r="R3334">
        <v>0.98679660000000002</v>
      </c>
      <c r="S3334">
        <v>-0.53260799999999997</v>
      </c>
      <c r="T3334">
        <v>-0.3883027</v>
      </c>
      <c r="U3334">
        <v>3.0567319999999998</v>
      </c>
      <c r="V3334">
        <v>-8.6589559999999996E-2</v>
      </c>
      <c r="W3334">
        <v>0.15775529999999999</v>
      </c>
      <c r="X3334">
        <v>0.98367450000000001</v>
      </c>
      <c r="Y3334">
        <v>-0.1811207</v>
      </c>
      <c r="Z3334">
        <v>-0.12404560000000001</v>
      </c>
      <c r="AA3334">
        <v>0.97560639999999998</v>
      </c>
      <c r="AB3334">
        <v>20</v>
      </c>
      <c r="AC3334">
        <v>-1.51429999999999</v>
      </c>
      <c r="AD3334">
        <v>-1.1093918509</v>
      </c>
      <c r="AE3334">
        <v>8.5309100000000004</v>
      </c>
      <c r="AF3334">
        <v>-1.5818221139675299</v>
      </c>
      <c r="AG3334">
        <v>-1.1093918509</v>
      </c>
      <c r="AH3334">
        <v>8.37646137902885</v>
      </c>
      <c r="AI3334">
        <v>97.414880406851594</v>
      </c>
      <c r="AJ3334">
        <v>100.693879705276</v>
      </c>
      <c r="AK3334">
        <v>8.5963955652030108</v>
      </c>
      <c r="AL3334">
        <v>80.923370292189801</v>
      </c>
      <c r="AM3334">
        <v>95.0305881456066</v>
      </c>
      <c r="AN3334">
        <v>1.00000000426466</v>
      </c>
    </row>
    <row r="3335" spans="1:40" x14ac:dyDescent="0.3">
      <c r="A3335" t="str">
        <f>"20200111150417309"</f>
        <v>20200111150417309</v>
      </c>
      <c r="B3335" t="str">
        <f>"1578726257301993"</f>
        <v>1578726257301993</v>
      </c>
      <c r="C3335" t="s">
        <v>40</v>
      </c>
      <c r="D3335">
        <v>5.2843629999999999</v>
      </c>
      <c r="E3335">
        <v>0.4620512</v>
      </c>
      <c r="F3335" t="s">
        <v>41</v>
      </c>
      <c r="G3335">
        <v>-184.6463</v>
      </c>
      <c r="H3335" s="1">
        <v>-2.9698860000000002E-6</v>
      </c>
      <c r="I3335">
        <v>-35.810650000000003</v>
      </c>
      <c r="J3335">
        <v>-183.0257</v>
      </c>
      <c r="K3335">
        <v>1.1089340000000001</v>
      </c>
      <c r="L3335">
        <v>-44.591160000000002</v>
      </c>
      <c r="M3335">
        <v>2.5003389999999999E-3</v>
      </c>
      <c r="N3335">
        <v>0</v>
      </c>
      <c r="O3335">
        <v>0.99988840000000001</v>
      </c>
      <c r="P3335">
        <v>-8.0644889999999997E-2</v>
      </c>
      <c r="Q3335">
        <v>0.14885129999999999</v>
      </c>
      <c r="R3335">
        <v>0.98556569999999999</v>
      </c>
      <c r="S3335">
        <v>-0.55455019999999999</v>
      </c>
      <c r="T3335">
        <v>-0.37766460000000002</v>
      </c>
      <c r="U3335">
        <v>3.0537109999999998</v>
      </c>
      <c r="V3335">
        <v>-8.4752610000000006E-2</v>
      </c>
      <c r="W3335">
        <v>0.1625026</v>
      </c>
      <c r="X3335">
        <v>0.98306150000000003</v>
      </c>
      <c r="Y3335">
        <v>-0.1798284</v>
      </c>
      <c r="Z3335">
        <v>-0.12076489999999999</v>
      </c>
      <c r="AA3335">
        <v>0.97625689999999998</v>
      </c>
      <c r="AB3335">
        <v>20</v>
      </c>
      <c r="AC3335">
        <v>-1.62059999999999</v>
      </c>
      <c r="AD3335">
        <v>-1.1089369698860001</v>
      </c>
      <c r="AE3335">
        <v>8.7805099999999907</v>
      </c>
      <c r="AF3335">
        <v>-1.6176000226545599</v>
      </c>
      <c r="AG3335">
        <v>-1.1089369698860001</v>
      </c>
      <c r="AH3335">
        <v>8.6431097515368496</v>
      </c>
      <c r="AI3335">
        <v>97.187815681799606</v>
      </c>
      <c r="AJ3335">
        <v>100.600550797</v>
      </c>
      <c r="AK3335">
        <v>8.8628278339130198</v>
      </c>
      <c r="AL3335">
        <v>80.647814026566394</v>
      </c>
      <c r="AM3335">
        <v>94.927452956291702</v>
      </c>
      <c r="AN3335">
        <v>1.00000000634541</v>
      </c>
    </row>
    <row r="3336" spans="1:40" x14ac:dyDescent="0.3">
      <c r="A3336" t="str">
        <f>"20200111150417331"</f>
        <v>20200111150417331</v>
      </c>
      <c r="B3336" t="str">
        <f>"1578726257321513"</f>
        <v>1578726257321513</v>
      </c>
      <c r="C3336" t="s">
        <v>40</v>
      </c>
      <c r="D3336">
        <v>5.2812159999999997</v>
      </c>
      <c r="E3336">
        <v>0.46395219999999998</v>
      </c>
      <c r="F3336" t="s">
        <v>41</v>
      </c>
      <c r="G3336">
        <v>-184.75880000000001</v>
      </c>
      <c r="H3336" s="1">
        <v>-3.1645400000000002E-6</v>
      </c>
      <c r="I3336">
        <v>-35.15775</v>
      </c>
      <c r="J3336">
        <v>-183.035</v>
      </c>
      <c r="K3336">
        <v>1.1084609999999999</v>
      </c>
      <c r="L3336">
        <v>-44.396299999999997</v>
      </c>
      <c r="M3336">
        <v>-5.3686559999999899E-3</v>
      </c>
      <c r="N3336">
        <v>0</v>
      </c>
      <c r="O3336">
        <v>0.99987919999999997</v>
      </c>
      <c r="P3336">
        <v>-8.6303420000000006E-2</v>
      </c>
      <c r="Q3336">
        <v>0.14988899999999999</v>
      </c>
      <c r="R3336">
        <v>0.98492900000000005</v>
      </c>
      <c r="S3336">
        <v>-0.56074519999999906</v>
      </c>
      <c r="T3336">
        <v>-0.35880469999999998</v>
      </c>
      <c r="U3336">
        <v>3.0522459999999998</v>
      </c>
      <c r="V3336">
        <v>-8.2473779999999997E-2</v>
      </c>
      <c r="W3336">
        <v>0.16351740000000001</v>
      </c>
      <c r="X3336">
        <v>0.98308709999999999</v>
      </c>
      <c r="Y3336">
        <v>-0.17421159999999999</v>
      </c>
      <c r="Z3336">
        <v>-0.11490690000000001</v>
      </c>
      <c r="AA3336">
        <v>0.97798099999999999</v>
      </c>
      <c r="AB3336">
        <v>20</v>
      </c>
      <c r="AC3336">
        <v>-1.72380000000001</v>
      </c>
      <c r="AD3336">
        <v>-1.10846416454</v>
      </c>
      <c r="AE3336">
        <v>9.2385499999999894</v>
      </c>
      <c r="AF3336">
        <v>-1.6512006522338201</v>
      </c>
      <c r="AG3336">
        <v>-1.10846416454</v>
      </c>
      <c r="AH3336">
        <v>9.1207887390466595</v>
      </c>
      <c r="AI3336">
        <v>96.819484772808295</v>
      </c>
      <c r="AJ3336">
        <v>100.261516930116</v>
      </c>
      <c r="AK3336">
        <v>9.3350920520542893</v>
      </c>
      <c r="AL3336">
        <v>80.588882482399399</v>
      </c>
      <c r="AM3336">
        <v>94.795465572811693</v>
      </c>
      <c r="AN3336">
        <v>1.0000000553383199</v>
      </c>
    </row>
    <row r="3337" spans="1:40" x14ac:dyDescent="0.3">
      <c r="A3337" t="str">
        <f>"20200111150417352"</f>
        <v>20200111150417352</v>
      </c>
      <c r="B3337" t="str">
        <f>"1578726257342009"</f>
        <v>1578726257342009</v>
      </c>
      <c r="C3337" t="s">
        <v>40</v>
      </c>
      <c r="D3337">
        <v>6.3508839999999998</v>
      </c>
      <c r="E3337">
        <v>0.4639643</v>
      </c>
      <c r="F3337" t="s">
        <v>41</v>
      </c>
      <c r="G3337">
        <v>-184.80699999999999</v>
      </c>
      <c r="H3337" s="1">
        <v>-3.3121559999999999E-6</v>
      </c>
      <c r="I3337">
        <v>-34.793709999999997</v>
      </c>
      <c r="J3337">
        <v>-183.0446</v>
      </c>
      <c r="K3337">
        <v>1.1080620000000001</v>
      </c>
      <c r="L3337">
        <v>-44.208680000000001</v>
      </c>
      <c r="M3337">
        <v>-1.233602E-2</v>
      </c>
      <c r="N3337">
        <v>0</v>
      </c>
      <c r="O3337">
        <v>0.99981949999999997</v>
      </c>
      <c r="P3337">
        <v>-9.0925549999999994E-2</v>
      </c>
      <c r="Q3337">
        <v>0.14706910000000001</v>
      </c>
      <c r="R3337">
        <v>0.98493819999999999</v>
      </c>
      <c r="S3337">
        <v>-0.56285099999999999</v>
      </c>
      <c r="T3337">
        <v>-0.3520933</v>
      </c>
      <c r="U3337">
        <v>3.0501710000000002</v>
      </c>
      <c r="V3337">
        <v>-8.0047160000000006E-2</v>
      </c>
      <c r="W3337">
        <v>0.16066639999999999</v>
      </c>
      <c r="X3337">
        <v>0.98375749999999995</v>
      </c>
      <c r="Y3337">
        <v>-0.16816110000000001</v>
      </c>
      <c r="Z3337">
        <v>-0.11290269999999999</v>
      </c>
      <c r="AA3337">
        <v>0.97927260000000005</v>
      </c>
      <c r="AB3337">
        <v>20</v>
      </c>
      <c r="AC3337">
        <v>-1.76240000000001</v>
      </c>
      <c r="AD3337">
        <v>-1.108065312156</v>
      </c>
      <c r="AE3337">
        <v>9.4149700000000003</v>
      </c>
      <c r="AF3337">
        <v>-1.62437240883505</v>
      </c>
      <c r="AG3337">
        <v>-1.108065312156</v>
      </c>
      <c r="AH3337">
        <v>9.3113875895757605</v>
      </c>
      <c r="AI3337">
        <v>96.686301963183496</v>
      </c>
      <c r="AJ3337">
        <v>99.895671412630506</v>
      </c>
      <c r="AK3337">
        <v>9.5167396361302998</v>
      </c>
      <c r="AL3337">
        <v>80.754421708772199</v>
      </c>
      <c r="AM3337">
        <v>94.6518400388087</v>
      </c>
      <c r="AN3337">
        <v>1.0000000293596301</v>
      </c>
    </row>
    <row r="3338" spans="1:40" x14ac:dyDescent="0.3">
      <c r="A3338" t="str">
        <f>"20200111150417376"</f>
        <v>20200111150417376</v>
      </c>
      <c r="B3338" t="str">
        <f>"1578726257371289"</f>
        <v>1578726257371289</v>
      </c>
      <c r="C3338" t="s">
        <v>40</v>
      </c>
      <c r="D3338">
        <v>5.2857979999999998</v>
      </c>
      <c r="E3338">
        <v>0.46552280000000001</v>
      </c>
      <c r="F3338" t="s">
        <v>41</v>
      </c>
      <c r="G3338">
        <v>-184.76240000000001</v>
      </c>
      <c r="H3338" s="1">
        <v>-3.1791549999999998E-6</v>
      </c>
      <c r="I3338">
        <v>-35.122209999999903</v>
      </c>
      <c r="J3338">
        <v>-183.0558</v>
      </c>
      <c r="K3338">
        <v>1.1077079999999999</v>
      </c>
      <c r="L3338">
        <v>-44.004150000000003</v>
      </c>
      <c r="M3338">
        <v>-1.927208E-2</v>
      </c>
      <c r="N3338">
        <v>0</v>
      </c>
      <c r="O3338">
        <v>0.9997125</v>
      </c>
      <c r="P3338">
        <v>-9.4465270000000004E-2</v>
      </c>
      <c r="Q3338">
        <v>0.14758760000000001</v>
      </c>
      <c r="R3338">
        <v>0.98452740000000005</v>
      </c>
      <c r="S3338">
        <v>-0.57623290000000005</v>
      </c>
      <c r="T3338">
        <v>-0.3717164</v>
      </c>
      <c r="U3338">
        <v>3.048187</v>
      </c>
      <c r="V3338">
        <v>-7.6621990000000001E-2</v>
      </c>
      <c r="W3338">
        <v>0.16109989999999999</v>
      </c>
      <c r="X3338">
        <v>0.98395929999999998</v>
      </c>
      <c r="Y3338">
        <v>-0.16545570000000001</v>
      </c>
      <c r="Z3338">
        <v>-0.1191431</v>
      </c>
      <c r="AA3338">
        <v>0.97899400000000003</v>
      </c>
      <c r="AB3338">
        <v>20</v>
      </c>
      <c r="AC3338">
        <v>-1.7065999999999999</v>
      </c>
      <c r="AD3338">
        <v>-1.1077111791549901</v>
      </c>
      <c r="AE3338">
        <v>8.8819400000000002</v>
      </c>
      <c r="AF3338">
        <v>-1.51240593935416</v>
      </c>
      <c r="AG3338">
        <v>-1.1077111791549901</v>
      </c>
      <c r="AH3338">
        <v>8.7814608212970509</v>
      </c>
      <c r="AI3338">
        <v>97.086189273215993</v>
      </c>
      <c r="AJ3338">
        <v>99.772021364772797</v>
      </c>
      <c r="AK3338">
        <v>8.9793346044010303</v>
      </c>
      <c r="AL3338">
        <v>80.729255946724393</v>
      </c>
      <c r="AM3338">
        <v>94.452699453517496</v>
      </c>
      <c r="AN3338">
        <v>1.0000000055940299</v>
      </c>
    </row>
    <row r="3339" spans="1:40" x14ac:dyDescent="0.3">
      <c r="A3339" t="str">
        <f>"20200111150417398"</f>
        <v>20200111150417398</v>
      </c>
      <c r="B3339" t="str">
        <f>"1578726257391317"</f>
        <v>1578726257391317</v>
      </c>
      <c r="C3339" t="s">
        <v>40</v>
      </c>
      <c r="D3339">
        <v>5.3604479999999999</v>
      </c>
      <c r="E3339">
        <v>0.46795059999999999</v>
      </c>
      <c r="F3339" t="s">
        <v>41</v>
      </c>
      <c r="G3339">
        <v>-184.72069999999999</v>
      </c>
      <c r="H3339" s="1">
        <v>-3.1587139999999999E-6</v>
      </c>
      <c r="I3339">
        <v>-35.197589999999998</v>
      </c>
      <c r="J3339">
        <v>-183.06649999999999</v>
      </c>
      <c r="K3339">
        <v>1.1074299999999999</v>
      </c>
      <c r="L3339">
        <v>-43.817810000000001</v>
      </c>
      <c r="M3339">
        <v>-2.5000000000000001E-2</v>
      </c>
      <c r="N3339">
        <v>0</v>
      </c>
      <c r="O3339">
        <v>0.9995887</v>
      </c>
      <c r="P3339">
        <v>-9.6610080000000001E-2</v>
      </c>
      <c r="Q3339">
        <v>0.151079399999999</v>
      </c>
      <c r="R3339">
        <v>0.98378940000000004</v>
      </c>
      <c r="S3339">
        <v>-0.57650760000000001</v>
      </c>
      <c r="T3339">
        <v>-0.38355080000000003</v>
      </c>
      <c r="U3339">
        <v>3.0493160000000001</v>
      </c>
      <c r="V3339">
        <v>-7.3050889999999993E-2</v>
      </c>
      <c r="W3339">
        <v>0.16444829999999999</v>
      </c>
      <c r="X3339">
        <v>0.98367700000000002</v>
      </c>
      <c r="Y3339">
        <v>-0.1597382</v>
      </c>
      <c r="Z3339">
        <v>-0.1228692</v>
      </c>
      <c r="AA3339">
        <v>0.97948290000000005</v>
      </c>
      <c r="AB3339">
        <v>20</v>
      </c>
      <c r="AC3339">
        <v>-1.6541999999999999</v>
      </c>
      <c r="AD3339">
        <v>-1.1074331587139901</v>
      </c>
      <c r="AE3339">
        <v>8.6202199999999891</v>
      </c>
      <c r="AF3339">
        <v>-1.4156219978987099</v>
      </c>
      <c r="AG3339">
        <v>-1.1074331587139901</v>
      </c>
      <c r="AH3339">
        <v>8.52321043924481</v>
      </c>
      <c r="AI3339">
        <v>97.304092890357396</v>
      </c>
      <c r="AJ3339">
        <v>99.430184553982897</v>
      </c>
      <c r="AK3339">
        <v>8.7106549715624499</v>
      </c>
      <c r="AL3339">
        <v>80.534813952893302</v>
      </c>
      <c r="AM3339">
        <v>94.247165157699698</v>
      </c>
      <c r="AN3339">
        <v>1.0000000581158299</v>
      </c>
    </row>
    <row r="3340" spans="1:40" x14ac:dyDescent="0.3">
      <c r="A3340" t="str">
        <f>"20200111150417420"</f>
        <v>20200111150417420</v>
      </c>
      <c r="B3340" t="str">
        <f>"1578726257411814"</f>
        <v>1578726257411814</v>
      </c>
      <c r="C3340" t="s">
        <v>40</v>
      </c>
      <c r="D3340">
        <v>5.9876420000000001</v>
      </c>
      <c r="E3340">
        <v>0.4699817</v>
      </c>
      <c r="F3340" t="s">
        <v>41</v>
      </c>
      <c r="G3340">
        <v>-184.73679999999999</v>
      </c>
      <c r="H3340" s="1">
        <v>-3.3198660000000001E-6</v>
      </c>
      <c r="I3340">
        <v>-34.804789999999997</v>
      </c>
      <c r="J3340">
        <v>-183.07919999999999</v>
      </c>
      <c r="K3340">
        <v>1.1070899999999999</v>
      </c>
      <c r="L3340">
        <v>-43.606780000000001</v>
      </c>
      <c r="M3340">
        <v>-3.077848E-2</v>
      </c>
      <c r="N3340">
        <v>0</v>
      </c>
      <c r="O3340">
        <v>0.99943159999999998</v>
      </c>
      <c r="P3340">
        <v>-9.9470799999999998E-2</v>
      </c>
      <c r="Q3340">
        <v>0.15203120000000001</v>
      </c>
      <c r="R3340">
        <v>0.9833575</v>
      </c>
      <c r="S3340">
        <v>-0.56549069999999901</v>
      </c>
      <c r="T3340">
        <v>-0.37493720000000003</v>
      </c>
      <c r="U3340">
        <v>3.0514830000000002</v>
      </c>
      <c r="V3340">
        <v>-7.0104230000000003E-2</v>
      </c>
      <c r="W3340">
        <v>0.1651773</v>
      </c>
      <c r="X3340">
        <v>0.98376920000000001</v>
      </c>
      <c r="Y3340">
        <v>-0.15054210000000001</v>
      </c>
      <c r="Z3340">
        <v>-0.12016540000000001</v>
      </c>
      <c r="AA3340">
        <v>0.98127330000000001</v>
      </c>
      <c r="AB3340">
        <v>20</v>
      </c>
      <c r="AC3340">
        <v>-1.6576</v>
      </c>
      <c r="AD3340">
        <v>-1.107093319866</v>
      </c>
      <c r="AE3340">
        <v>8.8019899999999893</v>
      </c>
      <c r="AF3340">
        <v>-1.3650219912439101</v>
      </c>
      <c r="AG3340">
        <v>-1.107093319866</v>
      </c>
      <c r="AH3340">
        <v>8.7156826384242105</v>
      </c>
      <c r="AI3340">
        <v>97.152847009258807</v>
      </c>
      <c r="AJ3340">
        <v>98.901171094458704</v>
      </c>
      <c r="AK3340">
        <v>8.8911227923812106</v>
      </c>
      <c r="AL3340">
        <v>80.492465577902905</v>
      </c>
      <c r="AM3340">
        <v>94.076055751477</v>
      </c>
      <c r="AN3340">
        <v>0.99999999118391103</v>
      </c>
    </row>
    <row r="3341" spans="1:40" x14ac:dyDescent="0.3">
      <c r="A3341" t="str">
        <f>"20200111150417443"</f>
        <v>20200111150417443</v>
      </c>
      <c r="B3341" t="str">
        <f>"1578726257431332"</f>
        <v>1578726257431332</v>
      </c>
      <c r="C3341" t="s">
        <v>40</v>
      </c>
      <c r="D3341">
        <v>4.7092169999999998</v>
      </c>
      <c r="E3341">
        <v>0.47086460000000002</v>
      </c>
      <c r="F3341" t="s">
        <v>41</v>
      </c>
      <c r="G3341">
        <v>-184.7835</v>
      </c>
      <c r="H3341" s="1">
        <v>-3.5278840000000001E-6</v>
      </c>
      <c r="I3341">
        <v>-34.300559999999997</v>
      </c>
      <c r="J3341">
        <v>-183.09100000000001</v>
      </c>
      <c r="K3341">
        <v>1.106714</v>
      </c>
      <c r="L3341">
        <v>-43.414459999999998</v>
      </c>
      <c r="M3341">
        <v>-3.5400010000000003E-2</v>
      </c>
      <c r="N3341">
        <v>0</v>
      </c>
      <c r="O3341">
        <v>0.99928249999999996</v>
      </c>
      <c r="P3341">
        <v>-0.1007971</v>
      </c>
      <c r="Q3341">
        <v>0.1506344</v>
      </c>
      <c r="R3341">
        <v>0.98343740000000002</v>
      </c>
      <c r="S3341">
        <v>-0.55865480000000001</v>
      </c>
      <c r="T3341">
        <v>-0.36288239999999999</v>
      </c>
      <c r="U3341">
        <v>3.0503849999999999</v>
      </c>
      <c r="V3341">
        <v>-6.6726099999999997E-2</v>
      </c>
      <c r="W3341">
        <v>0.16357289999999999</v>
      </c>
      <c r="X3341">
        <v>0.98427209999999998</v>
      </c>
      <c r="Y3341">
        <v>-0.1439841</v>
      </c>
      <c r="Z3341">
        <v>-0.11645</v>
      </c>
      <c r="AA3341">
        <v>0.98270440000000003</v>
      </c>
      <c r="AB3341">
        <v>20</v>
      </c>
      <c r="AC3341">
        <v>-1.6925000000000201</v>
      </c>
      <c r="AD3341">
        <v>-1.106717527884</v>
      </c>
      <c r="AE3341">
        <v>9.1138999999999992</v>
      </c>
      <c r="AF3341">
        <v>-1.3495410693815599</v>
      </c>
      <c r="AG3341">
        <v>-1.106717527884</v>
      </c>
      <c r="AH3341">
        <v>9.0392598878554704</v>
      </c>
      <c r="AI3341">
        <v>96.904467005788305</v>
      </c>
      <c r="AJ3341">
        <v>98.491410408592799</v>
      </c>
      <c r="AK3341">
        <v>9.2062100836699408</v>
      </c>
      <c r="AL3341">
        <v>80.585658798061999</v>
      </c>
      <c r="AM3341">
        <v>93.878280446360804</v>
      </c>
      <c r="AN3341">
        <v>1.00000001643701</v>
      </c>
    </row>
    <row r="3342" spans="1:40" x14ac:dyDescent="0.3">
      <c r="A3342" t="str">
        <f>"20200111150417464"</f>
        <v>20200111150417464</v>
      </c>
      <c r="B3342" t="str">
        <f>"1578726257461588"</f>
        <v>1578726257461588</v>
      </c>
      <c r="C3342" t="s">
        <v>40</v>
      </c>
      <c r="D3342">
        <v>5.7363280000000003</v>
      </c>
      <c r="E3342">
        <v>0.47237440000000003</v>
      </c>
      <c r="F3342" t="s">
        <v>41</v>
      </c>
      <c r="G3342">
        <v>-184.81010000000001</v>
      </c>
      <c r="H3342" s="1">
        <v>-3.6497500000000001E-6</v>
      </c>
      <c r="I3342">
        <v>-34.005510000000001</v>
      </c>
      <c r="J3342">
        <v>-183.10319999999999</v>
      </c>
      <c r="K3342">
        <v>1.106271</v>
      </c>
      <c r="L3342">
        <v>-43.219239999999999</v>
      </c>
      <c r="M3342">
        <v>-3.9463640000000001E-2</v>
      </c>
      <c r="N3342">
        <v>0</v>
      </c>
      <c r="O3342">
        <v>0.99913410000000002</v>
      </c>
      <c r="P3342">
        <v>-0.10244929999999999</v>
      </c>
      <c r="Q3342">
        <v>0.1497916</v>
      </c>
      <c r="R3342">
        <v>0.98339549999999998</v>
      </c>
      <c r="S3342">
        <v>-0.55694580000000005</v>
      </c>
      <c r="T3342">
        <v>-0.35856130000000003</v>
      </c>
      <c r="U3342">
        <v>3.0483699999999998</v>
      </c>
      <c r="V3342">
        <v>-6.4206460000000007E-2</v>
      </c>
      <c r="W3342">
        <v>0.16252710000000001</v>
      </c>
      <c r="X3342">
        <v>0.98461290000000001</v>
      </c>
      <c r="Y3342">
        <v>-0.13956769999999999</v>
      </c>
      <c r="Z3342">
        <v>-0.115172</v>
      </c>
      <c r="AA3342">
        <v>0.98349189999999997</v>
      </c>
      <c r="AB3342">
        <v>20</v>
      </c>
      <c r="AC3342">
        <v>-1.7069000000000101</v>
      </c>
      <c r="AD3342">
        <v>-1.10627464975</v>
      </c>
      <c r="AE3342">
        <v>9.2137299999999893</v>
      </c>
      <c r="AF3342">
        <v>-1.3234844922942499</v>
      </c>
      <c r="AG3342">
        <v>-1.10627464975</v>
      </c>
      <c r="AH3342">
        <v>9.1464347567073894</v>
      </c>
      <c r="AI3342">
        <v>96.826097379128299</v>
      </c>
      <c r="AJ3342">
        <v>98.233523400564394</v>
      </c>
      <c r="AK3342">
        <v>9.3076701467514305</v>
      </c>
      <c r="AL3342">
        <v>80.646391734858398</v>
      </c>
      <c r="AM3342">
        <v>93.730966772028793</v>
      </c>
      <c r="AN3342">
        <v>1.00000004529327</v>
      </c>
    </row>
    <row r="3343" spans="1:40" x14ac:dyDescent="0.3">
      <c r="A3343" t="str">
        <f>"20200111150417485"</f>
        <v>20200111150417485</v>
      </c>
      <c r="B3343" t="str">
        <f>"1578726257482084"</f>
        <v>1578726257482084</v>
      </c>
      <c r="C3343" t="s">
        <v>40</v>
      </c>
      <c r="D3343">
        <v>5.1297920000000001</v>
      </c>
      <c r="E3343">
        <v>0.47372150000000002</v>
      </c>
      <c r="F3343" t="s">
        <v>41</v>
      </c>
      <c r="G3343">
        <v>-184.88919999999999</v>
      </c>
      <c r="H3343" s="1">
        <v>-3.9213570000000001E-6</v>
      </c>
      <c r="I3343">
        <v>-33.339680000000001</v>
      </c>
      <c r="J3343">
        <v>-183.1148</v>
      </c>
      <c r="K3343">
        <v>1.1058209999999999</v>
      </c>
      <c r="L3343">
        <v>-43.031100000000002</v>
      </c>
      <c r="M3343">
        <v>-4.2743349999999999E-2</v>
      </c>
      <c r="N3343">
        <v>0</v>
      </c>
      <c r="O3343">
        <v>0.99900250000000002</v>
      </c>
      <c r="P3343">
        <v>-0.1043079</v>
      </c>
      <c r="Q3343">
        <v>0.14789479999999999</v>
      </c>
      <c r="R3343">
        <v>0.98348720000000001</v>
      </c>
      <c r="S3343">
        <v>-0.55050659999999996</v>
      </c>
      <c r="T3343">
        <v>-0.34099279999999998</v>
      </c>
      <c r="U3343">
        <v>3.0452270000000001</v>
      </c>
      <c r="V3343">
        <v>-6.265039E-2</v>
      </c>
      <c r="W3343">
        <v>0.16045599999999999</v>
      </c>
      <c r="X3343">
        <v>0.9850527</v>
      </c>
      <c r="Y3343">
        <v>-0.1345914</v>
      </c>
      <c r="Z3343">
        <v>-0.1097452</v>
      </c>
      <c r="AA3343">
        <v>0.98480509999999999</v>
      </c>
      <c r="AB3343">
        <v>20</v>
      </c>
      <c r="AC3343">
        <v>-1.77439999999998</v>
      </c>
      <c r="AD3343">
        <v>-1.1058249213569999</v>
      </c>
      <c r="AE3343">
        <v>9.6914199999999902</v>
      </c>
      <c r="AF3343">
        <v>-1.34159916859433</v>
      </c>
      <c r="AG3343">
        <v>-1.1058249213569999</v>
      </c>
      <c r="AH3343">
        <v>9.6370109892585596</v>
      </c>
      <c r="AI3343">
        <v>96.483940621879299</v>
      </c>
      <c r="AJ3343">
        <v>97.925392072746007</v>
      </c>
      <c r="AK3343">
        <v>9.7925848422649704</v>
      </c>
      <c r="AL3343">
        <v>80.7666350243708</v>
      </c>
      <c r="AM3343">
        <v>93.639170321897097</v>
      </c>
      <c r="AN3343">
        <v>1.00000001054022</v>
      </c>
    </row>
    <row r="3344" spans="1:40" x14ac:dyDescent="0.3">
      <c r="A3344" t="str">
        <f>"20200111150417509"</f>
        <v>20200111150417509</v>
      </c>
      <c r="B3344" t="str">
        <f>"1578726257501606"</f>
        <v>1578726257501606</v>
      </c>
      <c r="C3344" t="s">
        <v>40</v>
      </c>
      <c r="D3344">
        <v>5.1226289999999999</v>
      </c>
      <c r="E3344">
        <v>0.4971563</v>
      </c>
      <c r="F3344" t="s">
        <v>41</v>
      </c>
      <c r="G3344">
        <v>-184.90299999999999</v>
      </c>
      <c r="H3344" s="1">
        <v>-4.0385210000000003E-6</v>
      </c>
      <c r="I3344">
        <v>-33.060850000000002</v>
      </c>
      <c r="J3344">
        <v>-183.12729999999999</v>
      </c>
      <c r="K3344">
        <v>1.105334</v>
      </c>
      <c r="L3344">
        <v>-42.826320000000003</v>
      </c>
      <c r="M3344">
        <v>-4.5581049999999998E-2</v>
      </c>
      <c r="N3344">
        <v>0</v>
      </c>
      <c r="O3344">
        <v>0.9988802</v>
      </c>
      <c r="P3344">
        <v>-0.106614</v>
      </c>
      <c r="Q3344">
        <v>0.1436615</v>
      </c>
      <c r="R3344">
        <v>0.9838673</v>
      </c>
      <c r="S3344">
        <v>-0.54580689999999998</v>
      </c>
      <c r="T3344">
        <v>-0.33753379999999999</v>
      </c>
      <c r="U3344">
        <v>3.0432429999999999</v>
      </c>
      <c r="V3344">
        <v>-6.1945409999999999E-2</v>
      </c>
      <c r="W3344">
        <v>0.15605429999999901</v>
      </c>
      <c r="X3344">
        <v>0.98580409999999996</v>
      </c>
      <c r="Y3344">
        <v>-0.13043460000000001</v>
      </c>
      <c r="Z3344">
        <v>-0.10873869999999999</v>
      </c>
      <c r="AA3344">
        <v>0.98547589999999996</v>
      </c>
      <c r="AB3344">
        <v>20</v>
      </c>
      <c r="AC3344">
        <v>-1.7757000000000001</v>
      </c>
      <c r="AD3344">
        <v>-1.1053380385210001</v>
      </c>
      <c r="AE3344">
        <v>9.7654700000000005</v>
      </c>
      <c r="AF3344">
        <v>-1.3124218731860899</v>
      </c>
      <c r="AG3344">
        <v>-1.1053380385210001</v>
      </c>
      <c r="AH3344">
        <v>9.7157724768481906</v>
      </c>
      <c r="AI3344">
        <v>96.432558965611705</v>
      </c>
      <c r="AJ3344">
        <v>97.693038109115506</v>
      </c>
      <c r="AK3344">
        <v>9.8661268071366095</v>
      </c>
      <c r="AL3344">
        <v>81.022052250418</v>
      </c>
      <c r="AM3344">
        <v>93.5955928608075</v>
      </c>
      <c r="AN3344">
        <v>0.99999995097268202</v>
      </c>
    </row>
    <row r="3345" spans="1:40" x14ac:dyDescent="0.3">
      <c r="A3345" t="str">
        <f>"20200111150417530"</f>
        <v>20200111150417530</v>
      </c>
      <c r="B3345" t="str">
        <f>"1578726257522101"</f>
        <v>1578726257522101</v>
      </c>
      <c r="C3345" t="s">
        <v>40</v>
      </c>
      <c r="D3345">
        <v>5.1256009999999996</v>
      </c>
      <c r="E3345">
        <v>0.49558350000000001</v>
      </c>
      <c r="F3345" t="s">
        <v>44</v>
      </c>
      <c r="G3345">
        <v>0</v>
      </c>
      <c r="H3345">
        <v>0</v>
      </c>
      <c r="I3345">
        <v>0</v>
      </c>
      <c r="J3345">
        <v>-183.13890000000001</v>
      </c>
      <c r="K3345">
        <v>1.1049009999999999</v>
      </c>
      <c r="L3345">
        <v>-42.628360000000001</v>
      </c>
      <c r="M3345">
        <v>-4.7494630000000003E-2</v>
      </c>
      <c r="N3345">
        <v>0</v>
      </c>
      <c r="O3345">
        <v>0.99879379999999995</v>
      </c>
      <c r="P3345">
        <v>-0.1081492</v>
      </c>
      <c r="Q3345">
        <v>0.139596</v>
      </c>
      <c r="R3345">
        <v>0.98428490000000002</v>
      </c>
      <c r="S3345">
        <v>-0.35543819999999998</v>
      </c>
      <c r="T3345">
        <v>1.9818539999999999E-2</v>
      </c>
      <c r="U3345">
        <v>3.0077820000000002</v>
      </c>
      <c r="V3345">
        <v>-6.1407080000000003E-2</v>
      </c>
      <c r="W3345">
        <v>0.15184029999999901</v>
      </c>
      <c r="X3345">
        <v>0.98649569999999998</v>
      </c>
      <c r="Y3345">
        <v>-7.0051230000000006E-2</v>
      </c>
      <c r="Z3345">
        <v>6.5469319999999897E-3</v>
      </c>
      <c r="AA3345">
        <v>0.99752189999999996</v>
      </c>
      <c r="AB3345">
        <v>20</v>
      </c>
      <c r="AC3345">
        <v>-0.35543819999999998</v>
      </c>
      <c r="AD3345">
        <v>1.9818539999999999E-2</v>
      </c>
      <c r="AE3345">
        <v>3.0077820000000002</v>
      </c>
      <c r="AF3345">
        <v>-0.21216335856629701</v>
      </c>
      <c r="AG3345">
        <v>1.9818539999999999E-2</v>
      </c>
      <c r="AH3345">
        <v>3.0211405270560201</v>
      </c>
      <c r="AI3345">
        <v>89.625071127641704</v>
      </c>
      <c r="AJ3345">
        <v>94.017072482888494</v>
      </c>
      <c r="AK3345">
        <v>3.0286459267247201</v>
      </c>
      <c r="AL3345">
        <v>81.266410595658698</v>
      </c>
      <c r="AM3345">
        <v>93.561934186789799</v>
      </c>
      <c r="AN3345">
        <v>1.0000000361483501</v>
      </c>
    </row>
    <row r="3346" spans="1:40" x14ac:dyDescent="0.3">
      <c r="A3346" t="str">
        <f>"20200111150417554"</f>
        <v>20200111150417554</v>
      </c>
      <c r="B3346" t="str">
        <f>"1578726257551380"</f>
        <v>1578726257551380</v>
      </c>
      <c r="C3346" t="s">
        <v>40</v>
      </c>
      <c r="D3346">
        <v>6.0399330000000004</v>
      </c>
      <c r="E3346">
        <v>0.46327879999999999</v>
      </c>
      <c r="F3346" t="s">
        <v>47</v>
      </c>
      <c r="G3346">
        <v>-241.53919999999999</v>
      </c>
      <c r="H3346">
        <v>14.43441</v>
      </c>
      <c r="I3346">
        <v>429.98669999999998</v>
      </c>
      <c r="J3346">
        <v>-183.15029999999999</v>
      </c>
      <c r="K3346">
        <v>1.1045670000000001</v>
      </c>
      <c r="L3346">
        <v>-42.425960000000003</v>
      </c>
      <c r="M3346">
        <v>-4.8811529999999999E-2</v>
      </c>
      <c r="N3346">
        <v>0</v>
      </c>
      <c r="O3346">
        <v>0.99873290000000003</v>
      </c>
      <c r="P3346">
        <v>-0.1099499</v>
      </c>
      <c r="Q3346">
        <v>0.1390052</v>
      </c>
      <c r="R3346">
        <v>0.98416899999999996</v>
      </c>
      <c r="S3346">
        <v>-0.37011719999999998</v>
      </c>
      <c r="T3346">
        <v>8.4477070000000001E-2</v>
      </c>
      <c r="U3346">
        <v>2.9952390000000002</v>
      </c>
      <c r="V3346">
        <v>-6.178579E-2</v>
      </c>
      <c r="W3346">
        <v>0.15109700000000001</v>
      </c>
      <c r="X3346">
        <v>0.98658619999999997</v>
      </c>
      <c r="Y3346">
        <v>-7.3994740000000003E-2</v>
      </c>
      <c r="Z3346">
        <v>2.79972E-2</v>
      </c>
      <c r="AA3346">
        <v>0.99686560000000002</v>
      </c>
      <c r="AB3346">
        <v>20</v>
      </c>
      <c r="AC3346">
        <v>-58.3889</v>
      </c>
      <c r="AD3346">
        <v>13.329842999999901</v>
      </c>
      <c r="AE3346">
        <v>472.41266000000002</v>
      </c>
      <c r="AF3346">
        <v>-35.230747993321103</v>
      </c>
      <c r="AG3346">
        <v>13.329842999999901</v>
      </c>
      <c r="AH3346">
        <v>474.32776380790602</v>
      </c>
      <c r="AI3346">
        <v>88.394683040316593</v>
      </c>
      <c r="AJ3346">
        <v>94.247850421929201</v>
      </c>
      <c r="AK3346">
        <v>475.82109856287599</v>
      </c>
      <c r="AL3346">
        <v>81.309495857879497</v>
      </c>
      <c r="AM3346">
        <v>93.583516393215206</v>
      </c>
      <c r="AN3346">
        <v>1.00000005864268</v>
      </c>
    </row>
    <row r="3347" spans="1:40" x14ac:dyDescent="0.3">
      <c r="A3347" t="str">
        <f>"20200111150417575"</f>
        <v>20200111150417575</v>
      </c>
      <c r="B3347" t="str">
        <f>"1578726257571876"</f>
        <v>1578726257571876</v>
      </c>
      <c r="C3347" t="s">
        <v>40</v>
      </c>
      <c r="D3347">
        <v>5.2291059999999998</v>
      </c>
      <c r="E3347">
        <v>0.49290800000000001</v>
      </c>
      <c r="F3347" t="s">
        <v>75</v>
      </c>
      <c r="G3347">
        <v>-212.23310000000001</v>
      </c>
      <c r="H3347">
        <v>23.963509999999999</v>
      </c>
      <c r="I3347">
        <v>94.387979999999999</v>
      </c>
      <c r="J3347">
        <v>-183.16130000000001</v>
      </c>
      <c r="K3347">
        <v>1.1043179999999999</v>
      </c>
      <c r="L3347">
        <v>-42.226349999999996</v>
      </c>
      <c r="M3347">
        <v>-4.9551959999999999E-2</v>
      </c>
      <c r="N3347">
        <v>0</v>
      </c>
      <c r="O3347">
        <v>0.99869859999999999</v>
      </c>
      <c r="P3347">
        <v>-0.1106476</v>
      </c>
      <c r="Q3347">
        <v>0.140078799999999</v>
      </c>
      <c r="R3347">
        <v>0.98393850000000005</v>
      </c>
      <c r="S3347">
        <v>-0.61868290000000004</v>
      </c>
      <c r="T3347">
        <v>0.48628179999999999</v>
      </c>
      <c r="U3347">
        <v>2.9104610000000002</v>
      </c>
      <c r="V3347">
        <v>-6.1671030000000002E-2</v>
      </c>
      <c r="W3347">
        <v>0.15202879999999999</v>
      </c>
      <c r="X3347">
        <v>0.9864501</v>
      </c>
      <c r="Y3347">
        <v>-0.15646179999999901</v>
      </c>
      <c r="Z3347">
        <v>0.16172719999999999</v>
      </c>
      <c r="AA3347">
        <v>0.97435309999999997</v>
      </c>
      <c r="AB3347">
        <v>20</v>
      </c>
      <c r="AC3347">
        <v>-29.0718</v>
      </c>
      <c r="AD3347">
        <v>22.859192</v>
      </c>
      <c r="AE3347">
        <v>136.61433</v>
      </c>
      <c r="AF3347">
        <v>-21.6852372999988</v>
      </c>
      <c r="AG3347">
        <v>22.859192</v>
      </c>
      <c r="AH3347">
        <v>134.29016399607801</v>
      </c>
      <c r="AI3347">
        <v>80.460828167097205</v>
      </c>
      <c r="AJ3347">
        <v>99.172964516360395</v>
      </c>
      <c r="AK3347">
        <v>137.937088274849</v>
      </c>
      <c r="AL3347">
        <v>81.255482600251099</v>
      </c>
      <c r="AM3347">
        <v>93.577369938092005</v>
      </c>
      <c r="AN3347">
        <v>0.99999993588035296</v>
      </c>
    </row>
    <row r="3348" spans="1:40" x14ac:dyDescent="0.3">
      <c r="A3348" t="str">
        <f>"20200111150417598"</f>
        <v>20200111150417598</v>
      </c>
      <c r="B3348" t="str">
        <f>"1578726257591254"</f>
        <v>1578726257591254</v>
      </c>
      <c r="C3348" t="s">
        <v>40</v>
      </c>
      <c r="D3348">
        <v>4.6453150000000001</v>
      </c>
      <c r="E3348">
        <v>0.4928419</v>
      </c>
      <c r="F3348" t="s">
        <v>42</v>
      </c>
      <c r="G3348">
        <v>-183.2713</v>
      </c>
      <c r="H3348">
        <v>0.97837669999999999</v>
      </c>
      <c r="I3348">
        <v>-41.418599999999998</v>
      </c>
      <c r="J3348">
        <v>-183.17140000000001</v>
      </c>
      <c r="K3348">
        <v>1.104133</v>
      </c>
      <c r="L3348">
        <v>-42.034120000000001</v>
      </c>
      <c r="M3348">
        <v>-4.9787789999999998E-2</v>
      </c>
      <c r="N3348">
        <v>0</v>
      </c>
      <c r="O3348">
        <v>0.99868869999999998</v>
      </c>
      <c r="P3348">
        <v>-0.110388899999999</v>
      </c>
      <c r="Q3348">
        <v>0.14220829999999901</v>
      </c>
      <c r="R3348">
        <v>0.98366209999999998</v>
      </c>
      <c r="S3348">
        <v>-0.41891479999999998</v>
      </c>
      <c r="T3348">
        <v>-0.47863339999999999</v>
      </c>
      <c r="U3348">
        <v>3.0700069999999999</v>
      </c>
      <c r="V3348">
        <v>-6.1122179999999998E-2</v>
      </c>
      <c r="W3348">
        <v>0.1540329</v>
      </c>
      <c r="X3348">
        <v>0.98617339999999998</v>
      </c>
      <c r="Y3348">
        <v>-8.4110710000000005E-2</v>
      </c>
      <c r="Z3348">
        <v>-0.15279909999999999</v>
      </c>
      <c r="AA3348">
        <v>0.98467139999999997</v>
      </c>
      <c r="AB3348">
        <v>20</v>
      </c>
      <c r="AC3348">
        <v>-9.9899999999990996E-2</v>
      </c>
      <c r="AD3348">
        <v>-0.12575629999999999</v>
      </c>
      <c r="AE3348">
        <v>0.61552000000000295</v>
      </c>
      <c r="AF3348">
        <v>-6.6426893482393903E-2</v>
      </c>
      <c r="AG3348">
        <v>-0.12575629999999999</v>
      </c>
      <c r="AH3348">
        <v>0.59551076707407102</v>
      </c>
      <c r="AI3348">
        <v>101.85276656093301</v>
      </c>
      <c r="AJ3348">
        <v>96.364808698062703</v>
      </c>
      <c r="AK3348">
        <v>0.61225832200841501</v>
      </c>
      <c r="AL3348">
        <v>81.1392881923705</v>
      </c>
      <c r="AM3348">
        <v>93.546606499868204</v>
      </c>
      <c r="AN3348">
        <v>1.0000000150189601</v>
      </c>
    </row>
    <row r="3349" spans="1:40" x14ac:dyDescent="0.3">
      <c r="A3349" t="str">
        <f>"20200111150417621"</f>
        <v>20200111150417621</v>
      </c>
      <c r="B3349" t="str">
        <f>"1578726257611751"</f>
        <v>1578726257611751</v>
      </c>
      <c r="C3349" t="s">
        <v>40</v>
      </c>
      <c r="D3349">
        <v>5.1638950000000001</v>
      </c>
      <c r="E3349">
        <v>0.49553370000000002</v>
      </c>
      <c r="F3349" t="s">
        <v>42</v>
      </c>
      <c r="G3349">
        <v>-183.2808</v>
      </c>
      <c r="H3349">
        <v>0.98635600000000001</v>
      </c>
      <c r="I3349">
        <v>-41.233330000000002</v>
      </c>
      <c r="J3349">
        <v>-183.18260000000001</v>
      </c>
      <c r="K3349">
        <v>1.1039509999999999</v>
      </c>
      <c r="L3349">
        <v>-41.81485</v>
      </c>
      <c r="M3349">
        <v>-4.9571629999999998E-2</v>
      </c>
      <c r="N3349">
        <v>0</v>
      </c>
      <c r="O3349">
        <v>0.99870119999999896</v>
      </c>
      <c r="P3349">
        <v>-0.1095098</v>
      </c>
      <c r="Q3349">
        <v>0.14458879999999999</v>
      </c>
      <c r="R3349">
        <v>0.98341330000000005</v>
      </c>
      <c r="S3349">
        <v>-0.41943359999999902</v>
      </c>
      <c r="T3349">
        <v>-0.45120549999999998</v>
      </c>
      <c r="U3349">
        <v>3.067993</v>
      </c>
      <c r="V3349">
        <v>-6.0397480000000003E-2</v>
      </c>
      <c r="W3349">
        <v>0.15628979999999901</v>
      </c>
      <c r="X3349">
        <v>0.98586289999999999</v>
      </c>
      <c r="Y3349">
        <v>-8.4749160000000004E-2</v>
      </c>
      <c r="Z3349">
        <v>-0.14432010000000001</v>
      </c>
      <c r="AA3349">
        <v>0.98589519999999997</v>
      </c>
      <c r="AB3349">
        <v>20</v>
      </c>
      <c r="AC3349">
        <v>-9.8199999999991405E-2</v>
      </c>
      <c r="AD3349">
        <v>-0.11759500000000001</v>
      </c>
      <c r="AE3349">
        <v>0.58151999999999704</v>
      </c>
      <c r="AF3349">
        <v>-6.6602309684289998E-2</v>
      </c>
      <c r="AG3349">
        <v>-0.11759500000000001</v>
      </c>
      <c r="AH3349">
        <v>0.56327778275174401</v>
      </c>
      <c r="AI3349">
        <v>101.71289952703</v>
      </c>
      <c r="AJ3349">
        <v>96.743378303888804</v>
      </c>
      <c r="AK3349">
        <v>0.579263594766668</v>
      </c>
      <c r="AL3349">
        <v>81.008391985538793</v>
      </c>
      <c r="AM3349">
        <v>93.5057623628974</v>
      </c>
      <c r="AN3349">
        <v>1.0000000073854001</v>
      </c>
    </row>
    <row r="3350" spans="1:40" x14ac:dyDescent="0.3">
      <c r="A3350" t="str">
        <f>"20200111150417644"</f>
        <v>20200111150417644</v>
      </c>
      <c r="B3350" t="str">
        <f>"1578726257642008"</f>
        <v>1578726257642008</v>
      </c>
      <c r="C3350" t="s">
        <v>40</v>
      </c>
      <c r="D3350">
        <v>5.1589839999999896</v>
      </c>
      <c r="E3350">
        <v>0.49808429999999998</v>
      </c>
      <c r="F3350" t="s">
        <v>42</v>
      </c>
      <c r="G3350">
        <v>-183.28229999999999</v>
      </c>
      <c r="H3350">
        <v>1.0029790000000001</v>
      </c>
      <c r="I3350">
        <v>-41.042990000000003</v>
      </c>
      <c r="J3350">
        <v>-183.19239999999999</v>
      </c>
      <c r="K3350">
        <v>1.103791</v>
      </c>
      <c r="L3350">
        <v>-41.612270000000002</v>
      </c>
      <c r="M3350">
        <v>-4.9012769999999997E-2</v>
      </c>
      <c r="N3350">
        <v>0</v>
      </c>
      <c r="O3350">
        <v>0.99873020000000001</v>
      </c>
      <c r="P3350">
        <v>-0.1085117</v>
      </c>
      <c r="Q3350">
        <v>0.14624500000000001</v>
      </c>
      <c r="R3350">
        <v>0.98327900000000001</v>
      </c>
      <c r="S3350">
        <v>-0.39654539999999999</v>
      </c>
      <c r="T3350">
        <v>-0.40093600000000001</v>
      </c>
      <c r="U3350">
        <v>3.0653990000000002</v>
      </c>
      <c r="V3350">
        <v>-5.9894910000000003E-2</v>
      </c>
      <c r="W3350">
        <v>0.15785179999999999</v>
      </c>
      <c r="X3350">
        <v>0.98564459999999998</v>
      </c>
      <c r="Y3350">
        <v>-7.8459409999999993E-2</v>
      </c>
      <c r="Z3350">
        <v>-0.12873099999999901</v>
      </c>
      <c r="AA3350">
        <v>0.98857090000000003</v>
      </c>
      <c r="AB3350">
        <v>20</v>
      </c>
      <c r="AC3350">
        <v>-8.9899999999999994E-2</v>
      </c>
      <c r="AD3350">
        <v>-0.100811999999999</v>
      </c>
      <c r="AE3350">
        <v>0.56927999999999901</v>
      </c>
      <c r="AF3350">
        <v>-6.0050701155829299E-2</v>
      </c>
      <c r="AG3350">
        <v>-0.100811999999999</v>
      </c>
      <c r="AH3350">
        <v>0.555990772223243</v>
      </c>
      <c r="AI3350">
        <v>100.21902031360401</v>
      </c>
      <c r="AJ3350">
        <v>96.164429109038494</v>
      </c>
      <c r="AK3350">
        <v>0.56823840494171496</v>
      </c>
      <c r="AL3350">
        <v>80.917770453291595</v>
      </c>
      <c r="AM3350">
        <v>93.477430737264399</v>
      </c>
      <c r="AN3350">
        <v>0.99999993425815104</v>
      </c>
    </row>
    <row r="3351" spans="1:40" x14ac:dyDescent="0.3">
      <c r="A3351" t="str">
        <f>"20200111150417665"</f>
        <v>20200111150417665</v>
      </c>
      <c r="B3351" t="str">
        <f>"1578726257661526"</f>
        <v>1578726257661526</v>
      </c>
      <c r="C3351" t="s">
        <v>40</v>
      </c>
      <c r="D3351">
        <v>5.1649219999999998</v>
      </c>
      <c r="E3351">
        <v>0.49831690000000001</v>
      </c>
      <c r="F3351" t="s">
        <v>41</v>
      </c>
      <c r="G3351">
        <v>-184.31880000000001</v>
      </c>
      <c r="H3351" s="1">
        <v>-4.4376170000000003E-6</v>
      </c>
      <c r="I3351">
        <v>-32.37209</v>
      </c>
      <c r="J3351">
        <v>-183.20089999999999</v>
      </c>
      <c r="K3351">
        <v>1.103642</v>
      </c>
      <c r="L3351">
        <v>-41.424590000000002</v>
      </c>
      <c r="M3351">
        <v>-4.8258629999999997E-2</v>
      </c>
      <c r="N3351">
        <v>0</v>
      </c>
      <c r="O3351">
        <v>0.99876799999999999</v>
      </c>
      <c r="P3351">
        <v>-0.10725369999999999</v>
      </c>
      <c r="Q3351">
        <v>0.14620320000000001</v>
      </c>
      <c r="R3351">
        <v>0.98342320000000005</v>
      </c>
      <c r="S3351">
        <v>-0.3735657</v>
      </c>
      <c r="T3351">
        <v>-0.36604199999999998</v>
      </c>
      <c r="U3351">
        <v>3.0642399999999999</v>
      </c>
      <c r="V3351">
        <v>-5.9322609999999998E-2</v>
      </c>
      <c r="W3351">
        <v>0.15773789999999999</v>
      </c>
      <c r="X3351">
        <v>0.9856975</v>
      </c>
      <c r="Y3351">
        <v>-7.2123789999999993E-2</v>
      </c>
      <c r="Z3351">
        <v>-0.11782289999999999</v>
      </c>
      <c r="AA3351">
        <v>0.99041199999999996</v>
      </c>
      <c r="AB3351">
        <v>20</v>
      </c>
      <c r="AC3351">
        <v>-1.1179000000000101</v>
      </c>
      <c r="AD3351">
        <v>-1.1036464376170001</v>
      </c>
      <c r="AE3351">
        <v>9.0525000000000002</v>
      </c>
      <c r="AF3351">
        <v>-0.66989937489770501</v>
      </c>
      <c r="AG3351">
        <v>-1.1036464376170001</v>
      </c>
      <c r="AH3351">
        <v>8.9646579558339905</v>
      </c>
      <c r="AI3351">
        <v>96.999095000866703</v>
      </c>
      <c r="AJ3351">
        <v>94.273582104106495</v>
      </c>
      <c r="AK3351">
        <v>9.05714595757685</v>
      </c>
      <c r="AL3351">
        <v>80.924379742469199</v>
      </c>
      <c r="AM3351">
        <v>93.444099620177099</v>
      </c>
      <c r="AN3351">
        <v>0.99999998932993595</v>
      </c>
    </row>
    <row r="3352" spans="1:40" x14ac:dyDescent="0.3">
      <c r="A3352" t="str">
        <f>"20200111150417687"</f>
        <v>20200111150417687</v>
      </c>
      <c r="B3352" t="str">
        <f>"1578726257681644"</f>
        <v>1578726257681644</v>
      </c>
      <c r="C3352" t="s">
        <v>40</v>
      </c>
      <c r="D3352">
        <v>5.2856800000000002</v>
      </c>
      <c r="E3352">
        <v>0.499197</v>
      </c>
      <c r="F3352" t="s">
        <v>41</v>
      </c>
      <c r="G3352">
        <v>-184.3698</v>
      </c>
      <c r="H3352" s="1">
        <v>-4.727857E-6</v>
      </c>
      <c r="I3352">
        <v>-31.67445</v>
      </c>
      <c r="J3352">
        <v>-183.2097</v>
      </c>
      <c r="K3352">
        <v>1.1035079999999999</v>
      </c>
      <c r="L3352">
        <v>-41.222810000000003</v>
      </c>
      <c r="M3352">
        <v>-4.7260820000000002E-2</v>
      </c>
      <c r="N3352">
        <v>0</v>
      </c>
      <c r="O3352">
        <v>0.9988167</v>
      </c>
      <c r="P3352">
        <v>-0.10500130000000001</v>
      </c>
      <c r="Q3352">
        <v>0.1446962</v>
      </c>
      <c r="R3352">
        <v>0.98388909999999996</v>
      </c>
      <c r="S3352">
        <v>-0.36709589999999998</v>
      </c>
      <c r="T3352">
        <v>-0.34660479999999999</v>
      </c>
      <c r="U3352">
        <v>3.0620729999999998</v>
      </c>
      <c r="V3352">
        <v>-5.7992050000000003E-2</v>
      </c>
      <c r="W3352">
        <v>0.15616360000000001</v>
      </c>
      <c r="X3352">
        <v>0.98602730000000005</v>
      </c>
      <c r="Y3352">
        <v>-7.1225510000000006E-2</v>
      </c>
      <c r="Z3352">
        <v>-0.1117498</v>
      </c>
      <c r="AA3352">
        <v>0.99118050000000002</v>
      </c>
      <c r="AB3352">
        <v>20</v>
      </c>
      <c r="AC3352">
        <v>-1.1600999999999999</v>
      </c>
      <c r="AD3352">
        <v>-1.1035127278569901</v>
      </c>
      <c r="AE3352">
        <v>9.54835999999999</v>
      </c>
      <c r="AF3352">
        <v>-0.69831897957370004</v>
      </c>
      <c r="AG3352">
        <v>-1.1035127278569901</v>
      </c>
      <c r="AH3352">
        <v>9.4679002606707492</v>
      </c>
      <c r="AI3352">
        <v>96.630154442409506</v>
      </c>
      <c r="AJ3352">
        <v>94.218296776407996</v>
      </c>
      <c r="AK3352">
        <v>9.5575376056693795</v>
      </c>
      <c r="AL3352">
        <v>81.015712462469693</v>
      </c>
      <c r="AM3352">
        <v>93.365907307486395</v>
      </c>
      <c r="AN3352">
        <v>0.99999999208672596</v>
      </c>
    </row>
    <row r="3353" spans="1:40" x14ac:dyDescent="0.3">
      <c r="A3353" t="str">
        <f>"20200111150417710"</f>
        <v>20200111150417710</v>
      </c>
      <c r="B3353" t="str">
        <f>"1578726257702140"</f>
        <v>1578726257702140</v>
      </c>
      <c r="C3353" t="s">
        <v>40</v>
      </c>
      <c r="D3353">
        <v>5.1071339999999896</v>
      </c>
      <c r="E3353">
        <v>0.50027109999999997</v>
      </c>
      <c r="F3353" t="s">
        <v>41</v>
      </c>
      <c r="G3353">
        <v>-184.39949999999999</v>
      </c>
      <c r="H3353" s="1">
        <v>-5.0622509999999999E-6</v>
      </c>
      <c r="I3353">
        <v>-30.8827</v>
      </c>
      <c r="J3353">
        <v>-183.21809999999999</v>
      </c>
      <c r="K3353">
        <v>1.103423</v>
      </c>
      <c r="L3353">
        <v>-41.01614</v>
      </c>
      <c r="M3353">
        <v>-4.6078340000000002E-2</v>
      </c>
      <c r="N3353">
        <v>0</v>
      </c>
      <c r="O3353">
        <v>0.99887280000000001</v>
      </c>
      <c r="P3353">
        <v>-0.1030703</v>
      </c>
      <c r="Q3353">
        <v>0.14347599999999999</v>
      </c>
      <c r="R3353">
        <v>0.98427189999999998</v>
      </c>
      <c r="S3353">
        <v>-0.35206599999999999</v>
      </c>
      <c r="T3353">
        <v>-0.32652239999999999</v>
      </c>
      <c r="U3353">
        <v>3.0595699999999999</v>
      </c>
      <c r="V3353">
        <v>-5.7190350000000001E-2</v>
      </c>
      <c r="W3353">
        <v>0.1548776</v>
      </c>
      <c r="X3353">
        <v>0.98627690000000001</v>
      </c>
      <c r="Y3353">
        <v>-6.7777219999999999E-2</v>
      </c>
      <c r="Z3353">
        <v>-0.105485</v>
      </c>
      <c r="AA3353">
        <v>0.99210849999999995</v>
      </c>
      <c r="AB3353">
        <v>20</v>
      </c>
      <c r="AC3353">
        <v>-1.18139999999999</v>
      </c>
      <c r="AD3353">
        <v>-1.103428062251</v>
      </c>
      <c r="AE3353">
        <v>10.13344</v>
      </c>
      <c r="AF3353">
        <v>-0.70493622615392704</v>
      </c>
      <c r="AG3353">
        <v>-1.103428062251</v>
      </c>
      <c r="AH3353">
        <v>10.059440444808599</v>
      </c>
      <c r="AI3353">
        <v>96.244601023166993</v>
      </c>
      <c r="AJ3353">
        <v>94.008567816804799</v>
      </c>
      <c r="AK3353">
        <v>10.144300401415499</v>
      </c>
      <c r="AL3353">
        <v>81.0903021624232</v>
      </c>
      <c r="AM3353">
        <v>93.318642553422904</v>
      </c>
      <c r="AN3353">
        <v>0.99999996529424495</v>
      </c>
    </row>
    <row r="3354" spans="1:40" x14ac:dyDescent="0.3">
      <c r="A3354" t="str">
        <f>"20200111150417733"</f>
        <v>20200111150417733</v>
      </c>
      <c r="B3354" t="str">
        <f>"1578726257721660"</f>
        <v>1578726257721660</v>
      </c>
      <c r="C3354" t="s">
        <v>40</v>
      </c>
      <c r="D3354">
        <v>5.1050509999999996</v>
      </c>
      <c r="E3354">
        <v>0.50126919999999997</v>
      </c>
      <c r="F3354" t="s">
        <v>41</v>
      </c>
      <c r="G3354">
        <v>-184.42140000000001</v>
      </c>
      <c r="H3354" s="1">
        <v>-1.566311E-6</v>
      </c>
      <c r="I3354">
        <v>-30.110959999999999</v>
      </c>
      <c r="J3354">
        <v>-183.22620000000001</v>
      </c>
      <c r="K3354">
        <v>1.1034200000000001</v>
      </c>
      <c r="L3354">
        <v>-40.806699999999999</v>
      </c>
      <c r="M3354">
        <v>-4.4774359999999999E-2</v>
      </c>
      <c r="N3354">
        <v>0</v>
      </c>
      <c r="O3354">
        <v>0.99893290000000001</v>
      </c>
      <c r="P3354">
        <v>-0.1012487</v>
      </c>
      <c r="Q3354">
        <v>0.14427499999999999</v>
      </c>
      <c r="R3354">
        <v>0.9843442</v>
      </c>
      <c r="S3354">
        <v>-0.33740229999999999</v>
      </c>
      <c r="T3354">
        <v>-0.30938979999999999</v>
      </c>
      <c r="U3354">
        <v>3.057709</v>
      </c>
      <c r="V3354">
        <v>-5.6655160000000003E-2</v>
      </c>
      <c r="W3354">
        <v>0.155607299999999</v>
      </c>
      <c r="X3354">
        <v>0.98619290000000004</v>
      </c>
      <c r="Y3354">
        <v>-6.4510699999999893E-2</v>
      </c>
      <c r="Z3354">
        <v>-0.10011349999999999</v>
      </c>
      <c r="AA3354">
        <v>0.9928825</v>
      </c>
      <c r="AB3354">
        <v>20</v>
      </c>
      <c r="AC3354">
        <v>-1.19519999999999</v>
      </c>
      <c r="AD3354">
        <v>-1.1034215663110001</v>
      </c>
      <c r="AE3354">
        <v>10.695739999999899</v>
      </c>
      <c r="AF3354">
        <v>-0.70763711976528099</v>
      </c>
      <c r="AG3354">
        <v>-1.1034215663110001</v>
      </c>
      <c r="AH3354">
        <v>10.6268241990478</v>
      </c>
      <c r="AI3354">
        <v>95.914978374191705</v>
      </c>
      <c r="AJ3354">
        <v>93.809684912418305</v>
      </c>
      <c r="AK3354">
        <v>10.7073657826628</v>
      </c>
      <c r="AL3354">
        <v>81.047980085762404</v>
      </c>
      <c r="AM3354">
        <v>93.287934398453402</v>
      </c>
      <c r="AN3354">
        <v>0.99999993748916005</v>
      </c>
    </row>
    <row r="3355" spans="1:40" x14ac:dyDescent="0.3">
      <c r="A3355" t="str">
        <f>"20200111150417755"</f>
        <v>20200111150417755</v>
      </c>
      <c r="B3355" t="str">
        <f>"1578726257751917"</f>
        <v>1578726257751917</v>
      </c>
      <c r="C3355" t="s">
        <v>40</v>
      </c>
      <c r="D3355">
        <v>4.9188549999999998</v>
      </c>
      <c r="E3355">
        <v>0.50270429999999999</v>
      </c>
      <c r="F3355" t="s">
        <v>41</v>
      </c>
      <c r="G3355">
        <v>-184.4545</v>
      </c>
      <c r="H3355" s="1">
        <v>-1.85704E-6</v>
      </c>
      <c r="I3355">
        <v>-29.230799999999999</v>
      </c>
      <c r="J3355">
        <v>-183.2337</v>
      </c>
      <c r="K3355">
        <v>1.1034660000000001</v>
      </c>
      <c r="L3355">
        <v>-40.603389999999997</v>
      </c>
      <c r="M3355">
        <v>-4.3476630000000002E-2</v>
      </c>
      <c r="N3355">
        <v>0</v>
      </c>
      <c r="O3355">
        <v>0.99899090000000001</v>
      </c>
      <c r="P3355">
        <v>-9.9246139999999997E-2</v>
      </c>
      <c r="Q3355">
        <v>0.14508750000000001</v>
      </c>
      <c r="R3355">
        <v>0.98442870000000005</v>
      </c>
      <c r="S3355">
        <v>-0.32438660000000002</v>
      </c>
      <c r="T3355">
        <v>-0.29140139999999998</v>
      </c>
      <c r="U3355">
        <v>3.0570680000000001</v>
      </c>
      <c r="V3355">
        <v>-5.5953910000000003E-2</v>
      </c>
      <c r="W3355">
        <v>0.15635199999999999</v>
      </c>
      <c r="X3355">
        <v>0.98611519999999997</v>
      </c>
      <c r="Y3355">
        <v>-6.1710040000000001E-2</v>
      </c>
      <c r="Z3355">
        <v>-9.4403600000000004E-2</v>
      </c>
      <c r="AA3355">
        <v>0.99361960000000005</v>
      </c>
      <c r="AB3355">
        <v>20</v>
      </c>
      <c r="AC3355">
        <v>-1.2207999999999899</v>
      </c>
      <c r="AD3355">
        <v>-1.1034678570400001</v>
      </c>
      <c r="AE3355">
        <v>11.372590000000001</v>
      </c>
      <c r="AF3355">
        <v>-0.71848506741477902</v>
      </c>
      <c r="AG3355">
        <v>-1.1034678570400001</v>
      </c>
      <c r="AH3355">
        <v>11.3096522675133</v>
      </c>
      <c r="AI3355">
        <v>95.561494212913402</v>
      </c>
      <c r="AJ3355">
        <v>93.635029119367303</v>
      </c>
      <c r="AK3355">
        <v>11.386048327478999</v>
      </c>
      <c r="AL3355">
        <v>81.004783653030898</v>
      </c>
      <c r="AM3355">
        <v>93.247580907508507</v>
      </c>
      <c r="AN3355">
        <v>0.99999998780966404</v>
      </c>
    </row>
    <row r="3356" spans="1:40" x14ac:dyDescent="0.3">
      <c r="A3356" t="str">
        <f>"20200111150417778"</f>
        <v>20200111150417778</v>
      </c>
      <c r="B3356" t="str">
        <f>"1578726257771437"</f>
        <v>1578726257771437</v>
      </c>
      <c r="C3356" t="s">
        <v>40</v>
      </c>
      <c r="D3356">
        <v>4.9145770000000004</v>
      </c>
      <c r="E3356">
        <v>0.50332619999999995</v>
      </c>
      <c r="F3356" t="s">
        <v>41</v>
      </c>
      <c r="G3356">
        <v>-184.44049999999999</v>
      </c>
      <c r="H3356" s="1">
        <v>-2.0798800000000001E-6</v>
      </c>
      <c r="I3356">
        <v>-28.586939999999998</v>
      </c>
      <c r="J3356">
        <v>-183.24090000000001</v>
      </c>
      <c r="K3356">
        <v>1.10355</v>
      </c>
      <c r="L3356">
        <v>-40.405329999999999</v>
      </c>
      <c r="M3356">
        <v>-4.2245980000000002E-2</v>
      </c>
      <c r="N3356">
        <v>0</v>
      </c>
      <c r="O3356">
        <v>0.9990443</v>
      </c>
      <c r="P3356">
        <v>-9.7264569999999995E-2</v>
      </c>
      <c r="Q3356">
        <v>0.14458289999999999</v>
      </c>
      <c r="R3356">
        <v>0.98470069999999998</v>
      </c>
      <c r="S3356">
        <v>-0.307083099999999</v>
      </c>
      <c r="T3356">
        <v>-0.28080559999999899</v>
      </c>
      <c r="U3356">
        <v>3.0578919999999998</v>
      </c>
      <c r="V3356">
        <v>-5.5216000000000001E-2</v>
      </c>
      <c r="W3356">
        <v>0.15578059999999999</v>
      </c>
      <c r="X3356">
        <v>0.98624719999999999</v>
      </c>
      <c r="Y3356">
        <v>-5.737917E-2</v>
      </c>
      <c r="Z3356">
        <v>-9.1020900000000002E-2</v>
      </c>
      <c r="AA3356">
        <v>0.99419460000000004</v>
      </c>
      <c r="AB3356">
        <v>20</v>
      </c>
      <c r="AC3356">
        <v>-1.19959999999997</v>
      </c>
      <c r="AD3356">
        <v>-1.10355207987999</v>
      </c>
      <c r="AE3356">
        <v>11.8183899999999</v>
      </c>
      <c r="AF3356">
        <v>-0.693235331460757</v>
      </c>
      <c r="AG3356">
        <v>-1.10355207987999</v>
      </c>
      <c r="AH3356">
        <v>11.757054215839799</v>
      </c>
      <c r="AI3356">
        <v>95.352998439114401</v>
      </c>
      <c r="AJ3356">
        <v>93.374444242639299</v>
      </c>
      <c r="AK3356">
        <v>11.8290627799497</v>
      </c>
      <c r="AL3356">
        <v>81.0379284471055</v>
      </c>
      <c r="AM3356">
        <v>93.204414227353098</v>
      </c>
      <c r="AN3356">
        <v>0.99999997075009905</v>
      </c>
    </row>
    <row r="3357" spans="1:40" x14ac:dyDescent="0.3">
      <c r="A3357" t="str">
        <f>"20200111150417798"</f>
        <v>20200111150417798</v>
      </c>
      <c r="B3357" t="str">
        <f>"1578726257791932"</f>
        <v>1578726257791932</v>
      </c>
      <c r="C3357" t="s">
        <v>40</v>
      </c>
      <c r="D3357">
        <v>5.0216669999999999</v>
      </c>
      <c r="E3357">
        <v>0.50365680000000002</v>
      </c>
      <c r="F3357" t="s">
        <v>41</v>
      </c>
      <c r="G3357">
        <v>-184.38759999999999</v>
      </c>
      <c r="H3357" s="1">
        <v>-2.1012089999999999E-6</v>
      </c>
      <c r="I3357">
        <v>-28.5656</v>
      </c>
      <c r="J3357">
        <v>-183.24780000000001</v>
      </c>
      <c r="K3357">
        <v>1.103656</v>
      </c>
      <c r="L3357">
        <v>-40.208280000000002</v>
      </c>
      <c r="M3357">
        <v>-4.1114779999999997E-2</v>
      </c>
      <c r="N3357">
        <v>0</v>
      </c>
      <c r="O3357">
        <v>0.99909210000000004</v>
      </c>
      <c r="P3357">
        <v>-9.5646930000000005E-2</v>
      </c>
      <c r="Q3357">
        <v>0.14371159999999999</v>
      </c>
      <c r="R3357">
        <v>0.98498660000000005</v>
      </c>
      <c r="S3357">
        <v>-0.29629519999999998</v>
      </c>
      <c r="T3357">
        <v>-0.28514060000000002</v>
      </c>
      <c r="U3357">
        <v>3.0592039999999998</v>
      </c>
      <c r="V3357">
        <v>-5.4751550000000003E-2</v>
      </c>
      <c r="W3357">
        <v>0.15484139999999999</v>
      </c>
      <c r="X3357">
        <v>0.98642099999999999</v>
      </c>
      <c r="Y3357">
        <v>-5.4982570000000001E-2</v>
      </c>
      <c r="Z3357">
        <v>-9.2403609999999997E-2</v>
      </c>
      <c r="AA3357">
        <v>0.99420240000000004</v>
      </c>
      <c r="AB3357">
        <v>20</v>
      </c>
      <c r="AC3357">
        <v>-1.1397999999999699</v>
      </c>
      <c r="AD3357">
        <v>-1.1036581012090001</v>
      </c>
      <c r="AE3357">
        <v>11.64268</v>
      </c>
      <c r="AF3357">
        <v>-0.65429640978875603</v>
      </c>
      <c r="AG3357">
        <v>-1.1036581012090001</v>
      </c>
      <c r="AH3357">
        <v>11.576660063137799</v>
      </c>
      <c r="AI3357">
        <v>95.437195538501101</v>
      </c>
      <c r="AJ3357">
        <v>93.234834737260002</v>
      </c>
      <c r="AK3357">
        <v>11.6475415094206</v>
      </c>
      <c r="AL3357">
        <v>81.092401820881193</v>
      </c>
      <c r="AM3357">
        <v>93.176957019706407</v>
      </c>
      <c r="AN3357">
        <v>0.99999999031118103</v>
      </c>
    </row>
    <row r="3358" spans="1:40" x14ac:dyDescent="0.3">
      <c r="A3358" t="str">
        <f>"20200111150417823"</f>
        <v>20200111150417823</v>
      </c>
      <c r="B3358" t="str">
        <f>"1578726257811452"</f>
        <v>1578726257811452</v>
      </c>
      <c r="C3358" t="s">
        <v>40</v>
      </c>
      <c r="D3358">
        <v>5.1630019999999996</v>
      </c>
      <c r="E3358">
        <v>0.50357529999999995</v>
      </c>
      <c r="F3358" t="s">
        <v>41</v>
      </c>
      <c r="G3358">
        <v>-184.36150000000001</v>
      </c>
      <c r="H3358" s="1">
        <v>-2.1685359999999998E-6</v>
      </c>
      <c r="I3358">
        <v>-28.38815</v>
      </c>
      <c r="J3358">
        <v>-183.25550000000001</v>
      </c>
      <c r="K3358">
        <v>1.1037939999999999</v>
      </c>
      <c r="L3358">
        <v>-39.989319999999999</v>
      </c>
      <c r="M3358">
        <v>-4.0019150000000003E-2</v>
      </c>
      <c r="N3358">
        <v>0</v>
      </c>
      <c r="O3358">
        <v>0.99913730000000001</v>
      </c>
      <c r="P3358">
        <v>-9.4273659999999995E-2</v>
      </c>
      <c r="Q3358">
        <v>0.1430939</v>
      </c>
      <c r="R3358">
        <v>0.98520890000000005</v>
      </c>
      <c r="S3358">
        <v>-0.2882538</v>
      </c>
      <c r="T3358">
        <v>-0.2856609</v>
      </c>
      <c r="U3358">
        <v>3.059418</v>
      </c>
      <c r="V3358">
        <v>-5.4507809999999997E-2</v>
      </c>
      <c r="W3358">
        <v>0.15414359999999999</v>
      </c>
      <c r="X3358">
        <v>0.98654379999999997</v>
      </c>
      <c r="Y3358">
        <v>-5.3479680000000002E-2</v>
      </c>
      <c r="Z3358">
        <v>-9.2585730000000005E-2</v>
      </c>
      <c r="AA3358">
        <v>0.99426749999999997</v>
      </c>
      <c r="AB3358">
        <v>20</v>
      </c>
      <c r="AC3358">
        <v>-1.1059999999999901</v>
      </c>
      <c r="AD3358">
        <v>-1.103796168536</v>
      </c>
      <c r="AE3358">
        <v>11.60117</v>
      </c>
      <c r="AF3358">
        <v>-0.63511864133770002</v>
      </c>
      <c r="AG3358">
        <v>-1.103796168536</v>
      </c>
      <c r="AH3358">
        <v>11.532678614771701</v>
      </c>
      <c r="AI3358">
        <v>95.458921501966898</v>
      </c>
      <c r="AJ3358">
        <v>93.152164185121293</v>
      </c>
      <c r="AK3358">
        <v>11.6027762928474</v>
      </c>
      <c r="AL3358">
        <v>81.132868839991005</v>
      </c>
      <c r="AM3358">
        <v>93.162449896189798</v>
      </c>
      <c r="AN3358">
        <v>1.00000001004519</v>
      </c>
    </row>
    <row r="3359" spans="1:40" x14ac:dyDescent="0.3">
      <c r="A3359" t="str">
        <f>"20200111150417846"</f>
        <v>20200111150417846</v>
      </c>
      <c r="B3359" t="str">
        <f>"1578726257841710"</f>
        <v>1578726257841710</v>
      </c>
      <c r="C3359" t="s">
        <v>40</v>
      </c>
      <c r="D3359">
        <v>5.2659440000000002</v>
      </c>
      <c r="E3359">
        <v>0.45791569999999998</v>
      </c>
      <c r="F3359" t="s">
        <v>41</v>
      </c>
      <c r="G3359">
        <v>-184.34030000000001</v>
      </c>
      <c r="H3359" s="1">
        <v>-2.211359E-6</v>
      </c>
      <c r="I3359">
        <v>-28.278890000000001</v>
      </c>
      <c r="J3359">
        <v>-183.2627</v>
      </c>
      <c r="K3359">
        <v>1.1039319999999999</v>
      </c>
      <c r="L3359">
        <v>-39.780329999999999</v>
      </c>
      <c r="M3359">
        <v>-3.9162049999999997E-2</v>
      </c>
      <c r="N3359">
        <v>0</v>
      </c>
      <c r="O3359">
        <v>0.99917199999999995</v>
      </c>
      <c r="P3359">
        <v>-9.2700249999999998E-2</v>
      </c>
      <c r="Q3359">
        <v>0.1431664</v>
      </c>
      <c r="R3359">
        <v>0.98534770000000005</v>
      </c>
      <c r="S3359">
        <v>-0.28346250000000001</v>
      </c>
      <c r="T3359">
        <v>-0.28841050000000001</v>
      </c>
      <c r="U3359">
        <v>3.0598139999999998</v>
      </c>
      <c r="V3359">
        <v>-5.3830959999999997E-2</v>
      </c>
      <c r="W3359">
        <v>0.15413189999999999</v>
      </c>
      <c r="X3359">
        <v>0.98658279999999998</v>
      </c>
      <c r="Y3359">
        <v>-5.2773189999999998E-2</v>
      </c>
      <c r="Z3359">
        <v>-9.3470449999999997E-2</v>
      </c>
      <c r="AA3359">
        <v>0.99422250000000001</v>
      </c>
      <c r="AB3359">
        <v>20</v>
      </c>
      <c r="AC3359">
        <v>-1.0776000000000101</v>
      </c>
      <c r="AD3359">
        <v>-1.1039342113589901</v>
      </c>
      <c r="AE3359">
        <v>11.501439999999899</v>
      </c>
      <c r="AF3359">
        <v>-0.62065776394372196</v>
      </c>
      <c r="AG3359">
        <v>-1.1039342113589901</v>
      </c>
      <c r="AH3359">
        <v>11.430431863626399</v>
      </c>
      <c r="AI3359">
        <v>95.508368483801505</v>
      </c>
      <c r="AJ3359">
        <v>93.1080350840585</v>
      </c>
      <c r="AK3359">
        <v>11.5003764891398</v>
      </c>
      <c r="AL3359">
        <v>81.133547380316401</v>
      </c>
      <c r="AM3359">
        <v>93.123135231100704</v>
      </c>
      <c r="AN3359">
        <v>1.0000000180539801</v>
      </c>
    </row>
    <row r="3360" spans="1:40" x14ac:dyDescent="0.3">
      <c r="A3360" t="str">
        <f>"20200111150417867"</f>
        <v>20200111150417867</v>
      </c>
      <c r="B3360" t="str">
        <f>"1578726257861229"</f>
        <v>1578726257861229</v>
      </c>
      <c r="C3360" t="s">
        <v>40</v>
      </c>
      <c r="D3360">
        <v>5.2458150000000003</v>
      </c>
      <c r="E3360">
        <v>0.45436939999999998</v>
      </c>
      <c r="F3360" t="s">
        <v>41</v>
      </c>
      <c r="G3360">
        <v>-185.76329999999999</v>
      </c>
      <c r="H3360" s="1">
        <v>-1.940718E-6</v>
      </c>
      <c r="I3360">
        <v>-27.961600000000001</v>
      </c>
      <c r="J3360">
        <v>-183.26920000000001</v>
      </c>
      <c r="K3360">
        <v>1.1040490000000001</v>
      </c>
      <c r="L3360">
        <v>-39.593440000000001</v>
      </c>
      <c r="M3360">
        <v>-3.8569689999999997E-2</v>
      </c>
      <c r="N3360">
        <v>0</v>
      </c>
      <c r="O3360">
        <v>0.99919579999999997</v>
      </c>
      <c r="P3360">
        <v>-9.1343170000000001E-2</v>
      </c>
      <c r="Q3360">
        <v>0.14431720000000001</v>
      </c>
      <c r="R3360">
        <v>0.98530660000000003</v>
      </c>
      <c r="S3360">
        <v>-0.64012150000000001</v>
      </c>
      <c r="T3360">
        <v>-0.2825935</v>
      </c>
      <c r="U3360">
        <v>3.025452</v>
      </c>
      <c r="V3360">
        <v>-5.311072E-2</v>
      </c>
      <c r="W3360">
        <v>0.15519179999999999</v>
      </c>
      <c r="X3360">
        <v>0.98645570000000005</v>
      </c>
      <c r="Y3360">
        <v>-0.168243</v>
      </c>
      <c r="Z3360">
        <v>-9.1233830000000002E-2</v>
      </c>
      <c r="AA3360">
        <v>0.98151449999999996</v>
      </c>
      <c r="AB3360">
        <v>20</v>
      </c>
      <c r="AC3360">
        <v>-2.4940999999999698</v>
      </c>
      <c r="AD3360">
        <v>-1.1040509407179999</v>
      </c>
      <c r="AE3360">
        <v>11.631839999999899</v>
      </c>
      <c r="AF3360">
        <v>-2.02612927389209</v>
      </c>
      <c r="AG3360">
        <v>-1.1040509407179999</v>
      </c>
      <c r="AH3360">
        <v>11.619307992342501</v>
      </c>
      <c r="AI3360">
        <v>95.347655504546694</v>
      </c>
      <c r="AJ3360">
        <v>99.891555595766206</v>
      </c>
      <c r="AK3360">
        <v>11.846199666354501</v>
      </c>
      <c r="AL3360">
        <v>81.072080221851607</v>
      </c>
      <c r="AM3360">
        <v>93.081826075528895</v>
      </c>
      <c r="AN3360">
        <v>1.0000000457143201</v>
      </c>
    </row>
    <row r="3361" spans="1:40" x14ac:dyDescent="0.3">
      <c r="A3361" t="str">
        <f>"20200111150417888"</f>
        <v>20200111150417888</v>
      </c>
      <c r="B3361" t="str">
        <f>"1578726257881725"</f>
        <v>1578726257881725</v>
      </c>
      <c r="C3361" t="s">
        <v>40</v>
      </c>
      <c r="D3361">
        <v>5.2684689999999996</v>
      </c>
      <c r="E3361">
        <v>0.45294299999999998</v>
      </c>
      <c r="F3361" t="s">
        <v>41</v>
      </c>
      <c r="G3361">
        <v>-185.93360000000001</v>
      </c>
      <c r="H3361" s="1">
        <v>-2.071238E-6</v>
      </c>
      <c r="I3361">
        <v>-27.44492</v>
      </c>
      <c r="J3361">
        <v>-183.27619999999999</v>
      </c>
      <c r="K3361">
        <v>1.1041810000000001</v>
      </c>
      <c r="L3361">
        <v>-39.393189999999997</v>
      </c>
      <c r="M3361">
        <v>-3.8112779999999999E-2</v>
      </c>
      <c r="N3361">
        <v>0</v>
      </c>
      <c r="O3361">
        <v>0.99921439999999995</v>
      </c>
      <c r="P3361">
        <v>-9.1120419999999994E-2</v>
      </c>
      <c r="Q3361">
        <v>0.145362299999999</v>
      </c>
      <c r="R3361">
        <v>0.98517350000000004</v>
      </c>
      <c r="S3361">
        <v>-0.66310119999999995</v>
      </c>
      <c r="T3361">
        <v>-0.27477380000000001</v>
      </c>
      <c r="U3361">
        <v>3.0234990000000002</v>
      </c>
      <c r="V3361">
        <v>-5.339725E-2</v>
      </c>
      <c r="W3361">
        <v>0.1561216</v>
      </c>
      <c r="X3361">
        <v>0.98629339999999999</v>
      </c>
      <c r="Y3361">
        <v>-0.1759955</v>
      </c>
      <c r="Z3361">
        <v>-8.8657440000000004E-2</v>
      </c>
      <c r="AA3361">
        <v>0.98039050000000005</v>
      </c>
      <c r="AB3361">
        <v>20</v>
      </c>
      <c r="AC3361">
        <v>-2.65740000000002</v>
      </c>
      <c r="AD3361">
        <v>-1.1041830712380001</v>
      </c>
      <c r="AE3361">
        <v>11.948270000000001</v>
      </c>
      <c r="AF3361">
        <v>-2.1823013627964798</v>
      </c>
      <c r="AG3361">
        <v>-1.1041830712380001</v>
      </c>
      <c r="AH3361">
        <v>11.9436801863966</v>
      </c>
      <c r="AI3361">
        <v>95.196386019406305</v>
      </c>
      <c r="AJ3361">
        <v>100.35463317075801</v>
      </c>
      <c r="AK3361">
        <v>12.191519835024501</v>
      </c>
      <c r="AL3361">
        <v>81.018148346581597</v>
      </c>
      <c r="AM3361">
        <v>93.098928951159905</v>
      </c>
      <c r="AN3361">
        <v>0.99999994558883898</v>
      </c>
    </row>
    <row r="3362" spans="1:40" x14ac:dyDescent="0.3">
      <c r="A3362" t="str">
        <f>"20200111150417911"</f>
        <v>20200111150417911</v>
      </c>
      <c r="B3362" t="str">
        <f>"1578726257902221"</f>
        <v>1578726257902221</v>
      </c>
      <c r="C3362" t="s">
        <v>40</v>
      </c>
      <c r="D3362">
        <v>5.2739929999999999</v>
      </c>
      <c r="E3362">
        <v>0.45186500000000002</v>
      </c>
      <c r="F3362" t="s">
        <v>41</v>
      </c>
      <c r="G3362">
        <v>-185.98240000000001</v>
      </c>
      <c r="H3362" s="1">
        <v>-2.132014E-6</v>
      </c>
      <c r="I3362">
        <v>-27.228159999999999</v>
      </c>
      <c r="J3362">
        <v>-183.28370000000001</v>
      </c>
      <c r="K3362">
        <v>1.1042989999999999</v>
      </c>
      <c r="L3362">
        <v>-39.1843</v>
      </c>
      <c r="M3362">
        <v>-3.7842569999999999E-2</v>
      </c>
      <c r="N3362">
        <v>0</v>
      </c>
      <c r="O3362">
        <v>0.9992259</v>
      </c>
      <c r="P3362">
        <v>-9.1935929999999999E-2</v>
      </c>
      <c r="Q3362">
        <v>0.14650550000000001</v>
      </c>
      <c r="R3362">
        <v>0.98492840000000004</v>
      </c>
      <c r="S3362">
        <v>-0.67257690000000003</v>
      </c>
      <c r="T3362">
        <v>-0.27442810000000001</v>
      </c>
      <c r="U3362">
        <v>3.0234380000000001</v>
      </c>
      <c r="V3362">
        <v>-5.4543439999999999E-2</v>
      </c>
      <c r="W3362">
        <v>0.15713089999999999</v>
      </c>
      <c r="X3362">
        <v>0.98607049999999996</v>
      </c>
      <c r="Y3362">
        <v>-0.17919779999999999</v>
      </c>
      <c r="Z3362">
        <v>-8.8494760000000006E-2</v>
      </c>
      <c r="AA3362">
        <v>0.9798249</v>
      </c>
      <c r="AB3362">
        <v>20</v>
      </c>
      <c r="AC3362">
        <v>-2.6987000000000001</v>
      </c>
      <c r="AD3362">
        <v>-1.1043011320139999</v>
      </c>
      <c r="AE3362">
        <v>11.95614</v>
      </c>
      <c r="AF3362">
        <v>-2.2262186348016102</v>
      </c>
      <c r="AG3362">
        <v>-1.1043011320139999</v>
      </c>
      <c r="AH3362">
        <v>11.952683067575</v>
      </c>
      <c r="AI3362">
        <v>95.189787838986007</v>
      </c>
      <c r="AJ3362">
        <v>100.55059781831901</v>
      </c>
      <c r="AK3362">
        <v>12.2082825538238</v>
      </c>
      <c r="AL3362">
        <v>80.959598190319298</v>
      </c>
      <c r="AM3362">
        <v>93.166028720294307</v>
      </c>
      <c r="AN3362">
        <v>1.00000006877604</v>
      </c>
    </row>
    <row r="3363" spans="1:40" x14ac:dyDescent="0.3">
      <c r="A3363" t="str">
        <f>"20200111150417933"</f>
        <v>20200111150417933</v>
      </c>
      <c r="B3363" t="str">
        <f>"1578726257921739"</f>
        <v>1578726257921739</v>
      </c>
      <c r="C3363" t="s">
        <v>40</v>
      </c>
      <c r="D3363">
        <v>5.2964140000000004</v>
      </c>
      <c r="E3363">
        <v>0.45126369999999999</v>
      </c>
      <c r="F3363" t="s">
        <v>41</v>
      </c>
      <c r="G3363">
        <v>-186.06399999999999</v>
      </c>
      <c r="H3363" s="1">
        <v>-2.2305469999999999E-6</v>
      </c>
      <c r="I3363">
        <v>-26.874770000000002</v>
      </c>
      <c r="J3363">
        <v>-183.291</v>
      </c>
      <c r="K3363">
        <v>1.1044</v>
      </c>
      <c r="L3363">
        <v>-38.983890000000002</v>
      </c>
      <c r="M3363">
        <v>-3.774773E-2</v>
      </c>
      <c r="N3363">
        <v>0</v>
      </c>
      <c r="O3363">
        <v>0.99923070000000003</v>
      </c>
      <c r="P3363">
        <v>-9.3675659999999994E-2</v>
      </c>
      <c r="Q3363">
        <v>0.14622289999999999</v>
      </c>
      <c r="R3363">
        <v>0.98480639999999997</v>
      </c>
      <c r="S3363">
        <v>-0.68269349999999995</v>
      </c>
      <c r="T3363">
        <v>-0.2711538</v>
      </c>
      <c r="U3363">
        <v>3.0225219999999999</v>
      </c>
      <c r="V3363">
        <v>-5.6426450000000003E-2</v>
      </c>
      <c r="W3363">
        <v>0.15671789999999999</v>
      </c>
      <c r="X3363">
        <v>0.98603019999999997</v>
      </c>
      <c r="Y3363">
        <v>-0.18249670000000001</v>
      </c>
      <c r="Z3363">
        <v>-8.7415110000000004E-2</v>
      </c>
      <c r="AA3363">
        <v>0.97931279999999998</v>
      </c>
      <c r="AB3363">
        <v>20</v>
      </c>
      <c r="AC3363">
        <v>-2.7730000000000201</v>
      </c>
      <c r="AD3363">
        <v>-1.104402230547</v>
      </c>
      <c r="AE3363">
        <v>12.1091199999999</v>
      </c>
      <c r="AF3363">
        <v>-2.2957607675212999</v>
      </c>
      <c r="AG3363">
        <v>-1.104402230547</v>
      </c>
      <c r="AH3363">
        <v>12.109459480296</v>
      </c>
      <c r="AI3363">
        <v>95.120343403077499</v>
      </c>
      <c r="AJ3363">
        <v>100.734965329351</v>
      </c>
      <c r="AK3363">
        <v>12.374539615414299</v>
      </c>
      <c r="AL3363">
        <v>80.983557569019993</v>
      </c>
      <c r="AM3363">
        <v>93.275229515393306</v>
      </c>
      <c r="AN3363">
        <v>0.99999999987602595</v>
      </c>
    </row>
    <row r="3364" spans="1:40" x14ac:dyDescent="0.3">
      <c r="A3364" t="str">
        <f>"20200111150417955"</f>
        <v>20200111150417955</v>
      </c>
      <c r="B3364" t="str">
        <f>"1578726257951996"</f>
        <v>1578726257951996</v>
      </c>
      <c r="C3364" t="s">
        <v>40</v>
      </c>
      <c r="D3364">
        <v>5.3143859999999998</v>
      </c>
      <c r="E3364">
        <v>0.4503375</v>
      </c>
      <c r="F3364" t="s">
        <v>41</v>
      </c>
      <c r="G3364">
        <v>-186.0752</v>
      </c>
      <c r="H3364" s="1">
        <v>-2.2367870000000002E-6</v>
      </c>
      <c r="I3364">
        <v>-26.847719999999999</v>
      </c>
      <c r="J3364">
        <v>-183.29900000000001</v>
      </c>
      <c r="K3364">
        <v>1.104474</v>
      </c>
      <c r="L3364">
        <v>-38.772309999999997</v>
      </c>
      <c r="M3364">
        <v>-3.778426E-2</v>
      </c>
      <c r="N3364">
        <v>0</v>
      </c>
      <c r="O3364">
        <v>0.99923059999999997</v>
      </c>
      <c r="P3364">
        <v>-9.5476580000000005E-2</v>
      </c>
      <c r="Q3364">
        <v>0.14516099999999901</v>
      </c>
      <c r="R3364">
        <v>0.98479059999999896</v>
      </c>
      <c r="S3364">
        <v>-0.6930847</v>
      </c>
      <c r="T3364">
        <v>-0.27493020000000001</v>
      </c>
      <c r="U3364">
        <v>3.0211790000000001</v>
      </c>
      <c r="V3364">
        <v>-5.8228410000000001E-2</v>
      </c>
      <c r="W3364">
        <v>0.1555211</v>
      </c>
      <c r="X3364">
        <v>0.98611490000000002</v>
      </c>
      <c r="Y3364">
        <v>-0.18573219999999999</v>
      </c>
      <c r="Z3364">
        <v>-8.8600590000000007E-2</v>
      </c>
      <c r="AA3364">
        <v>0.97859770000000001</v>
      </c>
      <c r="AB3364">
        <v>21</v>
      </c>
      <c r="AC3364">
        <v>-2.7761999999999798</v>
      </c>
      <c r="AD3364">
        <v>-1.104476236787</v>
      </c>
      <c r="AE3364">
        <v>11.924589999999901</v>
      </c>
      <c r="AF3364">
        <v>-2.30487424298471</v>
      </c>
      <c r="AG3364">
        <v>-1.104476236787</v>
      </c>
      <c r="AH3364">
        <v>11.9239428554929</v>
      </c>
      <c r="AI3364">
        <v>95.196374905991405</v>
      </c>
      <c r="AJ3364">
        <v>100.940233596045</v>
      </c>
      <c r="AK3364">
        <v>12.1947827473335</v>
      </c>
      <c r="AL3364">
        <v>81.052980217171694</v>
      </c>
      <c r="AM3364">
        <v>93.379294581646803</v>
      </c>
      <c r="AN3364">
        <v>0.99999997813917396</v>
      </c>
    </row>
    <row r="3365" spans="1:40" x14ac:dyDescent="0.3">
      <c r="A3365" t="str">
        <f>"20200111150417978"</f>
        <v>20200111150417978</v>
      </c>
      <c r="B3365" t="str">
        <f>"1578726257971516"</f>
        <v>1578726257971516</v>
      </c>
      <c r="C3365" t="s">
        <v>40</v>
      </c>
      <c r="D3365">
        <v>5.3480439999999998</v>
      </c>
      <c r="E3365">
        <v>0.44973679999999999</v>
      </c>
      <c r="F3365" t="s">
        <v>41</v>
      </c>
      <c r="G3365">
        <v>-186.0985</v>
      </c>
      <c r="H3365" s="1">
        <v>-2.2383880000000001E-6</v>
      </c>
      <c r="I3365">
        <v>-26.8248</v>
      </c>
      <c r="J3365">
        <v>-183.3066</v>
      </c>
      <c r="K3365">
        <v>1.104527</v>
      </c>
      <c r="L3365">
        <v>-38.571109999999997</v>
      </c>
      <c r="M3365">
        <v>-3.7953870000000001E-2</v>
      </c>
      <c r="N3365">
        <v>0</v>
      </c>
      <c r="O3365">
        <v>0.99922560000000005</v>
      </c>
      <c r="P3365">
        <v>-9.7648330000000005E-2</v>
      </c>
      <c r="Q3365">
        <v>0.144626</v>
      </c>
      <c r="R3365">
        <v>0.98465630000000004</v>
      </c>
      <c r="S3365">
        <v>-0.70738219999999996</v>
      </c>
      <c r="T3365">
        <v>-0.27907850000000001</v>
      </c>
      <c r="U3365">
        <v>3.0188899999999999</v>
      </c>
      <c r="V3365">
        <v>-6.0266510000000002E-2</v>
      </c>
      <c r="W3365">
        <v>0.1548503</v>
      </c>
      <c r="X3365">
        <v>0.98609809999999998</v>
      </c>
      <c r="Y3365">
        <v>-0.19009680000000001</v>
      </c>
      <c r="Z3365">
        <v>-8.9906539999999993E-2</v>
      </c>
      <c r="AA3365">
        <v>0.97763999999999995</v>
      </c>
      <c r="AB3365">
        <v>21</v>
      </c>
      <c r="AC3365">
        <v>-2.7918999999999898</v>
      </c>
      <c r="AD3365">
        <v>-1.1045292383879901</v>
      </c>
      <c r="AE3365">
        <v>11.7463099999999</v>
      </c>
      <c r="AF3365">
        <v>-2.3245912585761301</v>
      </c>
      <c r="AG3365">
        <v>-1.1045292383879901</v>
      </c>
      <c r="AH3365">
        <v>11.7455141526705</v>
      </c>
      <c r="AI3365">
        <v>95.270565156466404</v>
      </c>
      <c r="AJ3365">
        <v>101.194915438633</v>
      </c>
      <c r="AK3365">
        <v>12.0241761492622</v>
      </c>
      <c r="AL3365">
        <v>81.091886335693601</v>
      </c>
      <c r="AM3365">
        <v>93.497346828280598</v>
      </c>
      <c r="AN3365">
        <v>1.00000006523063</v>
      </c>
    </row>
    <row r="3366" spans="1:40" x14ac:dyDescent="0.3">
      <c r="A3366" t="str">
        <f>"20200111150418000"</f>
        <v>20200111150418000</v>
      </c>
      <c r="B3366" t="str">
        <f>"1578726257991607"</f>
        <v>1578726257991607</v>
      </c>
      <c r="C3366" t="s">
        <v>40</v>
      </c>
      <c r="D3366">
        <v>5.3407439999999999</v>
      </c>
      <c r="E3366">
        <v>0.44934410000000002</v>
      </c>
      <c r="F3366" t="s">
        <v>41</v>
      </c>
      <c r="G3366">
        <v>-186.13040000000001</v>
      </c>
      <c r="H3366" s="1">
        <v>-2.2638319999999999E-6</v>
      </c>
      <c r="I3366">
        <v>-26.72505</v>
      </c>
      <c r="J3366">
        <v>-183.31479999999999</v>
      </c>
      <c r="K3366">
        <v>1.1046100000000001</v>
      </c>
      <c r="L3366">
        <v>-38.361049999999999</v>
      </c>
      <c r="M3366">
        <v>-3.831205E-2</v>
      </c>
      <c r="N3366">
        <v>0</v>
      </c>
      <c r="O3366">
        <v>0.99921349999999998</v>
      </c>
      <c r="P3366">
        <v>-9.8243220000000006E-2</v>
      </c>
      <c r="Q3366">
        <v>0.14582899999999999</v>
      </c>
      <c r="R3366">
        <v>0.98441970000000001</v>
      </c>
      <c r="S3366">
        <v>-0.71911619999999998</v>
      </c>
      <c r="T3366">
        <v>-0.28128309999999901</v>
      </c>
      <c r="U3366">
        <v>3.0167540000000002</v>
      </c>
      <c r="V3366">
        <v>-6.055323E-2</v>
      </c>
      <c r="W3366">
        <v>0.1558871</v>
      </c>
      <c r="X3366">
        <v>0.98591709999999999</v>
      </c>
      <c r="Y3366">
        <v>-0.1934844</v>
      </c>
      <c r="Z3366">
        <v>-9.0600959999999994E-2</v>
      </c>
      <c r="AA3366">
        <v>0.97691110000000003</v>
      </c>
      <c r="AB3366">
        <v>21</v>
      </c>
      <c r="AC3366">
        <v>-2.8156000000000101</v>
      </c>
      <c r="AD3366">
        <v>-1.104612263832</v>
      </c>
      <c r="AE3366">
        <v>11.635999999999999</v>
      </c>
      <c r="AF3366">
        <v>-2.34772332281314</v>
      </c>
      <c r="AG3366">
        <v>-1.104612263832</v>
      </c>
      <c r="AH3366">
        <v>11.636269642837499</v>
      </c>
      <c r="AI3366">
        <v>95.316253788778596</v>
      </c>
      <c r="AJ3366">
        <v>101.40681226681799</v>
      </c>
      <c r="AK3366">
        <v>11.922027690569699</v>
      </c>
      <c r="AL3366">
        <v>81.031751286258498</v>
      </c>
      <c r="AM3366">
        <v>93.5145874752792</v>
      </c>
      <c r="AN3366">
        <v>1.0000000048411199</v>
      </c>
    </row>
    <row r="3367" spans="1:40" x14ac:dyDescent="0.3">
      <c r="A3367" t="str">
        <f>"20200111150418022"</f>
        <v>20200111150418022</v>
      </c>
      <c r="B3367" t="str">
        <f>"1578726258012104"</f>
        <v>1578726258012104</v>
      </c>
      <c r="C3367" t="s">
        <v>40</v>
      </c>
      <c r="D3367">
        <v>5.3785619999999996</v>
      </c>
      <c r="E3367">
        <v>0.44917420000000002</v>
      </c>
      <c r="F3367" t="s">
        <v>41</v>
      </c>
      <c r="G3367">
        <v>-186.1669</v>
      </c>
      <c r="H3367" s="1">
        <v>-2.3485949999999999E-6</v>
      </c>
      <c r="I3367">
        <v>-26.47749</v>
      </c>
      <c r="J3367">
        <v>-183.32320000000001</v>
      </c>
      <c r="K3367">
        <v>1.1047260000000001</v>
      </c>
      <c r="L3367">
        <v>-38.156770000000002</v>
      </c>
      <c r="M3367">
        <v>-3.888751E-2</v>
      </c>
      <c r="N3367">
        <v>0</v>
      </c>
      <c r="O3367">
        <v>0.99919290000000005</v>
      </c>
      <c r="P3367">
        <v>-9.5421309999999995E-2</v>
      </c>
      <c r="Q3367">
        <v>0.14674690000000001</v>
      </c>
      <c r="R3367">
        <v>0.98456089999999996</v>
      </c>
      <c r="S3367">
        <v>-0.72402949999999999</v>
      </c>
      <c r="T3367">
        <v>-0.280416099999999</v>
      </c>
      <c r="U3367">
        <v>3.0167540000000002</v>
      </c>
      <c r="V3367">
        <v>-5.7209639999999999E-2</v>
      </c>
      <c r="W3367">
        <v>0.15662699999999999</v>
      </c>
      <c r="X3367">
        <v>0.98599950000000003</v>
      </c>
      <c r="Y3367">
        <v>-0.19443089999999999</v>
      </c>
      <c r="Z3367">
        <v>-9.0295760000000003E-2</v>
      </c>
      <c r="AA3367">
        <v>0.97675140000000005</v>
      </c>
      <c r="AB3367">
        <v>21</v>
      </c>
      <c r="AC3367">
        <v>-2.8436999999999801</v>
      </c>
      <c r="AD3367">
        <v>-1.1047283485949999</v>
      </c>
      <c r="AE3367">
        <v>11.67928</v>
      </c>
      <c r="AF3367">
        <v>-2.3673522959249902</v>
      </c>
      <c r="AG3367">
        <v>-1.1047283485949999</v>
      </c>
      <c r="AH3367">
        <v>11.682362101507101</v>
      </c>
      <c r="AI3367">
        <v>95.295047064618203</v>
      </c>
      <c r="AJ3367">
        <v>101.455482581788</v>
      </c>
      <c r="AK3367">
        <v>11.9708966200507</v>
      </c>
      <c r="AL3367">
        <v>80.988830760659596</v>
      </c>
      <c r="AM3367">
        <v>93.320691298345693</v>
      </c>
      <c r="AN3367">
        <v>0.99999998701908899</v>
      </c>
    </row>
    <row r="3368" spans="1:40" x14ac:dyDescent="0.3">
      <c r="A3368" t="str">
        <f>"20200111150418044"</f>
        <v>20200111150418044</v>
      </c>
      <c r="B3368" t="str">
        <f>"1578726258041384"</f>
        <v>1578726258041384</v>
      </c>
      <c r="C3368" t="s">
        <v>40</v>
      </c>
      <c r="D3368">
        <v>5.4057599999999999</v>
      </c>
      <c r="E3368">
        <v>0.44876700000000003</v>
      </c>
      <c r="F3368" t="s">
        <v>41</v>
      </c>
      <c r="G3368">
        <v>-186.17519999999999</v>
      </c>
      <c r="H3368" s="1">
        <v>-2.4764230000000001E-6</v>
      </c>
      <c r="I3368">
        <v>-26.176110000000001</v>
      </c>
      <c r="J3368">
        <v>-183.33179999999999</v>
      </c>
      <c r="K3368">
        <v>1.1048899999999999</v>
      </c>
      <c r="L3368">
        <v>-37.953609999999998</v>
      </c>
      <c r="M3368">
        <v>-3.9732660000000003E-2</v>
      </c>
      <c r="N3368">
        <v>0</v>
      </c>
      <c r="O3368">
        <v>0.99916119999999997</v>
      </c>
      <c r="P3368">
        <v>-8.9951660000000003E-2</v>
      </c>
      <c r="Q3368">
        <v>0.14726239999999999</v>
      </c>
      <c r="R3368">
        <v>0.9849987</v>
      </c>
      <c r="S3368">
        <v>-0.71865840000000003</v>
      </c>
      <c r="T3368">
        <v>-0.2783698</v>
      </c>
      <c r="U3368">
        <v>3.0188899999999999</v>
      </c>
      <c r="V3368">
        <v>-5.0961550000000001E-2</v>
      </c>
      <c r="W3368">
        <v>0.15696650000000001</v>
      </c>
      <c r="X3368">
        <v>0.98628819999999995</v>
      </c>
      <c r="Y3368">
        <v>-0.19181400000000001</v>
      </c>
      <c r="Z3368">
        <v>-8.9617999999999906E-2</v>
      </c>
      <c r="AA3368">
        <v>0.97733099999999995</v>
      </c>
      <c r="AB3368">
        <v>21</v>
      </c>
      <c r="AC3368">
        <v>-2.8433999999999999</v>
      </c>
      <c r="AD3368">
        <v>-1.1048924764229999</v>
      </c>
      <c r="AE3368">
        <v>11.7774999999999</v>
      </c>
      <c r="AF3368">
        <v>-2.3536067793704301</v>
      </c>
      <c r="AG3368">
        <v>-1.1048924764229999</v>
      </c>
      <c r="AH3368">
        <v>11.783187737027999</v>
      </c>
      <c r="AI3368">
        <v>95.253697904211606</v>
      </c>
      <c r="AJ3368">
        <v>101.295761468487</v>
      </c>
      <c r="AK3368">
        <v>12.066638533676301</v>
      </c>
      <c r="AL3368">
        <v>80.969135232080703</v>
      </c>
      <c r="AM3368">
        <v>92.957844769673002</v>
      </c>
      <c r="AN3368">
        <v>0.99999998757994601</v>
      </c>
    </row>
    <row r="3369" spans="1:40" x14ac:dyDescent="0.3">
      <c r="A3369" t="str">
        <f>"20200111150418067"</f>
        <v>20200111150418067</v>
      </c>
      <c r="B3369" t="str">
        <f>"1578726258061880"</f>
        <v>1578726258061880</v>
      </c>
      <c r="C3369" t="s">
        <v>40</v>
      </c>
      <c r="D3369">
        <v>5.5809739999999897</v>
      </c>
      <c r="E3369">
        <v>0.44863639999999999</v>
      </c>
      <c r="F3369" t="s">
        <v>41</v>
      </c>
      <c r="G3369">
        <v>-186.1508</v>
      </c>
      <c r="H3369" s="1">
        <v>-2.6051050000000002E-6</v>
      </c>
      <c r="I3369">
        <v>-25.88625</v>
      </c>
      <c r="J3369">
        <v>-183.34129999999999</v>
      </c>
      <c r="K3369">
        <v>1.1051089999999999</v>
      </c>
      <c r="L3369">
        <v>-37.743040000000001</v>
      </c>
      <c r="M3369">
        <v>-4.094917E-2</v>
      </c>
      <c r="N3369">
        <v>0</v>
      </c>
      <c r="O3369">
        <v>0.99911369999999999</v>
      </c>
      <c r="P3369">
        <v>-8.3699200000000001E-2</v>
      </c>
      <c r="Q3369">
        <v>0.14878469999999999</v>
      </c>
      <c r="R3369">
        <v>0.985321</v>
      </c>
      <c r="S3369">
        <v>-0.70608519999999997</v>
      </c>
      <c r="T3369">
        <v>-0.27674880000000002</v>
      </c>
      <c r="U3369">
        <v>3.022583</v>
      </c>
      <c r="V3369">
        <v>-4.3594269999999997E-2</v>
      </c>
      <c r="W3369">
        <v>0.1583156</v>
      </c>
      <c r="X3369">
        <v>0.98642569999999996</v>
      </c>
      <c r="Y3369">
        <v>-0.1865069</v>
      </c>
      <c r="Z3369">
        <v>-8.9076269999999999E-2</v>
      </c>
      <c r="AA3369">
        <v>0.97840709999999997</v>
      </c>
      <c r="AB3369">
        <v>21</v>
      </c>
      <c r="AC3369">
        <v>-2.8095000000000101</v>
      </c>
      <c r="AD3369">
        <v>-1.1051116051050001</v>
      </c>
      <c r="AE3369">
        <v>11.85679</v>
      </c>
      <c r="AF3369">
        <v>-2.30265437334916</v>
      </c>
      <c r="AG3369">
        <v>-1.1051116051050001</v>
      </c>
      <c r="AH3369">
        <v>11.8643081488056</v>
      </c>
      <c r="AI3369">
        <v>95.224576520459493</v>
      </c>
      <c r="AJ3369">
        <v>100.983556124016</v>
      </c>
      <c r="AK3369">
        <v>12.1361153864264</v>
      </c>
      <c r="AL3369">
        <v>80.8908586470138</v>
      </c>
      <c r="AM3369">
        <v>92.530493106601497</v>
      </c>
      <c r="AN3369">
        <v>0.99999997560034104</v>
      </c>
    </row>
    <row r="3370" spans="1:40" x14ac:dyDescent="0.3">
      <c r="A3370" t="str">
        <f>"20200111150418100"</f>
        <v>20200111150418100</v>
      </c>
      <c r="B3370" t="str">
        <f>"1578726258091879"</f>
        <v>1578726258091879</v>
      </c>
      <c r="C3370" t="s">
        <v>40</v>
      </c>
      <c r="D3370">
        <v>5.3359439999999996</v>
      </c>
      <c r="E3370">
        <v>0.45383659999999998</v>
      </c>
      <c r="F3370" t="s">
        <v>41</v>
      </c>
      <c r="G3370">
        <v>-186.1199</v>
      </c>
      <c r="H3370" s="1">
        <v>-2.779398E-6</v>
      </c>
      <c r="I3370">
        <v>-25.492709999999999</v>
      </c>
      <c r="J3370">
        <v>-183.3569</v>
      </c>
      <c r="K3370">
        <v>1.1055140000000001</v>
      </c>
      <c r="L3370">
        <v>-37.431789999999999</v>
      </c>
      <c r="M3370">
        <v>-4.3566729999999998E-2</v>
      </c>
      <c r="N3370">
        <v>0</v>
      </c>
      <c r="O3370">
        <v>0.99900520000000004</v>
      </c>
      <c r="P3370">
        <v>-7.6378189999999999E-2</v>
      </c>
      <c r="Q3370">
        <v>0.1509799</v>
      </c>
      <c r="R3370">
        <v>0.98558179999999995</v>
      </c>
      <c r="S3370">
        <v>-0.68672180000000005</v>
      </c>
      <c r="T3370">
        <v>-0.273121</v>
      </c>
      <c r="U3370">
        <v>3.0275880000000002</v>
      </c>
      <c r="V3370">
        <v>-3.3848219999999998E-2</v>
      </c>
      <c r="W3370">
        <v>0.1602739</v>
      </c>
      <c r="X3370">
        <v>0.98649200000000004</v>
      </c>
      <c r="Y3370">
        <v>-0.17764750000000001</v>
      </c>
      <c r="Z3370">
        <v>-8.7897230000000007E-2</v>
      </c>
      <c r="AA3370">
        <v>0.98016099999999995</v>
      </c>
      <c r="AB3370">
        <v>21</v>
      </c>
      <c r="AC3370">
        <v>-2.7629999999999999</v>
      </c>
      <c r="AD3370">
        <v>-1.1055167793980001</v>
      </c>
      <c r="AE3370">
        <v>11.939080000000001</v>
      </c>
      <c r="AF3370">
        <v>-2.2221219496011102</v>
      </c>
      <c r="AG3370">
        <v>-1.1055167793980001</v>
      </c>
      <c r="AH3370">
        <v>11.9508643184565</v>
      </c>
      <c r="AI3370">
        <v>95.196548303181601</v>
      </c>
      <c r="AJ3370">
        <v>100.53318427005701</v>
      </c>
      <c r="AK3370">
        <v>12.2058654452106</v>
      </c>
      <c r="AL3370">
        <v>80.777204784894494</v>
      </c>
      <c r="AM3370">
        <v>91.965144798113599</v>
      </c>
      <c r="AN3370">
        <v>0.99999994554118699</v>
      </c>
    </row>
    <row r="3371" spans="1:40" x14ac:dyDescent="0.3">
      <c r="A3371" t="str">
        <f>"20200111150418144"</f>
        <v>20200111150418144</v>
      </c>
      <c r="B3371" t="str">
        <f>"1578726258141655"</f>
        <v>1578726258141655</v>
      </c>
      <c r="C3371" t="s">
        <v>40</v>
      </c>
      <c r="D3371">
        <v>4.6711080000000003</v>
      </c>
      <c r="E3371">
        <v>0.45607769999999997</v>
      </c>
      <c r="F3371" t="s">
        <v>41</v>
      </c>
      <c r="G3371">
        <v>-185.8329</v>
      </c>
      <c r="H3371" s="1">
        <v>-2.8868340000000001E-6</v>
      </c>
      <c r="I3371">
        <v>-25.360969999999998</v>
      </c>
      <c r="J3371">
        <v>-183.38050000000001</v>
      </c>
      <c r="K3371">
        <v>1.1060030000000001</v>
      </c>
      <c r="L3371">
        <v>-37.018920000000001</v>
      </c>
      <c r="M3371">
        <v>-4.8412589999999998E-2</v>
      </c>
      <c r="N3371">
        <v>0</v>
      </c>
      <c r="O3371">
        <v>0.99878469999999997</v>
      </c>
      <c r="P3371">
        <v>-7.2472980000000006E-2</v>
      </c>
      <c r="Q3371">
        <v>0.153214299999999</v>
      </c>
      <c r="R3371">
        <v>0.98553190000000002</v>
      </c>
      <c r="S3371">
        <v>-0.62321470000000001</v>
      </c>
      <c r="T3371">
        <v>-0.27825699999999998</v>
      </c>
      <c r="U3371">
        <v>3.038208</v>
      </c>
      <c r="V3371">
        <v>-2.53642E-2</v>
      </c>
      <c r="W3371">
        <v>0.16223109999999999</v>
      </c>
      <c r="X3371">
        <v>0.98642680000000005</v>
      </c>
      <c r="Y3371">
        <v>-0.1524712</v>
      </c>
      <c r="Z3371">
        <v>-8.9586970000000002E-2</v>
      </c>
      <c r="AA3371">
        <v>0.98423919999999998</v>
      </c>
      <c r="AB3371">
        <v>21</v>
      </c>
      <c r="AC3371">
        <v>-2.4523999999999799</v>
      </c>
      <c r="AD3371">
        <v>-1.1060058868339999</v>
      </c>
      <c r="AE3371">
        <v>11.65795</v>
      </c>
      <c r="AF3371">
        <v>-1.8689992834653599</v>
      </c>
      <c r="AG3371">
        <v>-1.1060058868339999</v>
      </c>
      <c r="AH3371">
        <v>11.662490219145999</v>
      </c>
      <c r="AI3371">
        <v>95.349556392130495</v>
      </c>
      <c r="AJ3371">
        <v>99.104650996988397</v>
      </c>
      <c r="AK3371">
        <v>11.862971190009</v>
      </c>
      <c r="AL3371">
        <v>80.6635794559282</v>
      </c>
      <c r="AM3371">
        <v>91.472933879924497</v>
      </c>
      <c r="AN3371">
        <v>1.0000000521035399</v>
      </c>
    </row>
    <row r="3372" spans="1:40" x14ac:dyDescent="0.3">
      <c r="A3372" t="str">
        <f>"20200111150418168"</f>
        <v>20200111150418168</v>
      </c>
      <c r="B3372" t="str">
        <f>"1578726258162151"</f>
        <v>1578726258162151</v>
      </c>
      <c r="C3372" t="s">
        <v>40</v>
      </c>
      <c r="D3372">
        <v>6.468566</v>
      </c>
      <c r="E3372">
        <v>0.46857700000000002</v>
      </c>
      <c r="F3372" t="s">
        <v>41</v>
      </c>
      <c r="G3372">
        <v>-185.93559999999999</v>
      </c>
      <c r="H3372" s="1">
        <v>-3.5013030000000001E-6</v>
      </c>
      <c r="I3372">
        <v>-23.88617</v>
      </c>
      <c r="J3372">
        <v>-183.3947</v>
      </c>
      <c r="K3372">
        <v>1.1062179999999999</v>
      </c>
      <c r="L3372">
        <v>-36.798070000000003</v>
      </c>
      <c r="M3372">
        <v>-5.1649979999999998E-2</v>
      </c>
      <c r="N3372">
        <v>0</v>
      </c>
      <c r="O3372">
        <v>0.9986237</v>
      </c>
      <c r="P3372">
        <v>-7.5713370000000002E-2</v>
      </c>
      <c r="Q3372">
        <v>0.15458549999999999</v>
      </c>
      <c r="R3372">
        <v>0.98507400000000001</v>
      </c>
      <c r="S3372">
        <v>-0.5915222</v>
      </c>
      <c r="T3372">
        <v>-0.2560499</v>
      </c>
      <c r="U3372">
        <v>3.0403440000000002</v>
      </c>
      <c r="V3372">
        <v>-2.5521229999999999E-2</v>
      </c>
      <c r="W3372">
        <v>0.16345950000000001</v>
      </c>
      <c r="X3372">
        <v>0.98621990000000004</v>
      </c>
      <c r="Y3372">
        <v>-0.13936809999999999</v>
      </c>
      <c r="Z3372">
        <v>-8.2575250000000003E-2</v>
      </c>
      <c r="AA3372">
        <v>0.98679170000000005</v>
      </c>
      <c r="AB3372">
        <v>21</v>
      </c>
      <c r="AC3372">
        <v>-2.5408999999999899</v>
      </c>
      <c r="AD3372">
        <v>-1.1062215013029999</v>
      </c>
      <c r="AE3372">
        <v>12.911899999999999</v>
      </c>
      <c r="AF3372">
        <v>-1.8574555261489401</v>
      </c>
      <c r="AG3372">
        <v>-1.1062215013029999</v>
      </c>
      <c r="AH3372">
        <v>12.9345058425125</v>
      </c>
      <c r="AI3372">
        <v>94.8389159714107</v>
      </c>
      <c r="AJ3372">
        <v>98.172071862097994</v>
      </c>
      <c r="AK3372">
        <v>13.113935657595601</v>
      </c>
      <c r="AL3372">
        <v>80.592244780542799</v>
      </c>
      <c r="AM3372">
        <v>91.482359554572</v>
      </c>
      <c r="AN3372">
        <v>1.0000000162384799</v>
      </c>
    </row>
    <row r="3373" spans="1:40" x14ac:dyDescent="0.3">
      <c r="A3373" t="str">
        <f>"20200111150418190"</f>
        <v>20200111150418190</v>
      </c>
      <c r="B3373" t="str">
        <f>"1578726258181698"</f>
        <v>1578726258181698</v>
      </c>
      <c r="C3373" t="s">
        <v>40</v>
      </c>
      <c r="D3373">
        <v>5.3750260000000001</v>
      </c>
      <c r="E3373">
        <v>0.48987249999999999</v>
      </c>
      <c r="F3373" t="s">
        <v>47</v>
      </c>
      <c r="G3373">
        <v>-252.57810000000001</v>
      </c>
      <c r="H3373">
        <v>129.25399999999999</v>
      </c>
      <c r="I3373">
        <v>391.75</v>
      </c>
      <c r="J3373">
        <v>-183.40880000000001</v>
      </c>
      <c r="K3373">
        <v>1.1064080000000001</v>
      </c>
      <c r="L3373">
        <v>-36.594119999999997</v>
      </c>
      <c r="M3373">
        <v>-5.5052690000000001E-2</v>
      </c>
      <c r="N3373">
        <v>0</v>
      </c>
      <c r="O3373">
        <v>0.99844279999999996</v>
      </c>
      <c r="P3373">
        <v>-7.8157840000000006E-2</v>
      </c>
      <c r="Q3373">
        <v>0.15335489999999999</v>
      </c>
      <c r="R3373">
        <v>0.98507549999999999</v>
      </c>
      <c r="S3373">
        <v>-0.4641113</v>
      </c>
      <c r="T3373">
        <v>0.8596684</v>
      </c>
      <c r="U3373">
        <v>2.8748779999999998</v>
      </c>
      <c r="V3373">
        <v>-2.4672280000000001E-2</v>
      </c>
      <c r="W3373">
        <v>0.16211819999999999</v>
      </c>
      <c r="X3373">
        <v>0.98646279999999997</v>
      </c>
      <c r="Y3373">
        <v>-9.8237809999999995E-2</v>
      </c>
      <c r="Z3373">
        <v>0.283499</v>
      </c>
      <c r="AA3373">
        <v>0.95392750000000004</v>
      </c>
      <c r="AB3373">
        <v>21</v>
      </c>
      <c r="AC3373">
        <v>-69.169299999999893</v>
      </c>
      <c r="AD3373">
        <v>128.147592</v>
      </c>
      <c r="AE3373">
        <v>428.34411999999998</v>
      </c>
      <c r="AF3373">
        <v>-41.832937522657701</v>
      </c>
      <c r="AG3373">
        <v>128.147592</v>
      </c>
      <c r="AH3373">
        <v>396.883253797294</v>
      </c>
      <c r="AI3373">
        <v>72.197861358157496</v>
      </c>
      <c r="AJ3373">
        <v>96.016966366822899</v>
      </c>
      <c r="AK3373">
        <v>419.15166365159502</v>
      </c>
      <c r="AL3373">
        <v>80.670133912188206</v>
      </c>
      <c r="AM3373">
        <v>91.432717854184105</v>
      </c>
      <c r="AN3373">
        <v>0.99999994397773695</v>
      </c>
    </row>
    <row r="3374" spans="1:40" x14ac:dyDescent="0.3">
      <c r="A3374" t="str">
        <f>"20200111150418211"</f>
        <v>20200111150418211</v>
      </c>
      <c r="B3374" t="str">
        <f>"1578726258202195"</f>
        <v>1578726258202195</v>
      </c>
      <c r="C3374" t="s">
        <v>40</v>
      </c>
      <c r="D3374">
        <v>5.4206019999999997</v>
      </c>
      <c r="E3374">
        <v>0.49603839999999999</v>
      </c>
      <c r="F3374" t="s">
        <v>87</v>
      </c>
      <c r="G3374">
        <v>-229.26820000000001</v>
      </c>
      <c r="H3374">
        <v>61.931379999999997</v>
      </c>
      <c r="I3374">
        <v>391.87</v>
      </c>
      <c r="J3374">
        <v>-183.42439999999999</v>
      </c>
      <c r="K3374">
        <v>1.106592</v>
      </c>
      <c r="L3374">
        <v>-36.386110000000002</v>
      </c>
      <c r="M3374">
        <v>-5.8874750000000003E-2</v>
      </c>
      <c r="N3374">
        <v>0</v>
      </c>
      <c r="O3374">
        <v>0.99822560000000005</v>
      </c>
      <c r="P3374">
        <v>-8.0610959999999995E-2</v>
      </c>
      <c r="Q3374">
        <v>0.15099460000000001</v>
      </c>
      <c r="R3374">
        <v>0.98524239999999996</v>
      </c>
      <c r="S3374">
        <v>-0.31628420000000002</v>
      </c>
      <c r="T3374">
        <v>0.41949989999999998</v>
      </c>
      <c r="U3374">
        <v>2.9550480000000001</v>
      </c>
      <c r="V3374">
        <v>-2.3397129999999999E-2</v>
      </c>
      <c r="W3374">
        <v>0.1596639</v>
      </c>
      <c r="X3374">
        <v>0.9868941</v>
      </c>
      <c r="Y3374">
        <v>-4.6651209999999999E-2</v>
      </c>
      <c r="Z3374">
        <v>0.1397216</v>
      </c>
      <c r="AA3374">
        <v>0.98909130000000001</v>
      </c>
      <c r="AB3374">
        <v>21</v>
      </c>
      <c r="AC3374">
        <v>-45.843800000000002</v>
      </c>
      <c r="AD3374">
        <v>60.824787999999998</v>
      </c>
      <c r="AE3374">
        <v>428.25610999999998</v>
      </c>
      <c r="AF3374">
        <v>-20.147974221296899</v>
      </c>
      <c r="AG3374">
        <v>60.824787999999998</v>
      </c>
      <c r="AH3374">
        <v>421.80008387885903</v>
      </c>
      <c r="AI3374">
        <v>81.803567000979697</v>
      </c>
      <c r="AJ3374">
        <v>92.734748421258104</v>
      </c>
      <c r="AK3374">
        <v>426.639082200259</v>
      </c>
      <c r="AL3374">
        <v>80.812611453375496</v>
      </c>
      <c r="AM3374">
        <v>91.358104915000098</v>
      </c>
      <c r="AN3374">
        <v>0.99999997563512799</v>
      </c>
    </row>
    <row r="3375" spans="1:40" x14ac:dyDescent="0.3">
      <c r="A3375" t="str">
        <f>"20200111150418235"</f>
        <v>20200111150418235</v>
      </c>
      <c r="B3375" t="str">
        <f>"1578726258231474"</f>
        <v>1578726258231474</v>
      </c>
      <c r="C3375" t="s">
        <v>40</v>
      </c>
      <c r="D3375">
        <v>5.118271</v>
      </c>
      <c r="E3375">
        <v>0.49264649999999999</v>
      </c>
      <c r="F3375" t="s">
        <v>87</v>
      </c>
      <c r="G3375">
        <v>-223.37540000000001</v>
      </c>
      <c r="H3375">
        <v>52.292110000000001</v>
      </c>
      <c r="I3375">
        <v>391.87</v>
      </c>
      <c r="J3375">
        <v>-183.44210000000001</v>
      </c>
      <c r="K3375">
        <v>1.1067670000000001</v>
      </c>
      <c r="L3375">
        <v>-36.167050000000003</v>
      </c>
      <c r="M3375">
        <v>-6.3180780000000006E-2</v>
      </c>
      <c r="N3375">
        <v>0</v>
      </c>
      <c r="O3375">
        <v>0.99796309999999999</v>
      </c>
      <c r="P3375">
        <v>-8.5197410000000001E-2</v>
      </c>
      <c r="Q3375">
        <v>0.14864530000000001</v>
      </c>
      <c r="R3375">
        <v>0.98521369999999997</v>
      </c>
      <c r="S3375">
        <v>-0.27687070000000003</v>
      </c>
      <c r="T3375">
        <v>0.35472890000000001</v>
      </c>
      <c r="U3375">
        <v>2.9679259999999998</v>
      </c>
      <c r="V3375">
        <v>-2.377174E-2</v>
      </c>
      <c r="W3375">
        <v>0.1572199</v>
      </c>
      <c r="X3375">
        <v>0.98727739999999997</v>
      </c>
      <c r="Y3375">
        <v>-2.9138000000000001E-2</v>
      </c>
      <c r="Z3375">
        <v>0.118045</v>
      </c>
      <c r="AA3375">
        <v>0.99258069999999998</v>
      </c>
      <c r="AB3375">
        <v>21</v>
      </c>
      <c r="AC3375">
        <v>-39.933300000000003</v>
      </c>
      <c r="AD3375">
        <v>51.185342999999897</v>
      </c>
      <c r="AE3375">
        <v>428.03705000000002</v>
      </c>
      <c r="AF3375">
        <v>-12.6297004650913</v>
      </c>
      <c r="AG3375">
        <v>51.185342999999897</v>
      </c>
      <c r="AH3375">
        <v>423.698419683476</v>
      </c>
      <c r="AI3375">
        <v>83.114730700455596</v>
      </c>
      <c r="AJ3375">
        <v>91.707380277338999</v>
      </c>
      <c r="AK3375">
        <v>426.96580602448802</v>
      </c>
      <c r="AL3375">
        <v>80.954433408657593</v>
      </c>
      <c r="AM3375">
        <v>91.379305606582705</v>
      </c>
      <c r="AN3375">
        <v>0.99999992856469599</v>
      </c>
    </row>
    <row r="3376" spans="1:40" x14ac:dyDescent="0.3">
      <c r="A3376" t="str">
        <f>"20200111150418258"</f>
        <v>20200111150418258</v>
      </c>
      <c r="B3376" t="str">
        <f>"1578726258251970"</f>
        <v>1578726258251970</v>
      </c>
      <c r="C3376" t="s">
        <v>40</v>
      </c>
      <c r="D3376">
        <v>5.4582169999999897</v>
      </c>
      <c r="E3376">
        <v>0.49319220000000003</v>
      </c>
      <c r="F3376" t="s">
        <v>87</v>
      </c>
      <c r="G3376">
        <v>-229.33580000000001</v>
      </c>
      <c r="H3376">
        <v>49.162329999999997</v>
      </c>
      <c r="I3376">
        <v>391.87</v>
      </c>
      <c r="J3376">
        <v>-183.4616</v>
      </c>
      <c r="K3376">
        <v>1.1069340000000001</v>
      </c>
      <c r="L3376">
        <v>-35.941040000000001</v>
      </c>
      <c r="M3376">
        <v>-6.7895940000000002E-2</v>
      </c>
      <c r="N3376">
        <v>0</v>
      </c>
      <c r="O3376">
        <v>0.99765400000000004</v>
      </c>
      <c r="P3376">
        <v>-9.0734120000000001E-2</v>
      </c>
      <c r="Q3376">
        <v>0.14742249999999901</v>
      </c>
      <c r="R3376">
        <v>0.98490299999999997</v>
      </c>
      <c r="S3376">
        <v>-0.31814579999999998</v>
      </c>
      <c r="T3376">
        <v>0.3331325</v>
      </c>
      <c r="U3376">
        <v>2.9672550000000002</v>
      </c>
      <c r="V3376">
        <v>-2.470201E-2</v>
      </c>
      <c r="W3376">
        <v>0.15590589999999999</v>
      </c>
      <c r="X3376">
        <v>0.98746299999999998</v>
      </c>
      <c r="Y3376">
        <v>-3.81921E-2</v>
      </c>
      <c r="Z3376">
        <v>0.1108306</v>
      </c>
      <c r="AA3376">
        <v>0.99310520000000002</v>
      </c>
      <c r="AB3376">
        <v>21</v>
      </c>
      <c r="AC3376">
        <v>-45.874200000000002</v>
      </c>
      <c r="AD3376">
        <v>48.055396000000002</v>
      </c>
      <c r="AE3376">
        <v>427.81103999999999</v>
      </c>
      <c r="AF3376">
        <v>-16.514579795395399</v>
      </c>
      <c r="AG3376">
        <v>48.055396000000002</v>
      </c>
      <c r="AH3376">
        <v>424.64144951177201</v>
      </c>
      <c r="AI3376">
        <v>83.548313823383694</v>
      </c>
      <c r="AJ3376">
        <v>92.2271474238119</v>
      </c>
      <c r="AK3376">
        <v>427.670916797009</v>
      </c>
      <c r="AL3376">
        <v>81.030660818074693</v>
      </c>
      <c r="AM3376">
        <v>91.432991212769807</v>
      </c>
      <c r="AN3376">
        <v>1.0000000076609199</v>
      </c>
    </row>
    <row r="3377" spans="1:40" x14ac:dyDescent="0.3">
      <c r="A3377" t="str">
        <f>"20200111150418280"</f>
        <v>20200111150418280</v>
      </c>
      <c r="B3377" t="str">
        <f>"1578726258271492"</f>
        <v>1578726258271492</v>
      </c>
      <c r="C3377" t="s">
        <v>40</v>
      </c>
      <c r="D3377">
        <v>5.4631429999999996</v>
      </c>
      <c r="E3377">
        <v>0.48952370000000001</v>
      </c>
      <c r="F3377" t="s">
        <v>87</v>
      </c>
      <c r="G3377">
        <v>-231.09360000000001</v>
      </c>
      <c r="H3377">
        <v>43.969149999999999</v>
      </c>
      <c r="I3377">
        <v>391.00349999999997</v>
      </c>
      <c r="J3377">
        <v>-183.4804</v>
      </c>
      <c r="K3377">
        <v>1.1070719999999901</v>
      </c>
      <c r="L3377">
        <v>-35.738100000000003</v>
      </c>
      <c r="M3377">
        <v>-7.2371829999999998E-2</v>
      </c>
      <c r="N3377">
        <v>0</v>
      </c>
      <c r="O3377">
        <v>0.9973398</v>
      </c>
      <c r="P3377">
        <v>-9.5827519999999999E-2</v>
      </c>
      <c r="Q3377">
        <v>0.14717839999999999</v>
      </c>
      <c r="R3377">
        <v>0.98445700000000003</v>
      </c>
      <c r="S3377">
        <v>-0.33143620000000001</v>
      </c>
      <c r="T3377">
        <v>0.29824669999999998</v>
      </c>
      <c r="U3377">
        <v>2.9707949999999999</v>
      </c>
      <c r="V3377">
        <v>-2.542935E-2</v>
      </c>
      <c r="W3377">
        <v>0.15559029999999999</v>
      </c>
      <c r="X3377">
        <v>0.98749430000000005</v>
      </c>
      <c r="Y3377">
        <v>-3.8110089999999999E-2</v>
      </c>
      <c r="Z3377">
        <v>9.9159200000000003E-2</v>
      </c>
      <c r="AA3377">
        <v>0.99434160000000005</v>
      </c>
      <c r="AB3377">
        <v>21</v>
      </c>
      <c r="AC3377">
        <v>-47.613199999999999</v>
      </c>
      <c r="AD3377">
        <v>42.862077999999997</v>
      </c>
      <c r="AE3377">
        <v>426.74160000000001</v>
      </c>
      <c r="AF3377">
        <v>-16.4392920159105</v>
      </c>
      <c r="AG3377">
        <v>42.862077999999997</v>
      </c>
      <c r="AH3377">
        <v>424.83531058109998</v>
      </c>
      <c r="AI3377">
        <v>84.243143200149802</v>
      </c>
      <c r="AJ3377">
        <v>92.215993652900096</v>
      </c>
      <c r="AK3377">
        <v>427.30837713412802</v>
      </c>
      <c r="AL3377">
        <v>81.048966623874094</v>
      </c>
      <c r="AM3377">
        <v>91.475119904968395</v>
      </c>
      <c r="AN3377">
        <v>0.99999999291400099</v>
      </c>
    </row>
    <row r="3378" spans="1:40" x14ac:dyDescent="0.3">
      <c r="A3378" t="str">
        <f>"20200111150418302"</f>
        <v>20200111150418302</v>
      </c>
      <c r="B3378" t="str">
        <f>"1578726258291987"</f>
        <v>1578726258291987</v>
      </c>
      <c r="C3378" t="s">
        <v>40</v>
      </c>
      <c r="D3378">
        <v>4.6844250000000001</v>
      </c>
      <c r="E3378">
        <v>0.4898497</v>
      </c>
      <c r="F3378" t="s">
        <v>47</v>
      </c>
      <c r="G3378">
        <v>-242.47380000000001</v>
      </c>
      <c r="H3378">
        <v>52.084850000000003</v>
      </c>
      <c r="I3378">
        <v>429.98669999999998</v>
      </c>
      <c r="J3378">
        <v>-183.5009</v>
      </c>
      <c r="K3378">
        <v>1.107218</v>
      </c>
      <c r="L3378">
        <v>-35.529139999999998</v>
      </c>
      <c r="M3378">
        <v>-7.7218759999999997E-2</v>
      </c>
      <c r="N3378">
        <v>0</v>
      </c>
      <c r="O3378">
        <v>0.99697670000000005</v>
      </c>
      <c r="P3378">
        <v>-0.1006903</v>
      </c>
      <c r="Q3378">
        <v>0.1482638</v>
      </c>
      <c r="R3378">
        <v>0.98380860000000003</v>
      </c>
      <c r="S3378">
        <v>-0.37524410000000002</v>
      </c>
      <c r="T3378">
        <v>0.3242584</v>
      </c>
      <c r="U3378">
        <v>2.9623719999999998</v>
      </c>
      <c r="V3378">
        <v>-2.5583829999999998E-2</v>
      </c>
      <c r="W3378">
        <v>0.1566147</v>
      </c>
      <c r="X3378">
        <v>0.98732839999999999</v>
      </c>
      <c r="Y3378">
        <v>-4.7946540000000003E-2</v>
      </c>
      <c r="Z3378">
        <v>0.1078368</v>
      </c>
      <c r="AA3378">
        <v>0.9930118</v>
      </c>
      <c r="AB3378">
        <v>22</v>
      </c>
      <c r="AC3378">
        <v>-58.972900000000003</v>
      </c>
      <c r="AD3378">
        <v>50.977632</v>
      </c>
      <c r="AE3378">
        <v>465.51584000000003</v>
      </c>
      <c r="AF3378">
        <v>-22.582375328204801</v>
      </c>
      <c r="AG3378">
        <v>50.977632</v>
      </c>
      <c r="AH3378">
        <v>463.21267925706201</v>
      </c>
      <c r="AI3378">
        <v>83.727129922202707</v>
      </c>
      <c r="AJ3378">
        <v>92.791053126761696</v>
      </c>
      <c r="AK3378">
        <v>466.55617975148198</v>
      </c>
      <c r="AL3378">
        <v>80.989544722777495</v>
      </c>
      <c r="AM3378">
        <v>91.484326328130294</v>
      </c>
      <c r="AN3378">
        <v>1.00000003303005</v>
      </c>
    </row>
    <row r="3379" spans="1:40" x14ac:dyDescent="0.3">
      <c r="A3379" t="str">
        <f>"20200111150418324"</f>
        <v>20200111150418324</v>
      </c>
      <c r="B3379" t="str">
        <f>"1578726258322242"</f>
        <v>1578726258322242</v>
      </c>
      <c r="C3379" t="s">
        <v>40</v>
      </c>
      <c r="D3379">
        <v>5.4765319999999997</v>
      </c>
      <c r="E3379">
        <v>0.49347380000000002</v>
      </c>
      <c r="F3379" t="s">
        <v>47</v>
      </c>
      <c r="G3379">
        <v>-242.62970000000001</v>
      </c>
      <c r="H3379">
        <v>46.153919999999999</v>
      </c>
      <c r="I3379">
        <v>415.40359999999998</v>
      </c>
      <c r="J3379">
        <v>-183.52260000000001</v>
      </c>
      <c r="K3379">
        <v>1.1073679999999999</v>
      </c>
      <c r="L3379">
        <v>-35.321199999999997</v>
      </c>
      <c r="M3379">
        <v>-8.2265770000000002E-2</v>
      </c>
      <c r="N3379">
        <v>0</v>
      </c>
      <c r="O3379">
        <v>0.9965733</v>
      </c>
      <c r="P3379">
        <v>-0.10603079999999999</v>
      </c>
      <c r="Q3379">
        <v>0.15151979999999901</v>
      </c>
      <c r="R3379">
        <v>0.98275080000000004</v>
      </c>
      <c r="S3379">
        <v>-0.38877869999999998</v>
      </c>
      <c r="T3379">
        <v>0.29618749999999999</v>
      </c>
      <c r="U3379">
        <v>2.9649350000000001</v>
      </c>
      <c r="V3379">
        <v>-2.6067449999999999E-2</v>
      </c>
      <c r="W3379">
        <v>0.15981500000000001</v>
      </c>
      <c r="X3379">
        <v>0.98680279999999998</v>
      </c>
      <c r="Y3379">
        <v>-4.7368090000000002E-2</v>
      </c>
      <c r="Z3379">
        <v>9.8426739999999999E-2</v>
      </c>
      <c r="AA3379">
        <v>0.99401629999999996</v>
      </c>
      <c r="AB3379">
        <v>22</v>
      </c>
      <c r="AC3379">
        <v>-59.107100000000003</v>
      </c>
      <c r="AD3379">
        <v>45.046551999999998</v>
      </c>
      <c r="AE3379">
        <v>450.72480000000002</v>
      </c>
      <c r="AF3379">
        <v>-21.6139020685739</v>
      </c>
      <c r="AG3379">
        <v>45.046551999999998</v>
      </c>
      <c r="AH3379">
        <v>449.64425351023999</v>
      </c>
      <c r="AI3379">
        <v>84.285600048259397</v>
      </c>
      <c r="AJ3379">
        <v>92.752026442575001</v>
      </c>
      <c r="AK3379">
        <v>452.41165692817799</v>
      </c>
      <c r="AL3379">
        <v>80.803842193743193</v>
      </c>
      <c r="AM3379">
        <v>91.513177311492996</v>
      </c>
      <c r="AN3379">
        <v>1.0000000561311599</v>
      </c>
    </row>
    <row r="3380" spans="1:40" x14ac:dyDescent="0.3">
      <c r="A3380" t="str">
        <f>"20200111150418345"</f>
        <v>20200111150418345</v>
      </c>
      <c r="B3380" t="str">
        <f>"1578726258341762"</f>
        <v>1578726258341762</v>
      </c>
      <c r="C3380" t="s">
        <v>40</v>
      </c>
      <c r="D3380">
        <v>5.4992020000000004</v>
      </c>
      <c r="E3380">
        <v>0.51194879999999998</v>
      </c>
      <c r="F3380" t="s">
        <v>42</v>
      </c>
      <c r="G3380">
        <v>-183.62209999999999</v>
      </c>
      <c r="H3380">
        <v>1.0193970000000001</v>
      </c>
      <c r="I3380">
        <v>-34.565449999999998</v>
      </c>
      <c r="J3380">
        <v>-183.54570000000001</v>
      </c>
      <c r="K3380">
        <v>1.1075090000000001</v>
      </c>
      <c r="L3380">
        <v>-35.112879999999997</v>
      </c>
      <c r="M3380">
        <v>-8.7523799999999999E-2</v>
      </c>
      <c r="N3380">
        <v>0</v>
      </c>
      <c r="O3380">
        <v>0.99612560000000006</v>
      </c>
      <c r="P3380">
        <v>-0.1109721</v>
      </c>
      <c r="Q3380">
        <v>0.15363360000000001</v>
      </c>
      <c r="R3380">
        <v>0.98187670000000005</v>
      </c>
      <c r="S3380">
        <v>-0.40319820000000001</v>
      </c>
      <c r="T3380">
        <v>-0.35665599999999997</v>
      </c>
      <c r="U3380">
        <v>3.0641479999999999</v>
      </c>
      <c r="V3380">
        <v>-2.5922589999999999E-2</v>
      </c>
      <c r="W3380">
        <v>0.16188759999999999</v>
      </c>
      <c r="X3380">
        <v>0.98646869999999998</v>
      </c>
      <c r="Y3380">
        <v>-4.2321690000000002E-2</v>
      </c>
      <c r="Z3380">
        <v>-0.1144169</v>
      </c>
      <c r="AA3380">
        <v>0.99253089999999999</v>
      </c>
      <c r="AB3380">
        <v>22</v>
      </c>
      <c r="AC3380">
        <v>-7.6399999999978194E-2</v>
      </c>
      <c r="AD3380">
        <v>-8.8112000000000107E-2</v>
      </c>
      <c r="AE3380">
        <v>0.54742999999999797</v>
      </c>
      <c r="AF3380">
        <v>-2.74932240975371E-2</v>
      </c>
      <c r="AG3380">
        <v>-8.8112000000000107E-2</v>
      </c>
      <c r="AH3380">
        <v>0.53833602251839396</v>
      </c>
      <c r="AI3380">
        <v>99.283561309361104</v>
      </c>
      <c r="AJ3380">
        <v>92.923598365188994</v>
      </c>
      <c r="AK3380">
        <v>0.54619161020305196</v>
      </c>
      <c r="AL3380">
        <v>80.683524052252906</v>
      </c>
      <c r="AM3380">
        <v>91.505281683635701</v>
      </c>
      <c r="AN3380">
        <v>1.00000003589287</v>
      </c>
    </row>
    <row r="3381" spans="1:40" x14ac:dyDescent="0.3">
      <c r="A3381" t="str">
        <f>"20200111150418368"</f>
        <v>20200111150418368</v>
      </c>
      <c r="B3381" t="str">
        <f>"1578726258362258"</f>
        <v>1578726258362258</v>
      </c>
      <c r="C3381" t="s">
        <v>40</v>
      </c>
      <c r="D3381">
        <v>5.4346610000000002</v>
      </c>
      <c r="E3381">
        <v>0.50376779999999999</v>
      </c>
      <c r="F3381" t="s">
        <v>87</v>
      </c>
      <c r="G3381">
        <v>-217.50819999999999</v>
      </c>
      <c r="H3381">
        <v>83.961269999999999</v>
      </c>
      <c r="I3381">
        <v>391.87</v>
      </c>
      <c r="J3381">
        <v>-183.57079999999999</v>
      </c>
      <c r="K3381">
        <v>1.107629</v>
      </c>
      <c r="L3381">
        <v>-34.898040000000002</v>
      </c>
      <c r="M3381">
        <v>-9.3127970000000004E-2</v>
      </c>
      <c r="N3381">
        <v>0</v>
      </c>
      <c r="O3381">
        <v>0.99561750000000004</v>
      </c>
      <c r="P3381">
        <v>-0.1142295</v>
      </c>
      <c r="Q3381">
        <v>0.1539614</v>
      </c>
      <c r="R3381">
        <v>0.98145170000000004</v>
      </c>
      <c r="S3381">
        <v>-0.2338257</v>
      </c>
      <c r="T3381">
        <v>0.57043250000000001</v>
      </c>
      <c r="U3381">
        <v>2.9396969999999998</v>
      </c>
      <c r="V3381">
        <v>-2.3699669999999999E-2</v>
      </c>
      <c r="W3381">
        <v>0.1621996</v>
      </c>
      <c r="X3381">
        <v>0.9864733</v>
      </c>
      <c r="Y3381">
        <v>1.5327250000000001E-2</v>
      </c>
      <c r="Z3381">
        <v>0.1889663</v>
      </c>
      <c r="AA3381">
        <v>0.98186399999999996</v>
      </c>
      <c r="AB3381">
        <v>22</v>
      </c>
      <c r="AC3381">
        <v>-33.937399999999997</v>
      </c>
      <c r="AD3381">
        <v>82.853640999999996</v>
      </c>
      <c r="AE3381">
        <v>426.76803999999998</v>
      </c>
      <c r="AF3381">
        <v>5.7405797820982398</v>
      </c>
      <c r="AG3381">
        <v>82.853640999999996</v>
      </c>
      <c r="AH3381">
        <v>412.619494754529</v>
      </c>
      <c r="AI3381">
        <v>78.647117961613404</v>
      </c>
      <c r="AJ3381">
        <v>89.202922355934504</v>
      </c>
      <c r="AK3381">
        <v>420.89491269754501</v>
      </c>
      <c r="AL3381">
        <v>80.665407800933593</v>
      </c>
      <c r="AM3381">
        <v>91.376245972906005</v>
      </c>
      <c r="AN3381">
        <v>0.99999997810557895</v>
      </c>
    </row>
    <row r="3382" spans="1:40" x14ac:dyDescent="0.3">
      <c r="A3382" t="str">
        <f>"20200111150418391"</f>
        <v>20200111150418391</v>
      </c>
      <c r="B3382" t="str">
        <f>"1578726258381778"</f>
        <v>1578726258381778</v>
      </c>
      <c r="C3382" t="s">
        <v>40</v>
      </c>
      <c r="D3382">
        <v>5.4316089999999999</v>
      </c>
      <c r="E3382">
        <v>0.49596430000000002</v>
      </c>
      <c r="F3382" t="s">
        <v>87</v>
      </c>
      <c r="G3382">
        <v>-228.73070000000001</v>
      </c>
      <c r="H3382">
        <v>73.171180000000007</v>
      </c>
      <c r="I3382">
        <v>391.87</v>
      </c>
      <c r="J3382">
        <v>-183.5985</v>
      </c>
      <c r="K3382">
        <v>1.1077239999999999</v>
      </c>
      <c r="L3382">
        <v>-34.675319999999999</v>
      </c>
      <c r="M3382">
        <v>-9.9106410000000006E-2</v>
      </c>
      <c r="N3382">
        <v>0</v>
      </c>
      <c r="O3382">
        <v>0.99504040000000005</v>
      </c>
      <c r="P3382">
        <v>-0.11837640000000001</v>
      </c>
      <c r="Q3382">
        <v>0.1531604</v>
      </c>
      <c r="R3382">
        <v>0.9810856</v>
      </c>
      <c r="S3382">
        <v>-0.3113708</v>
      </c>
      <c r="T3382">
        <v>0.49686789999999997</v>
      </c>
      <c r="U3382">
        <v>2.9425050000000001</v>
      </c>
      <c r="V3382">
        <v>-2.1962639999999999E-2</v>
      </c>
      <c r="W3382">
        <v>0.161386</v>
      </c>
      <c r="X3382">
        <v>0.98664700000000005</v>
      </c>
      <c r="Y3382">
        <v>-4.7062450000000004E-3</v>
      </c>
      <c r="Z3382">
        <v>0.1648375</v>
      </c>
      <c r="AA3382">
        <v>0.98630949999999995</v>
      </c>
      <c r="AB3382">
        <v>22</v>
      </c>
      <c r="AC3382">
        <v>-45.132199999999997</v>
      </c>
      <c r="AD3382">
        <v>72.063456000000002</v>
      </c>
      <c r="AE3382">
        <v>426.54532</v>
      </c>
      <c r="AF3382">
        <v>-2.5627439574000599</v>
      </c>
      <c r="AG3382">
        <v>72.063456000000002</v>
      </c>
      <c r="AH3382">
        <v>417.14355904847599</v>
      </c>
      <c r="AI3382">
        <v>80.198814027916697</v>
      </c>
      <c r="AJ3382">
        <v>90.351995283763202</v>
      </c>
      <c r="AK3382">
        <v>423.33019996556402</v>
      </c>
      <c r="AL3382">
        <v>80.712646704024806</v>
      </c>
      <c r="AM3382">
        <v>91.275186363154006</v>
      </c>
      <c r="AN3382">
        <v>1.0000000505803801</v>
      </c>
    </row>
    <row r="3383" spans="1:40" x14ac:dyDescent="0.3">
      <c r="A3383" t="str">
        <f>"20200111150418413"</f>
        <v>20200111150418413</v>
      </c>
      <c r="B3383" t="str">
        <f>"1578726258402275"</f>
        <v>1578726258402275</v>
      </c>
      <c r="C3383" t="s">
        <v>40</v>
      </c>
      <c r="D3383">
        <v>5.4519699999999904</v>
      </c>
      <c r="E3383">
        <v>0.49651299999999998</v>
      </c>
      <c r="F3383" t="s">
        <v>42</v>
      </c>
      <c r="G3383">
        <v>-183.71809999999999</v>
      </c>
      <c r="H3383">
        <v>1.0132890000000001</v>
      </c>
      <c r="I3383">
        <v>-33.803609999999999</v>
      </c>
      <c r="J3383">
        <v>-183.6268</v>
      </c>
      <c r="K3383">
        <v>1.1077729999999999</v>
      </c>
      <c r="L3383">
        <v>-34.459809999999997</v>
      </c>
      <c r="M3383">
        <v>-0.1050012</v>
      </c>
      <c r="N3383">
        <v>0</v>
      </c>
      <c r="O3383">
        <v>0.99443579999999998</v>
      </c>
      <c r="P3383">
        <v>-0.1239566</v>
      </c>
      <c r="Q3383">
        <v>0.15256649999999999</v>
      </c>
      <c r="R3383">
        <v>0.98048880000000005</v>
      </c>
      <c r="S3383">
        <v>-0.41970829999999998</v>
      </c>
      <c r="T3383">
        <v>-0.33142149999999998</v>
      </c>
      <c r="U3383">
        <v>3.058929</v>
      </c>
      <c r="V3383">
        <v>-2.1737610000000001E-2</v>
      </c>
      <c r="W3383">
        <v>0.16077139999999901</v>
      </c>
      <c r="X3383">
        <v>0.98675230000000003</v>
      </c>
      <c r="Y3383">
        <v>-3.0377629999999999E-2</v>
      </c>
      <c r="Z3383">
        <v>-0.1063109</v>
      </c>
      <c r="AA3383">
        <v>0.9938688</v>
      </c>
      <c r="AB3383">
        <v>22</v>
      </c>
      <c r="AC3383">
        <v>-9.1299999999989695E-2</v>
      </c>
      <c r="AD3383">
        <v>-9.4483999999999999E-2</v>
      </c>
      <c r="AE3383">
        <v>0.65619999999999801</v>
      </c>
      <c r="AF3383">
        <v>-2.14546378301433E-2</v>
      </c>
      <c r="AG3383">
        <v>-9.4483999999999999E-2</v>
      </c>
      <c r="AH3383">
        <v>0.64896045221995902</v>
      </c>
      <c r="AI3383">
        <v>98.279192163552196</v>
      </c>
      <c r="AJ3383">
        <v>91.893509291872604</v>
      </c>
      <c r="AK3383">
        <v>0.65615333290775602</v>
      </c>
      <c r="AL3383">
        <v>80.748326459337704</v>
      </c>
      <c r="AM3383">
        <v>91.261990363409595</v>
      </c>
      <c r="AN3383">
        <v>1.0000000341508799</v>
      </c>
    </row>
    <row r="3384" spans="1:40" x14ac:dyDescent="0.3">
      <c r="A3384" t="str">
        <f>"20200111150418437"</f>
        <v>20200111150418437</v>
      </c>
      <c r="B3384" t="str">
        <f>"1578726258431554"</f>
        <v>1578726258431554</v>
      </c>
      <c r="C3384" t="s">
        <v>40</v>
      </c>
      <c r="D3384">
        <v>5.2696699999999996</v>
      </c>
      <c r="E3384">
        <v>0.49850840000000002</v>
      </c>
      <c r="F3384" t="s">
        <v>42</v>
      </c>
      <c r="G3384">
        <v>-183.74619999999999</v>
      </c>
      <c r="H3384">
        <v>1.009954</v>
      </c>
      <c r="I3384">
        <v>-33.612810000000003</v>
      </c>
      <c r="J3384">
        <v>-183.65710000000001</v>
      </c>
      <c r="K3384">
        <v>1.1077889999999999</v>
      </c>
      <c r="L3384">
        <v>-34.239350000000002</v>
      </c>
      <c r="M3384">
        <v>-0.1110936</v>
      </c>
      <c r="N3384">
        <v>0</v>
      </c>
      <c r="O3384">
        <v>0.99377380000000004</v>
      </c>
      <c r="P3384">
        <v>-0.13083259999999999</v>
      </c>
      <c r="Q3384">
        <v>0.15172529999999901</v>
      </c>
      <c r="R3384">
        <v>0.97972559999999997</v>
      </c>
      <c r="S3384">
        <v>-0.4319153</v>
      </c>
      <c r="T3384">
        <v>-0.35353980000000002</v>
      </c>
      <c r="U3384">
        <v>3.06012</v>
      </c>
      <c r="V3384">
        <v>-2.2602819999999999E-2</v>
      </c>
      <c r="W3384">
        <v>0.15990389999999999</v>
      </c>
      <c r="X3384">
        <v>0.98687369999999996</v>
      </c>
      <c r="Y3384">
        <v>-2.798289E-2</v>
      </c>
      <c r="Z3384">
        <v>-0.1131344</v>
      </c>
      <c r="AA3384">
        <v>0.9931856</v>
      </c>
      <c r="AB3384">
        <v>22</v>
      </c>
      <c r="AC3384">
        <v>-8.9099999999973506E-2</v>
      </c>
      <c r="AD3384">
        <v>-9.7834999999999894E-2</v>
      </c>
      <c r="AE3384">
        <v>0.62654000000000498</v>
      </c>
      <c r="AF3384">
        <v>-1.8499213092242998E-2</v>
      </c>
      <c r="AG3384">
        <v>-9.7834999999999894E-2</v>
      </c>
      <c r="AH3384">
        <v>0.61779498063099902</v>
      </c>
      <c r="AI3384">
        <v>98.994757556250605</v>
      </c>
      <c r="AJ3384">
        <v>91.715148629175701</v>
      </c>
      <c r="AK3384">
        <v>0.62576716612721806</v>
      </c>
      <c r="AL3384">
        <v>80.798680998364205</v>
      </c>
      <c r="AM3384">
        <v>91.3120420734503</v>
      </c>
      <c r="AN3384">
        <v>0.99999992222942302</v>
      </c>
    </row>
    <row r="3385" spans="1:40" x14ac:dyDescent="0.3">
      <c r="A3385" t="str">
        <f>"20200111150418458"</f>
        <v>20200111150418458</v>
      </c>
      <c r="B3385" t="str">
        <f>"1578726258452050"</f>
        <v>1578726258452050</v>
      </c>
      <c r="C3385" t="s">
        <v>40</v>
      </c>
      <c r="D3385">
        <v>5.4244789999999998</v>
      </c>
      <c r="E3385">
        <v>0.49874449999999998</v>
      </c>
      <c r="F3385" t="s">
        <v>42</v>
      </c>
      <c r="G3385">
        <v>-183.77359999999999</v>
      </c>
      <c r="H3385">
        <v>1.010254</v>
      </c>
      <c r="I3385">
        <v>-33.419730000000001</v>
      </c>
      <c r="J3385">
        <v>-183.68790000000001</v>
      </c>
      <c r="K3385">
        <v>1.1077840000000001</v>
      </c>
      <c r="L3385">
        <v>-34.024809999999903</v>
      </c>
      <c r="M3385">
        <v>-0.1170442</v>
      </c>
      <c r="N3385">
        <v>0</v>
      </c>
      <c r="O3385">
        <v>0.99309060000000005</v>
      </c>
      <c r="P3385">
        <v>-0.1369648</v>
      </c>
      <c r="Q3385">
        <v>0.15083759999999999</v>
      </c>
      <c r="R3385">
        <v>0.97902440000000002</v>
      </c>
      <c r="S3385">
        <v>-0.43528749999999999</v>
      </c>
      <c r="T3385">
        <v>-0.36436590000000002</v>
      </c>
      <c r="U3385">
        <v>3.0603940000000001</v>
      </c>
      <c r="V3385">
        <v>-2.2847610000000001E-2</v>
      </c>
      <c r="W3385">
        <v>0.15899920000000001</v>
      </c>
      <c r="X3385">
        <v>0.98701430000000001</v>
      </c>
      <c r="Y3385">
        <v>-2.3001110000000002E-2</v>
      </c>
      <c r="Z3385">
        <v>-0.1164208</v>
      </c>
      <c r="AA3385">
        <v>0.99293359999999997</v>
      </c>
      <c r="AB3385">
        <v>22</v>
      </c>
      <c r="AC3385">
        <v>-8.5699999999974297E-2</v>
      </c>
      <c r="AD3385">
        <v>-9.7530000000000103E-2</v>
      </c>
      <c r="AE3385">
        <v>0.60507999999999296</v>
      </c>
      <c r="AF3385">
        <v>-1.39324167436443E-2</v>
      </c>
      <c r="AG3385">
        <v>-9.7530000000000103E-2</v>
      </c>
      <c r="AH3385">
        <v>0.59577753867588401</v>
      </c>
      <c r="AI3385">
        <v>99.294476821894605</v>
      </c>
      <c r="AJ3385">
        <v>91.339632928668706</v>
      </c>
      <c r="AK3385">
        <v>0.60386843660437595</v>
      </c>
      <c r="AL3385">
        <v>80.851188946255405</v>
      </c>
      <c r="AM3385">
        <v>91.326057669792306</v>
      </c>
      <c r="AN3385">
        <v>0.999999993643921</v>
      </c>
    </row>
    <row r="3386" spans="1:40" x14ac:dyDescent="0.3">
      <c r="A3386" t="str">
        <f>"20200111150418482"</f>
        <v>20200111150418482</v>
      </c>
      <c r="B3386" t="str">
        <f>"1578726258471570"</f>
        <v>1578726258471570</v>
      </c>
      <c r="C3386" t="s">
        <v>40</v>
      </c>
      <c r="D3386">
        <v>5.4259899999999996</v>
      </c>
      <c r="E3386">
        <v>0.49904009999999999</v>
      </c>
      <c r="F3386" t="s">
        <v>42</v>
      </c>
      <c r="G3386">
        <v>-183.80590000000001</v>
      </c>
      <c r="H3386">
        <v>1.0132680000000001</v>
      </c>
      <c r="I3386">
        <v>-33.225239999999999</v>
      </c>
      <c r="J3386">
        <v>-183.7216</v>
      </c>
      <c r="K3386">
        <v>1.1077669999999999</v>
      </c>
      <c r="L3386">
        <v>-33.799680000000002</v>
      </c>
      <c r="M3386">
        <v>-0.1232755</v>
      </c>
      <c r="N3386">
        <v>0</v>
      </c>
      <c r="O3386">
        <v>0.99233649999999995</v>
      </c>
      <c r="P3386">
        <v>-0.14223710000000001</v>
      </c>
      <c r="Q3386">
        <v>0.15147529999999901</v>
      </c>
      <c r="R3386">
        <v>0.97817370000000003</v>
      </c>
      <c r="S3386">
        <v>-0.45158389999999998</v>
      </c>
      <c r="T3386">
        <v>-0.3615603</v>
      </c>
      <c r="U3386">
        <v>3.0567929999999999</v>
      </c>
      <c r="V3386">
        <v>-2.1979820000000001E-2</v>
      </c>
      <c r="W3386">
        <v>0.15962950000000001</v>
      </c>
      <c r="X3386">
        <v>0.98693229999999998</v>
      </c>
      <c r="Y3386">
        <v>-2.208854E-2</v>
      </c>
      <c r="Z3386">
        <v>-0.1154963</v>
      </c>
      <c r="AA3386">
        <v>0.99306229999999995</v>
      </c>
      <c r="AB3386">
        <v>22</v>
      </c>
      <c r="AC3386">
        <v>-8.4300000000013101E-2</v>
      </c>
      <c r="AD3386">
        <v>-9.4498999999999805E-2</v>
      </c>
      <c r="AE3386">
        <v>0.57444000000000195</v>
      </c>
      <c r="AF3386">
        <v>-1.2508670142724601E-2</v>
      </c>
      <c r="AG3386">
        <v>-9.4498999999999805E-2</v>
      </c>
      <c r="AH3386">
        <v>0.56547030899133</v>
      </c>
      <c r="AI3386">
        <v>99.485077845899895</v>
      </c>
      <c r="AJ3386">
        <v>91.267223281635907</v>
      </c>
      <c r="AK3386">
        <v>0.57344851397530905</v>
      </c>
      <c r="AL3386">
        <v>80.814608514374399</v>
      </c>
      <c r="AM3386">
        <v>91.275814737863399</v>
      </c>
      <c r="AN3386">
        <v>1.00000002727038</v>
      </c>
    </row>
    <row r="3387" spans="1:40" x14ac:dyDescent="0.3">
      <c r="A3387" t="str">
        <f>"20200111150418505"</f>
        <v>20200111150418505</v>
      </c>
      <c r="B3387" t="str">
        <f>"1578726258501826"</f>
        <v>1578726258501826</v>
      </c>
      <c r="C3387" t="s">
        <v>40</v>
      </c>
      <c r="D3387">
        <v>5.4241000000000001</v>
      </c>
      <c r="E3387">
        <v>0.50077740000000004</v>
      </c>
      <c r="F3387" t="s">
        <v>42</v>
      </c>
      <c r="G3387">
        <v>-183.83940000000001</v>
      </c>
      <c r="H3387">
        <v>1.015485</v>
      </c>
      <c r="I3387">
        <v>-33.030740000000002</v>
      </c>
      <c r="J3387">
        <v>-183.7559</v>
      </c>
      <c r="K3387">
        <v>1.107742</v>
      </c>
      <c r="L3387">
        <v>-33.579590000000003</v>
      </c>
      <c r="M3387">
        <v>-0.12932569999999999</v>
      </c>
      <c r="N3387">
        <v>0</v>
      </c>
      <c r="O3387">
        <v>0.99156630000000001</v>
      </c>
      <c r="P3387">
        <v>-0.147377799999999</v>
      </c>
      <c r="Q3387">
        <v>0.15118389999999901</v>
      </c>
      <c r="R3387">
        <v>0.97745749999999998</v>
      </c>
      <c r="S3387">
        <v>-0.46784969999999998</v>
      </c>
      <c r="T3387">
        <v>-0.36662060000000002</v>
      </c>
      <c r="U3387">
        <v>3.0556640000000002</v>
      </c>
      <c r="V3387">
        <v>-2.1130920000000001E-2</v>
      </c>
      <c r="W3387">
        <v>0.1593339</v>
      </c>
      <c r="X3387">
        <v>0.98699859999999995</v>
      </c>
      <c r="Y3387">
        <v>-2.1186380000000001E-2</v>
      </c>
      <c r="Z3387">
        <v>-0.1169529</v>
      </c>
      <c r="AA3387">
        <v>0.99291149999999995</v>
      </c>
      <c r="AB3387">
        <v>22</v>
      </c>
      <c r="AC3387">
        <v>-8.3500000000015007E-2</v>
      </c>
      <c r="AD3387">
        <v>-9.2257000000000006E-2</v>
      </c>
      <c r="AE3387">
        <v>0.54885000000000095</v>
      </c>
      <c r="AF3387">
        <v>-1.14982647913508E-2</v>
      </c>
      <c r="AG3387">
        <v>-9.2257000000000006E-2</v>
      </c>
      <c r="AH3387">
        <v>0.54012377809115097</v>
      </c>
      <c r="AI3387">
        <v>99.690832311732095</v>
      </c>
      <c r="AJ3387">
        <v>91.219539997558698</v>
      </c>
      <c r="AK3387">
        <v>0.54806683880861695</v>
      </c>
      <c r="AL3387">
        <v>80.831764681447098</v>
      </c>
      <c r="AM3387">
        <v>91.226473476880003</v>
      </c>
      <c r="AN3387">
        <v>1.0000000219356</v>
      </c>
    </row>
    <row r="3388" spans="1:40" x14ac:dyDescent="0.3">
      <c r="A3388" t="str">
        <f>"20200111150418527"</f>
        <v>20200111150418527</v>
      </c>
      <c r="B3388" t="str">
        <f>"1578726258522323"</f>
        <v>1578726258522323</v>
      </c>
      <c r="C3388" t="s">
        <v>40</v>
      </c>
      <c r="D3388">
        <v>5.46028</v>
      </c>
      <c r="E3388">
        <v>0.50034869999999998</v>
      </c>
      <c r="F3388" t="s">
        <v>42</v>
      </c>
      <c r="G3388">
        <v>-183.8706</v>
      </c>
      <c r="H3388">
        <v>1.0192939999999999</v>
      </c>
      <c r="I3388">
        <v>-32.834789999999998</v>
      </c>
      <c r="J3388">
        <v>-183.79140000000001</v>
      </c>
      <c r="K3388">
        <v>1.10771</v>
      </c>
      <c r="L3388">
        <v>-33.359830000000002</v>
      </c>
      <c r="M3388">
        <v>-0.13530519999999999</v>
      </c>
      <c r="N3388">
        <v>0</v>
      </c>
      <c r="O3388">
        <v>0.99076819999999999</v>
      </c>
      <c r="P3388">
        <v>-0.1529044</v>
      </c>
      <c r="Q3388">
        <v>0.152561</v>
      </c>
      <c r="R3388">
        <v>0.97639410000000004</v>
      </c>
      <c r="S3388">
        <v>-0.47074890000000003</v>
      </c>
      <c r="T3388">
        <v>-0.36278080000000001</v>
      </c>
      <c r="U3388">
        <v>3.0543209999999998</v>
      </c>
      <c r="V3388">
        <v>-2.0789269999999999E-2</v>
      </c>
      <c r="W3388">
        <v>0.16070219999999999</v>
      </c>
      <c r="X3388">
        <v>0.98678399999999999</v>
      </c>
      <c r="Y3388">
        <v>-1.616339E-2</v>
      </c>
      <c r="Z3388">
        <v>-0.11565250000000001</v>
      </c>
      <c r="AA3388">
        <v>0.99315819999999999</v>
      </c>
      <c r="AB3388">
        <v>22</v>
      </c>
      <c r="AC3388">
        <v>-7.9199999999985907E-2</v>
      </c>
      <c r="AD3388">
        <v>-8.84159999999998E-2</v>
      </c>
      <c r="AE3388">
        <v>0.52503999999999695</v>
      </c>
      <c r="AF3388">
        <v>-7.22804912480787E-3</v>
      </c>
      <c r="AG3388">
        <v>-8.84159999999998E-2</v>
      </c>
      <c r="AH3388">
        <v>0.516603956149295</v>
      </c>
      <c r="AI3388">
        <v>99.711057498315895</v>
      </c>
      <c r="AJ3388">
        <v>90.801599916600495</v>
      </c>
      <c r="AK3388">
        <v>0.52416531863454496</v>
      </c>
      <c r="AL3388">
        <v>80.752343491180596</v>
      </c>
      <c r="AM3388">
        <v>91.206911795367304</v>
      </c>
      <c r="AN3388">
        <v>1.0000000267439799</v>
      </c>
    </row>
    <row r="3389" spans="1:40" x14ac:dyDescent="0.3">
      <c r="A3389" t="str">
        <f>"20200111150418553"</f>
        <v>20200111150418553</v>
      </c>
      <c r="B3389" t="str">
        <f>"1578726258541842"</f>
        <v>1578726258541842</v>
      </c>
      <c r="C3389" t="s">
        <v>40</v>
      </c>
      <c r="D3389">
        <v>5.3819369999999997</v>
      </c>
      <c r="E3389">
        <v>0.48531750000000001</v>
      </c>
      <c r="F3389" t="s">
        <v>42</v>
      </c>
      <c r="G3389">
        <v>-183.90770000000001</v>
      </c>
      <c r="H3389">
        <v>1.024675</v>
      </c>
      <c r="I3389">
        <v>-32.638120000000001</v>
      </c>
      <c r="J3389">
        <v>-183.8322</v>
      </c>
      <c r="K3389">
        <v>1.10768</v>
      </c>
      <c r="L3389">
        <v>-33.11694</v>
      </c>
      <c r="M3389">
        <v>-0.14182</v>
      </c>
      <c r="N3389">
        <v>0</v>
      </c>
      <c r="O3389">
        <v>0.98985670000000003</v>
      </c>
      <c r="P3389">
        <v>-0.15879190000000001</v>
      </c>
      <c r="Q3389">
        <v>0.15381410000000001</v>
      </c>
      <c r="R3389">
        <v>0.97525700000000004</v>
      </c>
      <c r="S3389">
        <v>-0.49179079999999997</v>
      </c>
      <c r="T3389">
        <v>-0.3509446</v>
      </c>
      <c r="U3389">
        <v>3.050354</v>
      </c>
      <c r="V3389">
        <v>-2.027549E-2</v>
      </c>
      <c r="W3389">
        <v>0.16194739999999999</v>
      </c>
      <c r="X3389">
        <v>0.98659110000000005</v>
      </c>
      <c r="Y3389">
        <v>-1.6533799999999901E-2</v>
      </c>
      <c r="Z3389">
        <v>-0.1118572</v>
      </c>
      <c r="AA3389">
        <v>0.99358670000000004</v>
      </c>
      <c r="AB3389">
        <v>22</v>
      </c>
      <c r="AC3389">
        <v>-7.5500000000005202E-2</v>
      </c>
      <c r="AD3389">
        <v>-8.3004999999999995E-2</v>
      </c>
      <c r="AE3389">
        <v>0.47881999999999802</v>
      </c>
      <c r="AF3389">
        <v>-6.6336560342339897E-3</v>
      </c>
      <c r="AG3389">
        <v>-8.3004999999999995E-2</v>
      </c>
      <c r="AH3389">
        <v>0.47088044951006802</v>
      </c>
      <c r="AI3389">
        <v>99.996204373291604</v>
      </c>
      <c r="AJ3389">
        <v>90.807116440339598</v>
      </c>
      <c r="AK3389">
        <v>0.47818640000337198</v>
      </c>
      <c r="AL3389">
        <v>80.680051866456694</v>
      </c>
      <c r="AM3389">
        <v>91.177323107376196</v>
      </c>
      <c r="AN3389">
        <v>1.00000002723035</v>
      </c>
    </row>
    <row r="3390" spans="1:40" x14ac:dyDescent="0.3">
      <c r="A3390" t="str">
        <f>"20200111150418573"</f>
        <v>20200111150418573</v>
      </c>
      <c r="B3390" t="str">
        <f>"1578726258562338"</f>
        <v>1578726258562338</v>
      </c>
      <c r="C3390" t="s">
        <v>40</v>
      </c>
      <c r="D3390">
        <v>5.4074470000000003</v>
      </c>
      <c r="E3390">
        <v>0.48806280000000002</v>
      </c>
      <c r="F3390" t="s">
        <v>88</v>
      </c>
      <c r="G3390">
        <v>-213.5395</v>
      </c>
      <c r="H3390">
        <v>4.1368859999999996</v>
      </c>
      <c r="I3390">
        <v>111.24209999999999</v>
      </c>
      <c r="J3390">
        <v>-183.86660000000001</v>
      </c>
      <c r="K3390">
        <v>1.107653</v>
      </c>
      <c r="L3390">
        <v>-32.919249999999998</v>
      </c>
      <c r="M3390">
        <v>-0.14705289999999999</v>
      </c>
      <c r="N3390">
        <v>0</v>
      </c>
      <c r="O3390">
        <v>0.98909290000000005</v>
      </c>
      <c r="P3390">
        <v>-0.16400319999999999</v>
      </c>
      <c r="Q3390">
        <v>0.15527340000000001</v>
      </c>
      <c r="R3390">
        <v>0.9741628</v>
      </c>
      <c r="S3390">
        <v>-0.61054989999999998</v>
      </c>
      <c r="T3390">
        <v>6.2256810000000003E-2</v>
      </c>
      <c r="U3390">
        <v>2.966888</v>
      </c>
      <c r="V3390">
        <v>-2.0366530000000001E-2</v>
      </c>
      <c r="W3390">
        <v>0.1633965</v>
      </c>
      <c r="X3390">
        <v>0.98635019999999995</v>
      </c>
      <c r="Y3390">
        <v>-5.5290619999999999E-2</v>
      </c>
      <c r="Z3390">
        <v>2.0409099999999999E-2</v>
      </c>
      <c r="AA3390">
        <v>0.99826170000000003</v>
      </c>
      <c r="AB3390">
        <v>22</v>
      </c>
      <c r="AC3390">
        <v>-29.672899999999998</v>
      </c>
      <c r="AD3390">
        <v>3.0292330000000001</v>
      </c>
      <c r="AE3390">
        <v>144.16135</v>
      </c>
      <c r="AF3390">
        <v>-8.1467472662067895</v>
      </c>
      <c r="AG3390">
        <v>3.0292330000000001</v>
      </c>
      <c r="AH3390">
        <v>146.89542364022699</v>
      </c>
      <c r="AI3390">
        <v>88.820443313469895</v>
      </c>
      <c r="AJ3390">
        <v>93.174343648592696</v>
      </c>
      <c r="AK3390">
        <v>147.15234021254801</v>
      </c>
      <c r="AL3390">
        <v>80.5959031146065</v>
      </c>
      <c r="AM3390">
        <v>91.182896718000805</v>
      </c>
      <c r="AN3390">
        <v>0.999999964398264</v>
      </c>
    </row>
    <row r="3391" spans="1:40" x14ac:dyDescent="0.3">
      <c r="A3391" t="str">
        <f>"20200111150418593"</f>
        <v>20200111150418593</v>
      </c>
      <c r="B3391" t="str">
        <f>"1578726258581858"</f>
        <v>1578726258581858</v>
      </c>
      <c r="C3391" t="s">
        <v>40</v>
      </c>
      <c r="D3391">
        <v>7.8845390000000002</v>
      </c>
      <c r="E3391">
        <v>0.48921249999999999</v>
      </c>
      <c r="F3391" t="s">
        <v>41</v>
      </c>
      <c r="G3391">
        <v>-187.9314</v>
      </c>
      <c r="H3391" s="1">
        <v>-3.4857349999999998E-6</v>
      </c>
      <c r="I3391">
        <v>-13.09722</v>
      </c>
      <c r="J3391">
        <v>-183.90289999999999</v>
      </c>
      <c r="K3391">
        <v>1.1076170000000001</v>
      </c>
      <c r="L3391">
        <v>-32.716250000000002</v>
      </c>
      <c r="M3391">
        <v>-0.15236649999999999</v>
      </c>
      <c r="N3391">
        <v>0</v>
      </c>
      <c r="O3391">
        <v>0.98828839999999996</v>
      </c>
      <c r="P3391">
        <v>-0.169826</v>
      </c>
      <c r="Q3391">
        <v>0.15630620000000001</v>
      </c>
      <c r="R3391">
        <v>0.97299919999999995</v>
      </c>
      <c r="S3391">
        <v>-0.61573789999999995</v>
      </c>
      <c r="T3391">
        <v>-0.16778860000000001</v>
      </c>
      <c r="U3391">
        <v>3.0026549999999999</v>
      </c>
      <c r="V3391">
        <v>-2.098705E-2</v>
      </c>
      <c r="W3391">
        <v>0.16441629999999999</v>
      </c>
      <c r="X3391">
        <v>0.98616769999999998</v>
      </c>
      <c r="Y3391">
        <v>-4.8973900000000001E-2</v>
      </c>
      <c r="Z3391">
        <v>-5.4226049999999998E-2</v>
      </c>
      <c r="AA3391">
        <v>0.99732699999999996</v>
      </c>
      <c r="AB3391">
        <v>22</v>
      </c>
      <c r="AC3391">
        <v>-4.0285000000000002</v>
      </c>
      <c r="AD3391">
        <v>-1.107620485735</v>
      </c>
      <c r="AE3391">
        <v>19.619029999999999</v>
      </c>
      <c r="AF3391">
        <v>-0.98904697011231102</v>
      </c>
      <c r="AG3391">
        <v>-1.107620485735</v>
      </c>
      <c r="AH3391">
        <v>19.942780667281699</v>
      </c>
      <c r="AI3391">
        <v>93.175042894518199</v>
      </c>
      <c r="AJ3391">
        <v>92.839214167554402</v>
      </c>
      <c r="AK3391">
        <v>19.997988343651301</v>
      </c>
      <c r="AL3391">
        <v>80.536671726587699</v>
      </c>
      <c r="AM3391">
        <v>91.219151576752196</v>
      </c>
      <c r="AN3391">
        <v>0.99999995424833998</v>
      </c>
    </row>
    <row r="3392" spans="1:40" x14ac:dyDescent="0.3">
      <c r="A3392" t="str">
        <f>"20200111150418616"</f>
        <v>20200111150418616</v>
      </c>
      <c r="B3392" t="str">
        <f>"1578726258612114"</f>
        <v>1578726258612114</v>
      </c>
      <c r="C3392" t="s">
        <v>40</v>
      </c>
      <c r="D3392">
        <v>5.2762640000000003</v>
      </c>
      <c r="E3392">
        <v>0.49833620000000001</v>
      </c>
      <c r="F3392" t="s">
        <v>41</v>
      </c>
      <c r="G3392">
        <v>-187.98320000000001</v>
      </c>
      <c r="H3392" s="1">
        <v>-3.4781039999999999E-6</v>
      </c>
      <c r="I3392">
        <v>-13.093579999999999</v>
      </c>
      <c r="J3392">
        <v>-183.94380000000001</v>
      </c>
      <c r="K3392">
        <v>1.1075809999999999</v>
      </c>
      <c r="L3392">
        <v>-32.494540000000001</v>
      </c>
      <c r="M3392">
        <v>-0.15809049999999999</v>
      </c>
      <c r="N3392">
        <v>0</v>
      </c>
      <c r="O3392">
        <v>0.98738899999999996</v>
      </c>
      <c r="P3392">
        <v>-0.17553750000000001</v>
      </c>
      <c r="Q3392">
        <v>0.1575097</v>
      </c>
      <c r="R3392">
        <v>0.97179079999999995</v>
      </c>
      <c r="S3392">
        <v>-0.62413019999999997</v>
      </c>
      <c r="T3392">
        <v>-0.16942389999999999</v>
      </c>
      <c r="U3392">
        <v>3.0015260000000001</v>
      </c>
      <c r="V3392">
        <v>-2.1090910000000001E-2</v>
      </c>
      <c r="W3392">
        <v>0.1656165</v>
      </c>
      <c r="X3392">
        <v>0.98596470000000003</v>
      </c>
      <c r="Y3392">
        <v>-4.5929110000000002E-2</v>
      </c>
      <c r="Z3392">
        <v>-5.4687319999999998E-2</v>
      </c>
      <c r="AA3392">
        <v>0.99744670000000002</v>
      </c>
      <c r="AB3392">
        <v>23</v>
      </c>
      <c r="AC3392">
        <v>-4.0393999999999997</v>
      </c>
      <c r="AD3392">
        <v>-1.1075844781039901</v>
      </c>
      <c r="AE3392">
        <v>19.400960000000001</v>
      </c>
      <c r="AF3392">
        <v>-0.91851485513458997</v>
      </c>
      <c r="AG3392">
        <v>-1.1075844781039901</v>
      </c>
      <c r="AH3392">
        <v>19.7339376061148</v>
      </c>
      <c r="AI3392">
        <v>93.208938513139003</v>
      </c>
      <c r="AJ3392">
        <v>92.664905034147495</v>
      </c>
      <c r="AK3392">
        <v>19.786326247114999</v>
      </c>
      <c r="AL3392">
        <v>80.466950128153599</v>
      </c>
      <c r="AM3392">
        <v>91.225435213871293</v>
      </c>
      <c r="AN3392">
        <v>1.0000000206014801</v>
      </c>
    </row>
    <row r="3393" spans="1:40" x14ac:dyDescent="0.3">
      <c r="A3393" t="str">
        <f>"20200111150418638"</f>
        <v>20200111150418638</v>
      </c>
      <c r="B3393" t="str">
        <f>"1578726258631634"</f>
        <v>1578726258631634</v>
      </c>
      <c r="C3393" t="s">
        <v>40</v>
      </c>
      <c r="D3393">
        <v>5.4170040000000004</v>
      </c>
      <c r="E3393">
        <v>0.4967722</v>
      </c>
      <c r="F3393" t="s">
        <v>88</v>
      </c>
      <c r="G3393">
        <v>-211.34020000000001</v>
      </c>
      <c r="H3393">
        <v>4.8922600000000003</v>
      </c>
      <c r="I3393">
        <v>113.33</v>
      </c>
      <c r="J3393">
        <v>-183.98609999999999</v>
      </c>
      <c r="K3393">
        <v>1.107524</v>
      </c>
      <c r="L3393">
        <v>-32.271909999999998</v>
      </c>
      <c r="M3393">
        <v>-0.163739</v>
      </c>
      <c r="N3393">
        <v>0</v>
      </c>
      <c r="O3393">
        <v>0.98646800000000001</v>
      </c>
      <c r="P3393">
        <v>-0.1809346</v>
      </c>
      <c r="Q3393">
        <v>0.15825649999999999</v>
      </c>
      <c r="R3393">
        <v>0.97067890000000001</v>
      </c>
      <c r="S3393">
        <v>-0.55867</v>
      </c>
      <c r="T3393">
        <v>7.7177880000000004E-2</v>
      </c>
      <c r="U3393">
        <v>2.9736630000000002</v>
      </c>
      <c r="V3393">
        <v>-2.0934020000000001E-2</v>
      </c>
      <c r="W3393">
        <v>0.1663674</v>
      </c>
      <c r="X3393">
        <v>0.98584159999999998</v>
      </c>
      <c r="Y3393">
        <v>-2.1161490000000002E-2</v>
      </c>
      <c r="Z3393">
        <v>2.5199389999999999E-2</v>
      </c>
      <c r="AA3393">
        <v>0.99945839999999997</v>
      </c>
      <c r="AB3393">
        <v>23</v>
      </c>
      <c r="AC3393">
        <v>-27.354099999999999</v>
      </c>
      <c r="AD3393">
        <v>3.7847360000000001</v>
      </c>
      <c r="AE3393">
        <v>145.60191</v>
      </c>
      <c r="AF3393">
        <v>-3.1412937333047801</v>
      </c>
      <c r="AG3393">
        <v>3.7847360000000001</v>
      </c>
      <c r="AH3393">
        <v>148.019170461871</v>
      </c>
      <c r="AI3393">
        <v>88.535639840496899</v>
      </c>
      <c r="AJ3393">
        <v>91.215760495817193</v>
      </c>
      <c r="AK3393">
        <v>148.100866902017</v>
      </c>
      <c r="AL3393">
        <v>80.423321297749396</v>
      </c>
      <c r="AM3393">
        <v>91.216474090825898</v>
      </c>
      <c r="AN3393">
        <v>1.00000000263334</v>
      </c>
    </row>
    <row r="3394" spans="1:40" x14ac:dyDescent="0.3">
      <c r="A3394" t="str">
        <f>"20200111150418660"</f>
        <v>20200111150418660</v>
      </c>
      <c r="B3394" t="str">
        <f>"1578726258652131"</f>
        <v>1578726258652131</v>
      </c>
      <c r="C3394" t="s">
        <v>40</v>
      </c>
      <c r="D3394">
        <v>5.4261749999999997</v>
      </c>
      <c r="E3394">
        <v>0.49658540000000001</v>
      </c>
      <c r="F3394" t="s">
        <v>41</v>
      </c>
      <c r="G3394">
        <v>-199.98759999999999</v>
      </c>
      <c r="H3394">
        <v>7.9811610000000005E-2</v>
      </c>
      <c r="I3394">
        <v>48.288179999999997</v>
      </c>
      <c r="J3394">
        <v>-184.02979999999999</v>
      </c>
      <c r="K3394">
        <v>1.1074649999999999</v>
      </c>
      <c r="L3394">
        <v>-32.048000000000002</v>
      </c>
      <c r="M3394">
        <v>-0.16929930000000001</v>
      </c>
      <c r="N3394">
        <v>0</v>
      </c>
      <c r="O3394">
        <v>0.98552890000000004</v>
      </c>
      <c r="P3394">
        <v>-0.186811</v>
      </c>
      <c r="Q3394">
        <v>0.15795709999999999</v>
      </c>
      <c r="R3394">
        <v>0.96961399999999998</v>
      </c>
      <c r="S3394">
        <v>-0.59315490000000004</v>
      </c>
      <c r="T3394">
        <v>-3.8096070000000003E-2</v>
      </c>
      <c r="U3394">
        <v>2.9862669999999998</v>
      </c>
      <c r="V3394">
        <v>-2.1310699999999998E-2</v>
      </c>
      <c r="W3394">
        <v>0.1660693</v>
      </c>
      <c r="X3394">
        <v>0.98588379999999998</v>
      </c>
      <c r="Y3394">
        <v>-2.5932779999999999E-2</v>
      </c>
      <c r="Z3394">
        <v>-1.235853E-2</v>
      </c>
      <c r="AA3394">
        <v>0.99958729999999996</v>
      </c>
      <c r="AB3394">
        <v>23</v>
      </c>
      <c r="AC3394">
        <v>-15.957799999999899</v>
      </c>
      <c r="AD3394">
        <v>-1.02765339</v>
      </c>
      <c r="AE3394">
        <v>80.336179999999999</v>
      </c>
      <c r="AF3394">
        <v>-2.1257543843968301</v>
      </c>
      <c r="AG3394">
        <v>-1.02765339</v>
      </c>
      <c r="AH3394">
        <v>81.865271768867501</v>
      </c>
      <c r="AI3394">
        <v>90.718952875190396</v>
      </c>
      <c r="AJ3394">
        <v>91.487436476535393</v>
      </c>
      <c r="AK3394">
        <v>81.899313946963503</v>
      </c>
      <c r="AL3394">
        <v>80.440642217420205</v>
      </c>
      <c r="AM3394">
        <v>91.238303186747402</v>
      </c>
      <c r="AN3394">
        <v>1.00000001271971</v>
      </c>
    </row>
    <row r="3395" spans="1:40" x14ac:dyDescent="0.3">
      <c r="A3395" t="str">
        <f>"20200111150418683"</f>
        <v>20200111150418683</v>
      </c>
      <c r="B3395" t="str">
        <f>"1578726258671651"</f>
        <v>1578726258671651</v>
      </c>
      <c r="C3395" t="s">
        <v>40</v>
      </c>
      <c r="D3395">
        <v>5.4057440000000003</v>
      </c>
      <c r="E3395">
        <v>0.49692069999999999</v>
      </c>
      <c r="F3395" t="s">
        <v>41</v>
      </c>
      <c r="G3395">
        <v>-191.4898</v>
      </c>
      <c r="H3395" s="1">
        <v>-2.3917549999999999E-6</v>
      </c>
      <c r="I3395">
        <v>4.2403329999999997</v>
      </c>
      <c r="J3395">
        <v>-184.0746</v>
      </c>
      <c r="K3395">
        <v>1.107383</v>
      </c>
      <c r="L3395">
        <v>-31.824649999999998</v>
      </c>
      <c r="M3395">
        <v>-0.17470269999999999</v>
      </c>
      <c r="N3395">
        <v>0</v>
      </c>
      <c r="O3395">
        <v>0.9845855</v>
      </c>
      <c r="P3395">
        <v>-0.19217529999999999</v>
      </c>
      <c r="Q3395">
        <v>0.1577971</v>
      </c>
      <c r="R3395">
        <v>0.96859110000000004</v>
      </c>
      <c r="S3395">
        <v>-0.61476140000000001</v>
      </c>
      <c r="T3395">
        <v>-9.1264129999999999E-2</v>
      </c>
      <c r="U3395">
        <v>2.9904480000000002</v>
      </c>
      <c r="V3395">
        <v>-2.1322560000000001E-2</v>
      </c>
      <c r="W3395">
        <v>0.16591229999999901</v>
      </c>
      <c r="X3395">
        <v>0.98590990000000001</v>
      </c>
      <c r="Y3395">
        <v>-2.7047970000000001E-2</v>
      </c>
      <c r="Z3395">
        <v>-2.949135E-2</v>
      </c>
      <c r="AA3395">
        <v>0.99919899999999995</v>
      </c>
      <c r="AB3395">
        <v>23</v>
      </c>
      <c r="AC3395">
        <v>-7.4151999999999898</v>
      </c>
      <c r="AD3395">
        <v>-1.1073853917550001</v>
      </c>
      <c r="AE3395">
        <v>36.064982999999998</v>
      </c>
      <c r="AF3395">
        <v>-0.99937967152527096</v>
      </c>
      <c r="AG3395">
        <v>-1.1073853917550001</v>
      </c>
      <c r="AH3395">
        <v>36.772546133302903</v>
      </c>
      <c r="AI3395">
        <v>91.724273912954104</v>
      </c>
      <c r="AJ3395">
        <v>91.556763182396494</v>
      </c>
      <c r="AK3395">
        <v>36.8027880908447</v>
      </c>
      <c r="AL3395">
        <v>80.449763470228106</v>
      </c>
      <c r="AM3395">
        <v>91.238959332687102</v>
      </c>
      <c r="AN3395">
        <v>0.99999993688712396</v>
      </c>
    </row>
    <row r="3396" spans="1:40" x14ac:dyDescent="0.3">
      <c r="A3396" t="str">
        <f>"20200111150418704"</f>
        <v>20200111150418704</v>
      </c>
      <c r="B3396" t="str">
        <f>"1578726258701906"</f>
        <v>1578726258701906</v>
      </c>
      <c r="C3396" t="s">
        <v>40</v>
      </c>
      <c r="D3396">
        <v>5.302054</v>
      </c>
      <c r="E3396">
        <v>0.49710310000000002</v>
      </c>
      <c r="F3396" t="s">
        <v>41</v>
      </c>
      <c r="G3396">
        <v>-190.1405</v>
      </c>
      <c r="H3396" s="1">
        <v>-3.2042460000000002E-6</v>
      </c>
      <c r="I3396">
        <v>-3.0288520000000001</v>
      </c>
      <c r="J3396">
        <v>-184.11779999999999</v>
      </c>
      <c r="K3396">
        <v>1.1072959999999901</v>
      </c>
      <c r="L3396">
        <v>-31.6142</v>
      </c>
      <c r="M3396">
        <v>-0.17964279999999999</v>
      </c>
      <c r="N3396">
        <v>0</v>
      </c>
      <c r="O3396">
        <v>0.98369620000000002</v>
      </c>
      <c r="P3396">
        <v>-0.1964284</v>
      </c>
      <c r="Q3396">
        <v>0.15828139999999999</v>
      </c>
      <c r="R3396">
        <v>0.96765849999999998</v>
      </c>
      <c r="S3396">
        <v>-0.63006589999999996</v>
      </c>
      <c r="T3396">
        <v>-0.1150246</v>
      </c>
      <c r="U3396">
        <v>2.991028</v>
      </c>
      <c r="V3396">
        <v>-2.0684749999999998E-2</v>
      </c>
      <c r="W3396">
        <v>0.1664032</v>
      </c>
      <c r="X3396">
        <v>0.98584079999999996</v>
      </c>
      <c r="Y3396">
        <v>-2.6839470000000001E-2</v>
      </c>
      <c r="Z3396">
        <v>-3.7083409999999997E-2</v>
      </c>
      <c r="AA3396">
        <v>0.9989517</v>
      </c>
      <c r="AB3396">
        <v>23</v>
      </c>
      <c r="AC3396">
        <v>-6.0227000000000102</v>
      </c>
      <c r="AD3396">
        <v>-1.1072992042459999</v>
      </c>
      <c r="AE3396">
        <v>28.585348</v>
      </c>
      <c r="AF3396">
        <v>-0.78825036260082004</v>
      </c>
      <c r="AG3396">
        <v>-1.1072992042459999</v>
      </c>
      <c r="AH3396">
        <v>29.1603626281739</v>
      </c>
      <c r="AI3396">
        <v>92.173840265531297</v>
      </c>
      <c r="AJ3396">
        <v>91.548417760881193</v>
      </c>
      <c r="AK3396">
        <v>29.1920228618789</v>
      </c>
      <c r="AL3396">
        <v>80.421240926786396</v>
      </c>
      <c r="AM3396">
        <v>91.201994283022799</v>
      </c>
      <c r="AN3396">
        <v>0.99999998339872098</v>
      </c>
    </row>
    <row r="3397" spans="1:40" x14ac:dyDescent="0.3">
      <c r="A3397" t="str">
        <f>"20200111150418726"</f>
        <v>20200111150418726</v>
      </c>
      <c r="B3397" t="str">
        <f>"1578726258721426"</f>
        <v>1578726258721426</v>
      </c>
      <c r="C3397" t="s">
        <v>40</v>
      </c>
      <c r="D3397">
        <v>5.3973870000000002</v>
      </c>
      <c r="E3397">
        <v>0.49772660000000002</v>
      </c>
      <c r="F3397" t="s">
        <v>41</v>
      </c>
      <c r="G3397">
        <v>-189.24529999999999</v>
      </c>
      <c r="H3397" s="1">
        <v>-1.2548179999999999E-6</v>
      </c>
      <c r="I3397">
        <v>-7.7542520000000001</v>
      </c>
      <c r="J3397">
        <v>-184.1626</v>
      </c>
      <c r="K3397">
        <v>1.107194</v>
      </c>
      <c r="L3397">
        <v>-31.3996</v>
      </c>
      <c r="M3397">
        <v>-0.18451819999999999</v>
      </c>
      <c r="N3397">
        <v>0</v>
      </c>
      <c r="O3397">
        <v>0.98279329999999998</v>
      </c>
      <c r="P3397">
        <v>-0.20020499999999999</v>
      </c>
      <c r="Q3397">
        <v>0.1581378</v>
      </c>
      <c r="R3397">
        <v>0.96690770000000004</v>
      </c>
      <c r="S3397">
        <v>-0.64308169999999898</v>
      </c>
      <c r="T3397">
        <v>-0.13887330000000001</v>
      </c>
      <c r="U3397">
        <v>2.992432</v>
      </c>
      <c r="V3397">
        <v>-1.9597400000000001E-2</v>
      </c>
      <c r="W3397">
        <v>0.16627059999999999</v>
      </c>
      <c r="X3397">
        <v>0.98588540000000002</v>
      </c>
      <c r="Y3397">
        <v>-2.5878749999999999E-2</v>
      </c>
      <c r="Z3397">
        <v>-4.4656410000000001E-2</v>
      </c>
      <c r="AA3397">
        <v>0.99866719999999998</v>
      </c>
      <c r="AB3397">
        <v>23</v>
      </c>
      <c r="AC3397">
        <v>-5.0826999999999796</v>
      </c>
      <c r="AD3397">
        <v>-1.107195254818</v>
      </c>
      <c r="AE3397">
        <v>23.645347999999998</v>
      </c>
      <c r="AF3397">
        <v>-0.63094639221773796</v>
      </c>
      <c r="AG3397">
        <v>-1.107195254818</v>
      </c>
      <c r="AH3397">
        <v>24.126627432459902</v>
      </c>
      <c r="AI3397">
        <v>92.626620852998599</v>
      </c>
      <c r="AJ3397">
        <v>91.498026516460399</v>
      </c>
      <c r="AK3397">
        <v>24.1602592276422</v>
      </c>
      <c r="AL3397">
        <v>80.428945806268899</v>
      </c>
      <c r="AM3397">
        <v>91.1387737892818</v>
      </c>
      <c r="AN3397">
        <v>0.99999999622213998</v>
      </c>
    </row>
    <row r="3398" spans="1:40" x14ac:dyDescent="0.3">
      <c r="A3398" t="str">
        <f>"20200111150418748"</f>
        <v>20200111150418748</v>
      </c>
      <c r="B3398" t="str">
        <f>"1578726258741922"</f>
        <v>1578726258741922</v>
      </c>
      <c r="C3398" t="s">
        <v>40</v>
      </c>
      <c r="D3398">
        <v>5.4097350000000004</v>
      </c>
      <c r="E3398">
        <v>0.49856990000000001</v>
      </c>
      <c r="F3398" t="s">
        <v>41</v>
      </c>
      <c r="G3398">
        <v>-188.98159999999999</v>
      </c>
      <c r="H3398" s="1">
        <v>-6.6819009999999904E-7</v>
      </c>
      <c r="I3398">
        <v>-9.2307319999999997</v>
      </c>
      <c r="J3398">
        <v>-184.2097</v>
      </c>
      <c r="K3398">
        <v>1.1070819999999999</v>
      </c>
      <c r="L3398">
        <v>-31.179200000000002</v>
      </c>
      <c r="M3398">
        <v>-0.1893503</v>
      </c>
      <c r="N3398">
        <v>0</v>
      </c>
      <c r="O3398">
        <v>0.98187380000000002</v>
      </c>
      <c r="P3398">
        <v>-0.20365800000000001</v>
      </c>
      <c r="Q3398">
        <v>0.15705859999999999</v>
      </c>
      <c r="R3398">
        <v>0.96636219999999995</v>
      </c>
      <c r="S3398">
        <v>-0.65048219999999901</v>
      </c>
      <c r="T3398">
        <v>-0.149453</v>
      </c>
      <c r="U3398">
        <v>2.992432</v>
      </c>
      <c r="V3398">
        <v>-1.8183310000000001E-2</v>
      </c>
      <c r="W3398">
        <v>0.16520550000000001</v>
      </c>
      <c r="X3398">
        <v>0.98609159999999996</v>
      </c>
      <c r="Y3398">
        <v>-2.3287410000000001E-2</v>
      </c>
      <c r="Z3398">
        <v>-4.7972590000000002E-2</v>
      </c>
      <c r="AA3398">
        <v>0.99857720000000005</v>
      </c>
      <c r="AB3398">
        <v>23</v>
      </c>
      <c r="AC3398">
        <v>-4.77189999999998</v>
      </c>
      <c r="AD3398">
        <v>-1.10708266819009</v>
      </c>
      <c r="AE3398">
        <v>21.948467999999998</v>
      </c>
      <c r="AF3398">
        <v>-0.52819002983612495</v>
      </c>
      <c r="AG3398">
        <v>-1.10708266819009</v>
      </c>
      <c r="AH3398">
        <v>22.400556512573498</v>
      </c>
      <c r="AI3398">
        <v>92.828590995333201</v>
      </c>
      <c r="AJ3398">
        <v>91.350745582822796</v>
      </c>
      <c r="AK3398">
        <v>22.434115735076901</v>
      </c>
      <c r="AL3398">
        <v>80.490828055523295</v>
      </c>
      <c r="AM3398">
        <v>91.056401719802096</v>
      </c>
      <c r="AN3398">
        <v>1.00000006679168</v>
      </c>
    </row>
    <row r="3399" spans="1:40" x14ac:dyDescent="0.3">
      <c r="A3399" t="str">
        <f>"20200111150418794"</f>
        <v>20200111150418794</v>
      </c>
      <c r="B3399" t="str">
        <f>"1578726258781938"</f>
        <v>1578726258781938</v>
      </c>
      <c r="C3399" t="s">
        <v>40</v>
      </c>
      <c r="D3399">
        <v>5.3972049999999996</v>
      </c>
      <c r="E3399">
        <v>0.49967879999999998</v>
      </c>
      <c r="F3399" t="s">
        <v>41</v>
      </c>
      <c r="G3399">
        <v>-188.7285</v>
      </c>
      <c r="H3399" s="1">
        <v>-4.4387950000000002E-6</v>
      </c>
      <c r="I3399">
        <v>-10.54603</v>
      </c>
      <c r="J3399">
        <v>-184.31020000000001</v>
      </c>
      <c r="K3399">
        <v>1.106873</v>
      </c>
      <c r="L3399">
        <v>-30.722660000000001</v>
      </c>
      <c r="M3399">
        <v>-0.19876630000000001</v>
      </c>
      <c r="N3399">
        <v>0</v>
      </c>
      <c r="O3399">
        <v>0.98001119999999997</v>
      </c>
      <c r="P3399">
        <v>-0.20988270000000001</v>
      </c>
      <c r="Q3399">
        <v>0.1575174</v>
      </c>
      <c r="R3399">
        <v>0.96495469999999905</v>
      </c>
      <c r="S3399">
        <v>-0.65534969999999904</v>
      </c>
      <c r="T3399">
        <v>-0.16055929999999999</v>
      </c>
      <c r="U3399">
        <v>2.9924010000000001</v>
      </c>
      <c r="V3399">
        <v>-1.500625E-2</v>
      </c>
      <c r="W3399">
        <v>0.16567999999999999</v>
      </c>
      <c r="X3399">
        <v>0.98606539999999998</v>
      </c>
      <c r="Y3399">
        <v>-1.520577E-2</v>
      </c>
      <c r="Z3399">
        <v>-5.1377699999999901E-2</v>
      </c>
      <c r="AA3399">
        <v>0.99856350000000005</v>
      </c>
      <c r="AB3399">
        <v>23</v>
      </c>
      <c r="AC3399">
        <v>-4.4182999999999799</v>
      </c>
      <c r="AD3399">
        <v>-1.106877438795</v>
      </c>
      <c r="AE3399">
        <v>20.176629999999999</v>
      </c>
      <c r="AF3399">
        <v>-0.31864548054594199</v>
      </c>
      <c r="AG3399">
        <v>-1.106877438795</v>
      </c>
      <c r="AH3399">
        <v>20.5931153068613</v>
      </c>
      <c r="AI3399">
        <v>93.076313008139195</v>
      </c>
      <c r="AJ3399">
        <v>90.886489686623605</v>
      </c>
      <c r="AK3399">
        <v>20.6253026801662</v>
      </c>
      <c r="AL3399">
        <v>80.463260791352894</v>
      </c>
      <c r="AM3399">
        <v>90.871877692132998</v>
      </c>
      <c r="AN3399">
        <v>1.00000001150811</v>
      </c>
    </row>
    <row r="3400" spans="1:40" x14ac:dyDescent="0.3">
      <c r="A3400" t="str">
        <f>"20200111150418818"</f>
        <v>20200111150418818</v>
      </c>
      <c r="B3400" t="str">
        <f>"1578726258812194"</f>
        <v>1578726258812194</v>
      </c>
      <c r="C3400" t="s">
        <v>40</v>
      </c>
      <c r="D3400">
        <v>5.3427689999999997</v>
      </c>
      <c r="E3400">
        <v>0.50022429999999996</v>
      </c>
      <c r="F3400" t="s">
        <v>41</v>
      </c>
      <c r="G3400">
        <v>-188.45849999999999</v>
      </c>
      <c r="H3400" s="1">
        <v>-3.807794E-6</v>
      </c>
      <c r="I3400">
        <v>-12.12852</v>
      </c>
      <c r="J3400">
        <v>-184.3639</v>
      </c>
      <c r="K3400">
        <v>1.1067979999999999</v>
      </c>
      <c r="L3400">
        <v>-30.485469999999999</v>
      </c>
      <c r="M3400">
        <v>-0.20340929999999999</v>
      </c>
      <c r="N3400">
        <v>0</v>
      </c>
      <c r="O3400">
        <v>0.97905810000000004</v>
      </c>
      <c r="P3400">
        <v>-0.21240210000000001</v>
      </c>
      <c r="Q3400">
        <v>0.15871830000000001</v>
      </c>
      <c r="R3400">
        <v>0.96420629999999996</v>
      </c>
      <c r="S3400">
        <v>-0.66769409999999996</v>
      </c>
      <c r="T3400">
        <v>-0.17815610000000001</v>
      </c>
      <c r="U3400">
        <v>2.9927980000000001</v>
      </c>
      <c r="V3400">
        <v>-1.2922950000000001E-2</v>
      </c>
      <c r="W3400">
        <v>0.16688039999999901</v>
      </c>
      <c r="X3400">
        <v>0.98589249999999995</v>
      </c>
      <c r="Y3400">
        <v>-1.4298979999999999E-2</v>
      </c>
      <c r="Z3400">
        <v>-5.6875809999999999E-2</v>
      </c>
      <c r="AA3400">
        <v>0.99827889999999997</v>
      </c>
      <c r="AB3400">
        <v>23</v>
      </c>
      <c r="AC3400">
        <v>-4.0945999999999803</v>
      </c>
      <c r="AD3400">
        <v>-1.1068018077940001</v>
      </c>
      <c r="AE3400">
        <v>18.356950000000001</v>
      </c>
      <c r="AF3400">
        <v>-0.27393790854750599</v>
      </c>
      <c r="AG3400">
        <v>-1.1068018077940001</v>
      </c>
      <c r="AH3400">
        <v>18.7411570638473</v>
      </c>
      <c r="AI3400">
        <v>93.379447204361497</v>
      </c>
      <c r="AJ3400">
        <v>90.837427929127003</v>
      </c>
      <c r="AK3400">
        <v>18.775809444901999</v>
      </c>
      <c r="AL3400">
        <v>80.393512263061794</v>
      </c>
      <c r="AM3400">
        <v>90.750982578968802</v>
      </c>
      <c r="AN3400">
        <v>1.0000000460485501</v>
      </c>
    </row>
    <row r="3401" spans="1:40" x14ac:dyDescent="0.3">
      <c r="A3401" t="str">
        <f>"20200111150418838"</f>
        <v>20200111150418838</v>
      </c>
      <c r="B3401" t="str">
        <f>"1578726258831714"</f>
        <v>1578726258831714</v>
      </c>
      <c r="C3401" t="s">
        <v>40</v>
      </c>
      <c r="D3401">
        <v>6.9450890000000003</v>
      </c>
      <c r="E3401">
        <v>0.50022429999999996</v>
      </c>
      <c r="F3401" t="s">
        <v>41</v>
      </c>
      <c r="G3401">
        <v>-188.78630000000001</v>
      </c>
      <c r="H3401" s="1">
        <v>-4.3209450000000002E-6</v>
      </c>
      <c r="I3401">
        <v>-10.796810000000001</v>
      </c>
      <c r="J3401">
        <v>-184.41159999999999</v>
      </c>
      <c r="K3401">
        <v>1.1067450000000001</v>
      </c>
      <c r="L3401">
        <v>-30.278320000000001</v>
      </c>
      <c r="M3401">
        <v>-0.20734569999999999</v>
      </c>
      <c r="N3401">
        <v>0</v>
      </c>
      <c r="O3401">
        <v>0.97823230000000005</v>
      </c>
      <c r="P3401">
        <v>-0.2142067</v>
      </c>
      <c r="Q3401">
        <v>0.15941079999999999</v>
      </c>
      <c r="R3401">
        <v>0.96369269999999996</v>
      </c>
      <c r="S3401">
        <v>-0.67184449999999996</v>
      </c>
      <c r="T3401">
        <v>-0.16814119999999999</v>
      </c>
      <c r="U3401">
        <v>2.991028</v>
      </c>
      <c r="V3401">
        <v>-1.080569E-2</v>
      </c>
      <c r="W3401">
        <v>0.1675654</v>
      </c>
      <c r="X3401">
        <v>0.98580179999999995</v>
      </c>
      <c r="Y3401">
        <v>-1.1761509999999999E-2</v>
      </c>
      <c r="Z3401">
        <v>-5.3644530000000003E-2</v>
      </c>
      <c r="AA3401">
        <v>0.99849080000000001</v>
      </c>
      <c r="AB3401">
        <v>23</v>
      </c>
      <c r="AC3401">
        <v>-4.3747000000000096</v>
      </c>
      <c r="AD3401">
        <v>-1.1067493209449999</v>
      </c>
      <c r="AE3401">
        <v>19.48151</v>
      </c>
      <c r="AF3401">
        <v>-0.23933847600091401</v>
      </c>
      <c r="AG3401">
        <v>-1.1067493209449999</v>
      </c>
      <c r="AH3401">
        <v>19.9040549946296</v>
      </c>
      <c r="AI3401">
        <v>93.182379831094195</v>
      </c>
      <c r="AJ3401">
        <v>90.688926134922994</v>
      </c>
      <c r="AK3401">
        <v>19.9362379147809</v>
      </c>
      <c r="AL3401">
        <v>80.353704233228896</v>
      </c>
      <c r="AM3401">
        <v>90.628012281602096</v>
      </c>
      <c r="AN3401">
        <v>1.0000000575483801</v>
      </c>
    </row>
    <row r="3402" spans="1:40" x14ac:dyDescent="0.3">
      <c r="A3402" t="str">
        <f>"20200111150418860"</f>
        <v>20200111150418860</v>
      </c>
      <c r="B3402" t="str">
        <f>"1578726258852210"</f>
        <v>1578726258852210</v>
      </c>
      <c r="C3402" t="s">
        <v>40</v>
      </c>
      <c r="D3402">
        <v>5.5359129999999999</v>
      </c>
      <c r="E3402">
        <v>0.50047739999999996</v>
      </c>
      <c r="F3402" t="s">
        <v>41</v>
      </c>
      <c r="G3402">
        <v>-188.93700000000001</v>
      </c>
      <c r="H3402" s="1">
        <v>-2.8612350000000001E-7</v>
      </c>
      <c r="I3402">
        <v>-10.34226</v>
      </c>
      <c r="J3402">
        <v>-184.464</v>
      </c>
      <c r="K3402">
        <v>1.1066750000000001</v>
      </c>
      <c r="L3402">
        <v>-30.054349999999999</v>
      </c>
      <c r="M3402">
        <v>-0.21146470000000001</v>
      </c>
      <c r="N3402">
        <v>0</v>
      </c>
      <c r="O3402">
        <v>0.97735050000000001</v>
      </c>
      <c r="P3402">
        <v>-0.2165733</v>
      </c>
      <c r="Q3402">
        <v>0.16112560000000001</v>
      </c>
      <c r="R3402">
        <v>0.96287829999999996</v>
      </c>
      <c r="S3402">
        <v>-0.67863459999999998</v>
      </c>
      <c r="T3402">
        <v>-0.16596820000000001</v>
      </c>
      <c r="U3402">
        <v>2.9896240000000001</v>
      </c>
      <c r="V3402">
        <v>-9.1178260000000007E-3</v>
      </c>
      <c r="W3402">
        <v>0.16924710000000001</v>
      </c>
      <c r="X3402">
        <v>0.98553139999999995</v>
      </c>
      <c r="Y3402">
        <v>-9.8160880000000006E-3</v>
      </c>
      <c r="Z3402">
        <v>-5.2893629999999997E-2</v>
      </c>
      <c r="AA3402">
        <v>0.99855190000000005</v>
      </c>
      <c r="AB3402">
        <v>23</v>
      </c>
      <c r="AC3402">
        <v>-4.4729999999999803</v>
      </c>
      <c r="AD3402">
        <v>-1.1066752861235001</v>
      </c>
      <c r="AE3402">
        <v>19.71209</v>
      </c>
      <c r="AF3402">
        <v>-0.20267703050535099</v>
      </c>
      <c r="AG3402">
        <v>-1.1066752861235001</v>
      </c>
      <c r="AH3402">
        <v>20.1517903076541</v>
      </c>
      <c r="AI3402">
        <v>93.143194570013605</v>
      </c>
      <c r="AJ3402">
        <v>90.576234009398306</v>
      </c>
      <c r="AK3402">
        <v>20.183172713210201</v>
      </c>
      <c r="AL3402">
        <v>80.255952535860501</v>
      </c>
      <c r="AM3402">
        <v>90.530067376664803</v>
      </c>
      <c r="AN3402">
        <v>0.99999992799766502</v>
      </c>
    </row>
    <row r="3403" spans="1:40" x14ac:dyDescent="0.3">
      <c r="A3403" t="str">
        <f>"20200111150418882"</f>
        <v>20200111150418882</v>
      </c>
      <c r="B3403" t="str">
        <f>"1578726258871730"</f>
        <v>1578726258871730</v>
      </c>
      <c r="C3403" t="s">
        <v>40</v>
      </c>
      <c r="D3403">
        <v>5.4078109999999997</v>
      </c>
      <c r="E3403">
        <v>0.50065559999999998</v>
      </c>
      <c r="F3403" t="s">
        <v>41</v>
      </c>
      <c r="G3403">
        <v>-189.39580000000001</v>
      </c>
      <c r="H3403" s="1">
        <v>-9.0493469999999999E-7</v>
      </c>
      <c r="I3403">
        <v>-8.5076260000000001</v>
      </c>
      <c r="J3403">
        <v>-184.51609999999999</v>
      </c>
      <c r="K3403">
        <v>1.1065929999999999</v>
      </c>
      <c r="L3403">
        <v>-29.83511</v>
      </c>
      <c r="M3403">
        <v>-0.2153504</v>
      </c>
      <c r="N3403">
        <v>0</v>
      </c>
      <c r="O3403">
        <v>0.97650219999999999</v>
      </c>
      <c r="P3403">
        <v>-0.217949</v>
      </c>
      <c r="Q3403">
        <v>0.16437470000000001</v>
      </c>
      <c r="R3403">
        <v>0.96201829999999999</v>
      </c>
      <c r="S3403">
        <v>-0.68380739999999995</v>
      </c>
      <c r="T3403">
        <v>-0.153444</v>
      </c>
      <c r="U3403">
        <v>2.9875180000000001</v>
      </c>
      <c r="V3403">
        <v>-6.7098269999999998E-3</v>
      </c>
      <c r="W3403">
        <v>0.17244010000000001</v>
      </c>
      <c r="X3403">
        <v>0.98499720000000002</v>
      </c>
      <c r="Y3403">
        <v>-7.680849E-3</v>
      </c>
      <c r="Z3403">
        <v>-4.8873760000000002E-2</v>
      </c>
      <c r="AA3403">
        <v>0.99877539999999998</v>
      </c>
      <c r="AB3403">
        <v>23</v>
      </c>
      <c r="AC3403">
        <v>-4.8797000000000104</v>
      </c>
      <c r="AD3403">
        <v>-1.1065939049347</v>
      </c>
      <c r="AE3403">
        <v>21.327483999999998</v>
      </c>
      <c r="AF3403">
        <v>-0.17172209656287599</v>
      </c>
      <c r="AG3403">
        <v>-1.1065939049347</v>
      </c>
      <c r="AH3403">
        <v>21.8220948418242</v>
      </c>
      <c r="AI3403">
        <v>92.902880766547497</v>
      </c>
      <c r="AJ3403">
        <v>90.450861769768196</v>
      </c>
      <c r="AK3403">
        <v>21.850809180313099</v>
      </c>
      <c r="AL3403">
        <v>80.070278435606994</v>
      </c>
      <c r="AM3403">
        <v>90.390294329744904</v>
      </c>
      <c r="AN3403">
        <v>1.0000000469371</v>
      </c>
    </row>
    <row r="3404" spans="1:40" x14ac:dyDescent="0.3">
      <c r="A3404" t="str">
        <f>"20200111150418905"</f>
        <v>20200111150418905</v>
      </c>
      <c r="B3404" t="str">
        <f>"1578726258901986"</f>
        <v>1578726258901986</v>
      </c>
      <c r="C3404" t="s">
        <v>40</v>
      </c>
      <c r="D3404">
        <v>5.4243230000000002</v>
      </c>
      <c r="E3404">
        <v>0.50126839999999995</v>
      </c>
      <c r="F3404" t="s">
        <v>41</v>
      </c>
      <c r="G3404">
        <v>-190.23920000000001</v>
      </c>
      <c r="H3404" s="1">
        <v>-2.4122529999999999E-6</v>
      </c>
      <c r="I3404">
        <v>-4.9362409999999999</v>
      </c>
      <c r="J3404">
        <v>-184.5744</v>
      </c>
      <c r="K3404">
        <v>1.1064769999999999</v>
      </c>
      <c r="L3404">
        <v>-29.593260000000001</v>
      </c>
      <c r="M3404">
        <v>-0.2194566</v>
      </c>
      <c r="N3404">
        <v>0</v>
      </c>
      <c r="O3404">
        <v>0.97558849999999997</v>
      </c>
      <c r="P3404">
        <v>-0.21931310000000001</v>
      </c>
      <c r="Q3404">
        <v>0.1659109</v>
      </c>
      <c r="R3404">
        <v>0.96144439999999998</v>
      </c>
      <c r="S3404">
        <v>-0.68626399999999999</v>
      </c>
      <c r="T3404">
        <v>-0.132692</v>
      </c>
      <c r="U3404">
        <v>2.9856259999999999</v>
      </c>
      <c r="V3404">
        <v>-3.9817910000000001E-3</v>
      </c>
      <c r="W3404">
        <v>0.17389260000000001</v>
      </c>
      <c r="X3404">
        <v>0.98475659999999998</v>
      </c>
      <c r="Y3404">
        <v>-4.4618100000000001E-3</v>
      </c>
      <c r="Z3404">
        <v>-4.2240699999999999E-2</v>
      </c>
      <c r="AA3404">
        <v>0.99909749999999997</v>
      </c>
      <c r="AB3404">
        <v>23</v>
      </c>
      <c r="AC3404">
        <v>-5.6648000000000103</v>
      </c>
      <c r="AD3404">
        <v>-1.1064794122529999</v>
      </c>
      <c r="AE3404">
        <v>24.657018999999998</v>
      </c>
      <c r="AF3404">
        <v>-0.115151718410158</v>
      </c>
      <c r="AG3404">
        <v>-1.1064794122529999</v>
      </c>
      <c r="AH3404">
        <v>25.2508158144643</v>
      </c>
      <c r="AI3404">
        <v>92.509044166804102</v>
      </c>
      <c r="AJ3404">
        <v>90.261285091984504</v>
      </c>
      <c r="AK3404">
        <v>25.2753092148047</v>
      </c>
      <c r="AL3404">
        <v>79.985779544877801</v>
      </c>
      <c r="AM3404">
        <v>90.231670014607303</v>
      </c>
      <c r="AN3404">
        <v>1.0000000261189399</v>
      </c>
    </row>
    <row r="3405" spans="1:40" x14ac:dyDescent="0.3">
      <c r="A3405" t="str">
        <f>"20200111150418927"</f>
        <v>20200111150418927</v>
      </c>
      <c r="B3405" t="str">
        <f>"1578726258921507"</f>
        <v>1578726258921507</v>
      </c>
      <c r="C3405" t="s">
        <v>40</v>
      </c>
      <c r="D3405">
        <v>5.4638559999999998</v>
      </c>
      <c r="E3405">
        <v>0.50353379999999903</v>
      </c>
      <c r="F3405" t="s">
        <v>41</v>
      </c>
      <c r="G3405">
        <v>-189.91630000000001</v>
      </c>
      <c r="H3405" s="1">
        <v>-1.7409729999999901E-6</v>
      </c>
      <c r="I3405">
        <v>-6.3435920000000001</v>
      </c>
      <c r="J3405">
        <v>-184.6277</v>
      </c>
      <c r="K3405">
        <v>1.106336</v>
      </c>
      <c r="L3405">
        <v>-29.37463</v>
      </c>
      <c r="M3405">
        <v>-0.22297259999999999</v>
      </c>
      <c r="N3405">
        <v>0</v>
      </c>
      <c r="O3405">
        <v>0.97479179999999999</v>
      </c>
      <c r="P3405">
        <v>-0.21844230000000001</v>
      </c>
      <c r="Q3405">
        <v>0.165301799999999</v>
      </c>
      <c r="R3405">
        <v>0.96174749999999998</v>
      </c>
      <c r="S3405">
        <v>-0.68658450000000004</v>
      </c>
      <c r="T3405">
        <v>-0.14221429999999999</v>
      </c>
      <c r="U3405">
        <v>2.988251</v>
      </c>
      <c r="V3405">
        <v>5.4483699999999995E-4</v>
      </c>
      <c r="W3405">
        <v>0.17320369999999999</v>
      </c>
      <c r="X3405">
        <v>0.98488589999999998</v>
      </c>
      <c r="Y3405">
        <v>-7.3707440000000003E-4</v>
      </c>
      <c r="Z3405">
        <v>-4.5171309999999999E-2</v>
      </c>
      <c r="AA3405">
        <v>0.99897899999999995</v>
      </c>
      <c r="AB3405">
        <v>23</v>
      </c>
      <c r="AC3405">
        <v>-5.2885999999999997</v>
      </c>
      <c r="AD3405">
        <v>-1.106337740973</v>
      </c>
      <c r="AE3405">
        <v>23.031037999999999</v>
      </c>
      <c r="AF3405">
        <v>-1.9950401028296399E-2</v>
      </c>
      <c r="AG3405">
        <v>-1.106337740973</v>
      </c>
      <c r="AH3405">
        <v>23.578754466539301</v>
      </c>
      <c r="AI3405">
        <v>92.686401602813106</v>
      </c>
      <c r="AJ3405">
        <v>90.048478960470703</v>
      </c>
      <c r="AK3405">
        <v>23.604703840738001</v>
      </c>
      <c r="AL3405">
        <v>80.025858806065798</v>
      </c>
      <c r="AM3405">
        <v>89.968304087368693</v>
      </c>
      <c r="AN3405">
        <v>1.0000000272799201</v>
      </c>
    </row>
    <row r="3406" spans="1:40" x14ac:dyDescent="0.3">
      <c r="A3406" t="str">
        <f>"20200111150418949"</f>
        <v>20200111150418949</v>
      </c>
      <c r="B3406" t="str">
        <f>"1578726258942002"</f>
        <v>1578726258942002</v>
      </c>
      <c r="C3406" t="s">
        <v>40</v>
      </c>
      <c r="D3406">
        <v>5.4451980000000004</v>
      </c>
      <c r="E3406">
        <v>0.57192469999999995</v>
      </c>
      <c r="F3406" t="s">
        <v>41</v>
      </c>
      <c r="G3406">
        <v>-189.49189999999999</v>
      </c>
      <c r="H3406" s="1">
        <v>-1.3032029999999999E-6</v>
      </c>
      <c r="I3406">
        <v>-7.5395019999999997</v>
      </c>
      <c r="J3406">
        <v>-184.6848</v>
      </c>
      <c r="K3406">
        <v>1.1061570000000001</v>
      </c>
      <c r="L3406">
        <v>-29.143280000000001</v>
      </c>
      <c r="M3406">
        <v>-0.22644819999999999</v>
      </c>
      <c r="N3406">
        <v>0</v>
      </c>
      <c r="O3406">
        <v>0.9739913</v>
      </c>
      <c r="P3406">
        <v>-0.21775710000000001</v>
      </c>
      <c r="Q3406">
        <v>0.16486819999999999</v>
      </c>
      <c r="R3406">
        <v>0.96197730000000004</v>
      </c>
      <c r="S3406">
        <v>-0.66694639999999905</v>
      </c>
      <c r="T3406">
        <v>-0.1516941</v>
      </c>
      <c r="U3406">
        <v>2.9938959999999999</v>
      </c>
      <c r="V3406">
        <v>4.8489320000000002E-3</v>
      </c>
      <c r="W3406">
        <v>0.17266409999999999</v>
      </c>
      <c r="X3406">
        <v>0.98496879999999998</v>
      </c>
      <c r="Y3406">
        <v>9.5050389999999998E-3</v>
      </c>
      <c r="Z3406">
        <v>-4.8060220000000001E-2</v>
      </c>
      <c r="AA3406">
        <v>0.9987992</v>
      </c>
      <c r="AB3406">
        <v>24</v>
      </c>
      <c r="AC3406">
        <v>-4.8070999999999904</v>
      </c>
      <c r="AD3406">
        <v>-1.106158303203</v>
      </c>
      <c r="AE3406">
        <v>21.603777999999998</v>
      </c>
      <c r="AF3406">
        <v>0.20954615131958401</v>
      </c>
      <c r="AG3406">
        <v>-1.106158303203</v>
      </c>
      <c r="AH3406">
        <v>22.075993552380702</v>
      </c>
      <c r="AI3406">
        <v>92.868382477378105</v>
      </c>
      <c r="AJ3406">
        <v>89.456162663925198</v>
      </c>
      <c r="AK3406">
        <v>22.1046824701472</v>
      </c>
      <c r="AL3406">
        <v>80.057247971275004</v>
      </c>
      <c r="AM3406">
        <v>89.717939193193402</v>
      </c>
      <c r="AN3406">
        <v>0.99999997027189402</v>
      </c>
    </row>
    <row r="3407" spans="1:40" x14ac:dyDescent="0.3">
      <c r="A3407" t="str">
        <f>"20200111150418972"</f>
        <v>20200111150418972</v>
      </c>
      <c r="B3407" t="str">
        <f>"1578726258961522"</f>
        <v>1578726258961522</v>
      </c>
      <c r="C3407" t="s">
        <v>40</v>
      </c>
      <c r="D3407">
        <v>5.4235870000000004</v>
      </c>
      <c r="E3407">
        <v>0.57710620000000001</v>
      </c>
      <c r="F3407" t="s">
        <v>41</v>
      </c>
      <c r="G3407">
        <v>-185.44</v>
      </c>
      <c r="H3407" s="1">
        <v>-4.5733309999999997E-6</v>
      </c>
      <c r="I3407">
        <v>-11.59216</v>
      </c>
      <c r="J3407">
        <v>-184.7424</v>
      </c>
      <c r="K3407">
        <v>1.105963</v>
      </c>
      <c r="L3407">
        <v>-28.912479999999999</v>
      </c>
      <c r="M3407">
        <v>-0.2296232</v>
      </c>
      <c r="N3407">
        <v>0</v>
      </c>
      <c r="O3407">
        <v>0.97324880000000003</v>
      </c>
      <c r="P3407">
        <v>-0.21632760000000001</v>
      </c>
      <c r="Q3407">
        <v>0.16494110000000001</v>
      </c>
      <c r="R3407">
        <v>0.96228729999999996</v>
      </c>
      <c r="S3407">
        <v>-0.1343231</v>
      </c>
      <c r="T3407">
        <v>-0.1967573</v>
      </c>
      <c r="U3407">
        <v>3.1218870000000001</v>
      </c>
      <c r="V3407">
        <v>9.599471E-3</v>
      </c>
      <c r="W3407">
        <v>0.17262420000000001</v>
      </c>
      <c r="X3407">
        <v>0.98494099999999996</v>
      </c>
      <c r="Y3407">
        <v>0.18765499999999999</v>
      </c>
      <c r="Z3407">
        <v>-5.9798940000000002E-2</v>
      </c>
      <c r="AA3407">
        <v>0.98041299999999998</v>
      </c>
      <c r="AB3407">
        <v>24</v>
      </c>
      <c r="AC3407">
        <v>-0.697599999999994</v>
      </c>
      <c r="AD3407">
        <v>-1.1059675733309999</v>
      </c>
      <c r="AE3407">
        <v>17.320319999999999</v>
      </c>
      <c r="AF3407">
        <v>3.2849358379859801</v>
      </c>
      <c r="AG3407">
        <v>-1.1059675733309999</v>
      </c>
      <c r="AH3407">
        <v>16.948682998821401</v>
      </c>
      <c r="AI3407">
        <v>93.6654592234066</v>
      </c>
      <c r="AJ3407">
        <v>79.031126421267402</v>
      </c>
      <c r="AK3407">
        <v>17.299474648886999</v>
      </c>
      <c r="AL3407">
        <v>80.059569411803906</v>
      </c>
      <c r="AM3407">
        <v>89.441599283737801</v>
      </c>
      <c r="AN3407">
        <v>1.00000001887505</v>
      </c>
    </row>
    <row r="3408" spans="1:40" x14ac:dyDescent="0.3">
      <c r="A3408" t="str">
        <f>"20200111150418995"</f>
        <v>20200111150418995</v>
      </c>
      <c r="B3408" t="str">
        <f>"1578726258991778"</f>
        <v>1578726258991778</v>
      </c>
      <c r="C3408" t="s">
        <v>40</v>
      </c>
      <c r="D3408">
        <v>5.3485899999999997</v>
      </c>
      <c r="E3408">
        <v>0.57980030000000005</v>
      </c>
      <c r="F3408" t="s">
        <v>41</v>
      </c>
      <c r="G3408">
        <v>-185.24520000000001</v>
      </c>
      <c r="H3408" s="1">
        <v>-4.8283610000000002E-6</v>
      </c>
      <c r="I3408">
        <v>-11.07822</v>
      </c>
      <c r="J3408">
        <v>-184.8014</v>
      </c>
      <c r="K3408">
        <v>1.105775</v>
      </c>
      <c r="L3408">
        <v>-28.677800000000001</v>
      </c>
      <c r="M3408">
        <v>-0.2325972</v>
      </c>
      <c r="N3408">
        <v>0</v>
      </c>
      <c r="O3408">
        <v>0.97254339999999995</v>
      </c>
      <c r="P3408">
        <v>-0.21414749999999999</v>
      </c>
      <c r="Q3408">
        <v>0.16487360000000001</v>
      </c>
      <c r="R3408">
        <v>0.96278629999999998</v>
      </c>
      <c r="S3408">
        <v>-8.8272089999999998E-2</v>
      </c>
      <c r="T3408">
        <v>-0.19416549999999999</v>
      </c>
      <c r="U3408">
        <v>3.1310120000000001</v>
      </c>
      <c r="V3408">
        <v>1.4919299999999899E-2</v>
      </c>
      <c r="W3408">
        <v>0.17244899999999999</v>
      </c>
      <c r="X3408">
        <v>0.98490549999999999</v>
      </c>
      <c r="Y3408">
        <v>0.205148</v>
      </c>
      <c r="Z3408">
        <v>-5.8683020000000002E-2</v>
      </c>
      <c r="AA3408">
        <v>0.97697009999999995</v>
      </c>
      <c r="AB3408">
        <v>24</v>
      </c>
      <c r="AC3408">
        <v>-0.44380000000001002</v>
      </c>
      <c r="AD3408">
        <v>-1.1057798283610001</v>
      </c>
      <c r="AE3408">
        <v>17.59958</v>
      </c>
      <c r="AF3408">
        <v>3.6477136967556301</v>
      </c>
      <c r="AG3408">
        <v>-1.1057798283610001</v>
      </c>
      <c r="AH3408">
        <v>17.152412575288199</v>
      </c>
      <c r="AI3408">
        <v>93.6081641010922</v>
      </c>
      <c r="AJ3408">
        <v>77.994068824362898</v>
      </c>
      <c r="AK3408">
        <v>17.5708230141679</v>
      </c>
      <c r="AL3408">
        <v>80.069760713572904</v>
      </c>
      <c r="AM3408">
        <v>89.132152728986497</v>
      </c>
      <c r="AN3408">
        <v>1.0000000435218599</v>
      </c>
    </row>
    <row r="3409" spans="1:40" x14ac:dyDescent="0.3">
      <c r="A3409" t="str">
        <f>"20200111150419017"</f>
        <v>20200111150419017</v>
      </c>
      <c r="B3409" t="str">
        <f>"1578726259012274"</f>
        <v>1578726259012274</v>
      </c>
      <c r="C3409" t="s">
        <v>40</v>
      </c>
      <c r="D3409">
        <v>5.4037280000000001</v>
      </c>
      <c r="E3409">
        <v>0.58053789999999905</v>
      </c>
      <c r="F3409" t="s">
        <v>41</v>
      </c>
      <c r="G3409">
        <v>-185.14150000000001</v>
      </c>
      <c r="H3409" s="1">
        <v>-4.8270630000000004E-6</v>
      </c>
      <c r="I3409">
        <v>-11.12412</v>
      </c>
      <c r="J3409">
        <v>-184.85890000000001</v>
      </c>
      <c r="K3409">
        <v>1.1055969999999999</v>
      </c>
      <c r="L3409">
        <v>-28.450710000000001</v>
      </c>
      <c r="M3409">
        <v>-0.2352002</v>
      </c>
      <c r="N3409">
        <v>0</v>
      </c>
      <c r="O3409">
        <v>0.97191799999999995</v>
      </c>
      <c r="P3409">
        <v>-0.21263679999999999</v>
      </c>
      <c r="Q3409">
        <v>0.16285839999999999</v>
      </c>
      <c r="R3409">
        <v>0.96346399999999999</v>
      </c>
      <c r="S3409">
        <v>-6.0775759999999998E-2</v>
      </c>
      <c r="T3409">
        <v>-0.1975681</v>
      </c>
      <c r="U3409">
        <v>3.1362920000000001</v>
      </c>
      <c r="V3409">
        <v>1.926187E-2</v>
      </c>
      <c r="W3409">
        <v>0.17033400000000001</v>
      </c>
      <c r="X3409">
        <v>0.98519809999999997</v>
      </c>
      <c r="Y3409">
        <v>0.21636130000000001</v>
      </c>
      <c r="Z3409">
        <v>-5.9477629999999997E-2</v>
      </c>
      <c r="AA3409">
        <v>0.97449989999999997</v>
      </c>
      <c r="AB3409">
        <v>24</v>
      </c>
      <c r="AC3409">
        <v>-0.28260000000000202</v>
      </c>
      <c r="AD3409">
        <v>-1.1056018270629999</v>
      </c>
      <c r="AE3409">
        <v>17.3265899999999</v>
      </c>
      <c r="AF3409">
        <v>3.7852521806595001</v>
      </c>
      <c r="AG3409">
        <v>-1.1056018270629999</v>
      </c>
      <c r="AH3409">
        <v>16.8384258581418</v>
      </c>
      <c r="AI3409">
        <v>93.665403022191498</v>
      </c>
      <c r="AJ3409">
        <v>77.330608024089898</v>
      </c>
      <c r="AK3409">
        <v>17.2940184703074</v>
      </c>
      <c r="AL3409">
        <v>80.192760854146002</v>
      </c>
      <c r="AM3409">
        <v>88.879937681604801</v>
      </c>
      <c r="AN3409">
        <v>0.99999999371775306</v>
      </c>
    </row>
    <row r="3410" spans="1:40" x14ac:dyDescent="0.3">
      <c r="A3410" t="str">
        <f>"20200111150419039"</f>
        <v>20200111150419039</v>
      </c>
      <c r="B3410" t="str">
        <f>"1578726259031795"</f>
        <v>1578726259031795</v>
      </c>
      <c r="C3410" t="s">
        <v>40</v>
      </c>
      <c r="D3410">
        <v>5.3753900000000003</v>
      </c>
      <c r="E3410">
        <v>0.58119509999999996</v>
      </c>
      <c r="F3410" t="s">
        <v>41</v>
      </c>
      <c r="G3410">
        <v>-185.1311</v>
      </c>
      <c r="H3410" s="1">
        <v>-4.6504249999999996E-6</v>
      </c>
      <c r="I3410">
        <v>-11.540179999999999</v>
      </c>
      <c r="J3410">
        <v>-184.91970000000001</v>
      </c>
      <c r="K3410">
        <v>1.1053900000000001</v>
      </c>
      <c r="L3410">
        <v>-28.211790000000001</v>
      </c>
      <c r="M3410">
        <v>-0.23759630000000001</v>
      </c>
      <c r="N3410">
        <v>0</v>
      </c>
      <c r="O3410">
        <v>0.97133579999999997</v>
      </c>
      <c r="P3410">
        <v>-0.21275740000000001</v>
      </c>
      <c r="Q3410">
        <v>0.16013440000000001</v>
      </c>
      <c r="R3410">
        <v>0.96389380000000002</v>
      </c>
      <c r="S3410">
        <v>-5.0506589999999997E-2</v>
      </c>
      <c r="T3410">
        <v>-0.20511480000000001</v>
      </c>
      <c r="U3410">
        <v>3.1372990000000001</v>
      </c>
      <c r="V3410">
        <v>2.1766310000000001E-2</v>
      </c>
      <c r="W3410">
        <v>0.16750570000000001</v>
      </c>
      <c r="X3410">
        <v>0.98563080000000003</v>
      </c>
      <c r="Y3410">
        <v>0.22196150000000001</v>
      </c>
      <c r="Z3410">
        <v>-6.1623890000000001E-2</v>
      </c>
      <c r="AA3410">
        <v>0.97310609999999997</v>
      </c>
      <c r="AB3410">
        <v>24</v>
      </c>
      <c r="AC3410">
        <v>-0.21139999999999701</v>
      </c>
      <c r="AD3410">
        <v>-1.1053946504249901</v>
      </c>
      <c r="AE3410">
        <v>16.671610000000001</v>
      </c>
      <c r="AF3410">
        <v>3.7394385438958202</v>
      </c>
      <c r="AG3410">
        <v>-1.1053946504249901</v>
      </c>
      <c r="AH3410">
        <v>16.173314235278198</v>
      </c>
      <c r="AI3410">
        <v>93.809707294973194</v>
      </c>
      <c r="AJ3410">
        <v>76.981386148007701</v>
      </c>
      <c r="AK3410">
        <v>16.636748219222898</v>
      </c>
      <c r="AL3410">
        <v>80.357173297703199</v>
      </c>
      <c r="AM3410">
        <v>88.734906596308804</v>
      </c>
      <c r="AN3410">
        <v>1.00000000284607</v>
      </c>
    </row>
    <row r="3411" spans="1:40" x14ac:dyDescent="0.3">
      <c r="A3411" t="str">
        <f>"20200111150419062"</f>
        <v>20200111150419062</v>
      </c>
      <c r="B3411" t="str">
        <f>"1578726259052290"</f>
        <v>1578726259052290</v>
      </c>
      <c r="C3411" t="s">
        <v>40</v>
      </c>
      <c r="D3411">
        <v>5.393268</v>
      </c>
      <c r="E3411">
        <v>0.58176410000000001</v>
      </c>
      <c r="F3411" t="s">
        <v>41</v>
      </c>
      <c r="G3411">
        <v>-185.15860000000001</v>
      </c>
      <c r="H3411" s="1">
        <v>-4.6828740000000002E-6</v>
      </c>
      <c r="I3411">
        <v>-11.45316</v>
      </c>
      <c r="J3411">
        <v>-184.9787</v>
      </c>
      <c r="K3411">
        <v>1.1051610000000001</v>
      </c>
      <c r="L3411">
        <v>-27.980869999999999</v>
      </c>
      <c r="M3411">
        <v>-0.2395438</v>
      </c>
      <c r="N3411">
        <v>0</v>
      </c>
      <c r="O3411">
        <v>0.97085809999999995</v>
      </c>
      <c r="P3411">
        <v>-0.2126488</v>
      </c>
      <c r="Q3411">
        <v>0.15934980000000001</v>
      </c>
      <c r="R3411">
        <v>0.96404780000000001</v>
      </c>
      <c r="S3411">
        <v>-4.4723510000000001E-2</v>
      </c>
      <c r="T3411">
        <v>-0.20690720000000001</v>
      </c>
      <c r="U3411">
        <v>3.1368710000000002</v>
      </c>
      <c r="V3411">
        <v>2.397722E-2</v>
      </c>
      <c r="W3411">
        <v>0.16662179999999999</v>
      </c>
      <c r="X3411">
        <v>0.98572930000000003</v>
      </c>
      <c r="Y3411">
        <v>0.22570660000000001</v>
      </c>
      <c r="Z3411">
        <v>-6.2093700000000002E-2</v>
      </c>
      <c r="AA3411">
        <v>0.97221449999999998</v>
      </c>
      <c r="AB3411">
        <v>24</v>
      </c>
      <c r="AC3411">
        <v>-0.179900000000003</v>
      </c>
      <c r="AD3411">
        <v>-1.105165682874</v>
      </c>
      <c r="AE3411">
        <v>16.527709999999999</v>
      </c>
      <c r="AF3411">
        <v>3.7677095857476299</v>
      </c>
      <c r="AG3411">
        <v>-1.105165682874</v>
      </c>
      <c r="AH3411">
        <v>16.017972042804502</v>
      </c>
      <c r="AI3411">
        <v>93.842352164840705</v>
      </c>
      <c r="AJ3411">
        <v>76.763632120236394</v>
      </c>
      <c r="AK3411">
        <v>16.492193761692299</v>
      </c>
      <c r="AL3411">
        <v>80.4085388224658</v>
      </c>
      <c r="AM3411">
        <v>88.606592437968303</v>
      </c>
      <c r="AN3411">
        <v>0.99999999209632895</v>
      </c>
    </row>
    <row r="3412" spans="1:40" x14ac:dyDescent="0.3">
      <c r="A3412" t="str">
        <f>"20200111150419085"</f>
        <v>20200111150419085</v>
      </c>
      <c r="B3412" t="str">
        <f>"1578726259081570"</f>
        <v>1578726259081570</v>
      </c>
      <c r="C3412" t="s">
        <v>40</v>
      </c>
      <c r="D3412">
        <v>5.3854160000000002</v>
      </c>
      <c r="E3412">
        <v>0.58159280000000002</v>
      </c>
      <c r="F3412" t="s">
        <v>41</v>
      </c>
      <c r="G3412">
        <v>-185.1874</v>
      </c>
      <c r="H3412" s="1">
        <v>-4.7359580000000002E-6</v>
      </c>
      <c r="I3412">
        <v>-11.317500000000001</v>
      </c>
      <c r="J3412">
        <v>-185.0419</v>
      </c>
      <c r="K3412">
        <v>1.104884</v>
      </c>
      <c r="L3412">
        <v>-27.733550000000001</v>
      </c>
      <c r="M3412">
        <v>-0.24119769999999999</v>
      </c>
      <c r="N3412">
        <v>0</v>
      </c>
      <c r="O3412">
        <v>0.97044929999999996</v>
      </c>
      <c r="P3412">
        <v>-0.2127964</v>
      </c>
      <c r="Q3412">
        <v>0.158971</v>
      </c>
      <c r="R3412">
        <v>0.96407779999999998</v>
      </c>
      <c r="S3412">
        <v>-3.9306639999999997E-2</v>
      </c>
      <c r="T3412">
        <v>-0.20809549999999999</v>
      </c>
      <c r="U3412">
        <v>3.1376040000000001</v>
      </c>
      <c r="V3412">
        <v>2.5634959999999998E-2</v>
      </c>
      <c r="W3412">
        <v>0.16614079999999901</v>
      </c>
      <c r="X3412">
        <v>0.9857688</v>
      </c>
      <c r="Y3412">
        <v>0.22904630000000001</v>
      </c>
      <c r="Z3412">
        <v>-6.2368399999999997E-2</v>
      </c>
      <c r="AA3412">
        <v>0.97141549999999999</v>
      </c>
      <c r="AB3412">
        <v>24</v>
      </c>
      <c r="AC3412">
        <v>-0.14549999999999799</v>
      </c>
      <c r="AD3412">
        <v>-1.104888735958</v>
      </c>
      <c r="AE3412">
        <v>16.416049999999998</v>
      </c>
      <c r="AF3412">
        <v>3.8011939592667998</v>
      </c>
      <c r="AG3412">
        <v>-1.104888735958</v>
      </c>
      <c r="AH3412">
        <v>15.8944557508795</v>
      </c>
      <c r="AI3412">
        <v>93.867745026676403</v>
      </c>
      <c r="AJ3412">
        <v>76.550205698215606</v>
      </c>
      <c r="AK3412">
        <v>16.379974916082102</v>
      </c>
      <c r="AL3412">
        <v>80.4364879450345</v>
      </c>
      <c r="AM3412">
        <v>88.510356527925595</v>
      </c>
      <c r="AN3412">
        <v>1.00000002182614</v>
      </c>
    </row>
    <row r="3413" spans="1:40" x14ac:dyDescent="0.3">
      <c r="A3413" t="str">
        <f>"20200111150419107"</f>
        <v>20200111150419107</v>
      </c>
      <c r="B3413" t="str">
        <f>"1578726259102066"</f>
        <v>1578726259102066</v>
      </c>
      <c r="C3413" t="s">
        <v>40</v>
      </c>
      <c r="D3413">
        <v>5.3911709999999999</v>
      </c>
      <c r="E3413">
        <v>0.58190010000000003</v>
      </c>
      <c r="F3413" t="s">
        <v>41</v>
      </c>
      <c r="G3413">
        <v>-185.25319999999999</v>
      </c>
      <c r="H3413" s="1">
        <v>-4.8813500000000003E-6</v>
      </c>
      <c r="I3413">
        <v>-10.9514</v>
      </c>
      <c r="J3413">
        <v>-185.10169999999999</v>
      </c>
      <c r="K3413">
        <v>1.1045830000000001</v>
      </c>
      <c r="L3413">
        <v>-27.499510000000001</v>
      </c>
      <c r="M3413">
        <v>-0.24230399999999999</v>
      </c>
      <c r="N3413">
        <v>0</v>
      </c>
      <c r="O3413">
        <v>0.97017410000000004</v>
      </c>
      <c r="P3413">
        <v>-0.2118343</v>
      </c>
      <c r="Q3413">
        <v>0.15846440000000001</v>
      </c>
      <c r="R3413">
        <v>0.96437300000000004</v>
      </c>
      <c r="S3413">
        <v>-3.9489749999999997E-2</v>
      </c>
      <c r="T3413">
        <v>-0.20653869999999999</v>
      </c>
      <c r="U3413">
        <v>3.1371150000000001</v>
      </c>
      <c r="V3413">
        <v>2.7888360000000001E-2</v>
      </c>
      <c r="W3413">
        <v>0.16554539999999901</v>
      </c>
      <c r="X3413">
        <v>0.98580780000000001</v>
      </c>
      <c r="Y3413">
        <v>0.23009689999999999</v>
      </c>
      <c r="Z3413">
        <v>-6.1878130000000003E-2</v>
      </c>
      <c r="AA3413">
        <v>0.97119849999999996</v>
      </c>
      <c r="AB3413">
        <v>24</v>
      </c>
      <c r="AC3413">
        <v>-0.151499999999998</v>
      </c>
      <c r="AD3413">
        <v>-1.1045878813500001</v>
      </c>
      <c r="AE3413">
        <v>16.548109999999902</v>
      </c>
      <c r="AF3413">
        <v>3.8456571695437201</v>
      </c>
      <c r="AG3413">
        <v>-1.1045878813500001</v>
      </c>
      <c r="AH3413">
        <v>16.020293387226101</v>
      </c>
      <c r="AI3413">
        <v>93.835636367574907</v>
      </c>
      <c r="AJ3413">
        <v>76.501606200694098</v>
      </c>
      <c r="AK3413">
        <v>16.5123890962541</v>
      </c>
      <c r="AL3413">
        <v>80.471080961810998</v>
      </c>
      <c r="AM3413">
        <v>88.379542889498097</v>
      </c>
      <c r="AN3413">
        <v>1.00000002931274</v>
      </c>
    </row>
    <row r="3414" spans="1:40" x14ac:dyDescent="0.3">
      <c r="A3414" t="str">
        <f>"20200111150419130"</f>
        <v>20200111150419130</v>
      </c>
      <c r="B3414" t="str">
        <f>"1578726259121585"</f>
        <v>1578726259121585</v>
      </c>
      <c r="C3414" t="s">
        <v>40</v>
      </c>
      <c r="D3414">
        <v>5.4142799999999998</v>
      </c>
      <c r="E3414">
        <v>0.58224259999999906</v>
      </c>
      <c r="F3414" t="s">
        <v>41</v>
      </c>
      <c r="G3414">
        <v>-185.27529999999999</v>
      </c>
      <c r="H3414" s="1">
        <v>-5.0096359999999996E-6</v>
      </c>
      <c r="I3414">
        <v>-10.6432</v>
      </c>
      <c r="J3414">
        <v>-185.16229999999999</v>
      </c>
      <c r="K3414">
        <v>1.10425</v>
      </c>
      <c r="L3414">
        <v>-27.261320000000001</v>
      </c>
      <c r="M3414">
        <v>-0.24293799999999999</v>
      </c>
      <c r="N3414">
        <v>0</v>
      </c>
      <c r="O3414">
        <v>0.97001610000000005</v>
      </c>
      <c r="P3414">
        <v>-0.20898610000000001</v>
      </c>
      <c r="Q3414">
        <v>0.1578215</v>
      </c>
      <c r="R3414">
        <v>0.96509959999999995</v>
      </c>
      <c r="S3414">
        <v>-3.2318119999999999E-2</v>
      </c>
      <c r="T3414">
        <v>-0.20560010000000001</v>
      </c>
      <c r="U3414">
        <v>3.1375120000000001</v>
      </c>
      <c r="V3414">
        <v>3.1608240000000003E-2</v>
      </c>
      <c r="W3414">
        <v>0.16482079999999999</v>
      </c>
      <c r="X3414">
        <v>0.98581700000000005</v>
      </c>
      <c r="Y3414">
        <v>0.23295260000000001</v>
      </c>
      <c r="Z3414">
        <v>-6.1553110000000001E-2</v>
      </c>
      <c r="AA3414">
        <v>0.97053809999999996</v>
      </c>
      <c r="AB3414">
        <v>24</v>
      </c>
      <c r="AC3414">
        <v>-0.112999999999999</v>
      </c>
      <c r="AD3414">
        <v>-1.104255009636</v>
      </c>
      <c r="AE3414">
        <v>16.618120000000001</v>
      </c>
      <c r="AF3414">
        <v>3.9103936520932998</v>
      </c>
      <c r="AG3414">
        <v>-1.104255009636</v>
      </c>
      <c r="AH3414">
        <v>16.0767161317617</v>
      </c>
      <c r="AI3414">
        <v>93.818297721212602</v>
      </c>
      <c r="AJ3414">
        <v>76.3292276065294</v>
      </c>
      <c r="AK3414">
        <v>16.582260377339502</v>
      </c>
      <c r="AL3414">
        <v>80.513176105795793</v>
      </c>
      <c r="AM3414">
        <v>88.163555167650202</v>
      </c>
      <c r="AN3414">
        <v>1.0000000672187599</v>
      </c>
    </row>
    <row r="3415" spans="1:40" x14ac:dyDescent="0.3">
      <c r="A3415" t="str">
        <f>"20200111150419161"</f>
        <v>20200111150419161</v>
      </c>
      <c r="B3415" t="str">
        <f>"1578726259151842"</f>
        <v>1578726259151842</v>
      </c>
      <c r="C3415" t="s">
        <v>40</v>
      </c>
      <c r="D3415">
        <v>5.4086400000000001</v>
      </c>
      <c r="E3415">
        <v>0.58246100000000001</v>
      </c>
      <c r="F3415" t="s">
        <v>41</v>
      </c>
      <c r="G3415">
        <v>-185.26419999999999</v>
      </c>
      <c r="H3415" s="1">
        <v>-5.1007409999999998E-6</v>
      </c>
      <c r="I3415">
        <v>-10.43544</v>
      </c>
      <c r="J3415">
        <v>-185.24760000000001</v>
      </c>
      <c r="K3415">
        <v>1.103788</v>
      </c>
      <c r="L3415">
        <v>-26.922270000000001</v>
      </c>
      <c r="M3415">
        <v>-0.2429395</v>
      </c>
      <c r="N3415">
        <v>0</v>
      </c>
      <c r="O3415">
        <v>0.9700162</v>
      </c>
      <c r="P3415">
        <v>-0.2074037</v>
      </c>
      <c r="Q3415">
        <v>0.1620492</v>
      </c>
      <c r="R3415">
        <v>0.9647403</v>
      </c>
      <c r="S3415">
        <v>-1.901245E-2</v>
      </c>
      <c r="T3415">
        <v>-0.20594380000000001</v>
      </c>
      <c r="U3415">
        <v>3.1380309999999998</v>
      </c>
      <c r="V3415">
        <v>3.32538E-2</v>
      </c>
      <c r="W3415">
        <v>0.1689341</v>
      </c>
      <c r="X3415">
        <v>0.9850662</v>
      </c>
      <c r="Y3415">
        <v>0.23706820000000001</v>
      </c>
      <c r="Z3415">
        <v>-6.1613340000000003E-2</v>
      </c>
      <c r="AA3415">
        <v>0.96953730000000005</v>
      </c>
      <c r="AB3415">
        <v>25</v>
      </c>
      <c r="AC3415">
        <v>-1.6599999999982601E-2</v>
      </c>
      <c r="AD3415">
        <v>-1.103793100741</v>
      </c>
      <c r="AE3415">
        <v>16.486829999999902</v>
      </c>
      <c r="AF3415">
        <v>3.9714962251616499</v>
      </c>
      <c r="AG3415">
        <v>-1.103793100741</v>
      </c>
      <c r="AH3415">
        <v>15.925533714744301</v>
      </c>
      <c r="AI3415">
        <v>93.847350785265903</v>
      </c>
      <c r="AJ3415">
        <v>75.997240473134099</v>
      </c>
      <c r="AK3415">
        <v>16.4503424151345</v>
      </c>
      <c r="AL3415">
        <v>80.274148652450407</v>
      </c>
      <c r="AM3415">
        <v>88.066547073111096</v>
      </c>
      <c r="AN3415">
        <v>0.99999998186984496</v>
      </c>
    </row>
    <row r="3416" spans="1:40" x14ac:dyDescent="0.3">
      <c r="A3416" t="str">
        <f>"20200111150419185"</f>
        <v>20200111150419185</v>
      </c>
      <c r="B3416" t="str">
        <f>"1578726259182098"</f>
        <v>1578726259182098</v>
      </c>
      <c r="C3416" t="s">
        <v>40</v>
      </c>
      <c r="D3416">
        <v>5.3858649999999999</v>
      </c>
      <c r="E3416">
        <v>0.58257130000000001</v>
      </c>
      <c r="F3416" t="s">
        <v>41</v>
      </c>
      <c r="G3416">
        <v>-185.30680000000001</v>
      </c>
      <c r="H3416" s="1">
        <v>-1.824888E-6</v>
      </c>
      <c r="I3416">
        <v>-8.6588709999999995</v>
      </c>
      <c r="J3416">
        <v>-185.3107</v>
      </c>
      <c r="K3416">
        <v>1.103486</v>
      </c>
      <c r="L3416">
        <v>-26.669309999999999</v>
      </c>
      <c r="M3416">
        <v>-0.2424038</v>
      </c>
      <c r="N3416">
        <v>0</v>
      </c>
      <c r="O3416">
        <v>0.97015050000000003</v>
      </c>
      <c r="P3416">
        <v>-0.2067929</v>
      </c>
      <c r="Q3416">
        <v>0.16589599999999999</v>
      </c>
      <c r="R3416">
        <v>0.9642174</v>
      </c>
      <c r="S3416">
        <v>-1.017761E-2</v>
      </c>
      <c r="T3416">
        <v>-0.1897315</v>
      </c>
      <c r="U3416">
        <v>3.139313</v>
      </c>
      <c r="V3416">
        <v>3.3312639999999998E-2</v>
      </c>
      <c r="W3416">
        <v>0.17271010000000001</v>
      </c>
      <c r="X3416">
        <v>0.98440919999999998</v>
      </c>
      <c r="Y3416">
        <v>0.239262</v>
      </c>
      <c r="Z3416">
        <v>-5.6753949999999997E-2</v>
      </c>
      <c r="AA3416">
        <v>0.96929500000000002</v>
      </c>
      <c r="AB3416">
        <v>25</v>
      </c>
      <c r="AC3416">
        <v>3.8999999999873498E-3</v>
      </c>
      <c r="AD3416">
        <v>-1.103487824888</v>
      </c>
      <c r="AE3416">
        <v>18.010438999999899</v>
      </c>
      <c r="AF3416">
        <v>4.3533460313883197</v>
      </c>
      <c r="AG3416">
        <v>-1.103487824888</v>
      </c>
      <c r="AH3416">
        <v>17.406969315853999</v>
      </c>
      <c r="AI3416">
        <v>93.519220665774498</v>
      </c>
      <c r="AJ3416">
        <v>75.958788494173305</v>
      </c>
      <c r="AK3416">
        <v>17.9769821664194</v>
      </c>
      <c r="AL3416">
        <v>80.054572382637105</v>
      </c>
      <c r="AM3416">
        <v>88.0618368898797</v>
      </c>
      <c r="AN3416">
        <v>0.99999999183520905</v>
      </c>
    </row>
    <row r="3417" spans="1:40" x14ac:dyDescent="0.3">
      <c r="A3417" t="str">
        <f>"20200111150419207"</f>
        <v>20200111150419207</v>
      </c>
      <c r="B3417" t="str">
        <f>"1578726259201618"</f>
        <v>1578726259201618</v>
      </c>
      <c r="C3417" t="s">
        <v>40</v>
      </c>
      <c r="D3417">
        <v>5.3765229999999997</v>
      </c>
      <c r="E3417">
        <v>0.58251609999999998</v>
      </c>
      <c r="F3417" t="s">
        <v>41</v>
      </c>
      <c r="G3417">
        <v>-185.34880000000001</v>
      </c>
      <c r="H3417" s="1">
        <v>-2.4425470000000001E-6</v>
      </c>
      <c r="I3417">
        <v>-6.8110509999999902</v>
      </c>
      <c r="J3417">
        <v>-185.36840000000001</v>
      </c>
      <c r="K3417">
        <v>1.1032059999999999</v>
      </c>
      <c r="L3417">
        <v>-26.434909999999999</v>
      </c>
      <c r="M3417">
        <v>-0.2414231</v>
      </c>
      <c r="N3417">
        <v>0</v>
      </c>
      <c r="O3417">
        <v>0.97039520000000001</v>
      </c>
      <c r="P3417">
        <v>-0.20669009999999999</v>
      </c>
      <c r="Q3417">
        <v>0.168435</v>
      </c>
      <c r="R3417">
        <v>0.96379919999999997</v>
      </c>
      <c r="S3417">
        <v>-6.0272219999999996E-3</v>
      </c>
      <c r="T3417">
        <v>-0.17448669999999999</v>
      </c>
      <c r="U3417">
        <v>3.1400450000000002</v>
      </c>
      <c r="V3417">
        <v>3.2445960000000003E-2</v>
      </c>
      <c r="W3417">
        <v>0.17519979999999999</v>
      </c>
      <c r="X3417">
        <v>0.98399809999999999</v>
      </c>
      <c r="Y3417">
        <v>0.239563</v>
      </c>
      <c r="Z3417">
        <v>-5.2214330000000003E-2</v>
      </c>
      <c r="AA3417">
        <v>0.96947570000000005</v>
      </c>
      <c r="AB3417">
        <v>25</v>
      </c>
      <c r="AC3417">
        <v>1.9599999999996901E-2</v>
      </c>
      <c r="AD3417">
        <v>-1.1032084425469999</v>
      </c>
      <c r="AE3417">
        <v>19.623858999999999</v>
      </c>
      <c r="AF3417">
        <v>4.7418007656863503</v>
      </c>
      <c r="AG3417">
        <v>-1.1032084425469999</v>
      </c>
      <c r="AH3417">
        <v>18.978643389765001</v>
      </c>
      <c r="AI3417">
        <v>93.227796808276096</v>
      </c>
      <c r="AJ3417">
        <v>75.971883384483604</v>
      </c>
      <c r="AK3417">
        <v>19.593127577930002</v>
      </c>
      <c r="AL3417">
        <v>79.9097144133694</v>
      </c>
      <c r="AM3417">
        <v>88.111436124024095</v>
      </c>
      <c r="AN3417">
        <v>0.99999998552198499</v>
      </c>
    </row>
    <row r="3418" spans="1:40" x14ac:dyDescent="0.3">
      <c r="A3418" t="str">
        <f>"20200111150419227"</f>
        <v>20200111150419227</v>
      </c>
      <c r="B3418" t="str">
        <f>"1578726259222115"</f>
        <v>1578726259222115</v>
      </c>
      <c r="C3418" t="s">
        <v>40</v>
      </c>
      <c r="D3418">
        <v>5.318594</v>
      </c>
      <c r="E3418">
        <v>0.58291309999999996</v>
      </c>
      <c r="F3418" t="s">
        <v>41</v>
      </c>
      <c r="G3418">
        <v>-185.4111</v>
      </c>
      <c r="H3418" s="1">
        <v>-2.8511519999999999E-6</v>
      </c>
      <c r="I3418">
        <v>-5.6185600000000004</v>
      </c>
      <c r="J3418">
        <v>-185.4246</v>
      </c>
      <c r="K3418">
        <v>1.1028979999999999</v>
      </c>
      <c r="L3418">
        <v>-26.203769999999999</v>
      </c>
      <c r="M3418">
        <v>-0.2399858</v>
      </c>
      <c r="N3418">
        <v>0</v>
      </c>
      <c r="O3418">
        <v>0.9707517</v>
      </c>
      <c r="P3418">
        <v>-0.20616490000000001</v>
      </c>
      <c r="Q3418">
        <v>0.1703819</v>
      </c>
      <c r="R3418">
        <v>0.96356949999999997</v>
      </c>
      <c r="S3418">
        <v>-6.4392090000000004E-3</v>
      </c>
      <c r="T3418">
        <v>-0.16643150000000001</v>
      </c>
      <c r="U3418">
        <v>3.1403810000000001</v>
      </c>
      <c r="V3418">
        <v>3.1579830000000003E-2</v>
      </c>
      <c r="W3418">
        <v>0.17711250000000001</v>
      </c>
      <c r="X3418">
        <v>0.9836838</v>
      </c>
      <c r="Y3418">
        <v>0.2379983</v>
      </c>
      <c r="Z3418">
        <v>-4.9843810000000002E-2</v>
      </c>
      <c r="AA3418">
        <v>0.96998580000000001</v>
      </c>
      <c r="AB3418">
        <v>25</v>
      </c>
      <c r="AC3418">
        <v>1.3499999999993399E-2</v>
      </c>
      <c r="AD3418">
        <v>-1.102900851152</v>
      </c>
      <c r="AE3418">
        <v>20.58521</v>
      </c>
      <c r="AF3418">
        <v>4.9392038685773096</v>
      </c>
      <c r="AG3418">
        <v>-1.102900851152</v>
      </c>
      <c r="AH3418">
        <v>19.923176771568201</v>
      </c>
      <c r="AI3418">
        <v>93.075609259386894</v>
      </c>
      <c r="AJ3418">
        <v>76.076382937678801</v>
      </c>
      <c r="AK3418">
        <v>20.555901775742999</v>
      </c>
      <c r="AL3418">
        <v>79.798383642078903</v>
      </c>
      <c r="AM3418">
        <v>88.161228487846799</v>
      </c>
      <c r="AN3418">
        <v>0.99999997085075898</v>
      </c>
    </row>
    <row r="3419" spans="1:40" x14ac:dyDescent="0.3">
      <c r="A3419" t="str">
        <f>"20200111150419252"</f>
        <v>20200111150419252</v>
      </c>
      <c r="B3419" t="str">
        <f>"1578726259241634"</f>
        <v>1578726259241634</v>
      </c>
      <c r="C3419" t="s">
        <v>40</v>
      </c>
      <c r="D3419">
        <v>5.344436</v>
      </c>
      <c r="E3419">
        <v>0.58343500000000004</v>
      </c>
      <c r="F3419" t="s">
        <v>41</v>
      </c>
      <c r="G3419">
        <v>-185.43940000000001</v>
      </c>
      <c r="H3419" s="1">
        <v>-3.324864E-6</v>
      </c>
      <c r="I3419">
        <v>-4.5026299999999999</v>
      </c>
      <c r="J3419">
        <v>-185.48660000000001</v>
      </c>
      <c r="K3419">
        <v>1.102538</v>
      </c>
      <c r="L3419">
        <v>-25.944400000000002</v>
      </c>
      <c r="M3419">
        <v>-0.23784350000000001</v>
      </c>
      <c r="N3419">
        <v>0</v>
      </c>
      <c r="O3419">
        <v>0.9712788</v>
      </c>
      <c r="P3419">
        <v>-0.20395759999999999</v>
      </c>
      <c r="Q3419">
        <v>0.17265820000000001</v>
      </c>
      <c r="R3419">
        <v>0.96363399999999999</v>
      </c>
      <c r="S3419">
        <v>-2.1362299999999998E-3</v>
      </c>
      <c r="T3419">
        <v>-0.15964329999999999</v>
      </c>
      <c r="U3419">
        <v>3.1412049999999998</v>
      </c>
      <c r="V3419">
        <v>3.1729340000000002E-2</v>
      </c>
      <c r="W3419">
        <v>0.17936189999999999</v>
      </c>
      <c r="X3419">
        <v>0.98327140000000002</v>
      </c>
      <c r="Y3419">
        <v>0.2371849</v>
      </c>
      <c r="Z3419">
        <v>-4.7848689999999999E-2</v>
      </c>
      <c r="AA3419">
        <v>0.97028539999999996</v>
      </c>
      <c r="AB3419">
        <v>25</v>
      </c>
      <c r="AC3419">
        <v>4.72000000000036E-2</v>
      </c>
      <c r="AD3419">
        <v>-1.1025413248639999</v>
      </c>
      <c r="AE3419">
        <v>21.441770000000002</v>
      </c>
      <c r="AF3419">
        <v>5.1321837367268204</v>
      </c>
      <c r="AG3419">
        <v>-1.1025413248639999</v>
      </c>
      <c r="AH3419">
        <v>20.7603186937651</v>
      </c>
      <c r="AI3419">
        <v>92.951333238138204</v>
      </c>
      <c r="AJ3419">
        <v>76.1142410544266</v>
      </c>
      <c r="AK3419">
        <v>21.4136811302319</v>
      </c>
      <c r="AL3419">
        <v>79.667405960647599</v>
      </c>
      <c r="AM3419">
        <v>88.151754794659794</v>
      </c>
      <c r="AN3419">
        <v>1.0000000441232</v>
      </c>
    </row>
    <row r="3420" spans="1:40" x14ac:dyDescent="0.3">
      <c r="A3420" t="str">
        <f>"20200111150419275"</f>
        <v>20200111150419275</v>
      </c>
      <c r="B3420" t="str">
        <f>"1578726259271890"</f>
        <v>1578726259271890</v>
      </c>
      <c r="C3420" t="s">
        <v>40</v>
      </c>
      <c r="D3420">
        <v>5.2815529999999997</v>
      </c>
      <c r="E3420">
        <v>0.58403739999999904</v>
      </c>
      <c r="F3420" t="s">
        <v>41</v>
      </c>
      <c r="G3420">
        <v>-185.42310000000001</v>
      </c>
      <c r="H3420" s="1">
        <v>-3.8670109999999997E-6</v>
      </c>
      <c r="I3420">
        <v>-3.245584</v>
      </c>
      <c r="J3420">
        <v>-185.54730000000001</v>
      </c>
      <c r="K3420">
        <v>1.1022099999999999</v>
      </c>
      <c r="L3420">
        <v>-25.685459999999999</v>
      </c>
      <c r="M3420">
        <v>-0.2352554</v>
      </c>
      <c r="N3420">
        <v>0</v>
      </c>
      <c r="O3420">
        <v>0.97190880000000002</v>
      </c>
      <c r="P3420">
        <v>-0.20017989999999999</v>
      </c>
      <c r="Q3420">
        <v>0.17392550000000001</v>
      </c>
      <c r="R3420">
        <v>0.96419809999999995</v>
      </c>
      <c r="S3420">
        <v>8.7890629999999997E-3</v>
      </c>
      <c r="T3420">
        <v>-0.15263589999999999</v>
      </c>
      <c r="U3420">
        <v>3.1424259999999999</v>
      </c>
      <c r="V3420">
        <v>3.3063370000000002E-2</v>
      </c>
      <c r="W3420">
        <v>0.18061089999999999</v>
      </c>
      <c r="X3420">
        <v>0.9829987</v>
      </c>
      <c r="Y3420">
        <v>0.2379715</v>
      </c>
      <c r="Z3420">
        <v>-4.5776459999999998E-2</v>
      </c>
      <c r="AA3420">
        <v>0.97019279999999997</v>
      </c>
      <c r="AB3420">
        <v>25</v>
      </c>
      <c r="AC3420">
        <v>0.124200000000001</v>
      </c>
      <c r="AD3420">
        <v>-1.102213867011</v>
      </c>
      <c r="AE3420">
        <v>22.439876000000002</v>
      </c>
      <c r="AF3420">
        <v>5.3869468520658996</v>
      </c>
      <c r="AG3420">
        <v>-1.102213867011</v>
      </c>
      <c r="AH3420">
        <v>21.728397962097201</v>
      </c>
      <c r="AI3420">
        <v>92.8187549641316</v>
      </c>
      <c r="AJ3420">
        <v>76.075870820986296</v>
      </c>
      <c r="AK3420">
        <v>22.413329734666402</v>
      </c>
      <c r="AL3420">
        <v>79.594654604720603</v>
      </c>
      <c r="AM3420">
        <v>88.073570545324301</v>
      </c>
      <c r="AN3420">
        <v>0.99999996391812696</v>
      </c>
    </row>
    <row r="3421" spans="1:40" x14ac:dyDescent="0.3">
      <c r="A3421" t="str">
        <f>"20200111150419299"</f>
        <v>20200111150419299</v>
      </c>
      <c r="B3421" t="str">
        <f>"1578726259291410"</f>
        <v>1578726259291410</v>
      </c>
      <c r="C3421" t="s">
        <v>40</v>
      </c>
      <c r="D3421">
        <v>5.2431979999999996</v>
      </c>
      <c r="E3421">
        <v>0.58432209999999996</v>
      </c>
      <c r="F3421" t="s">
        <v>41</v>
      </c>
      <c r="G3421">
        <v>-185.35599999999999</v>
      </c>
      <c r="H3421" s="1">
        <v>-4.3060419999999998E-6</v>
      </c>
      <c r="I3421">
        <v>-2.2499259999999999</v>
      </c>
      <c r="J3421">
        <v>-185.6062</v>
      </c>
      <c r="K3421">
        <v>1.1019399999999999</v>
      </c>
      <c r="L3421">
        <v>-25.429169999999999</v>
      </c>
      <c r="M3421">
        <v>-0.23236270000000001</v>
      </c>
      <c r="N3421">
        <v>0</v>
      </c>
      <c r="O3421">
        <v>0.97260429999999998</v>
      </c>
      <c r="P3421">
        <v>-0.1933097</v>
      </c>
      <c r="Q3421">
        <v>0.17324339999999999</v>
      </c>
      <c r="R3421">
        <v>0.96572150000000001</v>
      </c>
      <c r="S3421">
        <v>2.5650019999999999E-2</v>
      </c>
      <c r="T3421">
        <v>-0.14783840000000001</v>
      </c>
      <c r="U3421">
        <v>3.1433719999999998</v>
      </c>
      <c r="V3421">
        <v>3.7285850000000002E-2</v>
      </c>
      <c r="W3421">
        <v>0.17990410000000001</v>
      </c>
      <c r="X3421">
        <v>0.98297730000000005</v>
      </c>
      <c r="Y3421">
        <v>0.2402849</v>
      </c>
      <c r="Z3421">
        <v>-4.4362060000000002E-2</v>
      </c>
      <c r="AA3421">
        <v>0.9696882</v>
      </c>
      <c r="AB3421">
        <v>25</v>
      </c>
      <c r="AC3421">
        <v>0.25020000000000597</v>
      </c>
      <c r="AD3421">
        <v>-1.101944306042</v>
      </c>
      <c r="AE3421">
        <v>23.179244000000001</v>
      </c>
      <c r="AF3421">
        <v>5.6167808889484796</v>
      </c>
      <c r="AG3421">
        <v>-1.101944306042</v>
      </c>
      <c r="AH3421">
        <v>22.435939243924601</v>
      </c>
      <c r="AI3421">
        <v>92.727782419235794</v>
      </c>
      <c r="AJ3421">
        <v>75.945019962068201</v>
      </c>
      <c r="AK3421">
        <v>23.1545649616906</v>
      </c>
      <c r="AL3421">
        <v>79.635826529337393</v>
      </c>
      <c r="AM3421">
        <v>87.827723852249093</v>
      </c>
      <c r="AN3421">
        <v>1.00000004606116</v>
      </c>
    </row>
    <row r="3422" spans="1:40" x14ac:dyDescent="0.3">
      <c r="A3422" t="str">
        <f>"20200111150419317"</f>
        <v>20200111150419317</v>
      </c>
      <c r="B3422" t="str">
        <f>"1578726259311906"</f>
        <v>1578726259311906</v>
      </c>
      <c r="C3422" t="s">
        <v>40</v>
      </c>
      <c r="D3422">
        <v>5.2068130000000004</v>
      </c>
      <c r="E3422">
        <v>0.58449410000000002</v>
      </c>
      <c r="F3422" t="s">
        <v>41</v>
      </c>
      <c r="G3422">
        <v>-185.25729999999999</v>
      </c>
      <c r="H3422" s="1">
        <v>-4.1134180000000004E-6</v>
      </c>
      <c r="I3422">
        <v>-2.739779</v>
      </c>
      <c r="J3422">
        <v>-185.6533</v>
      </c>
      <c r="K3422">
        <v>1.101766</v>
      </c>
      <c r="L3422">
        <v>-25.220400000000001</v>
      </c>
      <c r="M3422">
        <v>-0.22979649999999999</v>
      </c>
      <c r="N3422">
        <v>0</v>
      </c>
      <c r="O3422">
        <v>0.97321369999999896</v>
      </c>
      <c r="P3422">
        <v>-0.18596799999999999</v>
      </c>
      <c r="Q3422">
        <v>0.17118849999999999</v>
      </c>
      <c r="R3422">
        <v>0.96752800000000005</v>
      </c>
      <c r="S3422">
        <v>4.8339840000000002E-2</v>
      </c>
      <c r="T3422">
        <v>-0.15267139999999901</v>
      </c>
      <c r="U3422">
        <v>3.1435550000000001</v>
      </c>
      <c r="V3422">
        <v>4.2312879999999997E-2</v>
      </c>
      <c r="W3422">
        <v>0.17782249999999999</v>
      </c>
      <c r="X3422">
        <v>0.98315240000000004</v>
      </c>
      <c r="Y3422">
        <v>0.2447183</v>
      </c>
      <c r="Z3422">
        <v>-4.5821319999999999E-2</v>
      </c>
      <c r="AA3422">
        <v>0.96851089999999995</v>
      </c>
      <c r="AB3422">
        <v>25</v>
      </c>
      <c r="AC3422">
        <v>0.39600000000001501</v>
      </c>
      <c r="AD3422">
        <v>-1.101770113418</v>
      </c>
      <c r="AE3422">
        <v>22.480620999999999</v>
      </c>
      <c r="AF3422">
        <v>5.5381973362127299</v>
      </c>
      <c r="AG3422">
        <v>-1.101770113418</v>
      </c>
      <c r="AH3422">
        <v>21.7357868182836</v>
      </c>
      <c r="AI3422">
        <v>92.812099041958902</v>
      </c>
      <c r="AJ3422">
        <v>75.705409045904602</v>
      </c>
      <c r="AK3422">
        <v>22.457291816412901</v>
      </c>
      <c r="AL3422">
        <v>79.757047086071907</v>
      </c>
      <c r="AM3422">
        <v>87.535626971717804</v>
      </c>
      <c r="AN3422">
        <v>0.99999993147294997</v>
      </c>
    </row>
    <row r="3423" spans="1:40" x14ac:dyDescent="0.3">
      <c r="A3423" t="str">
        <f>"20200111150419343"</f>
        <v>20200111150419343</v>
      </c>
      <c r="B3423" t="str">
        <f>"1578726259331427"</f>
        <v>1578726259331427</v>
      </c>
      <c r="C3423" t="s">
        <v>40</v>
      </c>
      <c r="D3423">
        <v>5.2134150000000004</v>
      </c>
      <c r="E3423">
        <v>0.58469519999999997</v>
      </c>
      <c r="F3423" t="s">
        <v>41</v>
      </c>
      <c r="G3423">
        <v>-185.1678</v>
      </c>
      <c r="H3423" s="1">
        <v>-3.6485049999999998E-6</v>
      </c>
      <c r="I3423">
        <v>-3.8605010000000002</v>
      </c>
      <c r="J3423">
        <v>-185.7165</v>
      </c>
      <c r="K3423">
        <v>1.101591</v>
      </c>
      <c r="L3423">
        <v>-24.935359999999999</v>
      </c>
      <c r="M3423">
        <v>-0.22604289999999999</v>
      </c>
      <c r="N3423">
        <v>0</v>
      </c>
      <c r="O3423">
        <v>0.97409219999999996</v>
      </c>
      <c r="P3423">
        <v>-0.18070510000000001</v>
      </c>
      <c r="Q3423">
        <v>0.16948959999999999</v>
      </c>
      <c r="R3423">
        <v>0.96882349999999995</v>
      </c>
      <c r="S3423">
        <v>7.1441649999999995E-2</v>
      </c>
      <c r="T3423">
        <v>-0.16212480000000001</v>
      </c>
      <c r="U3423">
        <v>3.143097</v>
      </c>
      <c r="V3423">
        <v>4.3999789999999997E-2</v>
      </c>
      <c r="W3423">
        <v>0.17612030000000001</v>
      </c>
      <c r="X3423">
        <v>0.98338479999999995</v>
      </c>
      <c r="Y3423">
        <v>0.24809329999999999</v>
      </c>
      <c r="Z3423">
        <v>-4.8700239999999999E-2</v>
      </c>
      <c r="AA3423">
        <v>0.96751120000000002</v>
      </c>
      <c r="AB3423">
        <v>25</v>
      </c>
      <c r="AC3423">
        <v>0.54869999999999597</v>
      </c>
      <c r="AD3423">
        <v>-1.1015946485050001</v>
      </c>
      <c r="AE3423">
        <v>21.074859</v>
      </c>
      <c r="AF3423">
        <v>5.2840091812082504</v>
      </c>
      <c r="AG3423">
        <v>-1.1015946485050001</v>
      </c>
      <c r="AH3423">
        <v>20.3497637061446</v>
      </c>
      <c r="AI3423">
        <v>92.999299544363794</v>
      </c>
      <c r="AJ3423">
        <v>75.444059973531097</v>
      </c>
      <c r="AK3423">
        <v>21.0534355080739</v>
      </c>
      <c r="AL3423">
        <v>79.856140801962397</v>
      </c>
      <c r="AM3423">
        <v>87.438111740566299</v>
      </c>
      <c r="AN3423">
        <v>1.0000000032315799</v>
      </c>
    </row>
    <row r="3424" spans="1:40" x14ac:dyDescent="0.3">
      <c r="A3424" t="str">
        <f>"20200111150419362"</f>
        <v>20200111150419362</v>
      </c>
      <c r="B3424" t="str">
        <f>"1578726259351922"</f>
        <v>1578726259351922</v>
      </c>
      <c r="C3424" t="s">
        <v>40</v>
      </c>
      <c r="D3424">
        <v>5.1999089999999999</v>
      </c>
      <c r="E3424">
        <v>0.58486359999999904</v>
      </c>
      <c r="F3424" t="s">
        <v>41</v>
      </c>
      <c r="G3424">
        <v>-185.11279999999999</v>
      </c>
      <c r="H3424" s="1">
        <v>-3.5193080000000001E-6</v>
      </c>
      <c r="I3424">
        <v>-4.1844150000000004</v>
      </c>
      <c r="J3424">
        <v>-185.7645</v>
      </c>
      <c r="K3424">
        <v>1.1014980000000001</v>
      </c>
      <c r="L3424">
        <v>-24.714359999999999</v>
      </c>
      <c r="M3424">
        <v>-0.2229922</v>
      </c>
      <c r="N3424">
        <v>0</v>
      </c>
      <c r="O3424">
        <v>0.97479490000000002</v>
      </c>
      <c r="P3424">
        <v>-0.17753940000000001</v>
      </c>
      <c r="Q3424">
        <v>0.16826959999999999</v>
      </c>
      <c r="R3424">
        <v>0.96962110000000001</v>
      </c>
      <c r="S3424">
        <v>9.1430659999999997E-2</v>
      </c>
      <c r="T3424">
        <v>-0.16683970000000001</v>
      </c>
      <c r="U3424">
        <v>3.142792</v>
      </c>
      <c r="V3424">
        <v>4.4212120000000001E-2</v>
      </c>
      <c r="W3424">
        <v>0.1749134</v>
      </c>
      <c r="X3424">
        <v>0.98359070000000004</v>
      </c>
      <c r="Y3424">
        <v>0.2512085</v>
      </c>
      <c r="Z3424">
        <v>-5.0147549999999999E-2</v>
      </c>
      <c r="AA3424">
        <v>0.96663310000000002</v>
      </c>
      <c r="AB3424">
        <v>25</v>
      </c>
      <c r="AC3424">
        <v>0.65170000000000505</v>
      </c>
      <c r="AD3424">
        <v>-1.10150151930799</v>
      </c>
      <c r="AE3424">
        <v>20.529945000000001</v>
      </c>
      <c r="AF3424">
        <v>5.1984704518775597</v>
      </c>
      <c r="AG3424">
        <v>-1.10150151930799</v>
      </c>
      <c r="AH3424">
        <v>19.810680856656798</v>
      </c>
      <c r="AI3424">
        <v>93.078436529293697</v>
      </c>
      <c r="AJ3424">
        <v>75.2966565451501</v>
      </c>
      <c r="AK3424">
        <v>20.510984292334399</v>
      </c>
      <c r="AL3424">
        <v>79.926381813528195</v>
      </c>
      <c r="AM3424">
        <v>87.426303567456699</v>
      </c>
      <c r="AN3424">
        <v>1.00000003709047</v>
      </c>
    </row>
    <row r="3425" spans="1:40" x14ac:dyDescent="0.3">
      <c r="A3425" t="str">
        <f>"20200111150419385"</f>
        <v>20200111150419385</v>
      </c>
      <c r="B3425" t="str">
        <f>"1578726259382178"</f>
        <v>1578726259382178</v>
      </c>
      <c r="C3425" t="s">
        <v>40</v>
      </c>
      <c r="D3425">
        <v>5.2088650000000003</v>
      </c>
      <c r="E3425">
        <v>0.58502569999999998</v>
      </c>
      <c r="F3425" t="s">
        <v>41</v>
      </c>
      <c r="G3425">
        <v>-185.08920000000001</v>
      </c>
      <c r="H3425" s="1">
        <v>-3.4454620000000001E-6</v>
      </c>
      <c r="I3425">
        <v>-4.3663160000000003</v>
      </c>
      <c r="J3425">
        <v>-185.81819999999999</v>
      </c>
      <c r="K3425">
        <v>1.101421</v>
      </c>
      <c r="L3425">
        <v>-24.462340000000001</v>
      </c>
      <c r="M3425">
        <v>-0.21943309999999999</v>
      </c>
      <c r="N3425">
        <v>0</v>
      </c>
      <c r="O3425">
        <v>0.97560210000000003</v>
      </c>
      <c r="P3425">
        <v>-0.17444779999999999</v>
      </c>
      <c r="Q3425">
        <v>0.16789749999999901</v>
      </c>
      <c r="R3425">
        <v>0.97024659999999996</v>
      </c>
      <c r="S3425">
        <v>0.10429380000000001</v>
      </c>
      <c r="T3425">
        <v>-0.17011899999999999</v>
      </c>
      <c r="U3425">
        <v>3.1426090000000002</v>
      </c>
      <c r="V3425">
        <v>4.379893E-2</v>
      </c>
      <c r="W3425">
        <v>0.1745641</v>
      </c>
      <c r="X3425">
        <v>0.98367119999999997</v>
      </c>
      <c r="Y3425">
        <v>0.25162839999999997</v>
      </c>
      <c r="Z3425">
        <v>-5.1192410000000001E-2</v>
      </c>
      <c r="AA3425">
        <v>0.96646909999999997</v>
      </c>
      <c r="AB3425">
        <v>25</v>
      </c>
      <c r="AC3425">
        <v>0.72899999999998499</v>
      </c>
      <c r="AD3425">
        <v>-1.1014244454619999</v>
      </c>
      <c r="AE3425">
        <v>20.096024</v>
      </c>
      <c r="AF3425">
        <v>5.1057567693436603</v>
      </c>
      <c r="AG3425">
        <v>-1.1014244454619999</v>
      </c>
      <c r="AH3425">
        <v>19.3880755216829</v>
      </c>
      <c r="AI3425">
        <v>93.144461137197197</v>
      </c>
      <c r="AJ3425">
        <v>75.246400493574797</v>
      </c>
      <c r="AK3425">
        <v>20.079326692676698</v>
      </c>
      <c r="AL3425">
        <v>79.946707577920506</v>
      </c>
      <c r="AM3425">
        <v>87.450532865135699</v>
      </c>
      <c r="AN3425">
        <v>1.00000000049369</v>
      </c>
    </row>
    <row r="3426" spans="1:40" x14ac:dyDescent="0.3">
      <c r="A3426" t="str">
        <f>"20200111150419406"</f>
        <v>20200111150419406</v>
      </c>
      <c r="B3426" t="str">
        <f>"1578726259401698"</f>
        <v>1578726259401698</v>
      </c>
      <c r="C3426" t="s">
        <v>40</v>
      </c>
      <c r="D3426">
        <v>5.1360780000000004</v>
      </c>
      <c r="E3426">
        <v>0.58495369999999902</v>
      </c>
      <c r="F3426" t="s">
        <v>41</v>
      </c>
      <c r="G3426">
        <v>-185.08260000000001</v>
      </c>
      <c r="H3426" s="1">
        <v>-3.395171E-6</v>
      </c>
      <c r="I3426">
        <v>-4.4862690000000001</v>
      </c>
      <c r="J3426">
        <v>-185.86969999999999</v>
      </c>
      <c r="K3426">
        <v>1.1013809999999999</v>
      </c>
      <c r="L3426">
        <v>-24.216370000000001</v>
      </c>
      <c r="M3426">
        <v>-0.2159248</v>
      </c>
      <c r="N3426">
        <v>0</v>
      </c>
      <c r="O3426">
        <v>0.97638440000000004</v>
      </c>
      <c r="P3426">
        <v>-0.173313299999999</v>
      </c>
      <c r="Q3426">
        <v>0.16858020000000001</v>
      </c>
      <c r="R3426">
        <v>0.97033150000000001</v>
      </c>
      <c r="S3426">
        <v>0.1157379</v>
      </c>
      <c r="T3426">
        <v>-0.17328460000000001</v>
      </c>
      <c r="U3426">
        <v>3.142792</v>
      </c>
      <c r="V3426">
        <v>4.1406749999999999E-2</v>
      </c>
      <c r="W3426">
        <v>0.17528289999999999</v>
      </c>
      <c r="X3426">
        <v>0.98364700000000005</v>
      </c>
      <c r="Y3426">
        <v>0.25166050000000001</v>
      </c>
      <c r="Z3426">
        <v>-5.2200009999999998E-2</v>
      </c>
      <c r="AA3426">
        <v>0.96640680000000001</v>
      </c>
      <c r="AB3426">
        <v>26</v>
      </c>
      <c r="AC3426">
        <v>0.78709999999998004</v>
      </c>
      <c r="AD3426">
        <v>-1.1013843951709901</v>
      </c>
      <c r="AE3426">
        <v>19.730101000000001</v>
      </c>
      <c r="AF3426">
        <v>5.0132586823922596</v>
      </c>
      <c r="AG3426">
        <v>-1.1013843951709901</v>
      </c>
      <c r="AH3426">
        <v>19.0354624168918</v>
      </c>
      <c r="AI3426">
        <v>93.202457886639294</v>
      </c>
      <c r="AJ3426">
        <v>75.245384701175695</v>
      </c>
      <c r="AK3426">
        <v>19.7153402107954</v>
      </c>
      <c r="AL3426">
        <v>79.904878621665503</v>
      </c>
      <c r="AM3426">
        <v>87.5895497167689</v>
      </c>
      <c r="AN3426">
        <v>1.00000001729348</v>
      </c>
    </row>
    <row r="3427" spans="1:40" x14ac:dyDescent="0.3">
      <c r="A3427" t="str">
        <f>"20200111150419430"</f>
        <v>20200111150419430</v>
      </c>
      <c r="B3427" t="str">
        <f>"1578726259422194"</f>
        <v>1578726259422194</v>
      </c>
      <c r="C3427" t="s">
        <v>40</v>
      </c>
      <c r="D3427">
        <v>5.1605670000000003</v>
      </c>
      <c r="E3427">
        <v>0.58498660000000002</v>
      </c>
      <c r="F3427" t="s">
        <v>41</v>
      </c>
      <c r="G3427">
        <v>-185.102</v>
      </c>
      <c r="H3427" s="1">
        <v>-3.5848439999999999E-6</v>
      </c>
      <c r="I3427">
        <v>-4.0361190000000002</v>
      </c>
      <c r="J3427">
        <v>-185.9229</v>
      </c>
      <c r="K3427">
        <v>1.101367</v>
      </c>
      <c r="L3427">
        <v>-23.957149999999999</v>
      </c>
      <c r="M3427">
        <v>-0.2122252</v>
      </c>
      <c r="N3427">
        <v>0</v>
      </c>
      <c r="O3427">
        <v>0.97719500000000004</v>
      </c>
      <c r="P3427">
        <v>-0.17274979999999901</v>
      </c>
      <c r="Q3427">
        <v>0.16990849999999999</v>
      </c>
      <c r="R3427">
        <v>0.97020030000000002</v>
      </c>
      <c r="S3427">
        <v>0.1195679</v>
      </c>
      <c r="T3427">
        <v>-0.1715303</v>
      </c>
      <c r="U3427">
        <v>3.1428829999999999</v>
      </c>
      <c r="V3427">
        <v>3.8217220000000003E-2</v>
      </c>
      <c r="W3427">
        <v>0.176653</v>
      </c>
      <c r="X3427">
        <v>0.98353089999999999</v>
      </c>
      <c r="Y3427">
        <v>0.24917049999999999</v>
      </c>
      <c r="Z3427">
        <v>-5.175424E-2</v>
      </c>
      <c r="AA3427">
        <v>0.96707580000000004</v>
      </c>
      <c r="AB3427">
        <v>26</v>
      </c>
      <c r="AC3427">
        <v>0.82089999999999397</v>
      </c>
      <c r="AD3427">
        <v>-1.1013705848440001</v>
      </c>
      <c r="AE3427">
        <v>19.921030999999999</v>
      </c>
      <c r="AF3427">
        <v>5.0147486509041101</v>
      </c>
      <c r="AG3427">
        <v>-1.1013705848440001</v>
      </c>
      <c r="AH3427">
        <v>19.234309811707099</v>
      </c>
      <c r="AI3427">
        <v>93.171430750234606</v>
      </c>
      <c r="AJ3427">
        <v>75.387207208907</v>
      </c>
      <c r="AK3427">
        <v>19.907772229198201</v>
      </c>
      <c r="AL3427">
        <v>79.825132466107902</v>
      </c>
      <c r="AM3427">
        <v>87.774768078326602</v>
      </c>
      <c r="AN3427">
        <v>0.99999993478416704</v>
      </c>
    </row>
    <row r="3428" spans="1:40" x14ac:dyDescent="0.3">
      <c r="A3428" t="str">
        <f>"20200111150419451"</f>
        <v>20200111150419451</v>
      </c>
      <c r="B3428" t="str">
        <f>"1578726259441714"</f>
        <v>1578726259441714</v>
      </c>
      <c r="C3428" t="s">
        <v>40</v>
      </c>
      <c r="D3428">
        <v>5.2308810000000001</v>
      </c>
      <c r="E3428">
        <v>0.58489539999999995</v>
      </c>
      <c r="F3428" t="s">
        <v>41</v>
      </c>
      <c r="G3428">
        <v>-185.11799999999999</v>
      </c>
      <c r="H3428" s="1">
        <v>-3.9067360000000004E-6</v>
      </c>
      <c r="I3428">
        <v>-3.2791519999999998</v>
      </c>
      <c r="J3428">
        <v>-185.9742</v>
      </c>
      <c r="K3428">
        <v>1.1013649999999999</v>
      </c>
      <c r="L3428">
        <v>-23.702089999999998</v>
      </c>
      <c r="M3428">
        <v>-0.20860029999999999</v>
      </c>
      <c r="N3428">
        <v>0</v>
      </c>
      <c r="O3428">
        <v>0.97797509999999999</v>
      </c>
      <c r="P3428">
        <v>-0.17341139999999999</v>
      </c>
      <c r="Q3428">
        <v>0.17110410000000001</v>
      </c>
      <c r="R3428">
        <v>0.96987210000000001</v>
      </c>
      <c r="S3428">
        <v>0.1223602</v>
      </c>
      <c r="T3428">
        <v>-0.1674187</v>
      </c>
      <c r="U3428">
        <v>3.1432500000000001</v>
      </c>
      <c r="V3428">
        <v>3.3860309999999998E-2</v>
      </c>
      <c r="W3428">
        <v>0.177898</v>
      </c>
      <c r="X3428">
        <v>0.98346619999999996</v>
      </c>
      <c r="Y3428">
        <v>0.24643490000000001</v>
      </c>
      <c r="Z3428">
        <v>-5.0591339999999999E-2</v>
      </c>
      <c r="AA3428">
        <v>0.96783799999999998</v>
      </c>
      <c r="AB3428">
        <v>26</v>
      </c>
      <c r="AC3428">
        <v>0.85620000000000096</v>
      </c>
      <c r="AD3428">
        <v>-1.101368906736</v>
      </c>
      <c r="AE3428">
        <v>20.422937999999998</v>
      </c>
      <c r="AF3428">
        <v>5.0829458404533199</v>
      </c>
      <c r="AG3428">
        <v>-1.101368906736</v>
      </c>
      <c r="AH3428">
        <v>19.737721081735</v>
      </c>
      <c r="AI3428">
        <v>93.093091113598504</v>
      </c>
      <c r="AJ3428">
        <v>75.558720912991802</v>
      </c>
      <c r="AK3428">
        <v>20.411442511152199</v>
      </c>
      <c r="AL3428">
        <v>79.752651799685907</v>
      </c>
      <c r="AM3428">
        <v>88.028110346208507</v>
      </c>
      <c r="AN3428">
        <v>0.99999999276986795</v>
      </c>
    </row>
    <row r="3429" spans="1:40" x14ac:dyDescent="0.3">
      <c r="A3429" t="str">
        <f>"20200111150419474"</f>
        <v>20200111150419474</v>
      </c>
      <c r="B3429" t="str">
        <f>"1578726259471970"</f>
        <v>1578726259471970</v>
      </c>
      <c r="C3429" t="s">
        <v>40</v>
      </c>
      <c r="D3429">
        <v>5.0665380000000004</v>
      </c>
      <c r="E3429">
        <v>0.58436840000000001</v>
      </c>
      <c r="F3429" t="s">
        <v>41</v>
      </c>
      <c r="G3429">
        <v>-185.1583</v>
      </c>
      <c r="H3429" s="1">
        <v>-4.2346360000000002E-6</v>
      </c>
      <c r="I3429">
        <v>-2.4981469999999999</v>
      </c>
      <c r="J3429">
        <v>-186.02600000000001</v>
      </c>
      <c r="K3429">
        <v>1.1013660000000001</v>
      </c>
      <c r="L3429">
        <v>-23.439789999999999</v>
      </c>
      <c r="M3429">
        <v>-0.2048942</v>
      </c>
      <c r="N3429">
        <v>0</v>
      </c>
      <c r="O3429">
        <v>0.97875809999999996</v>
      </c>
      <c r="P3429">
        <v>-0.17296829999999999</v>
      </c>
      <c r="Q3429">
        <v>0.17162040000000001</v>
      </c>
      <c r="R3429">
        <v>0.96986000000000006</v>
      </c>
      <c r="S3429">
        <v>0.1209717</v>
      </c>
      <c r="T3429">
        <v>-0.1632864</v>
      </c>
      <c r="U3429">
        <v>3.1436459999999999</v>
      </c>
      <c r="V3429">
        <v>3.056416E-2</v>
      </c>
      <c r="W3429">
        <v>0.1784578</v>
      </c>
      <c r="X3429">
        <v>0.98347280000000004</v>
      </c>
      <c r="Y3429">
        <v>0.24233270000000001</v>
      </c>
      <c r="Z3429">
        <v>-4.9428050000000001E-2</v>
      </c>
      <c r="AA3429">
        <v>0.9689333</v>
      </c>
      <c r="AB3429">
        <v>26</v>
      </c>
      <c r="AC3429">
        <v>0.86769999999998404</v>
      </c>
      <c r="AD3429">
        <v>-1.1013702346359999</v>
      </c>
      <c r="AE3429">
        <v>20.941642999999999</v>
      </c>
      <c r="AF3429">
        <v>5.1260663664690398</v>
      </c>
      <c r="AG3429">
        <v>-1.1013702346359999</v>
      </c>
      <c r="AH3429">
        <v>20.263581543721902</v>
      </c>
      <c r="AI3429">
        <v>93.016260259507007</v>
      </c>
      <c r="AJ3429">
        <v>75.8037417459186</v>
      </c>
      <c r="AK3429">
        <v>20.930893668600302</v>
      </c>
      <c r="AL3429">
        <v>79.720056641836905</v>
      </c>
      <c r="AM3429">
        <v>88.219946791473802</v>
      </c>
      <c r="AN3429">
        <v>1.00000005129859</v>
      </c>
    </row>
    <row r="3430" spans="1:40" x14ac:dyDescent="0.3">
      <c r="A3430" t="str">
        <f>"20200111150419497"</f>
        <v>20200111150419497</v>
      </c>
      <c r="B3430" t="str">
        <f>"1578726259491490"</f>
        <v>1578726259491490</v>
      </c>
      <c r="C3430" t="s">
        <v>40</v>
      </c>
      <c r="D3430">
        <v>5.4077120000000001</v>
      </c>
      <c r="E3430">
        <v>0.50941930000000002</v>
      </c>
      <c r="F3430" t="s">
        <v>41</v>
      </c>
      <c r="G3430">
        <v>-185.23439999999999</v>
      </c>
      <c r="H3430" s="1">
        <v>-4.2415680000000001E-6</v>
      </c>
      <c r="I3430">
        <v>-2.4505240000000001</v>
      </c>
      <c r="J3430">
        <v>-186.07480000000001</v>
      </c>
      <c r="K3430">
        <v>1.1013630000000001</v>
      </c>
      <c r="L3430">
        <v>-23.187619999999999</v>
      </c>
      <c r="M3430">
        <v>-0.20135339999999999</v>
      </c>
      <c r="N3430">
        <v>0</v>
      </c>
      <c r="O3430">
        <v>0.97949249999999999</v>
      </c>
      <c r="P3430">
        <v>-0.17109540000000001</v>
      </c>
      <c r="Q3430">
        <v>0.1721866</v>
      </c>
      <c r="R3430">
        <v>0.97009179999999995</v>
      </c>
      <c r="S3430">
        <v>0.11856079999999999</v>
      </c>
      <c r="T3430">
        <v>-0.16495179999999901</v>
      </c>
      <c r="U3430">
        <v>3.1435550000000001</v>
      </c>
      <c r="V3430">
        <v>2.8886490000000001E-2</v>
      </c>
      <c r="W3430">
        <v>0.17905409999999999</v>
      </c>
      <c r="X3430">
        <v>0.98341509999999999</v>
      </c>
      <c r="Y3430">
        <v>0.23808019999999999</v>
      </c>
      <c r="Z3430">
        <v>-5.0018409999999999E-2</v>
      </c>
      <c r="AA3430">
        <v>0.9699567</v>
      </c>
      <c r="AB3430">
        <v>26</v>
      </c>
      <c r="AC3430">
        <v>0.84040000000001602</v>
      </c>
      <c r="AD3430">
        <v>-1.10136724156799</v>
      </c>
      <c r="AE3430">
        <v>20.737095999999902</v>
      </c>
      <c r="AF3430">
        <v>4.98474060416636</v>
      </c>
      <c r="AG3430">
        <v>-1.10136724156799</v>
      </c>
      <c r="AH3430">
        <v>20.086562022588701</v>
      </c>
      <c r="AI3430">
        <v>93.046227567952499</v>
      </c>
      <c r="AJ3430">
        <v>76.062862685329193</v>
      </c>
      <c r="AK3430">
        <v>20.725120568501598</v>
      </c>
      <c r="AL3430">
        <v>79.685331645719302</v>
      </c>
      <c r="AM3430">
        <v>88.317497664277496</v>
      </c>
      <c r="AN3430">
        <v>1.00000002946966</v>
      </c>
    </row>
    <row r="3431" spans="1:40" x14ac:dyDescent="0.3">
      <c r="A3431" t="str">
        <f>"20200111150419519"</f>
        <v>20200111150419519</v>
      </c>
      <c r="B3431" t="str">
        <f>"1578726259511986"</f>
        <v>1578726259511986</v>
      </c>
      <c r="C3431" t="s">
        <v>40</v>
      </c>
      <c r="D3431">
        <v>6.6999170000000001</v>
      </c>
      <c r="E3431">
        <v>0.50753789999999999</v>
      </c>
      <c r="F3431" t="s">
        <v>42</v>
      </c>
      <c r="G3431">
        <v>-186.20840000000001</v>
      </c>
      <c r="H3431">
        <v>1.0550040000000001</v>
      </c>
      <c r="I3431">
        <v>-22.312439999999999</v>
      </c>
      <c r="J3431">
        <v>-186.1242</v>
      </c>
      <c r="K3431">
        <v>1.1013660000000001</v>
      </c>
      <c r="L3431">
        <v>-22.927309999999999</v>
      </c>
      <c r="M3431">
        <v>-0.19771810000000001</v>
      </c>
      <c r="N3431">
        <v>0</v>
      </c>
      <c r="O3431">
        <v>0.98023260000000001</v>
      </c>
      <c r="P3431">
        <v>-0.16823859999999999</v>
      </c>
      <c r="Q3431">
        <v>0.17239779999999999</v>
      </c>
      <c r="R3431">
        <v>0.97055389999999997</v>
      </c>
      <c r="S3431">
        <v>-0.46401979999999998</v>
      </c>
      <c r="T3431">
        <v>-0.16093360000000001</v>
      </c>
      <c r="U3431">
        <v>3.039215</v>
      </c>
      <c r="V3431">
        <v>2.8125460000000001E-2</v>
      </c>
      <c r="W3431">
        <v>0.17928959999999999</v>
      </c>
      <c r="X3431">
        <v>0.9833942</v>
      </c>
      <c r="Y3431">
        <v>4.770949E-2</v>
      </c>
      <c r="Z3431">
        <v>-5.0996680000000003E-2</v>
      </c>
      <c r="AA3431">
        <v>0.99755859999999996</v>
      </c>
      <c r="AB3431">
        <v>26</v>
      </c>
      <c r="AC3431">
        <v>-8.4200000000009795E-2</v>
      </c>
      <c r="AD3431">
        <v>-4.6362E-2</v>
      </c>
      <c r="AE3431">
        <v>0.61487000000000303</v>
      </c>
      <c r="AF3431">
        <v>3.8819709091815098E-2</v>
      </c>
      <c r="AG3431">
        <v>-4.6362E-2</v>
      </c>
      <c r="AH3431">
        <v>0.61594207290243497</v>
      </c>
      <c r="AI3431">
        <v>94.296048268114404</v>
      </c>
      <c r="AJ3431">
        <v>86.393707077739805</v>
      </c>
      <c r="AK3431">
        <v>0.61890309583110104</v>
      </c>
      <c r="AL3431">
        <v>79.671616005585705</v>
      </c>
      <c r="AM3431">
        <v>88.361764808438295</v>
      </c>
      <c r="AN3431">
        <v>0.99999997738100499</v>
      </c>
    </row>
    <row r="3432" spans="1:40" x14ac:dyDescent="0.3">
      <c r="A3432" t="str">
        <f>"20200111150419542"</f>
        <v>20200111150419542</v>
      </c>
      <c r="B3432" t="str">
        <f>"1578726259531506"</f>
        <v>1578726259531506</v>
      </c>
      <c r="C3432" t="s">
        <v>40</v>
      </c>
      <c r="D3432">
        <v>6.0882620000000003</v>
      </c>
      <c r="E3432">
        <v>0.50632979999999905</v>
      </c>
      <c r="F3432" t="s">
        <v>41</v>
      </c>
      <c r="G3432">
        <v>-190.5556</v>
      </c>
      <c r="H3432" s="1">
        <v>-2.804461E-6</v>
      </c>
      <c r="I3432">
        <v>5.7817790000000002</v>
      </c>
      <c r="J3432">
        <v>-186.17339999999999</v>
      </c>
      <c r="K3432">
        <v>1.1013580000000001</v>
      </c>
      <c r="L3432">
        <v>-22.662929999999999</v>
      </c>
      <c r="M3432">
        <v>-0.19404299999999999</v>
      </c>
      <c r="N3432">
        <v>0</v>
      </c>
      <c r="O3432">
        <v>0.98096660000000002</v>
      </c>
      <c r="P3432">
        <v>-0.16367100000000001</v>
      </c>
      <c r="Q3432">
        <v>0.17185929999999999</v>
      </c>
      <c r="R3432">
        <v>0.97142989999999996</v>
      </c>
      <c r="S3432">
        <v>-0.4677887</v>
      </c>
      <c r="T3432">
        <v>-0.1162623</v>
      </c>
      <c r="U3432">
        <v>3.0305789999999999</v>
      </c>
      <c r="V3432">
        <v>2.9082730000000001E-2</v>
      </c>
      <c r="W3432">
        <v>0.1787637</v>
      </c>
      <c r="X3432">
        <v>0.98346210000000001</v>
      </c>
      <c r="Y3432">
        <v>4.2233380000000001E-2</v>
      </c>
      <c r="Z3432">
        <v>-3.7011830000000003E-2</v>
      </c>
      <c r="AA3432">
        <v>0.99842200000000003</v>
      </c>
      <c r="AB3432">
        <v>26</v>
      </c>
      <c r="AC3432">
        <v>-4.3822000000000099</v>
      </c>
      <c r="AD3432">
        <v>-1.1013608044609999</v>
      </c>
      <c r="AE3432">
        <v>28.444709</v>
      </c>
      <c r="AF3432">
        <v>1.2189514081444299</v>
      </c>
      <c r="AG3432">
        <v>-1.1013608044609999</v>
      </c>
      <c r="AH3432">
        <v>28.7123428478832</v>
      </c>
      <c r="AI3432">
        <v>92.1947250156785</v>
      </c>
      <c r="AJ3432">
        <v>87.5690295291772</v>
      </c>
      <c r="AK3432">
        <v>28.759302320665</v>
      </c>
      <c r="AL3432">
        <v>79.702242722031002</v>
      </c>
      <c r="AM3432">
        <v>88.306155149142199</v>
      </c>
      <c r="AN3432">
        <v>0.99999998387917599</v>
      </c>
    </row>
    <row r="3433" spans="1:40" x14ac:dyDescent="0.3">
      <c r="A3433" t="str">
        <f>"20200111150419564"</f>
        <v>20200111150419564</v>
      </c>
      <c r="B3433" t="str">
        <f>"1578726259561762"</f>
        <v>1578726259561762</v>
      </c>
      <c r="C3433" t="s">
        <v>40</v>
      </c>
      <c r="D3433">
        <v>5.1928269999999896</v>
      </c>
      <c r="E3433">
        <v>0.50013859999999999</v>
      </c>
      <c r="F3433" t="s">
        <v>41</v>
      </c>
      <c r="G3433">
        <v>-189.58920000000001</v>
      </c>
      <c r="H3433" s="1">
        <v>-1.160321E-7</v>
      </c>
      <c r="I3433">
        <v>-0.33213559999999998</v>
      </c>
      <c r="J3433">
        <v>-186.22020000000001</v>
      </c>
      <c r="K3433">
        <v>1.101348</v>
      </c>
      <c r="L3433">
        <v>-22.40579</v>
      </c>
      <c r="M3433">
        <v>-0.19047910000000001</v>
      </c>
      <c r="N3433">
        <v>0</v>
      </c>
      <c r="O3433">
        <v>0.98166469999999995</v>
      </c>
      <c r="P3433">
        <v>-0.1580116</v>
      </c>
      <c r="Q3433">
        <v>0.17110549999999999</v>
      </c>
      <c r="R3433">
        <v>0.97249949999999996</v>
      </c>
      <c r="S3433">
        <v>-0.46447749999999999</v>
      </c>
      <c r="T3433">
        <v>-0.14975910000000001</v>
      </c>
      <c r="U3433">
        <v>3.0364689999999999</v>
      </c>
      <c r="V3433">
        <v>3.1262640000000001E-2</v>
      </c>
      <c r="W3433">
        <v>0.17801349999999999</v>
      </c>
      <c r="X3433">
        <v>0.9835313</v>
      </c>
      <c r="Y3433">
        <v>4.0029549999999997E-2</v>
      </c>
      <c r="Z3433">
        <v>-4.7618849999999997E-2</v>
      </c>
      <c r="AA3433">
        <v>0.99806309999999998</v>
      </c>
      <c r="AB3433">
        <v>26</v>
      </c>
      <c r="AC3433">
        <v>-3.3690000000000002</v>
      </c>
      <c r="AD3433">
        <v>-1.1013481160320999</v>
      </c>
      <c r="AE3433">
        <v>22.073654399999999</v>
      </c>
      <c r="AF3433">
        <v>0.89518705981942504</v>
      </c>
      <c r="AG3433">
        <v>-1.1013481160320999</v>
      </c>
      <c r="AH3433">
        <v>22.257086698847999</v>
      </c>
      <c r="AI3433">
        <v>92.830573382735096</v>
      </c>
      <c r="AJ3433">
        <v>87.696787057462799</v>
      </c>
      <c r="AK3433">
        <v>22.302292166160701</v>
      </c>
      <c r="AL3433">
        <v>79.745926751224602</v>
      </c>
      <c r="AM3433">
        <v>88.179402691656406</v>
      </c>
      <c r="AN3433">
        <v>0.99999998846085403</v>
      </c>
    </row>
    <row r="3434" spans="1:40" x14ac:dyDescent="0.3">
      <c r="A3434" t="str">
        <f>"20200111150419586"</f>
        <v>20200111150419586</v>
      </c>
      <c r="B3434" t="str">
        <f>"1578726259582258"</f>
        <v>1578726259582258</v>
      </c>
      <c r="C3434" t="s">
        <v>40</v>
      </c>
      <c r="D3434">
        <v>5.0319260000000003</v>
      </c>
      <c r="E3434">
        <v>0.50092139999999996</v>
      </c>
      <c r="F3434" t="s">
        <v>43</v>
      </c>
      <c r="G3434">
        <v>-209.42949999999999</v>
      </c>
      <c r="H3434">
        <v>-0.05</v>
      </c>
      <c r="I3434">
        <v>119.5154</v>
      </c>
      <c r="J3434">
        <v>-186.2664</v>
      </c>
      <c r="K3434">
        <v>1.1013329999999999</v>
      </c>
      <c r="L3434">
        <v>-22.147369999999999</v>
      </c>
      <c r="M3434">
        <v>-0.18690280000000001</v>
      </c>
      <c r="N3434">
        <v>0</v>
      </c>
      <c r="O3434">
        <v>0.9823518</v>
      </c>
      <c r="P3434">
        <v>-0.15303510000000001</v>
      </c>
      <c r="Q3434">
        <v>0.1702321</v>
      </c>
      <c r="R3434">
        <v>0.97344819999999999</v>
      </c>
      <c r="S3434">
        <v>-0.49211120000000003</v>
      </c>
      <c r="T3434">
        <v>-2.441227E-2</v>
      </c>
      <c r="U3434">
        <v>3.0091860000000001</v>
      </c>
      <c r="V3434">
        <v>3.2739169999999998E-2</v>
      </c>
      <c r="W3434">
        <v>0.17714630000000001</v>
      </c>
      <c r="X3434">
        <v>0.98363979999999995</v>
      </c>
      <c r="Y3434">
        <v>2.5914199999999998E-2</v>
      </c>
      <c r="Z3434">
        <v>-7.8455030000000002E-3</v>
      </c>
      <c r="AA3434">
        <v>0.99963340000000001</v>
      </c>
      <c r="AB3434">
        <v>26</v>
      </c>
      <c r="AC3434">
        <v>-23.163099999999901</v>
      </c>
      <c r="AD3434">
        <v>-1.1513329999999999</v>
      </c>
      <c r="AE3434">
        <v>141.66276999999999</v>
      </c>
      <c r="AF3434">
        <v>3.7227132252677202</v>
      </c>
      <c r="AG3434">
        <v>-1.1513329999999999</v>
      </c>
      <c r="AH3434">
        <v>143.48644581416599</v>
      </c>
      <c r="AI3434">
        <v>90.459575929591793</v>
      </c>
      <c r="AJ3434">
        <v>88.513811420766899</v>
      </c>
      <c r="AK3434">
        <v>143.53934754559799</v>
      </c>
      <c r="AL3434">
        <v>79.796415823626504</v>
      </c>
      <c r="AM3434">
        <v>88.093688312993393</v>
      </c>
      <c r="AN3434">
        <v>0.99999996050000795</v>
      </c>
    </row>
    <row r="3435" spans="1:40" x14ac:dyDescent="0.3">
      <c r="A3435" t="str">
        <f>"20200111150419607"</f>
        <v>20200111150419607</v>
      </c>
      <c r="B3435" t="str">
        <f>"1578726259602202"</f>
        <v>1578726259602202</v>
      </c>
      <c r="C3435" t="s">
        <v>40</v>
      </c>
      <c r="D3435">
        <v>5.345561</v>
      </c>
      <c r="E3435">
        <v>0.50195829999999997</v>
      </c>
      <c r="F3435" t="s">
        <v>43</v>
      </c>
      <c r="G3435">
        <v>-208.1739</v>
      </c>
      <c r="H3435">
        <v>-0.05</v>
      </c>
      <c r="I3435">
        <v>118.2032</v>
      </c>
      <c r="J3435">
        <v>-186.30950000000001</v>
      </c>
      <c r="K3435">
        <v>1.1013219999999999</v>
      </c>
      <c r="L3435">
        <v>-21.90091</v>
      </c>
      <c r="M3435">
        <v>-0.1834944</v>
      </c>
      <c r="N3435">
        <v>0</v>
      </c>
      <c r="O3435">
        <v>0.98299400000000003</v>
      </c>
      <c r="P3435">
        <v>-0.14918609999999999</v>
      </c>
      <c r="Q3435">
        <v>0.16996439999999999</v>
      </c>
      <c r="R3435">
        <v>0.97409219999999996</v>
      </c>
      <c r="S3435">
        <v>-0.4701843</v>
      </c>
      <c r="T3435">
        <v>-2.4710180000000002E-2</v>
      </c>
      <c r="U3435">
        <v>3.012238</v>
      </c>
      <c r="V3435">
        <v>3.3226279999999997E-2</v>
      </c>
      <c r="W3435">
        <v>0.17688960000000001</v>
      </c>
      <c r="X3435">
        <v>0.98366969999999998</v>
      </c>
      <c r="Y3435">
        <v>2.9703609999999998E-2</v>
      </c>
      <c r="Z3435">
        <v>-7.9451450000000007E-3</v>
      </c>
      <c r="AA3435">
        <v>0.99952719999999995</v>
      </c>
      <c r="AB3435">
        <v>26</v>
      </c>
      <c r="AC3435">
        <v>-21.8643999999999</v>
      </c>
      <c r="AD3435">
        <v>-1.151322</v>
      </c>
      <c r="AE3435">
        <v>140.10410999999999</v>
      </c>
      <c r="AF3435">
        <v>4.2155785626284299</v>
      </c>
      <c r="AG3435">
        <v>-1.151322</v>
      </c>
      <c r="AH3435">
        <v>141.727879053734</v>
      </c>
      <c r="AI3435">
        <v>90.465224496756505</v>
      </c>
      <c r="AJ3435">
        <v>88.296286733852995</v>
      </c>
      <c r="AK3435">
        <v>141.79523386219799</v>
      </c>
      <c r="AL3435">
        <v>79.811360030245794</v>
      </c>
      <c r="AM3435">
        <v>88.065405397250899</v>
      </c>
      <c r="AN3435">
        <v>0.99999999748444401</v>
      </c>
    </row>
    <row r="3436" spans="1:40" x14ac:dyDescent="0.3">
      <c r="A3436" t="str">
        <f>"20200111150419632"</f>
        <v>20200111150419632</v>
      </c>
      <c r="B3436" t="str">
        <f>"1578726259621723"</f>
        <v>1578726259621723</v>
      </c>
      <c r="C3436" t="s">
        <v>40</v>
      </c>
      <c r="D3436">
        <v>5.1497650000000004</v>
      </c>
      <c r="E3436">
        <v>0.50277950000000005</v>
      </c>
      <c r="F3436" t="s">
        <v>41</v>
      </c>
      <c r="G3436">
        <v>-211.5343</v>
      </c>
      <c r="H3436" s="1">
        <v>-5.4344309999999998E-6</v>
      </c>
      <c r="I3436">
        <v>147.0146</v>
      </c>
      <c r="J3436">
        <v>-186.3596</v>
      </c>
      <c r="K3436">
        <v>1.10131</v>
      </c>
      <c r="L3436">
        <v>-21.608059999999998</v>
      </c>
      <c r="M3436">
        <v>-0.17944460000000001</v>
      </c>
      <c r="N3436">
        <v>0</v>
      </c>
      <c r="O3436">
        <v>0.98374130000000004</v>
      </c>
      <c r="P3436">
        <v>-0.14457990000000001</v>
      </c>
      <c r="Q3436">
        <v>0.16998440000000001</v>
      </c>
      <c r="R3436">
        <v>0.97478310000000001</v>
      </c>
      <c r="S3436">
        <v>-0.45013429999999999</v>
      </c>
      <c r="T3436">
        <v>-1.965308E-2</v>
      </c>
      <c r="U3436">
        <v>3.0142820000000001</v>
      </c>
      <c r="V3436">
        <v>3.3830180000000001E-2</v>
      </c>
      <c r="W3436">
        <v>0.17692049999999901</v>
      </c>
      <c r="X3436">
        <v>0.9836435</v>
      </c>
      <c r="Y3436">
        <v>3.2185730000000003E-2</v>
      </c>
      <c r="Z3436">
        <v>-6.3250490000000001E-3</v>
      </c>
      <c r="AA3436">
        <v>0.99946190000000001</v>
      </c>
      <c r="AB3436">
        <v>26</v>
      </c>
      <c r="AC3436">
        <v>-25.174700000000001</v>
      </c>
      <c r="AD3436">
        <v>-1.1013154344310001</v>
      </c>
      <c r="AE3436">
        <v>168.62266</v>
      </c>
      <c r="AF3436">
        <v>5.4929491851754104</v>
      </c>
      <c r="AG3436">
        <v>-1.1013154344310001</v>
      </c>
      <c r="AH3436">
        <v>170.39591795364601</v>
      </c>
      <c r="AI3436">
        <v>90.370120884769094</v>
      </c>
      <c r="AJ3436">
        <v>88.153630329257794</v>
      </c>
      <c r="AK3436">
        <v>170.487988555507</v>
      </c>
      <c r="AL3436">
        <v>79.809560625007094</v>
      </c>
      <c r="AM3436">
        <v>88.030218447917306</v>
      </c>
      <c r="AN3436">
        <v>0.99999993974566403</v>
      </c>
    </row>
    <row r="3437" spans="1:40" x14ac:dyDescent="0.3">
      <c r="A3437" t="str">
        <f>"20200111150419664"</f>
        <v>20200111150419664</v>
      </c>
      <c r="B3437" t="str">
        <f>"1578726259661738"</f>
        <v>1578726259661738</v>
      </c>
      <c r="C3437" t="s">
        <v>40</v>
      </c>
      <c r="D3437">
        <v>5.1481170000000001</v>
      </c>
      <c r="E3437">
        <v>0.50422259999999997</v>
      </c>
      <c r="F3437" t="s">
        <v>41</v>
      </c>
      <c r="G3437">
        <v>-193.62520000000001</v>
      </c>
      <c r="H3437" s="1">
        <v>-4.8356389999999999E-6</v>
      </c>
      <c r="I3437">
        <v>29.306889999999999</v>
      </c>
      <c r="J3437">
        <v>-186.42320000000001</v>
      </c>
      <c r="K3437">
        <v>1.1012919999999999</v>
      </c>
      <c r="L3437">
        <v>-21.225280000000001</v>
      </c>
      <c r="M3437">
        <v>-0.17415129999999901</v>
      </c>
      <c r="N3437">
        <v>0</v>
      </c>
      <c r="O3437">
        <v>0.98469200000000001</v>
      </c>
      <c r="P3437">
        <v>-0.13960049999999999</v>
      </c>
      <c r="Q3437">
        <v>0.1707331</v>
      </c>
      <c r="R3437">
        <v>0.97537779999999996</v>
      </c>
      <c r="S3437">
        <v>-0.43167109999999898</v>
      </c>
      <c r="T3437">
        <v>-6.5432069999999995E-2</v>
      </c>
      <c r="U3437">
        <v>3.024994</v>
      </c>
      <c r="V3437">
        <v>3.3552070000000003E-2</v>
      </c>
      <c r="W3437">
        <v>0.17768829999999999</v>
      </c>
      <c r="X3437">
        <v>0.98351469999999996</v>
      </c>
      <c r="Y3437">
        <v>3.3329579999999998E-2</v>
      </c>
      <c r="Z3437">
        <v>-2.1019389999999999E-2</v>
      </c>
      <c r="AA3437">
        <v>0.99922339999999998</v>
      </c>
      <c r="AB3437">
        <v>27</v>
      </c>
      <c r="AC3437">
        <v>-7.2019999999999902</v>
      </c>
      <c r="AD3437">
        <v>-1.1012968356389901</v>
      </c>
      <c r="AE3437">
        <v>50.532170000000001</v>
      </c>
      <c r="AF3437">
        <v>1.70774159141006</v>
      </c>
      <c r="AG3437">
        <v>-1.1012968356389901</v>
      </c>
      <c r="AH3437">
        <v>50.9904756881498</v>
      </c>
      <c r="AI3437">
        <v>91.236593867354699</v>
      </c>
      <c r="AJ3437">
        <v>88.081802040635694</v>
      </c>
      <c r="AK3437">
        <v>51.030949892854402</v>
      </c>
      <c r="AL3437">
        <v>79.764861520940201</v>
      </c>
      <c r="AM3437">
        <v>88.046143318701795</v>
      </c>
      <c r="AN3437">
        <v>1.0000000192371299</v>
      </c>
    </row>
    <row r="3438" spans="1:40" x14ac:dyDescent="0.3">
      <c r="A3438" t="str">
        <f>"20200111150420500"</f>
        <v>20200111150420500</v>
      </c>
      <c r="B3438" t="str">
        <f>"1578726260492091"</f>
        <v>1578726260492091</v>
      </c>
      <c r="C3438" t="s">
        <v>40</v>
      </c>
      <c r="D3438">
        <v>5.98306</v>
      </c>
      <c r="E3438">
        <v>0.44996399999999998</v>
      </c>
      <c r="F3438" t="s">
        <v>41</v>
      </c>
      <c r="G3438">
        <v>-190.37430000000001</v>
      </c>
      <c r="H3438" s="1">
        <v>-3.8209239999999999E-6</v>
      </c>
      <c r="I3438">
        <v>8.2636179999999992</v>
      </c>
      <c r="J3438">
        <v>-187.39490000000001</v>
      </c>
      <c r="K3438">
        <v>1.101318</v>
      </c>
      <c r="L3438">
        <v>-10.5701</v>
      </c>
      <c r="M3438">
        <v>-3.652089E-2</v>
      </c>
      <c r="N3438">
        <v>0</v>
      </c>
      <c r="O3438">
        <v>0.99930909999999995</v>
      </c>
      <c r="P3438">
        <v>-5.5783270000000003E-2</v>
      </c>
      <c r="Q3438">
        <v>0.160609</v>
      </c>
      <c r="R3438">
        <v>0.98544050000000005</v>
      </c>
      <c r="S3438">
        <v>-0.40696719999999997</v>
      </c>
      <c r="T3438">
        <v>-0.1134334</v>
      </c>
      <c r="U3438">
        <v>3.0373540000000001</v>
      </c>
      <c r="V3438">
        <v>-1.8771610000000001E-2</v>
      </c>
      <c r="W3438">
        <v>0.16752500000000001</v>
      </c>
      <c r="X3438">
        <v>0.98568909999999998</v>
      </c>
      <c r="Y3438">
        <v>-9.6422720000000003E-2</v>
      </c>
      <c r="Z3438">
        <v>-3.7030649999999998E-2</v>
      </c>
      <c r="AA3438">
        <v>0.99465139999999996</v>
      </c>
      <c r="AB3438">
        <v>30</v>
      </c>
      <c r="AC3438">
        <v>-2.9793999999999898</v>
      </c>
      <c r="AD3438">
        <v>-1.1013218209240001</v>
      </c>
      <c r="AE3438">
        <v>18.833718000000001</v>
      </c>
      <c r="AF3438">
        <v>-2.2819592824962101</v>
      </c>
      <c r="AG3438">
        <v>-1.1013218209240001</v>
      </c>
      <c r="AH3438">
        <v>18.8670264032089</v>
      </c>
      <c r="AI3438">
        <v>93.316609752361202</v>
      </c>
      <c r="AJ3438">
        <v>96.8964030480128</v>
      </c>
      <c r="AK3438">
        <v>19.0364107231273</v>
      </c>
      <c r="AL3438">
        <v>80.356051615845402</v>
      </c>
      <c r="AM3438">
        <v>91.0910174731561</v>
      </c>
      <c r="AN3438">
        <v>1.0000000004128999</v>
      </c>
    </row>
    <row r="3439" spans="1:40" x14ac:dyDescent="0.3">
      <c r="A3439" t="str">
        <f>"20200111150420524"</f>
        <v>20200111150420524</v>
      </c>
      <c r="B3439" t="str">
        <f>"1578726260522347"</f>
        <v>1578726260522347</v>
      </c>
      <c r="C3439" t="s">
        <v>40</v>
      </c>
      <c r="D3439">
        <v>6.0941380000000001</v>
      </c>
      <c r="E3439">
        <v>0.44561089999999998</v>
      </c>
      <c r="F3439" t="s">
        <v>41</v>
      </c>
      <c r="G3439">
        <v>-188.3631</v>
      </c>
      <c r="H3439" s="1">
        <v>-2.426355E-6</v>
      </c>
      <c r="I3439">
        <v>-5.3881379999999996</v>
      </c>
      <c r="J3439">
        <v>-187.4034</v>
      </c>
      <c r="K3439">
        <v>1.1013850000000001</v>
      </c>
      <c r="L3439">
        <v>-10.255890000000001</v>
      </c>
      <c r="M3439">
        <v>-3.3645460000000002E-2</v>
      </c>
      <c r="N3439">
        <v>0</v>
      </c>
      <c r="O3439">
        <v>0.99941000000000002</v>
      </c>
      <c r="P3439">
        <v>-5.666446E-2</v>
      </c>
      <c r="Q3439">
        <v>0.15834129999999999</v>
      </c>
      <c r="R3439">
        <v>0.9857572</v>
      </c>
      <c r="S3439">
        <v>-0.58287049999999996</v>
      </c>
      <c r="T3439">
        <v>-0.66296169999999899</v>
      </c>
      <c r="U3439">
        <v>3.1193849999999999</v>
      </c>
      <c r="V3439">
        <v>-2.2527539999999999E-2</v>
      </c>
      <c r="W3439">
        <v>0.16527649999999999</v>
      </c>
      <c r="X3439">
        <v>0.98599000000000003</v>
      </c>
      <c r="Y3439">
        <v>-0.14660239999999999</v>
      </c>
      <c r="Z3439">
        <v>-0.2048982</v>
      </c>
      <c r="AA3439">
        <v>0.96774199999999999</v>
      </c>
      <c r="AB3439">
        <v>30</v>
      </c>
      <c r="AC3439">
        <v>-0.959699999999997</v>
      </c>
      <c r="AD3439">
        <v>-1.1013874263550001</v>
      </c>
      <c r="AE3439">
        <v>4.8677519999999896</v>
      </c>
      <c r="AF3439">
        <v>-0.75802045307556998</v>
      </c>
      <c r="AG3439">
        <v>-1.1013874263550001</v>
      </c>
      <c r="AH3439">
        <v>4.6672868473563103</v>
      </c>
      <c r="AI3439">
        <v>103.112006406714</v>
      </c>
      <c r="AJ3439">
        <v>99.224938717868199</v>
      </c>
      <c r="AK3439">
        <v>4.8550196483350101</v>
      </c>
      <c r="AL3439">
        <v>80.486703152584397</v>
      </c>
      <c r="AM3439">
        <v>91.308845364944005</v>
      </c>
      <c r="AN3439">
        <v>1.00000004580534</v>
      </c>
    </row>
    <row r="3440" spans="1:40" x14ac:dyDescent="0.3">
      <c r="A3440" t="str">
        <f>"20200111150420546"</f>
        <v>20200111150420546</v>
      </c>
      <c r="B3440" t="str">
        <f>"1578726260541867"</f>
        <v>1578726260541867</v>
      </c>
      <c r="C3440" t="s">
        <v>40</v>
      </c>
      <c r="D3440">
        <v>9.3782429999999994</v>
      </c>
      <c r="E3440">
        <v>0.44406119999999999</v>
      </c>
      <c r="F3440" t="s">
        <v>41</v>
      </c>
      <c r="G3440">
        <v>-188.5401</v>
      </c>
      <c r="H3440" s="1">
        <v>-2.7532830000000001E-6</v>
      </c>
      <c r="I3440">
        <v>-4.5529039999999998</v>
      </c>
      <c r="J3440">
        <v>-187.41050000000001</v>
      </c>
      <c r="K3440">
        <v>1.1014630000000001</v>
      </c>
      <c r="L3440">
        <v>-9.9713130000000003</v>
      </c>
      <c r="M3440">
        <v>-3.1178770000000001E-2</v>
      </c>
      <c r="N3440">
        <v>0</v>
      </c>
      <c r="O3440">
        <v>0.99948999999999999</v>
      </c>
      <c r="P3440">
        <v>-5.7207349999999997E-2</v>
      </c>
      <c r="Q3440">
        <v>0.15631989999999901</v>
      </c>
      <c r="R3440">
        <v>0.98604840000000005</v>
      </c>
      <c r="S3440">
        <v>-0.61866759999999998</v>
      </c>
      <c r="T3440">
        <v>-0.59947189999999995</v>
      </c>
      <c r="U3440">
        <v>3.1040649999999999</v>
      </c>
      <c r="V3440">
        <v>-2.5544629999999999E-2</v>
      </c>
      <c r="W3440">
        <v>0.16326860000000001</v>
      </c>
      <c r="X3440">
        <v>0.98625090000000004</v>
      </c>
      <c r="Y3440">
        <v>-0.1613647</v>
      </c>
      <c r="Z3440">
        <v>-0.1864779</v>
      </c>
      <c r="AA3440">
        <v>0.9691168</v>
      </c>
      <c r="AB3440">
        <v>30</v>
      </c>
      <c r="AC3440">
        <v>-1.12959999999998</v>
      </c>
      <c r="AD3440">
        <v>-1.1014657532829999</v>
      </c>
      <c r="AE3440">
        <v>5.4184089999999996</v>
      </c>
      <c r="AF3440">
        <v>-0.92353326687489301</v>
      </c>
      <c r="AG3440">
        <v>-1.1014657532829999</v>
      </c>
      <c r="AH3440">
        <v>5.2433456645333898</v>
      </c>
      <c r="AI3440">
        <v>101.68871521195901</v>
      </c>
      <c r="AJ3440">
        <v>99.989295381105194</v>
      </c>
      <c r="AK3440">
        <v>5.4368018410147103</v>
      </c>
      <c r="AL3440">
        <v>80.603331338782098</v>
      </c>
      <c r="AM3440">
        <v>91.483671483009005</v>
      </c>
      <c r="AN3440">
        <v>1.0000000008093</v>
      </c>
    </row>
    <row r="3441" spans="1:40" x14ac:dyDescent="0.3">
      <c r="A3441" t="str">
        <f>"20200111150420568"</f>
        <v>20200111150420568</v>
      </c>
      <c r="B3441" t="str">
        <f>"1578726260562363"</f>
        <v>1578726260562363</v>
      </c>
      <c r="C3441" t="s">
        <v>40</v>
      </c>
      <c r="D3441">
        <v>5.9273559999999996</v>
      </c>
      <c r="E3441">
        <v>0.44401940000000001</v>
      </c>
      <c r="F3441" t="s">
        <v>41</v>
      </c>
      <c r="G3441">
        <v>-190.78540000000001</v>
      </c>
      <c r="H3441" s="1">
        <v>-3.1205999999999998E-6</v>
      </c>
      <c r="I3441">
        <v>6.3761650000000003</v>
      </c>
      <c r="J3441">
        <v>-187.41759999999999</v>
      </c>
      <c r="K3441">
        <v>1.101569</v>
      </c>
      <c r="L3441">
        <v>-9.6628109999999996</v>
      </c>
      <c r="M3441">
        <v>-2.8682340000000001E-2</v>
      </c>
      <c r="N3441">
        <v>0</v>
      </c>
      <c r="O3441">
        <v>0.99956480000000003</v>
      </c>
      <c r="P3441">
        <v>-5.5576819999999999E-2</v>
      </c>
      <c r="Q3441">
        <v>0.15568489999999999</v>
      </c>
      <c r="R3441">
        <v>0.98624210000000001</v>
      </c>
      <c r="S3441">
        <v>-0.62730410000000003</v>
      </c>
      <c r="T3441">
        <v>-0.20473</v>
      </c>
      <c r="U3441">
        <v>3.038513</v>
      </c>
      <c r="V3441">
        <v>-2.6427800000000001E-2</v>
      </c>
      <c r="W3441">
        <v>0.16263150000000001</v>
      </c>
      <c r="X3441">
        <v>0.98633289999999996</v>
      </c>
      <c r="Y3441">
        <v>-0.17357300000000001</v>
      </c>
      <c r="Z3441">
        <v>-6.5981890000000001E-2</v>
      </c>
      <c r="AA3441">
        <v>0.98260809999999998</v>
      </c>
      <c r="AB3441">
        <v>30</v>
      </c>
      <c r="AC3441">
        <v>-3.3678000000000101</v>
      </c>
      <c r="AD3441">
        <v>-1.1015721206</v>
      </c>
      <c r="AE3441">
        <v>16.038975999999899</v>
      </c>
      <c r="AF3441">
        <v>-2.89329648060788</v>
      </c>
      <c r="AG3441">
        <v>-1.1015721206</v>
      </c>
      <c r="AH3441">
        <v>16.056434519192202</v>
      </c>
      <c r="AI3441">
        <v>93.862682373108996</v>
      </c>
      <c r="AJ3441">
        <v>100.214820496714</v>
      </c>
      <c r="AK3441">
        <v>16.3521776877175</v>
      </c>
      <c r="AL3441">
        <v>80.640329080282697</v>
      </c>
      <c r="AM3441">
        <v>91.534815679597699</v>
      </c>
      <c r="AN3441">
        <v>1.00000001151375</v>
      </c>
    </row>
    <row r="3442" spans="1:40" x14ac:dyDescent="0.3">
      <c r="A3442" t="str">
        <f>"20200111150420591"</f>
        <v>20200111150420591</v>
      </c>
      <c r="B3442" t="str">
        <f>"1578726260581883"</f>
        <v>1578726260581883</v>
      </c>
      <c r="C3442" t="s">
        <v>40</v>
      </c>
      <c r="D3442">
        <v>5.4733890000000001</v>
      </c>
      <c r="E3442">
        <v>0.4458165</v>
      </c>
      <c r="F3442" t="s">
        <v>41</v>
      </c>
      <c r="G3442">
        <v>-191.87870000000001</v>
      </c>
      <c r="H3442" s="1">
        <v>-1.5549510000000001E-6</v>
      </c>
      <c r="I3442">
        <v>12.04851</v>
      </c>
      <c r="J3442">
        <v>-187.42429999999999</v>
      </c>
      <c r="K3442">
        <v>1.1017159999999999</v>
      </c>
      <c r="L3442">
        <v>-9.3465579999999999</v>
      </c>
      <c r="M3442">
        <v>-2.637828E-2</v>
      </c>
      <c r="N3442">
        <v>0</v>
      </c>
      <c r="O3442">
        <v>0.99962819999999997</v>
      </c>
      <c r="P3442">
        <v>-5.3852450000000003E-2</v>
      </c>
      <c r="Q3442">
        <v>0.15384829999999999</v>
      </c>
      <c r="R3442">
        <v>0.98662589999999994</v>
      </c>
      <c r="S3442">
        <v>-0.62280269999999904</v>
      </c>
      <c r="T3442">
        <v>-0.15378620000000001</v>
      </c>
      <c r="U3442">
        <v>3.0310359999999998</v>
      </c>
      <c r="V3442">
        <v>-2.704372E-2</v>
      </c>
      <c r="W3442">
        <v>0.16078970000000001</v>
      </c>
      <c r="X3442">
        <v>0.98661810000000005</v>
      </c>
      <c r="Y3442">
        <v>-0.1751122</v>
      </c>
      <c r="Z3442">
        <v>-4.9735950000000001E-2</v>
      </c>
      <c r="AA3442">
        <v>0.98329140000000004</v>
      </c>
      <c r="AB3442">
        <v>30</v>
      </c>
      <c r="AC3442">
        <v>-4.4544000000000201</v>
      </c>
      <c r="AD3442">
        <v>-1.1017175549510001</v>
      </c>
      <c r="AE3442">
        <v>21.395067999999998</v>
      </c>
      <c r="AF3442">
        <v>-3.8786140240864402</v>
      </c>
      <c r="AG3442">
        <v>-1.1017175549510001</v>
      </c>
      <c r="AH3442">
        <v>21.4506090192837</v>
      </c>
      <c r="AI3442">
        <v>92.893330045776395</v>
      </c>
      <c r="AJ3442">
        <v>100.249255177218</v>
      </c>
      <c r="AK3442">
        <v>21.826269851188599</v>
      </c>
      <c r="AL3442">
        <v>80.747263646835293</v>
      </c>
      <c r="AM3442">
        <v>91.570114241703706</v>
      </c>
      <c r="AN3442">
        <v>0.99999998283256897</v>
      </c>
    </row>
    <row r="3443" spans="1:40" x14ac:dyDescent="0.3">
      <c r="A3443" t="str">
        <f>"20200111150420613"</f>
        <v>20200111150420613</v>
      </c>
      <c r="B3443" t="str">
        <f>"1578726260602379"</f>
        <v>1578726260602379</v>
      </c>
      <c r="C3443" t="s">
        <v>40</v>
      </c>
      <c r="D3443">
        <v>5.7382869999999997</v>
      </c>
      <c r="E3443">
        <v>0.44668150000000001</v>
      </c>
      <c r="F3443" t="s">
        <v>41</v>
      </c>
      <c r="G3443">
        <v>-191.49690000000001</v>
      </c>
      <c r="H3443" s="1">
        <v>-1.072511E-6</v>
      </c>
      <c r="I3443">
        <v>11.16071</v>
      </c>
      <c r="J3443">
        <v>-187.43020000000001</v>
      </c>
      <c r="K3443">
        <v>1.101891</v>
      </c>
      <c r="L3443">
        <v>-9.0453799999999998</v>
      </c>
      <c r="M3443">
        <v>-2.4461199999999999E-2</v>
      </c>
      <c r="N3443">
        <v>0</v>
      </c>
      <c r="O3443">
        <v>0.99967689999999998</v>
      </c>
      <c r="P3443">
        <v>-5.2889489999999997E-2</v>
      </c>
      <c r="Q3443">
        <v>0.1500437</v>
      </c>
      <c r="R3443">
        <v>0.98726369999999997</v>
      </c>
      <c r="S3443">
        <v>-0.60238649999999905</v>
      </c>
      <c r="T3443">
        <v>-0.1629535</v>
      </c>
      <c r="U3443">
        <v>3.0332029999999999</v>
      </c>
      <c r="V3443">
        <v>-2.8050470000000001E-2</v>
      </c>
      <c r="W3443">
        <v>0.15698199999999901</v>
      </c>
      <c r="X3443">
        <v>0.98720300000000005</v>
      </c>
      <c r="Y3443">
        <v>-0.17047100000000001</v>
      </c>
      <c r="Z3443">
        <v>-5.2716010000000001E-2</v>
      </c>
      <c r="AA3443">
        <v>0.98395160000000004</v>
      </c>
      <c r="AB3443">
        <v>31</v>
      </c>
      <c r="AC3443">
        <v>-4.0666999999999902</v>
      </c>
      <c r="AD3443">
        <v>-1.101892072511</v>
      </c>
      <c r="AE3443">
        <v>20.20609</v>
      </c>
      <c r="AF3443">
        <v>-3.56102851860964</v>
      </c>
      <c r="AG3443">
        <v>-1.101892072511</v>
      </c>
      <c r="AH3443">
        <v>20.241670792710501</v>
      </c>
      <c r="AI3443">
        <v>93.068887540148296</v>
      </c>
      <c r="AJ3443">
        <v>99.977695713002802</v>
      </c>
      <c r="AK3443">
        <v>20.5820389352047</v>
      </c>
      <c r="AL3443">
        <v>80.968235841142402</v>
      </c>
      <c r="AM3443">
        <v>91.627569234586602</v>
      </c>
      <c r="AN3443">
        <v>0.99999997020011</v>
      </c>
    </row>
    <row r="3444" spans="1:40" x14ac:dyDescent="0.3">
      <c r="A3444" t="str">
        <f>"20200111150420634"</f>
        <v>20200111150420634</v>
      </c>
      <c r="B3444" t="str">
        <f>"1578726260631659"</f>
        <v>1578726260631659</v>
      </c>
      <c r="C3444" t="s">
        <v>40</v>
      </c>
      <c r="D3444">
        <v>5.5866989999999896</v>
      </c>
      <c r="E3444">
        <v>0.4464011</v>
      </c>
      <c r="F3444" t="s">
        <v>41</v>
      </c>
      <c r="G3444">
        <v>-190.36859999999999</v>
      </c>
      <c r="H3444" s="1">
        <v>-2.863034E-6</v>
      </c>
      <c r="I3444">
        <v>6.0343109999999998</v>
      </c>
      <c r="J3444">
        <v>-187.4357</v>
      </c>
      <c r="K3444">
        <v>1.1020799999999999</v>
      </c>
      <c r="L3444">
        <v>-8.7487179999999896</v>
      </c>
      <c r="M3444">
        <v>-2.2806489999999999E-2</v>
      </c>
      <c r="N3444">
        <v>0</v>
      </c>
      <c r="O3444">
        <v>0.99971600000000005</v>
      </c>
      <c r="P3444">
        <v>-5.197657E-2</v>
      </c>
      <c r="Q3444">
        <v>0.14722249999999901</v>
      </c>
      <c r="R3444">
        <v>0.98773679999999997</v>
      </c>
      <c r="S3444">
        <v>-0.59251399999999999</v>
      </c>
      <c r="T3444">
        <v>-0.2221911</v>
      </c>
      <c r="U3444">
        <v>3.0407410000000001</v>
      </c>
      <c r="V3444">
        <v>-2.8846759999999999E-2</v>
      </c>
      <c r="W3444">
        <v>0.15415589999999901</v>
      </c>
      <c r="X3444">
        <v>0.98762539999999999</v>
      </c>
      <c r="Y3444">
        <v>-0.16833409999999999</v>
      </c>
      <c r="Z3444">
        <v>-7.1658579999999999E-2</v>
      </c>
      <c r="AA3444">
        <v>0.98312189999999999</v>
      </c>
      <c r="AB3444">
        <v>31</v>
      </c>
      <c r="AC3444">
        <v>-2.9328999999999801</v>
      </c>
      <c r="AD3444">
        <v>-1.102082863034</v>
      </c>
      <c r="AE3444">
        <v>14.783029000000001</v>
      </c>
      <c r="AF3444">
        <v>-2.5811777014058599</v>
      </c>
      <c r="AG3444">
        <v>-1.102082863034</v>
      </c>
      <c r="AH3444">
        <v>14.7671101957751</v>
      </c>
      <c r="AI3444">
        <v>94.204610380311706</v>
      </c>
      <c r="AJ3444">
        <v>99.914700439719994</v>
      </c>
      <c r="AK3444">
        <v>15.031453971502399</v>
      </c>
      <c r="AL3444">
        <v>81.132155968626293</v>
      </c>
      <c r="AM3444">
        <v>91.673030918493197</v>
      </c>
      <c r="AN3444">
        <v>1.0000000538962299</v>
      </c>
    </row>
    <row r="3445" spans="1:40" x14ac:dyDescent="0.3">
      <c r="A3445" t="str">
        <f>"20200111150420657"</f>
        <v>20200111150420657</v>
      </c>
      <c r="B3445" t="str">
        <f>"1578726260652155"</f>
        <v>1578726260652155</v>
      </c>
      <c r="C3445" t="s">
        <v>40</v>
      </c>
      <c r="D3445">
        <v>5.8423119999999997</v>
      </c>
      <c r="E3445">
        <v>0.43151010000000001</v>
      </c>
      <c r="F3445" t="s">
        <v>41</v>
      </c>
      <c r="G3445">
        <v>-191.05850000000001</v>
      </c>
      <c r="H3445" s="1">
        <v>-3.7295239999999999E-7</v>
      </c>
      <c r="I3445">
        <v>9.8019630000000006</v>
      </c>
      <c r="J3445">
        <v>-187.44139999999999</v>
      </c>
      <c r="K3445">
        <v>1.1022940000000001</v>
      </c>
      <c r="L3445">
        <v>-8.4336549999999999</v>
      </c>
      <c r="M3445">
        <v>-2.1347060000000001E-2</v>
      </c>
      <c r="N3445">
        <v>0</v>
      </c>
      <c r="O3445">
        <v>0.99974830000000003</v>
      </c>
      <c r="P3445">
        <v>-5.0859689999999999E-2</v>
      </c>
      <c r="Q3445">
        <v>0.14555319999999999</v>
      </c>
      <c r="R3445">
        <v>0.98804230000000004</v>
      </c>
      <c r="S3445">
        <v>-0.59230039999999995</v>
      </c>
      <c r="T3445">
        <v>-0.18018380000000001</v>
      </c>
      <c r="U3445">
        <v>3.0329280000000001</v>
      </c>
      <c r="V3445">
        <v>-2.9253359999999999E-2</v>
      </c>
      <c r="W3445">
        <v>0.152477</v>
      </c>
      <c r="X3445">
        <v>0.98787400000000003</v>
      </c>
      <c r="Y3445">
        <v>-0.1703479</v>
      </c>
      <c r="Z3445">
        <v>-5.8302310000000003E-2</v>
      </c>
      <c r="AA3445">
        <v>0.98365769999999997</v>
      </c>
      <c r="AB3445">
        <v>31</v>
      </c>
      <c r="AC3445">
        <v>-3.6171000000000202</v>
      </c>
      <c r="AD3445">
        <v>-1.1022943729524</v>
      </c>
      <c r="AE3445">
        <v>18.235617999999999</v>
      </c>
      <c r="AF3445">
        <v>-3.2156846708368798</v>
      </c>
      <c r="AG3445">
        <v>-1.1022943729524</v>
      </c>
      <c r="AH3445">
        <v>18.244538842033801</v>
      </c>
      <c r="AI3445">
        <v>93.405120089597602</v>
      </c>
      <c r="AJ3445">
        <v>99.995980252406795</v>
      </c>
      <c r="AK3445">
        <v>18.558525758943802</v>
      </c>
      <c r="AL3445">
        <v>81.229500429361593</v>
      </c>
      <c r="AM3445">
        <v>91.696172185692902</v>
      </c>
      <c r="AN3445">
        <v>1.00000001723814</v>
      </c>
    </row>
    <row r="3446" spans="1:40" x14ac:dyDescent="0.3">
      <c r="A3446" t="str">
        <f>"20200111150420702"</f>
        <v>20200111150420702</v>
      </c>
      <c r="B3446" t="str">
        <f>"1578726260692171"</f>
        <v>1578726260692171</v>
      </c>
      <c r="C3446" t="s">
        <v>40</v>
      </c>
      <c r="D3446">
        <v>5.5396539999999996</v>
      </c>
      <c r="E3446">
        <v>0.43054389999999998</v>
      </c>
      <c r="F3446" t="s">
        <v>75</v>
      </c>
      <c r="G3446">
        <v>-211.88470000000001</v>
      </c>
      <c r="H3446">
        <v>12.96491</v>
      </c>
      <c r="I3446">
        <v>94.622699999999995</v>
      </c>
      <c r="J3446">
        <v>-187.45240000000001</v>
      </c>
      <c r="K3446">
        <v>1.1028</v>
      </c>
      <c r="L3446">
        <v>-7.8029169999999999</v>
      </c>
      <c r="M3446">
        <v>-1.9464510000000001E-2</v>
      </c>
      <c r="N3446">
        <v>0</v>
      </c>
      <c r="O3446">
        <v>0.99978659999999997</v>
      </c>
      <c r="P3446">
        <v>-4.9378850000000002E-2</v>
      </c>
      <c r="Q3446">
        <v>0.14721589999999901</v>
      </c>
      <c r="R3446">
        <v>0.9878711</v>
      </c>
      <c r="S3446">
        <v>-0.69975279999999995</v>
      </c>
      <c r="T3446">
        <v>0.33959879999999998</v>
      </c>
      <c r="U3446">
        <v>2.950256</v>
      </c>
      <c r="V3446">
        <v>-2.9817079999999999E-2</v>
      </c>
      <c r="W3446">
        <v>0.15411349999999999</v>
      </c>
      <c r="X3446">
        <v>0.98760309999999996</v>
      </c>
      <c r="Y3446">
        <v>-0.2103595</v>
      </c>
      <c r="Z3446">
        <v>0.1115153</v>
      </c>
      <c r="AA3446">
        <v>0.97124310000000003</v>
      </c>
      <c r="AB3446">
        <v>31</v>
      </c>
      <c r="AC3446">
        <v>-24.432300000000001</v>
      </c>
      <c r="AD3446">
        <v>11.862109999999999</v>
      </c>
      <c r="AE3446">
        <v>102.425617</v>
      </c>
      <c r="AF3446">
        <v>-22.152832144948299</v>
      </c>
      <c r="AG3446">
        <v>11.862109999999999</v>
      </c>
      <c r="AH3446">
        <v>101.59254279291</v>
      </c>
      <c r="AI3446">
        <v>83.491779943280804</v>
      </c>
      <c r="AJ3446">
        <v>102.301117471067</v>
      </c>
      <c r="AK3446">
        <v>104.65420381820999</v>
      </c>
      <c r="AL3446">
        <v>81.134613818000204</v>
      </c>
      <c r="AM3446">
        <v>91.729312157957906</v>
      </c>
      <c r="AN3446">
        <v>0.99999995613579196</v>
      </c>
    </row>
    <row r="3447" spans="1:40" x14ac:dyDescent="0.3">
      <c r="A3447" t="str">
        <f>"20200111150420725"</f>
        <v>20200111150420725</v>
      </c>
      <c r="B3447" t="str">
        <f>"1578726260722426"</f>
        <v>1578726260722426</v>
      </c>
      <c r="C3447" t="s">
        <v>40</v>
      </c>
      <c r="D3447">
        <v>5.1053089999999903</v>
      </c>
      <c r="E3447">
        <v>0.4582793</v>
      </c>
      <c r="F3447" t="s">
        <v>75</v>
      </c>
      <c r="G3447">
        <v>-211.92060000000001</v>
      </c>
      <c r="H3447">
        <v>16.53351</v>
      </c>
      <c r="I3447">
        <v>94.622699999999995</v>
      </c>
      <c r="J3447">
        <v>-187.4581</v>
      </c>
      <c r="K3447">
        <v>1.103062</v>
      </c>
      <c r="L3447">
        <v>-7.4835509999999896</v>
      </c>
      <c r="M3447">
        <v>-1.9015549999999999E-2</v>
      </c>
      <c r="N3447">
        <v>0</v>
      </c>
      <c r="O3447">
        <v>0.9997952</v>
      </c>
      <c r="P3447">
        <v>-5.0342400000000002E-2</v>
      </c>
      <c r="Q3447">
        <v>0.1471345</v>
      </c>
      <c r="R3447">
        <v>0.98783449999999995</v>
      </c>
      <c r="S3447">
        <v>-0.70133970000000001</v>
      </c>
      <c r="T3447">
        <v>0.4422951</v>
      </c>
      <c r="U3447">
        <v>2.9358520000000001</v>
      </c>
      <c r="V3447">
        <v>-3.1322580000000003E-2</v>
      </c>
      <c r="W3447">
        <v>0.1540221</v>
      </c>
      <c r="X3447">
        <v>0.98757079999999997</v>
      </c>
      <c r="Y3447">
        <v>-0.21135019999999999</v>
      </c>
      <c r="Z3447">
        <v>0.1452522</v>
      </c>
      <c r="AA3447">
        <v>0.96655729999999995</v>
      </c>
      <c r="AB3447">
        <v>31</v>
      </c>
      <c r="AC3447">
        <v>-24.462499999999999</v>
      </c>
      <c r="AD3447">
        <v>15.430448</v>
      </c>
      <c r="AE3447">
        <v>102.106251</v>
      </c>
      <c r="AF3447">
        <v>-22.040394731591501</v>
      </c>
      <c r="AG3447">
        <v>15.430448</v>
      </c>
      <c r="AH3447">
        <v>100.384853209102</v>
      </c>
      <c r="AI3447">
        <v>81.461572012867805</v>
      </c>
      <c r="AJ3447">
        <v>102.38331357371</v>
      </c>
      <c r="AK3447">
        <v>103.927842656422</v>
      </c>
      <c r="AL3447">
        <v>81.139914309730997</v>
      </c>
      <c r="AM3447">
        <v>91.816629471825806</v>
      </c>
      <c r="AN3447">
        <v>0.99999999815945295</v>
      </c>
    </row>
    <row r="3448" spans="1:40" x14ac:dyDescent="0.3">
      <c r="A3448" t="str">
        <f>"20200111150420748"</f>
        <v>20200111150420748</v>
      </c>
      <c r="B3448" t="str">
        <f>"1578726260741947"</f>
        <v>1578726260741947</v>
      </c>
      <c r="C3448" t="s">
        <v>40</v>
      </c>
      <c r="D3448">
        <v>5.520035</v>
      </c>
      <c r="E3448">
        <v>0.45878829999999998</v>
      </c>
      <c r="F3448" t="s">
        <v>41</v>
      </c>
      <c r="G3448">
        <v>-191.14320000000001</v>
      </c>
      <c r="H3448" s="1">
        <v>-2.7501959999999998E-6</v>
      </c>
      <c r="I3448">
        <v>15.29081</v>
      </c>
      <c r="J3448">
        <v>-187.4639</v>
      </c>
      <c r="K3448">
        <v>1.103307</v>
      </c>
      <c r="L3448">
        <v>-7.1655579999999999</v>
      </c>
      <c r="M3448">
        <v>-1.8856250000000001E-2</v>
      </c>
      <c r="N3448">
        <v>0</v>
      </c>
      <c r="O3448">
        <v>0.99979819999999997</v>
      </c>
      <c r="P3448">
        <v>-5.2956999999999997E-2</v>
      </c>
      <c r="Q3448">
        <v>0.1481181</v>
      </c>
      <c r="R3448">
        <v>0.98755079999999995</v>
      </c>
      <c r="S3448">
        <v>-0.4909058</v>
      </c>
      <c r="T3448">
        <v>-0.14694109999999999</v>
      </c>
      <c r="U3448">
        <v>3.0338129999999999</v>
      </c>
      <c r="V3448">
        <v>-3.4188780000000002E-2</v>
      </c>
      <c r="W3448">
        <v>0.15499540000000001</v>
      </c>
      <c r="X3448">
        <v>0.98732350000000002</v>
      </c>
      <c r="Y3448">
        <v>-0.14090820000000001</v>
      </c>
      <c r="Z3448">
        <v>-4.7813340000000003E-2</v>
      </c>
      <c r="AA3448">
        <v>0.98886739999999995</v>
      </c>
      <c r="AB3448">
        <v>31</v>
      </c>
      <c r="AC3448">
        <v>-3.6793000000000098</v>
      </c>
      <c r="AD3448">
        <v>-1.1033097501960001</v>
      </c>
      <c r="AE3448">
        <v>22.456367999999902</v>
      </c>
      <c r="AF3448">
        <v>-3.2475584720895099</v>
      </c>
      <c r="AG3448">
        <v>-1.1033097501960001</v>
      </c>
      <c r="AH3448">
        <v>22.468935206624099</v>
      </c>
      <c r="AI3448">
        <v>92.782315991360505</v>
      </c>
      <c r="AJ3448">
        <v>98.224318875671401</v>
      </c>
      <c r="AK3448">
        <v>22.729209791675299</v>
      </c>
      <c r="AL3448">
        <v>81.083471162557203</v>
      </c>
      <c r="AM3448">
        <v>91.983230840682893</v>
      </c>
      <c r="AN3448">
        <v>1.00000007017564</v>
      </c>
    </row>
    <row r="3449" spans="1:40" x14ac:dyDescent="0.3">
      <c r="A3449" t="str">
        <f>"20200111150420771"</f>
        <v>20200111150420771</v>
      </c>
      <c r="B3449" t="str">
        <f>"1578726260762443"</f>
        <v>1578726260762443</v>
      </c>
      <c r="C3449" t="s">
        <v>40</v>
      </c>
      <c r="D3449">
        <v>5.461341</v>
      </c>
      <c r="E3449">
        <v>0.4579723</v>
      </c>
      <c r="F3449" t="s">
        <v>41</v>
      </c>
      <c r="G3449">
        <v>-189.71440000000001</v>
      </c>
      <c r="H3449" s="1">
        <v>-3.094717E-6</v>
      </c>
      <c r="I3449">
        <v>6.7285589999999997</v>
      </c>
      <c r="J3449">
        <v>-187.46979999999999</v>
      </c>
      <c r="K3449">
        <v>1.1035079999999999</v>
      </c>
      <c r="L3449">
        <v>-6.8548580000000001</v>
      </c>
      <c r="M3449">
        <v>-1.89496E-2</v>
      </c>
      <c r="N3449">
        <v>0</v>
      </c>
      <c r="O3449">
        <v>0.99979640000000003</v>
      </c>
      <c r="P3449">
        <v>-5.6342990000000003E-2</v>
      </c>
      <c r="Q3449">
        <v>0.1504238</v>
      </c>
      <c r="R3449">
        <v>0.98701479999999997</v>
      </c>
      <c r="S3449">
        <v>-0.4936371</v>
      </c>
      <c r="T3449">
        <v>-0.2420081</v>
      </c>
      <c r="U3449">
        <v>3.0476380000000001</v>
      </c>
      <c r="V3449">
        <v>-3.7565899999999999E-2</v>
      </c>
      <c r="W3449">
        <v>0.15729009999999999</v>
      </c>
      <c r="X3449">
        <v>0.98683770000000004</v>
      </c>
      <c r="Y3449">
        <v>-0.14066500000000001</v>
      </c>
      <c r="Z3449">
        <v>-7.8237940000000006E-2</v>
      </c>
      <c r="AA3449">
        <v>0.98696110000000004</v>
      </c>
      <c r="AB3449">
        <v>31</v>
      </c>
      <c r="AC3449">
        <v>-2.2446000000000201</v>
      </c>
      <c r="AD3449">
        <v>-1.1035110947169999</v>
      </c>
      <c r="AE3449">
        <v>13.583417000000001</v>
      </c>
      <c r="AF3449">
        <v>-1.9741078916249</v>
      </c>
      <c r="AG3449">
        <v>-1.1035110947169999</v>
      </c>
      <c r="AH3449">
        <v>13.536548360538999</v>
      </c>
      <c r="AI3449">
        <v>94.6119242680724</v>
      </c>
      <c r="AJ3449">
        <v>98.297260694930301</v>
      </c>
      <c r="AK3449">
        <v>13.7241750288005</v>
      </c>
      <c r="AL3449">
        <v>80.950361307013296</v>
      </c>
      <c r="AM3449">
        <v>92.180022881859102</v>
      </c>
      <c r="AN3449">
        <v>1.0000000092710499</v>
      </c>
    </row>
    <row r="3450" spans="1:40" x14ac:dyDescent="0.3">
      <c r="A3450" t="str">
        <f>"20200111150421061"</f>
        <v>20200111150421061</v>
      </c>
      <c r="B3450" t="str">
        <f>"1578726261051815"</f>
        <v>1578726261051815</v>
      </c>
      <c r="C3450" t="s">
        <v>40</v>
      </c>
      <c r="D3450">
        <v>5.3785100000000003</v>
      </c>
      <c r="E3450">
        <v>0.55567519999999904</v>
      </c>
      <c r="F3450" t="s">
        <v>41</v>
      </c>
      <c r="G3450">
        <v>-189.52359999999999</v>
      </c>
      <c r="H3450" s="1">
        <v>-2.581487E-6</v>
      </c>
      <c r="I3450">
        <v>5.4532930000000004</v>
      </c>
      <c r="J3450">
        <v>-187.57660000000001</v>
      </c>
      <c r="K3450">
        <v>1.105086</v>
      </c>
      <c r="L3450">
        <v>-2.6929630000000002</v>
      </c>
      <c r="M3450">
        <v>-3.1532820000000003E-2</v>
      </c>
      <c r="N3450">
        <v>0</v>
      </c>
      <c r="O3450">
        <v>0.99947759999999997</v>
      </c>
      <c r="P3450">
        <v>-7.9377199999999995E-2</v>
      </c>
      <c r="Q3450">
        <v>0.14582579999999901</v>
      </c>
      <c r="R3450">
        <v>0.98612080000000002</v>
      </c>
      <c r="S3450">
        <v>-0.50927730000000004</v>
      </c>
      <c r="T3450">
        <v>-0.27364129999999998</v>
      </c>
      <c r="U3450">
        <v>3.0520939999999999</v>
      </c>
      <c r="V3450">
        <v>-4.8782529999999998E-2</v>
      </c>
      <c r="W3450">
        <v>0.15264800000000001</v>
      </c>
      <c r="X3450">
        <v>0.98707590000000001</v>
      </c>
      <c r="Y3450">
        <v>-0.13275899999999999</v>
      </c>
      <c r="Z3450">
        <v>-8.8232409999999997E-2</v>
      </c>
      <c r="AA3450">
        <v>0.98721329999999996</v>
      </c>
      <c r="AB3450">
        <v>32</v>
      </c>
      <c r="AC3450">
        <v>-1.9469999999999701</v>
      </c>
      <c r="AD3450">
        <v>-1.105088581487</v>
      </c>
      <c r="AE3450">
        <v>8.1462559999999993</v>
      </c>
      <c r="AF3450">
        <v>-1.6602490259443199</v>
      </c>
      <c r="AG3450">
        <v>-1.105088581487</v>
      </c>
      <c r="AH3450">
        <v>8.0632348471868305</v>
      </c>
      <c r="AI3450">
        <v>97.645493856280297</v>
      </c>
      <c r="AJ3450">
        <v>101.63480147119</v>
      </c>
      <c r="AK3450">
        <v>8.3062268089650697</v>
      </c>
      <c r="AL3450">
        <v>81.219586557272805</v>
      </c>
      <c r="AM3450">
        <v>92.829327335457606</v>
      </c>
      <c r="AN3450">
        <v>0.99999998974900495</v>
      </c>
    </row>
    <row r="3451" spans="1:40" x14ac:dyDescent="0.3">
      <c r="A3451" t="str">
        <f>"20200111150421084"</f>
        <v>20200111150421084</v>
      </c>
      <c r="B3451" t="str">
        <f>"1578726261072312"</f>
        <v>1578726261072312</v>
      </c>
      <c r="C3451" t="s">
        <v>40</v>
      </c>
      <c r="D3451">
        <v>5.4364650000000001</v>
      </c>
      <c r="E3451">
        <v>0.558365</v>
      </c>
      <c r="F3451" t="s">
        <v>42</v>
      </c>
      <c r="G3451">
        <v>-187.5307</v>
      </c>
      <c r="H3451">
        <v>0.89957670000000001</v>
      </c>
      <c r="I3451">
        <v>-1.9253100000000001</v>
      </c>
      <c r="J3451">
        <v>-187.58869999999999</v>
      </c>
      <c r="K3451">
        <v>1.105186</v>
      </c>
      <c r="L3451">
        <v>-2.3678279999999998</v>
      </c>
      <c r="M3451">
        <v>-3.3542669999999997E-2</v>
      </c>
      <c r="N3451">
        <v>0</v>
      </c>
      <c r="O3451">
        <v>0.99941210000000003</v>
      </c>
      <c r="P3451">
        <v>-8.2063650000000002E-2</v>
      </c>
      <c r="Q3451">
        <v>0.1448469</v>
      </c>
      <c r="R3451">
        <v>0.98604510000000001</v>
      </c>
      <c r="S3451">
        <v>0.18945310000000001</v>
      </c>
      <c r="T3451">
        <v>-0.85236610000000002</v>
      </c>
      <c r="U3451">
        <v>3.1835330000000002</v>
      </c>
      <c r="V3451">
        <v>-4.952057E-2</v>
      </c>
      <c r="W3451">
        <v>0.15166830000000001</v>
      </c>
      <c r="X3451">
        <v>0.98719020000000002</v>
      </c>
      <c r="Y3451">
        <v>9.0846579999999996E-2</v>
      </c>
      <c r="Z3451">
        <v>-0.25766489999999997</v>
      </c>
      <c r="AA3451">
        <v>0.96195410000000003</v>
      </c>
      <c r="AB3451">
        <v>33</v>
      </c>
      <c r="AC3451">
        <v>5.7999999999992703E-2</v>
      </c>
      <c r="AD3451">
        <v>-0.20560929999999999</v>
      </c>
      <c r="AE3451">
        <v>0.44251800000000002</v>
      </c>
      <c r="AF3451">
        <v>6.0063186490393002E-2</v>
      </c>
      <c r="AG3451">
        <v>-0.20560929999999999</v>
      </c>
      <c r="AH3451">
        <v>0.36323138819914202</v>
      </c>
      <c r="AI3451">
        <v>119.182146592119</v>
      </c>
      <c r="AJ3451">
        <v>80.610652313162802</v>
      </c>
      <c r="AK3451">
        <v>0.42168686485465201</v>
      </c>
      <c r="AL3451">
        <v>81.276380850103195</v>
      </c>
      <c r="AM3451">
        <v>92.8717296406478</v>
      </c>
      <c r="AN3451">
        <v>1.0000000255270201</v>
      </c>
    </row>
    <row r="3452" spans="1:40" x14ac:dyDescent="0.3">
      <c r="A3452" t="str">
        <f>"20200111150421106"</f>
        <v>20200111150421106</v>
      </c>
      <c r="B3452" t="str">
        <f>"1578726261102567"</f>
        <v>1578726261102567</v>
      </c>
      <c r="C3452" t="s">
        <v>40</v>
      </c>
      <c r="D3452">
        <v>5.354705</v>
      </c>
      <c r="E3452">
        <v>0.55744759999999904</v>
      </c>
      <c r="F3452" t="s">
        <v>42</v>
      </c>
      <c r="G3452">
        <v>-187.5419</v>
      </c>
      <c r="H3452">
        <v>0.89584370000000002</v>
      </c>
      <c r="I3452">
        <v>-1.6351709999999999</v>
      </c>
      <c r="J3452">
        <v>-187.60169999999999</v>
      </c>
      <c r="K3452">
        <v>1.1052649999999999</v>
      </c>
      <c r="L3452">
        <v>-2.0400700000000001</v>
      </c>
      <c r="M3452">
        <v>-3.5645200000000002E-2</v>
      </c>
      <c r="N3452">
        <v>0</v>
      </c>
      <c r="O3452">
        <v>0.99933919999999998</v>
      </c>
      <c r="P3452">
        <v>-8.5249980000000003E-2</v>
      </c>
      <c r="Q3452">
        <v>0.14315020000000001</v>
      </c>
      <c r="R3452">
        <v>0.98602250000000002</v>
      </c>
      <c r="S3452">
        <v>0.2034454</v>
      </c>
      <c r="T3452">
        <v>-0.91252710000000004</v>
      </c>
      <c r="U3452">
        <v>3.1934200000000001</v>
      </c>
      <c r="V3452">
        <v>-5.065273E-2</v>
      </c>
      <c r="W3452">
        <v>0.1499704</v>
      </c>
      <c r="X3452">
        <v>0.98739209999999999</v>
      </c>
      <c r="Y3452">
        <v>9.6681569999999994E-2</v>
      </c>
      <c r="Z3452">
        <v>-0.27359040000000001</v>
      </c>
      <c r="AA3452">
        <v>0.95697489999999996</v>
      </c>
      <c r="AB3452">
        <v>33</v>
      </c>
      <c r="AC3452">
        <v>5.97999999999956E-2</v>
      </c>
      <c r="AD3452">
        <v>-0.20942129999999901</v>
      </c>
      <c r="AE3452">
        <v>0.40489900000000001</v>
      </c>
      <c r="AF3452">
        <v>5.8800765130443099E-2</v>
      </c>
      <c r="AG3452">
        <v>-0.20942129999999901</v>
      </c>
      <c r="AH3452">
        <v>0.318995580614168</v>
      </c>
      <c r="AI3452">
        <v>122.84731088745301</v>
      </c>
      <c r="AJ3452">
        <v>79.555850306835694</v>
      </c>
      <c r="AK3452">
        <v>0.38609971681546901</v>
      </c>
      <c r="AL3452">
        <v>81.374788709189602</v>
      </c>
      <c r="AM3452">
        <v>92.936671080075001</v>
      </c>
      <c r="AN3452">
        <v>0.99999998953751101</v>
      </c>
    </row>
    <row r="3453" spans="1:40" x14ac:dyDescent="0.3">
      <c r="A3453" t="str">
        <f>"20200111150421128"</f>
        <v>20200111150421128</v>
      </c>
      <c r="B3453" t="str">
        <f>"1578726261122087"</f>
        <v>1578726261122087</v>
      </c>
      <c r="C3453" t="s">
        <v>40</v>
      </c>
      <c r="D3453">
        <v>5.3043909999999999</v>
      </c>
      <c r="E3453">
        <v>0.55702850000000004</v>
      </c>
      <c r="F3453" t="s">
        <v>42</v>
      </c>
      <c r="G3453">
        <v>-187.56010000000001</v>
      </c>
      <c r="H3453">
        <v>0.90932559999999996</v>
      </c>
      <c r="I3453">
        <v>-1.3374839999999999</v>
      </c>
      <c r="J3453">
        <v>-187.61510000000001</v>
      </c>
      <c r="K3453">
        <v>1.1053120000000001</v>
      </c>
      <c r="L3453">
        <v>-1.716736</v>
      </c>
      <c r="M3453">
        <v>-3.7747349999999999E-2</v>
      </c>
      <c r="N3453">
        <v>0</v>
      </c>
      <c r="O3453">
        <v>0.99926190000000004</v>
      </c>
      <c r="P3453">
        <v>-8.7235809999999997E-2</v>
      </c>
      <c r="Q3453">
        <v>0.1417119</v>
      </c>
      <c r="R3453">
        <v>0.98605659999999895</v>
      </c>
      <c r="S3453">
        <v>0.18803410000000001</v>
      </c>
      <c r="T3453">
        <v>-0.88910560000000005</v>
      </c>
      <c r="U3453">
        <v>3.1878660000000001</v>
      </c>
      <c r="V3453">
        <v>-5.0571499999999998E-2</v>
      </c>
      <c r="W3453">
        <v>0.14853939999999999</v>
      </c>
      <c r="X3453">
        <v>0.9876125</v>
      </c>
      <c r="Y3453">
        <v>9.4371399999999994E-2</v>
      </c>
      <c r="Z3453">
        <v>-0.26754559999999999</v>
      </c>
      <c r="AA3453">
        <v>0.9589126</v>
      </c>
      <c r="AB3453">
        <v>33</v>
      </c>
      <c r="AC3453">
        <v>5.50000000000068E-2</v>
      </c>
      <c r="AD3453">
        <v>-0.19598640000000001</v>
      </c>
      <c r="AE3453">
        <v>0.37925199999999898</v>
      </c>
      <c r="AF3453">
        <v>5.49140717070166E-2</v>
      </c>
      <c r="AG3453">
        <v>-0.19598640000000001</v>
      </c>
      <c r="AH3453">
        <v>0.29876353331799799</v>
      </c>
      <c r="AI3453">
        <v>122.829450895146</v>
      </c>
      <c r="AJ3453">
        <v>79.585028246067097</v>
      </c>
      <c r="AK3453">
        <v>0.361505011164518</v>
      </c>
      <c r="AL3453">
        <v>81.457707349287801</v>
      </c>
      <c r="AM3453">
        <v>92.931316697668393</v>
      </c>
      <c r="AN3453">
        <v>0.99999994006042803</v>
      </c>
    </row>
    <row r="3454" spans="1:40" x14ac:dyDescent="0.3">
      <c r="A3454" t="str">
        <f>"20200111150421149"</f>
        <v>20200111150421149</v>
      </c>
      <c r="B3454" t="str">
        <f>"1578726261141607"</f>
        <v>1578726261141607</v>
      </c>
      <c r="C3454" t="s">
        <v>40</v>
      </c>
      <c r="D3454">
        <v>6.3605609999999997</v>
      </c>
      <c r="E3454">
        <v>0.55735559999999995</v>
      </c>
      <c r="F3454" t="s">
        <v>42</v>
      </c>
      <c r="G3454">
        <v>-187.57749999999999</v>
      </c>
      <c r="H3454">
        <v>0.92082249999999999</v>
      </c>
      <c r="I3454">
        <v>-1.039625</v>
      </c>
      <c r="J3454">
        <v>-187.62860000000001</v>
      </c>
      <c r="K3454">
        <v>1.105326</v>
      </c>
      <c r="L3454">
        <v>-1.407959</v>
      </c>
      <c r="M3454">
        <v>-3.974134E-2</v>
      </c>
      <c r="N3454">
        <v>0</v>
      </c>
      <c r="O3454">
        <v>0.99918450000000003</v>
      </c>
      <c r="P3454">
        <v>-8.8370210000000005E-2</v>
      </c>
      <c r="Q3454">
        <v>0.140682</v>
      </c>
      <c r="R3454">
        <v>0.98610310000000001</v>
      </c>
      <c r="S3454">
        <v>0.17707819999999999</v>
      </c>
      <c r="T3454">
        <v>-0.8671548</v>
      </c>
      <c r="U3454">
        <v>3.182709</v>
      </c>
      <c r="V3454">
        <v>-4.9734279999999999E-2</v>
      </c>
      <c r="W3454">
        <v>0.14752219999999999</v>
      </c>
      <c r="X3454">
        <v>0.98780749999999995</v>
      </c>
      <c r="Y3454">
        <v>9.3246419999999997E-2</v>
      </c>
      <c r="Z3454">
        <v>-0.26180160000000002</v>
      </c>
      <c r="AA3454">
        <v>0.96060659999999998</v>
      </c>
      <c r="AB3454">
        <v>33</v>
      </c>
      <c r="AC3454">
        <v>5.1100000000019401E-2</v>
      </c>
      <c r="AD3454">
        <v>-0.18450349999999999</v>
      </c>
      <c r="AE3454">
        <v>0.36833399999999999</v>
      </c>
      <c r="AF3454">
        <v>5.2719738316598E-2</v>
      </c>
      <c r="AG3454">
        <v>-0.18450349999999999</v>
      </c>
      <c r="AH3454">
        <v>0.29370817423148798</v>
      </c>
      <c r="AI3454">
        <v>121.72870055081199</v>
      </c>
      <c r="AJ3454">
        <v>79.823943635655596</v>
      </c>
      <c r="AK3454">
        <v>0.35083529459108698</v>
      </c>
      <c r="AL3454">
        <v>81.516638195403004</v>
      </c>
      <c r="AM3454">
        <v>92.882302650516294</v>
      </c>
      <c r="AN3454">
        <v>0.99999997757810299</v>
      </c>
    </row>
    <row r="3455" spans="1:40" x14ac:dyDescent="0.3">
      <c r="A3455" t="str">
        <f>"20200111150421171"</f>
        <v>20200111150421171</v>
      </c>
      <c r="B3455" t="str">
        <f>"1578726261162103"</f>
        <v>1578726261162103</v>
      </c>
      <c r="C3455" t="s">
        <v>40</v>
      </c>
      <c r="D3455">
        <v>5.3616769999999896</v>
      </c>
      <c r="E3455">
        <v>0.54771199999999998</v>
      </c>
      <c r="F3455" t="s">
        <v>42</v>
      </c>
      <c r="G3455">
        <v>-187.57749999999999</v>
      </c>
      <c r="H3455">
        <v>0.85078009999999904</v>
      </c>
      <c r="I3455">
        <v>-0.478489</v>
      </c>
      <c r="J3455">
        <v>-187.64400000000001</v>
      </c>
      <c r="K3455">
        <v>1.1053059999999999</v>
      </c>
      <c r="L3455">
        <v>-1.0730900000000001</v>
      </c>
      <c r="M3455">
        <v>-4.1849850000000001E-2</v>
      </c>
      <c r="N3455">
        <v>0</v>
      </c>
      <c r="O3455">
        <v>0.99909840000000005</v>
      </c>
      <c r="P3455">
        <v>-8.975023E-2</v>
      </c>
      <c r="Q3455">
        <v>0.1395885</v>
      </c>
      <c r="R3455">
        <v>0.98613379999999995</v>
      </c>
      <c r="S3455">
        <v>0.1749878</v>
      </c>
      <c r="T3455">
        <v>-0.87149349999999903</v>
      </c>
      <c r="U3455">
        <v>3.1822810000000001</v>
      </c>
      <c r="V3455">
        <v>-4.9018239999999998E-2</v>
      </c>
      <c r="W3455">
        <v>0.14644489999999999</v>
      </c>
      <c r="X3455">
        <v>0.98800359999999998</v>
      </c>
      <c r="Y3455">
        <v>9.4706639999999995E-2</v>
      </c>
      <c r="Z3455">
        <v>-0.26300559999999901</v>
      </c>
      <c r="AA3455">
        <v>0.96013470000000001</v>
      </c>
      <c r="AB3455">
        <v>33</v>
      </c>
      <c r="AC3455">
        <v>6.6500000000019099E-2</v>
      </c>
      <c r="AD3455">
        <v>-0.25452590000000003</v>
      </c>
      <c r="AE3455">
        <v>0.59460099999999905</v>
      </c>
      <c r="AF3455">
        <v>7.7331421984088697E-2</v>
      </c>
      <c r="AG3455">
        <v>-0.25452590000000003</v>
      </c>
      <c r="AH3455">
        <v>0.50068619883864496</v>
      </c>
      <c r="AI3455">
        <v>116.674820455898</v>
      </c>
      <c r="AJ3455">
        <v>81.219993903566305</v>
      </c>
      <c r="AK3455">
        <v>0.56696582992662103</v>
      </c>
      <c r="AL3455">
        <v>81.579040934355405</v>
      </c>
      <c r="AM3455">
        <v>92.840310774849797</v>
      </c>
      <c r="AN3455">
        <v>1.00000000510083</v>
      </c>
    </row>
    <row r="3456" spans="1:40" x14ac:dyDescent="0.3">
      <c r="A3456" t="str">
        <f>"20200111150421194"</f>
        <v>20200111150421194</v>
      </c>
      <c r="B3456" t="str">
        <f>"1578726261192361"</f>
        <v>1578726261192361</v>
      </c>
      <c r="C3456" t="s">
        <v>40</v>
      </c>
      <c r="D3456">
        <v>5.4541209999999998</v>
      </c>
      <c r="E3456">
        <v>0.54632650000000005</v>
      </c>
      <c r="F3456" t="s">
        <v>42</v>
      </c>
      <c r="G3456">
        <v>-187.61269999999999</v>
      </c>
      <c r="H3456">
        <v>1.0087630000000001</v>
      </c>
      <c r="I3456">
        <v>-0.1131495</v>
      </c>
      <c r="J3456">
        <v>-187.65940000000001</v>
      </c>
      <c r="K3456">
        <v>1.1052820000000001</v>
      </c>
      <c r="L3456">
        <v>-0.74865719999999902</v>
      </c>
      <c r="M3456">
        <v>-4.383654E-2</v>
      </c>
      <c r="N3456">
        <v>0</v>
      </c>
      <c r="O3456">
        <v>0.99901309999999999</v>
      </c>
      <c r="P3456">
        <v>-9.0826119999999996E-2</v>
      </c>
      <c r="Q3456">
        <v>0.13934059999999901</v>
      </c>
      <c r="R3456">
        <v>0.98607040000000001</v>
      </c>
      <c r="S3456">
        <v>0.1001587</v>
      </c>
      <c r="T3456">
        <v>-0.3113631</v>
      </c>
      <c r="U3456">
        <v>3.095367</v>
      </c>
      <c r="V3456">
        <v>-4.8121459999999998E-2</v>
      </c>
      <c r="W3456">
        <v>0.1462138</v>
      </c>
      <c r="X3456">
        <v>0.98808189999999996</v>
      </c>
      <c r="Y3456">
        <v>7.5962489999999994E-2</v>
      </c>
      <c r="Z3456">
        <v>-9.9770230000000001E-2</v>
      </c>
      <c r="AA3456">
        <v>0.99210670000000001</v>
      </c>
      <c r="AB3456">
        <v>33</v>
      </c>
      <c r="AC3456">
        <v>4.67000000000155E-2</v>
      </c>
      <c r="AD3456">
        <v>-9.6518999999999994E-2</v>
      </c>
      <c r="AE3456">
        <v>0.63550769999999901</v>
      </c>
      <c r="AF3456">
        <v>7.2843058733976201E-2</v>
      </c>
      <c r="AG3456">
        <v>-9.6518999999999994E-2</v>
      </c>
      <c r="AH3456">
        <v>0.61865589109971597</v>
      </c>
      <c r="AI3456">
        <v>98.807582066793401</v>
      </c>
      <c r="AJ3456">
        <v>83.284681153009601</v>
      </c>
      <c r="AK3456">
        <v>0.63036270524128002</v>
      </c>
      <c r="AL3456">
        <v>81.592425987595902</v>
      </c>
      <c r="AM3456">
        <v>92.788209947541105</v>
      </c>
      <c r="AN3456">
        <v>0.99999999566528996</v>
      </c>
    </row>
    <row r="3457" spans="1:40" x14ac:dyDescent="0.3">
      <c r="A3457" t="str">
        <f>"20200111150421216"</f>
        <v>20200111150421216</v>
      </c>
      <c r="B3457" t="str">
        <f>"1578726261211880"</f>
        <v>1578726261211880</v>
      </c>
      <c r="C3457" t="s">
        <v>40</v>
      </c>
      <c r="D3457">
        <v>5.3829989999999999</v>
      </c>
      <c r="E3457">
        <v>0.54589219999999905</v>
      </c>
      <c r="F3457" t="s">
        <v>42</v>
      </c>
      <c r="G3457">
        <v>-187.6345</v>
      </c>
      <c r="H3457">
        <v>0.99877859999999996</v>
      </c>
      <c r="I3457">
        <v>0.17761749999999901</v>
      </c>
      <c r="J3457">
        <v>-187.6756</v>
      </c>
      <c r="K3457">
        <v>1.1052489999999999</v>
      </c>
      <c r="L3457">
        <v>-0.42041020000000001</v>
      </c>
      <c r="M3457">
        <v>-4.5768639999999999E-2</v>
      </c>
      <c r="N3457">
        <v>0</v>
      </c>
      <c r="O3457">
        <v>0.99892639999999999</v>
      </c>
      <c r="P3457">
        <v>-9.2895080000000005E-2</v>
      </c>
      <c r="Q3457">
        <v>0.1390439</v>
      </c>
      <c r="R3457">
        <v>0.98591949999999995</v>
      </c>
      <c r="S3457">
        <v>8.3038329999999994E-2</v>
      </c>
      <c r="T3457">
        <v>-0.35651100000000002</v>
      </c>
      <c r="U3457">
        <v>3.100403</v>
      </c>
      <c r="V3457">
        <v>-4.8270489999999999E-2</v>
      </c>
      <c r="W3457">
        <v>0.1459307</v>
      </c>
      <c r="X3457">
        <v>0.98811649999999995</v>
      </c>
      <c r="Y3457">
        <v>7.2324059999999996E-2</v>
      </c>
      <c r="Z3457">
        <v>-0.11388669999999999</v>
      </c>
      <c r="AA3457">
        <v>0.99085769999999995</v>
      </c>
      <c r="AB3457">
        <v>33</v>
      </c>
      <c r="AC3457">
        <v>4.1100000000000102E-2</v>
      </c>
      <c r="AD3457">
        <v>-0.10647039999999899</v>
      </c>
      <c r="AE3457">
        <v>0.59802769999999905</v>
      </c>
      <c r="AF3457">
        <v>6.6335797321143003E-2</v>
      </c>
      <c r="AG3457">
        <v>-0.10647039999999899</v>
      </c>
      <c r="AH3457">
        <v>0.57730708216347904</v>
      </c>
      <c r="AI3457">
        <v>100.382594644642</v>
      </c>
      <c r="AJ3457">
        <v>83.445143675821697</v>
      </c>
      <c r="AK3457">
        <v>0.59077902061473098</v>
      </c>
      <c r="AL3457">
        <v>81.608822441540397</v>
      </c>
      <c r="AM3457">
        <v>92.796733440564495</v>
      </c>
      <c r="AN3457">
        <v>1.00000001348979</v>
      </c>
    </row>
    <row r="3458" spans="1:40" x14ac:dyDescent="0.3">
      <c r="A3458" t="str">
        <f>"20200111150421239"</f>
        <v>20200111150421239</v>
      </c>
      <c r="B3458" t="str">
        <f>"1578726261232376"</f>
        <v>1578726261232376</v>
      </c>
      <c r="C3458" t="s">
        <v>40</v>
      </c>
      <c r="D3458">
        <v>5.3706630000000004</v>
      </c>
      <c r="E3458">
        <v>0.54527440000000005</v>
      </c>
      <c r="F3458" t="s">
        <v>42</v>
      </c>
      <c r="G3458">
        <v>-187.65430000000001</v>
      </c>
      <c r="H3458">
        <v>1.0125309999999901</v>
      </c>
      <c r="I3458">
        <v>0.48078539999999997</v>
      </c>
      <c r="J3458">
        <v>-187.6927</v>
      </c>
      <c r="K3458">
        <v>1.1051949999999999</v>
      </c>
      <c r="L3458">
        <v>-8.64563E-2</v>
      </c>
      <c r="M3458">
        <v>-4.7632819999999999E-2</v>
      </c>
      <c r="N3458">
        <v>0</v>
      </c>
      <c r="O3458">
        <v>0.99883909999999998</v>
      </c>
      <c r="P3458">
        <v>-9.5842700000000003E-2</v>
      </c>
      <c r="Q3458">
        <v>0.1375075</v>
      </c>
      <c r="R3458">
        <v>0.98585279999999997</v>
      </c>
      <c r="S3458">
        <v>7.3074340000000002E-2</v>
      </c>
      <c r="T3458">
        <v>-0.3184208</v>
      </c>
      <c r="U3458">
        <v>3.0946349999999998</v>
      </c>
      <c r="V3458">
        <v>-4.9349759999999999E-2</v>
      </c>
      <c r="W3458">
        <v>0.14440729999999999</v>
      </c>
      <c r="X3458">
        <v>0.98828700000000003</v>
      </c>
      <c r="Y3458">
        <v>7.1076940000000005E-2</v>
      </c>
      <c r="Z3458">
        <v>-0.1020364</v>
      </c>
      <c r="AA3458">
        <v>0.99223819999999996</v>
      </c>
      <c r="AB3458">
        <v>33</v>
      </c>
      <c r="AC3458">
        <v>3.8399999999995701E-2</v>
      </c>
      <c r="AD3458">
        <v>-9.2664000000000302E-2</v>
      </c>
      <c r="AE3458">
        <v>0.56724169999999996</v>
      </c>
      <c r="AF3458">
        <v>6.3684683249163807E-2</v>
      </c>
      <c r="AG3458">
        <v>-9.2664000000000302E-2</v>
      </c>
      <c r="AH3458">
        <v>0.55015413417944803</v>
      </c>
      <c r="AI3458">
        <v>99.498490368797306</v>
      </c>
      <c r="AJ3458">
        <v>83.396950026310407</v>
      </c>
      <c r="AK3458">
        <v>0.56152642603112102</v>
      </c>
      <c r="AL3458">
        <v>81.697041498337597</v>
      </c>
      <c r="AM3458">
        <v>92.858669957245098</v>
      </c>
      <c r="AN3458">
        <v>1.0000000307371699</v>
      </c>
    </row>
    <row r="3459" spans="1:40" x14ac:dyDescent="0.3">
      <c r="A3459" t="str">
        <f>"20200111150421518"</f>
        <v>20200111150421518</v>
      </c>
      <c r="B3459" t="str">
        <f>"1578726261512487"</f>
        <v>1578726261512487</v>
      </c>
      <c r="C3459" t="s">
        <v>40</v>
      </c>
      <c r="D3459">
        <v>5.2283470000000003</v>
      </c>
      <c r="E3459">
        <v>0.50179039999999997</v>
      </c>
      <c r="F3459" t="s">
        <v>87</v>
      </c>
      <c r="G3459">
        <v>-218.00479999999999</v>
      </c>
      <c r="H3459">
        <v>9.1581949999999992</v>
      </c>
      <c r="I3459">
        <v>391.87</v>
      </c>
      <c r="J3459">
        <v>-187.9444</v>
      </c>
      <c r="K3459">
        <v>1.104193</v>
      </c>
      <c r="L3459">
        <v>4.1272279999999997</v>
      </c>
      <c r="M3459">
        <v>-6.3111449999999999E-2</v>
      </c>
      <c r="N3459">
        <v>0</v>
      </c>
      <c r="O3459">
        <v>0.99797959999999997</v>
      </c>
      <c r="P3459">
        <v>-8.3420090000000002E-2</v>
      </c>
      <c r="Q3459">
        <v>0.14268049999999999</v>
      </c>
      <c r="R3459">
        <v>0.98624710000000004</v>
      </c>
      <c r="S3459">
        <v>-0.23345949999999999</v>
      </c>
      <c r="T3459">
        <v>6.2505839999999993E-2</v>
      </c>
      <c r="U3459">
        <v>3.0117799999999999</v>
      </c>
      <c r="V3459">
        <v>-2.1222419999999999E-2</v>
      </c>
      <c r="W3459">
        <v>0.14988689999999999</v>
      </c>
      <c r="X3459">
        <v>0.9884754</v>
      </c>
      <c r="Y3459">
        <v>-1.4188650000000001E-2</v>
      </c>
      <c r="Z3459">
        <v>2.0655320000000001E-2</v>
      </c>
      <c r="AA3459">
        <v>0.99968590000000002</v>
      </c>
      <c r="AB3459">
        <v>34</v>
      </c>
      <c r="AC3459">
        <v>-30.060399999999898</v>
      </c>
      <c r="AD3459">
        <v>8.0540019999999899</v>
      </c>
      <c r="AE3459">
        <v>387.742772</v>
      </c>
      <c r="AF3459">
        <v>-5.5264355820438897</v>
      </c>
      <c r="AG3459">
        <v>8.0540019999999899</v>
      </c>
      <c r="AH3459">
        <v>388.70026101356598</v>
      </c>
      <c r="AI3459">
        <v>88.8131016814568</v>
      </c>
      <c r="AJ3459">
        <v>90.814561072473296</v>
      </c>
      <c r="AK3459">
        <v>388.82296916523899</v>
      </c>
      <c r="AL3459">
        <v>81.3796280847925</v>
      </c>
      <c r="AM3459">
        <v>91.2299429155007</v>
      </c>
      <c r="AN3459">
        <v>1.0000000451537101</v>
      </c>
    </row>
    <row r="3460" spans="1:40" x14ac:dyDescent="0.3">
      <c r="A3460" t="str">
        <f>"20200111150421540"</f>
        <v>20200111150421540</v>
      </c>
      <c r="B3460" t="str">
        <f>"1578726261532008"</f>
        <v>1578726261532008</v>
      </c>
      <c r="C3460" t="s">
        <v>40</v>
      </c>
      <c r="D3460">
        <v>5.2126440000000001</v>
      </c>
      <c r="E3460">
        <v>0.50368259999999998</v>
      </c>
      <c r="F3460" t="s">
        <v>87</v>
      </c>
      <c r="G3460">
        <v>-219.06030000000001</v>
      </c>
      <c r="H3460">
        <v>3.1028570000000002</v>
      </c>
      <c r="I3460">
        <v>391.87</v>
      </c>
      <c r="J3460">
        <v>-187.96799999999999</v>
      </c>
      <c r="K3460">
        <v>1.1039760000000001</v>
      </c>
      <c r="L3460">
        <v>4.4954530000000004</v>
      </c>
      <c r="M3460">
        <v>-6.3280249999999996E-2</v>
      </c>
      <c r="N3460">
        <v>0</v>
      </c>
      <c r="O3460">
        <v>0.99796890000000005</v>
      </c>
      <c r="P3460">
        <v>-8.8288169999999999E-2</v>
      </c>
      <c r="Q3460">
        <v>0.141589299999999</v>
      </c>
      <c r="R3460">
        <v>0.98598059999999998</v>
      </c>
      <c r="S3460">
        <v>-0.2422791</v>
      </c>
      <c r="T3460">
        <v>1.5562299999999999E-2</v>
      </c>
      <c r="U3460">
        <v>3.019104</v>
      </c>
      <c r="V3460">
        <v>-2.585026E-2</v>
      </c>
      <c r="W3460">
        <v>0.14881620000000001</v>
      </c>
      <c r="X3460">
        <v>0.98852689999999999</v>
      </c>
      <c r="Y3460">
        <v>-1.6750959999999999E-2</v>
      </c>
      <c r="Z3460">
        <v>5.1304480000000001E-3</v>
      </c>
      <c r="AA3460">
        <v>0.99984649999999997</v>
      </c>
      <c r="AB3460">
        <v>34</v>
      </c>
      <c r="AC3460">
        <v>-31.092300000000002</v>
      </c>
      <c r="AD3460">
        <v>1.9988809999999999</v>
      </c>
      <c r="AE3460">
        <v>387.37454700000001</v>
      </c>
      <c r="AF3460">
        <v>-6.5159927762933902</v>
      </c>
      <c r="AG3460">
        <v>1.9988809999999999</v>
      </c>
      <c r="AH3460">
        <v>388.555429620388</v>
      </c>
      <c r="AI3460">
        <v>89.705292151890603</v>
      </c>
      <c r="AJ3460">
        <v>90.960748107867602</v>
      </c>
      <c r="AK3460">
        <v>388.61520244915499</v>
      </c>
      <c r="AL3460">
        <v>81.441669840552606</v>
      </c>
      <c r="AM3460">
        <v>91.497959562645804</v>
      </c>
      <c r="AN3460">
        <v>0.99999996467405805</v>
      </c>
    </row>
    <row r="3461" spans="1:40" x14ac:dyDescent="0.3">
      <c r="A3461" t="str">
        <f>"20200111150421607"</f>
        <v>20200111150421607</v>
      </c>
      <c r="B3461" t="str">
        <f>"1578726261602279"</f>
        <v>1578726261602279</v>
      </c>
      <c r="C3461" t="s">
        <v>40</v>
      </c>
      <c r="D3461">
        <v>5.3375719999999998</v>
      </c>
      <c r="E3461">
        <v>0.50361929999999999</v>
      </c>
      <c r="F3461" t="s">
        <v>41</v>
      </c>
      <c r="G3461">
        <v>-189.3792</v>
      </c>
      <c r="H3461" s="1">
        <v>-1.1928619999999901E-6</v>
      </c>
      <c r="I3461">
        <v>22.156680000000001</v>
      </c>
      <c r="J3461">
        <v>-188.03129999999999</v>
      </c>
      <c r="K3461">
        <v>1.103162</v>
      </c>
      <c r="L3461">
        <v>5.5155940000000001</v>
      </c>
      <c r="M3461">
        <v>-6.1779750000000001E-2</v>
      </c>
      <c r="N3461">
        <v>0</v>
      </c>
      <c r="O3461">
        <v>0.99806260000000002</v>
      </c>
      <c r="P3461">
        <v>-9.673255E-2</v>
      </c>
      <c r="Q3461">
        <v>0.13493060000000001</v>
      </c>
      <c r="R3461">
        <v>0.98612200000000005</v>
      </c>
      <c r="S3461">
        <v>-0.24357599999999999</v>
      </c>
      <c r="T3461">
        <v>-0.19053970000000001</v>
      </c>
      <c r="U3461">
        <v>3.0482179999999999</v>
      </c>
      <c r="V3461">
        <v>-3.5478580000000003E-2</v>
      </c>
      <c r="W3461">
        <v>0.14226529999999901</v>
      </c>
      <c r="X3461">
        <v>0.98919250000000003</v>
      </c>
      <c r="Y3461">
        <v>-1.7762460000000001E-2</v>
      </c>
      <c r="Z3461">
        <v>-6.2104909999999999E-2</v>
      </c>
      <c r="AA3461">
        <v>0.99791160000000001</v>
      </c>
      <c r="AB3461">
        <v>35</v>
      </c>
      <c r="AC3461">
        <v>-1.3479000000000101</v>
      </c>
      <c r="AD3461">
        <v>-1.103163192862</v>
      </c>
      <c r="AE3461">
        <v>16.641085999999898</v>
      </c>
      <c r="AF3461">
        <v>-0.31583614292731599</v>
      </c>
      <c r="AG3461">
        <v>-1.103163192862</v>
      </c>
      <c r="AH3461">
        <v>16.620010061375499</v>
      </c>
      <c r="AI3461">
        <v>93.796788100352401</v>
      </c>
      <c r="AJ3461">
        <v>91.088681660201004</v>
      </c>
      <c r="AK3461">
        <v>16.659575502979902</v>
      </c>
      <c r="AL3461">
        <v>81.821049112003905</v>
      </c>
      <c r="AM3461">
        <v>92.054101630050795</v>
      </c>
      <c r="AN3461">
        <v>0.99999997363957704</v>
      </c>
    </row>
    <row r="3462" spans="1:40" x14ac:dyDescent="0.3">
      <c r="A3462" t="str">
        <f>"20200111150421988"</f>
        <v>20200111150421988</v>
      </c>
      <c r="B3462" t="str">
        <f>"1578726261981476"</f>
        <v>1578726261981476</v>
      </c>
      <c r="C3462" t="s">
        <v>40</v>
      </c>
      <c r="D3462">
        <v>5.4268130000000001</v>
      </c>
      <c r="E3462">
        <v>0.50322060000000002</v>
      </c>
      <c r="F3462" t="s">
        <v>41</v>
      </c>
      <c r="G3462">
        <v>-189.29849999999999</v>
      </c>
      <c r="H3462" s="1">
        <v>-2.7063420000000002E-7</v>
      </c>
      <c r="I3462">
        <v>19.894850000000002</v>
      </c>
      <c r="J3462">
        <v>-188.25399999999999</v>
      </c>
      <c r="K3462">
        <v>1.101</v>
      </c>
      <c r="L3462">
        <v>11.585850000000001</v>
      </c>
      <c r="M3462">
        <v>-1.80037999999999E-2</v>
      </c>
      <c r="N3462">
        <v>0</v>
      </c>
      <c r="O3462">
        <v>0.99980880000000005</v>
      </c>
      <c r="P3462">
        <v>-4.2547370000000001E-2</v>
      </c>
      <c r="Q3462">
        <v>0.15492899999999901</v>
      </c>
      <c r="R3462">
        <v>0.98700900000000003</v>
      </c>
      <c r="S3462">
        <v>-0.26860050000000002</v>
      </c>
      <c r="T3462">
        <v>-0.2338306</v>
      </c>
      <c r="U3462">
        <v>3.047882</v>
      </c>
      <c r="V3462">
        <v>-2.3713080000000001E-2</v>
      </c>
      <c r="W3462">
        <v>0.16261510000000001</v>
      </c>
      <c r="X3462">
        <v>0.98640459999999996</v>
      </c>
      <c r="Y3462">
        <v>-6.9582190000000002E-2</v>
      </c>
      <c r="Z3462">
        <v>-7.6236199999999907E-2</v>
      </c>
      <c r="AA3462">
        <v>0.99465890000000001</v>
      </c>
      <c r="AB3462">
        <v>36</v>
      </c>
      <c r="AC3462">
        <v>-1.04449999999997</v>
      </c>
      <c r="AD3462">
        <v>-1.1010002706341999</v>
      </c>
      <c r="AE3462">
        <v>8.3089999999999993</v>
      </c>
      <c r="AF3462">
        <v>-0.879530131075837</v>
      </c>
      <c r="AG3462">
        <v>-1.1010002706341999</v>
      </c>
      <c r="AH3462">
        <v>8.1849816939962796</v>
      </c>
      <c r="AI3462">
        <v>97.617802027801005</v>
      </c>
      <c r="AJ3462">
        <v>96.133273903955399</v>
      </c>
      <c r="AK3462">
        <v>8.3054018673668697</v>
      </c>
      <c r="AL3462">
        <v>80.6412813741604</v>
      </c>
      <c r="AM3462">
        <v>91.377120263848298</v>
      </c>
      <c r="AN3462">
        <v>1.00000000790612</v>
      </c>
    </row>
    <row r="3463" spans="1:40" x14ac:dyDescent="0.3">
      <c r="A3463" t="str">
        <f>"20200111150422033"</f>
        <v>20200111150422033</v>
      </c>
      <c r="B3463" t="str">
        <f>"1578726262022301"</f>
        <v>1578726262022301</v>
      </c>
      <c r="C3463" t="s">
        <v>40</v>
      </c>
      <c r="D3463">
        <v>5.4502309999999996</v>
      </c>
      <c r="E3463">
        <v>0.50200749999999905</v>
      </c>
      <c r="F3463" t="s">
        <v>41</v>
      </c>
      <c r="G3463">
        <v>-188.9727</v>
      </c>
      <c r="H3463" s="1">
        <v>-9.038978E-7</v>
      </c>
      <c r="I3463">
        <v>31.31503</v>
      </c>
      <c r="J3463">
        <v>-188.26140000000001</v>
      </c>
      <c r="K3463">
        <v>1.101024</v>
      </c>
      <c r="L3463">
        <v>12.31284</v>
      </c>
      <c r="M3463">
        <v>-1.2654189999999999E-2</v>
      </c>
      <c r="N3463">
        <v>0</v>
      </c>
      <c r="O3463">
        <v>0.99989059999999996</v>
      </c>
      <c r="P3463">
        <v>-3.9550639999999998E-2</v>
      </c>
      <c r="Q3463">
        <v>0.15600049999999999</v>
      </c>
      <c r="R3463">
        <v>0.98696479999999998</v>
      </c>
      <c r="S3463">
        <v>-0.1115265</v>
      </c>
      <c r="T3463">
        <v>-0.17084869999999999</v>
      </c>
      <c r="U3463">
        <v>3.061493</v>
      </c>
      <c r="V3463">
        <v>-2.6003499999999999E-2</v>
      </c>
      <c r="W3463">
        <v>0.16372390000000001</v>
      </c>
      <c r="X3463">
        <v>0.98616340000000002</v>
      </c>
      <c r="Y3463">
        <v>-2.3699069999999999E-2</v>
      </c>
      <c r="Z3463">
        <v>-5.5686079999999999E-2</v>
      </c>
      <c r="AA3463">
        <v>0.99816700000000003</v>
      </c>
      <c r="AB3463">
        <v>36</v>
      </c>
      <c r="AC3463">
        <v>-0.71129999999999405</v>
      </c>
      <c r="AD3463">
        <v>-1.1010249038977999</v>
      </c>
      <c r="AE3463">
        <v>19.002189999999999</v>
      </c>
      <c r="AF3463">
        <v>-0.46920562077231998</v>
      </c>
      <c r="AG3463">
        <v>-1.1010249038977999</v>
      </c>
      <c r="AH3463">
        <v>18.946151196619802</v>
      </c>
      <c r="AI3463">
        <v>93.324893622257704</v>
      </c>
      <c r="AJ3463">
        <v>91.4186526597382</v>
      </c>
      <c r="AK3463">
        <v>18.9839156898345</v>
      </c>
      <c r="AL3463">
        <v>80.576888507147004</v>
      </c>
      <c r="AM3463">
        <v>91.510445068832098</v>
      </c>
      <c r="AN3463">
        <v>0.99999997447150901</v>
      </c>
    </row>
    <row r="3464" spans="1:40" x14ac:dyDescent="0.3">
      <c r="A3464" t="str">
        <f>"20200111150422400"</f>
        <v>20200111150422400</v>
      </c>
      <c r="B3464" t="str">
        <f>"1578726262391863"</f>
        <v>1578726262391863</v>
      </c>
      <c r="C3464" t="s">
        <v>40</v>
      </c>
      <c r="D3464">
        <v>5.6013789999999997</v>
      </c>
      <c r="E3464">
        <v>0.50104320000000002</v>
      </c>
      <c r="F3464" t="s">
        <v>41</v>
      </c>
      <c r="G3464">
        <v>-189.012</v>
      </c>
      <c r="H3464" s="1">
        <v>-1.5036770000000001E-6</v>
      </c>
      <c r="I3464">
        <v>32.729340000000001</v>
      </c>
      <c r="J3464">
        <v>-188.2028</v>
      </c>
      <c r="K3464">
        <v>1.1025739999999999</v>
      </c>
      <c r="L3464">
        <v>18.431429999999999</v>
      </c>
      <c r="M3464">
        <v>1.8602520000000001E-2</v>
      </c>
      <c r="N3464">
        <v>0</v>
      </c>
      <c r="O3464">
        <v>0.99979620000000002</v>
      </c>
      <c r="P3464">
        <v>-1.984957E-2</v>
      </c>
      <c r="Q3464">
        <v>0.16203149999999999</v>
      </c>
      <c r="R3464">
        <v>0.98658590000000002</v>
      </c>
      <c r="S3464">
        <v>-0.1125336</v>
      </c>
      <c r="T3464">
        <v>-0.16508599999999901</v>
      </c>
      <c r="U3464">
        <v>3.0612180000000002</v>
      </c>
      <c r="V3464">
        <v>-3.7745340000000002E-2</v>
      </c>
      <c r="W3464">
        <v>0.16986039999999999</v>
      </c>
      <c r="X3464">
        <v>0.98474499999999998</v>
      </c>
      <c r="Y3464">
        <v>-5.5267230000000001E-2</v>
      </c>
      <c r="Z3464">
        <v>-5.3776730000000002E-2</v>
      </c>
      <c r="AA3464">
        <v>0.99702239999999998</v>
      </c>
      <c r="AB3464">
        <v>38</v>
      </c>
      <c r="AC3464">
        <v>-0.80920000000000403</v>
      </c>
      <c r="AD3464">
        <v>-1.102575503677</v>
      </c>
      <c r="AE3464">
        <v>14.29791</v>
      </c>
      <c r="AF3464">
        <v>-1.0687103592389799</v>
      </c>
      <c r="AG3464">
        <v>-1.102575503677</v>
      </c>
      <c r="AH3464">
        <v>14.1962317656912</v>
      </c>
      <c r="AI3464">
        <v>94.4285817157823</v>
      </c>
      <c r="AJ3464">
        <v>94.305178443887002</v>
      </c>
      <c r="AK3464">
        <v>14.2790339630688</v>
      </c>
      <c r="AL3464">
        <v>80.220297387397494</v>
      </c>
      <c r="AM3464">
        <v>92.195076384436604</v>
      </c>
      <c r="AN3464">
        <v>0.99999999060243705</v>
      </c>
    </row>
    <row r="3465" spans="1:40" x14ac:dyDescent="0.3">
      <c r="A3465" t="str">
        <f>"20200111150422533"</f>
        <v>20200111150422533</v>
      </c>
      <c r="B3465" t="str">
        <f>"1578726262522132"</f>
        <v>1578726262522132</v>
      </c>
      <c r="C3465" t="s">
        <v>40</v>
      </c>
      <c r="D3465">
        <v>5.512702</v>
      </c>
      <c r="E3465">
        <v>0.48619030000000002</v>
      </c>
      <c r="F3465" t="s">
        <v>41</v>
      </c>
      <c r="G3465">
        <v>-188.6764</v>
      </c>
      <c r="H3465" s="1">
        <v>-8.5915480000000001E-7</v>
      </c>
      <c r="I3465">
        <v>41.088180000000001</v>
      </c>
      <c r="J3465">
        <v>-188.1583</v>
      </c>
      <c r="K3465">
        <v>1.1037600000000001</v>
      </c>
      <c r="L3465">
        <v>20.699619999999999</v>
      </c>
      <c r="M3465">
        <v>1.8837889999999999E-2</v>
      </c>
      <c r="N3465">
        <v>0</v>
      </c>
      <c r="O3465">
        <v>0.99979119999999999</v>
      </c>
      <c r="P3465">
        <v>-1.135073E-2</v>
      </c>
      <c r="Q3465">
        <v>0.1571082</v>
      </c>
      <c r="R3465">
        <v>0.98751619999999996</v>
      </c>
      <c r="S3465">
        <v>-6.4041139999999996E-2</v>
      </c>
      <c r="T3465">
        <v>-0.1491072</v>
      </c>
      <c r="U3465">
        <v>3.0639949999999998</v>
      </c>
      <c r="V3465">
        <v>-2.999336E-2</v>
      </c>
      <c r="W3465">
        <v>0.16491159999999999</v>
      </c>
      <c r="X3465">
        <v>0.98585219999999996</v>
      </c>
      <c r="Y3465">
        <v>-3.9702620000000001E-2</v>
      </c>
      <c r="Z3465">
        <v>-4.8569399999999999E-2</v>
      </c>
      <c r="AA3465">
        <v>0.99803039999999998</v>
      </c>
      <c r="AB3465">
        <v>38</v>
      </c>
      <c r="AC3465">
        <v>-0.518100000000004</v>
      </c>
      <c r="AD3465">
        <v>-1.1037608591548</v>
      </c>
      <c r="AE3465">
        <v>20.388559999999998</v>
      </c>
      <c r="AF3465">
        <v>-0.89946315909424301</v>
      </c>
      <c r="AG3465">
        <v>-1.1037608591548</v>
      </c>
      <c r="AH3465">
        <v>20.315680134426302</v>
      </c>
      <c r="AI3465">
        <v>93.106812750041797</v>
      </c>
      <c r="AJ3465">
        <v>92.535076773760693</v>
      </c>
      <c r="AK3465">
        <v>20.365514511867701</v>
      </c>
      <c r="AL3465">
        <v>80.5079008160115</v>
      </c>
      <c r="AM3465">
        <v>91.742617219225806</v>
      </c>
      <c r="AN3465">
        <v>0.99999999885174395</v>
      </c>
    </row>
    <row r="3466" spans="1:40" x14ac:dyDescent="0.3">
      <c r="A3466" t="str">
        <f>"20200111150422577"</f>
        <v>20200111150422577</v>
      </c>
      <c r="B3466" t="str">
        <f>"1578726262571908"</f>
        <v>1578726262571908</v>
      </c>
      <c r="C3466" t="s">
        <v>40</v>
      </c>
      <c r="D3466">
        <v>6.7893829999999999</v>
      </c>
      <c r="E3466">
        <v>0.46486420000000001</v>
      </c>
      <c r="F3466" t="s">
        <v>87</v>
      </c>
      <c r="G3466">
        <v>-206.70869999999999</v>
      </c>
      <c r="H3466">
        <v>36.04027</v>
      </c>
      <c r="I3466">
        <v>391.87</v>
      </c>
      <c r="J3466">
        <v>-188.14570000000001</v>
      </c>
      <c r="K3466">
        <v>1.104206</v>
      </c>
      <c r="L3466">
        <v>21.460660000000001</v>
      </c>
      <c r="M3466">
        <v>1.7020179999999999E-2</v>
      </c>
      <c r="N3466">
        <v>0</v>
      </c>
      <c r="O3466">
        <v>0.99982360000000003</v>
      </c>
      <c r="P3466">
        <v>-1.332128E-2</v>
      </c>
      <c r="Q3466">
        <v>0.1541256</v>
      </c>
      <c r="R3466">
        <v>0.98796150000000005</v>
      </c>
      <c r="S3466">
        <v>-0.14950559999999999</v>
      </c>
      <c r="T3466">
        <v>0.2815685</v>
      </c>
      <c r="U3466">
        <v>2.991425</v>
      </c>
      <c r="V3466">
        <v>-3.0357840000000001E-2</v>
      </c>
      <c r="W3466">
        <v>0.1619276</v>
      </c>
      <c r="X3466">
        <v>0.98633559999999998</v>
      </c>
      <c r="Y3466">
        <v>-6.6689120000000005E-2</v>
      </c>
      <c r="Z3466">
        <v>9.3528449999999999E-2</v>
      </c>
      <c r="AA3466">
        <v>0.99338059999999995</v>
      </c>
      <c r="AB3466">
        <v>38</v>
      </c>
      <c r="AC3466">
        <v>-18.562999999999899</v>
      </c>
      <c r="AD3466">
        <v>34.936064000000002</v>
      </c>
      <c r="AE3466">
        <v>370.40933999999999</v>
      </c>
      <c r="AF3466">
        <v>-24.6462450665109</v>
      </c>
      <c r="AG3466">
        <v>34.936064000000002</v>
      </c>
      <c r="AH3466">
        <v>366.78506031081901</v>
      </c>
      <c r="AI3466">
        <v>84.571193899856496</v>
      </c>
      <c r="AJ3466">
        <v>93.844230219307804</v>
      </c>
      <c r="AK3466">
        <v>369.26852889313699</v>
      </c>
      <c r="AL3466">
        <v>80.6812015318704</v>
      </c>
      <c r="AM3466">
        <v>91.762916370515796</v>
      </c>
      <c r="AN3466">
        <v>1.00000003095929</v>
      </c>
    </row>
    <row r="3467" spans="1:40" x14ac:dyDescent="0.3">
      <c r="A3467" t="str">
        <f>"20200111150422622"</f>
        <v>20200111150422622</v>
      </c>
      <c r="B3467" t="str">
        <f>"1578726262611927"</f>
        <v>1578726262611927</v>
      </c>
      <c r="C3467" t="s">
        <v>40</v>
      </c>
      <c r="D3467">
        <v>8.0497940000000003</v>
      </c>
      <c r="E3467">
        <v>0.41942059999999998</v>
      </c>
      <c r="F3467" t="s">
        <v>87</v>
      </c>
      <c r="G3467">
        <v>-228.8467</v>
      </c>
      <c r="H3467">
        <v>3.11835</v>
      </c>
      <c r="I3467">
        <v>391.87</v>
      </c>
      <c r="J3467">
        <v>-188.1353</v>
      </c>
      <c r="K3467">
        <v>1.104646</v>
      </c>
      <c r="L3467">
        <v>22.232330000000001</v>
      </c>
      <c r="M3467">
        <v>1.4288769999999999E-2</v>
      </c>
      <c r="N3467">
        <v>0</v>
      </c>
      <c r="O3467">
        <v>0.99986609999999998</v>
      </c>
      <c r="P3467">
        <v>-1.916114E-2</v>
      </c>
      <c r="Q3467">
        <v>0.15562279999999901</v>
      </c>
      <c r="R3467">
        <v>0.98763069999999997</v>
      </c>
      <c r="S3467">
        <v>-0.33288570000000001</v>
      </c>
      <c r="T3467">
        <v>1.6473290000000002E-2</v>
      </c>
      <c r="U3467">
        <v>3.0295100000000001</v>
      </c>
      <c r="V3467">
        <v>-3.3670720000000001E-2</v>
      </c>
      <c r="W3467">
        <v>0.16341249999999999</v>
      </c>
      <c r="X3467">
        <v>0.9859831</v>
      </c>
      <c r="Y3467">
        <v>-0.1234146</v>
      </c>
      <c r="Z3467">
        <v>5.3996620000000004E-3</v>
      </c>
      <c r="AA3467">
        <v>0.99234049999999996</v>
      </c>
      <c r="AB3467">
        <v>38</v>
      </c>
      <c r="AC3467">
        <v>-40.711399999999998</v>
      </c>
      <c r="AD3467">
        <v>2.0137040000000002</v>
      </c>
      <c r="AE3467">
        <v>369.63767000000001</v>
      </c>
      <c r="AF3467">
        <v>-45.987730691969702</v>
      </c>
      <c r="AG3467">
        <v>2.0137040000000002</v>
      </c>
      <c r="AH3467">
        <v>369.00737682042001</v>
      </c>
      <c r="AI3467">
        <v>89.689735370170396</v>
      </c>
      <c r="AJ3467">
        <v>97.103888501592493</v>
      </c>
      <c r="AK3467">
        <v>371.86740987331001</v>
      </c>
      <c r="AL3467">
        <v>80.594974401404798</v>
      </c>
      <c r="AM3467">
        <v>91.955855780215202</v>
      </c>
      <c r="AN3467">
        <v>1.00000001801358</v>
      </c>
    </row>
    <row r="3468" spans="1:40" x14ac:dyDescent="0.3">
      <c r="A3468" t="str">
        <f>"20200111150423294"</f>
        <v>20200111150423294</v>
      </c>
      <c r="B3468" t="str">
        <f>"1578726263292197"</f>
        <v>1578726263292197</v>
      </c>
      <c r="C3468" t="s">
        <v>40</v>
      </c>
      <c r="D3468">
        <v>9.5828009999999999</v>
      </c>
      <c r="E3468">
        <v>0.4925293</v>
      </c>
      <c r="F3468" t="s">
        <v>52</v>
      </c>
      <c r="G3468">
        <v>-237.38730000000001</v>
      </c>
      <c r="H3468">
        <v>20.64254</v>
      </c>
      <c r="I3468">
        <v>230.41890000000001</v>
      </c>
      <c r="J3468">
        <v>-188.26009999999999</v>
      </c>
      <c r="K3468">
        <v>1.104608</v>
      </c>
      <c r="L3468">
        <v>34.144410000000001</v>
      </c>
      <c r="M3468">
        <v>-2.6675589999999999E-2</v>
      </c>
      <c r="N3468">
        <v>0</v>
      </c>
      <c r="O3468">
        <v>0.99960910000000003</v>
      </c>
      <c r="P3468">
        <v>-4.991056E-2</v>
      </c>
      <c r="Q3468">
        <v>0.15043139999999999</v>
      </c>
      <c r="R3468">
        <v>0.98735980000000001</v>
      </c>
      <c r="S3468">
        <v>-0.70495609999999997</v>
      </c>
      <c r="T3468">
        <v>0.27965069999999997</v>
      </c>
      <c r="U3468">
        <v>2.9798279999999999</v>
      </c>
      <c r="V3468">
        <v>-2.3952210000000002E-2</v>
      </c>
      <c r="W3468">
        <v>0.15863429999999901</v>
      </c>
      <c r="X3468">
        <v>0.9870468</v>
      </c>
      <c r="Y3468">
        <v>-0.2032215</v>
      </c>
      <c r="Z3468">
        <v>9.1165960000000004E-2</v>
      </c>
      <c r="AA3468">
        <v>0.97487939999999995</v>
      </c>
      <c r="AB3468">
        <v>41</v>
      </c>
      <c r="AC3468">
        <v>-49.127200000000002</v>
      </c>
      <c r="AD3468">
        <v>19.537932000000001</v>
      </c>
      <c r="AE3468">
        <v>196.27448999999999</v>
      </c>
      <c r="AF3468">
        <v>-43.468460599181</v>
      </c>
      <c r="AG3468">
        <v>19.537932000000001</v>
      </c>
      <c r="AH3468">
        <v>195.69040859197699</v>
      </c>
      <c r="AI3468">
        <v>84.433223788824193</v>
      </c>
      <c r="AJ3468">
        <v>102.523702606444</v>
      </c>
      <c r="AK3468">
        <v>201.40996467055501</v>
      </c>
      <c r="AL3468">
        <v>80.872364699367296</v>
      </c>
      <c r="AM3468">
        <v>91.390097470368303</v>
      </c>
      <c r="AN3468">
        <v>0.99999996744530595</v>
      </c>
    </row>
    <row r="3469" spans="1:40" x14ac:dyDescent="0.3">
      <c r="A3469" t="str">
        <f>"20200111150423315"</f>
        <v>20200111150423315</v>
      </c>
      <c r="B3469" t="str">
        <f>"1578726263311716"</f>
        <v>1578726263311716</v>
      </c>
      <c r="C3469" t="s">
        <v>40</v>
      </c>
      <c r="D3469">
        <v>5.6874089999999997</v>
      </c>
      <c r="E3469">
        <v>0.45527220000000002</v>
      </c>
      <c r="F3469" t="s">
        <v>87</v>
      </c>
      <c r="G3469">
        <v>-210.73859999999999</v>
      </c>
      <c r="H3469">
        <v>129.51920000000001</v>
      </c>
      <c r="I3469">
        <v>391.87</v>
      </c>
      <c r="J3469">
        <v>-188.27099999999999</v>
      </c>
      <c r="K3469">
        <v>1.1045499999999999</v>
      </c>
      <c r="L3469">
        <v>34.528659999999903</v>
      </c>
      <c r="M3469">
        <v>-2.739714E-2</v>
      </c>
      <c r="N3469">
        <v>0</v>
      </c>
      <c r="O3469">
        <v>0.99958959999999997</v>
      </c>
      <c r="P3469">
        <v>-5.272603E-2</v>
      </c>
      <c r="Q3469">
        <v>0.15160770000000001</v>
      </c>
      <c r="R3469">
        <v>0.98703350000000001</v>
      </c>
      <c r="S3469">
        <v>-0.180481</v>
      </c>
      <c r="T3469">
        <v>1.0310459999999999</v>
      </c>
      <c r="U3469">
        <v>2.8721920000000001</v>
      </c>
      <c r="V3469">
        <v>-2.6040649999999999E-2</v>
      </c>
      <c r="W3469">
        <v>0.15980939999999999</v>
      </c>
      <c r="X3469">
        <v>0.98680440000000003</v>
      </c>
      <c r="Y3469">
        <v>-3.1669620000000002E-2</v>
      </c>
      <c r="Z3469">
        <v>0.33730789999999999</v>
      </c>
      <c r="AA3469">
        <v>0.94086150000000002</v>
      </c>
      <c r="AB3469">
        <v>41</v>
      </c>
      <c r="AC3469">
        <v>-22.467600000000001</v>
      </c>
      <c r="AD3469">
        <v>128.41464999999999</v>
      </c>
      <c r="AE3469">
        <v>357.34134</v>
      </c>
      <c r="AF3469">
        <v>-11.224820585767</v>
      </c>
      <c r="AG3469">
        <v>128.41464999999999</v>
      </c>
      <c r="AH3469">
        <v>317.041118055011</v>
      </c>
      <c r="AI3469">
        <v>67.962519296144293</v>
      </c>
      <c r="AJ3469">
        <v>92.027706456541395</v>
      </c>
      <c r="AK3469">
        <v>342.24463395264002</v>
      </c>
      <c r="AL3469">
        <v>80.804167094864297</v>
      </c>
      <c r="AM3469">
        <v>91.511619883095406</v>
      </c>
      <c r="AN3469">
        <v>1.0000000418200701</v>
      </c>
    </row>
    <row r="3470" spans="1:40" x14ac:dyDescent="0.3">
      <c r="A3470" t="str">
        <f>"20200111150423349"</f>
        <v>20200111150423349</v>
      </c>
      <c r="B3470" t="str">
        <f>"1578726263341972"</f>
        <v>1578726263341972</v>
      </c>
      <c r="C3470" t="s">
        <v>40</v>
      </c>
      <c r="D3470">
        <v>5.6240129999999997</v>
      </c>
      <c r="E3470">
        <v>0.45875139999999998</v>
      </c>
      <c r="F3470" t="s">
        <v>44</v>
      </c>
      <c r="G3470">
        <v>0</v>
      </c>
      <c r="H3470">
        <v>0</v>
      </c>
      <c r="I3470">
        <v>0</v>
      </c>
      <c r="J3470">
        <v>-188.28890000000001</v>
      </c>
      <c r="K3470">
        <v>1.1044290000000001</v>
      </c>
      <c r="L3470">
        <v>35.151890000000002</v>
      </c>
      <c r="M3470">
        <v>-2.838545E-2</v>
      </c>
      <c r="N3470">
        <v>0</v>
      </c>
      <c r="O3470">
        <v>0.99956199999999995</v>
      </c>
      <c r="P3470">
        <v>-5.5193539999999999E-2</v>
      </c>
      <c r="Q3470">
        <v>0.1531769</v>
      </c>
      <c r="R3470">
        <v>0.98665619999999998</v>
      </c>
      <c r="S3470">
        <v>-0.45845029999999998</v>
      </c>
      <c r="T3470">
        <v>1.59938799999999</v>
      </c>
      <c r="U3470">
        <v>2.7692570000000001</v>
      </c>
      <c r="V3470">
        <v>-2.7495929999999998E-2</v>
      </c>
      <c r="W3470">
        <v>0.161386</v>
      </c>
      <c r="X3470">
        <v>0.9865083</v>
      </c>
      <c r="Y3470">
        <v>-0.1137803</v>
      </c>
      <c r="Z3470">
        <v>0.49575730000000001</v>
      </c>
      <c r="AA3470">
        <v>0.86097539999999995</v>
      </c>
      <c r="AB3470">
        <v>41</v>
      </c>
      <c r="AC3470">
        <v>-0.45845029999999998</v>
      </c>
      <c r="AD3470">
        <v>1.59938799999999</v>
      </c>
      <c r="AE3470">
        <v>2.7692570000000001</v>
      </c>
      <c r="AF3470">
        <v>-0.28660491539873101</v>
      </c>
      <c r="AG3470">
        <v>1.59938799999999</v>
      </c>
      <c r="AH3470">
        <v>2.0995117557377299</v>
      </c>
      <c r="AI3470">
        <v>52.954855041379297</v>
      </c>
      <c r="AJ3470">
        <v>97.773413937566104</v>
      </c>
      <c r="AK3470">
        <v>2.6548321914116602</v>
      </c>
      <c r="AL3470">
        <v>80.712646666409299</v>
      </c>
      <c r="AM3470">
        <v>91.596532927828804</v>
      </c>
      <c r="AN3470">
        <v>1.0000000465657199</v>
      </c>
    </row>
    <row r="3471" spans="1:40" x14ac:dyDescent="0.3">
      <c r="A3471" t="str">
        <f>"20200111150423371"</f>
        <v>20200111150423371</v>
      </c>
      <c r="B3471" t="str">
        <f>"1578726263362468"</f>
        <v>1578726263362468</v>
      </c>
      <c r="C3471" t="s">
        <v>40</v>
      </c>
      <c r="D3471">
        <v>5.6073110000000002</v>
      </c>
      <c r="E3471">
        <v>0.4876953</v>
      </c>
      <c r="F3471" t="s">
        <v>44</v>
      </c>
      <c r="G3471">
        <v>0</v>
      </c>
      <c r="H3471">
        <v>0</v>
      </c>
      <c r="I3471">
        <v>0</v>
      </c>
      <c r="J3471">
        <v>-188.30090000000001</v>
      </c>
      <c r="K3471">
        <v>1.104328</v>
      </c>
      <c r="L3471">
        <v>35.561250000000001</v>
      </c>
      <c r="M3471">
        <v>-2.8879539999999999E-2</v>
      </c>
      <c r="N3471">
        <v>0</v>
      </c>
      <c r="O3471">
        <v>0.99954779999999999</v>
      </c>
      <c r="P3471">
        <v>-5.5496770000000001E-2</v>
      </c>
      <c r="Q3471">
        <v>0.152945</v>
      </c>
      <c r="R3471">
        <v>0.98667519999999997</v>
      </c>
      <c r="S3471">
        <v>-0.43879699999999999</v>
      </c>
      <c r="T3471">
        <v>1.554333</v>
      </c>
      <c r="U3471">
        <v>2.7747190000000002</v>
      </c>
      <c r="V3471">
        <v>-2.727019E-2</v>
      </c>
      <c r="W3471">
        <v>0.1611658</v>
      </c>
      <c r="X3471">
        <v>0.9865505</v>
      </c>
      <c r="Y3471">
        <v>-0.108034199999999</v>
      </c>
      <c r="Z3471">
        <v>0.48476849999999999</v>
      </c>
      <c r="AA3471">
        <v>0.86794479999999996</v>
      </c>
      <c r="AB3471">
        <v>41</v>
      </c>
      <c r="AC3471">
        <v>-0.43879699999999999</v>
      </c>
      <c r="AD3471">
        <v>1.554333</v>
      </c>
      <c r="AE3471">
        <v>2.7747190000000002</v>
      </c>
      <c r="AF3471">
        <v>-0.27445607235034403</v>
      </c>
      <c r="AG3471">
        <v>1.554333</v>
      </c>
      <c r="AH3471">
        <v>2.1331790390326599</v>
      </c>
      <c r="AI3471">
        <v>54.1447628801481</v>
      </c>
      <c r="AJ3471">
        <v>97.331432065807903</v>
      </c>
      <c r="AK3471">
        <v>2.6536258257537502</v>
      </c>
      <c r="AL3471">
        <v>80.725429957461898</v>
      </c>
      <c r="AM3471">
        <v>91.583364487710796</v>
      </c>
      <c r="AN3471">
        <v>0.99999998370126197</v>
      </c>
    </row>
    <row r="3472" spans="1:40" x14ac:dyDescent="0.3">
      <c r="A3472" t="str">
        <f>"20200111150423393"</f>
        <v>20200111150423393</v>
      </c>
      <c r="B3472" t="str">
        <f>"1578726263381991"</f>
        <v>1578726263381991</v>
      </c>
      <c r="C3472" t="s">
        <v>40</v>
      </c>
      <c r="D3472">
        <v>5.5674000000000001</v>
      </c>
      <c r="E3472">
        <v>0.49743710000000002</v>
      </c>
      <c r="F3472" t="s">
        <v>87</v>
      </c>
      <c r="G3472">
        <v>-220.3092</v>
      </c>
      <c r="H3472">
        <v>54.244819999999997</v>
      </c>
      <c r="I3472">
        <v>391.87</v>
      </c>
      <c r="J3472">
        <v>-188.31309999999999</v>
      </c>
      <c r="K3472">
        <v>1.1042240000000001</v>
      </c>
      <c r="L3472">
        <v>35.97195</v>
      </c>
      <c r="M3472">
        <v>-2.927505E-2</v>
      </c>
      <c r="N3472">
        <v>0</v>
      </c>
      <c r="O3472">
        <v>0.99953619999999999</v>
      </c>
      <c r="P3472">
        <v>-5.5423449999999999E-2</v>
      </c>
      <c r="Q3472">
        <v>0.1525966</v>
      </c>
      <c r="R3472">
        <v>0.98673330000000004</v>
      </c>
      <c r="S3472">
        <v>-0.26565549999999999</v>
      </c>
      <c r="T3472">
        <v>0.44104389999999999</v>
      </c>
      <c r="U3472">
        <v>2.957214</v>
      </c>
      <c r="V3472">
        <v>-2.6764079999999999E-2</v>
      </c>
      <c r="W3472">
        <v>0.16083120000000001</v>
      </c>
      <c r="X3472">
        <v>0.98661900000000002</v>
      </c>
      <c r="Y3472">
        <v>-5.9303639999999998E-2</v>
      </c>
      <c r="Z3472">
        <v>0.1469974</v>
      </c>
      <c r="AA3472">
        <v>0.9873575</v>
      </c>
      <c r="AB3472">
        <v>41</v>
      </c>
      <c r="AC3472">
        <v>-31.996099999999998</v>
      </c>
      <c r="AD3472">
        <v>53.140596000000002</v>
      </c>
      <c r="AE3472">
        <v>355.89805000000001</v>
      </c>
      <c r="AF3472">
        <v>-21.096516097492501</v>
      </c>
      <c r="AG3472">
        <v>53.140596000000002</v>
      </c>
      <c r="AH3472">
        <v>348.96453777527802</v>
      </c>
      <c r="AI3472">
        <v>81.357013901076101</v>
      </c>
      <c r="AJ3472">
        <v>93.459583629752302</v>
      </c>
      <c r="AK3472">
        <v>353.617356134283</v>
      </c>
      <c r="AL3472">
        <v>80.744854874375704</v>
      </c>
      <c r="AM3472">
        <v>91.553885384325397</v>
      </c>
      <c r="AN3472">
        <v>1.00000002101634</v>
      </c>
    </row>
    <row r="3473" spans="1:40" x14ac:dyDescent="0.3">
      <c r="A3473" t="str">
        <f>"20200111150423415"</f>
        <v>20200111150423415</v>
      </c>
      <c r="B3473" t="str">
        <f>"1578726263412244"</f>
        <v>1578726263412244</v>
      </c>
      <c r="C3473" t="s">
        <v>40</v>
      </c>
      <c r="D3473">
        <v>4.5292490000000001</v>
      </c>
      <c r="E3473">
        <v>0.46145809999999998</v>
      </c>
      <c r="F3473" t="s">
        <v>41</v>
      </c>
      <c r="G3473">
        <v>-191.14779999999999</v>
      </c>
      <c r="H3473" s="1">
        <v>-3.1705259999999998E-6</v>
      </c>
      <c r="I3473">
        <v>76.267769999999999</v>
      </c>
      <c r="J3473">
        <v>-188.32480000000001</v>
      </c>
      <c r="K3473">
        <v>1.1041219999999901</v>
      </c>
      <c r="L3473">
        <v>36.364350000000002</v>
      </c>
      <c r="M3473">
        <v>-2.9556639999999999E-2</v>
      </c>
      <c r="N3473">
        <v>0</v>
      </c>
      <c r="O3473">
        <v>0.99952790000000002</v>
      </c>
      <c r="P3473">
        <v>-5.4780820000000001E-2</v>
      </c>
      <c r="Q3473">
        <v>0.15293389999999901</v>
      </c>
      <c r="R3473">
        <v>0.98671690000000001</v>
      </c>
      <c r="S3473">
        <v>-0.21394350000000001</v>
      </c>
      <c r="T3473">
        <v>-8.3338019999999999E-2</v>
      </c>
      <c r="U3473">
        <v>3.0411990000000002</v>
      </c>
      <c r="V3473">
        <v>-2.580613E-2</v>
      </c>
      <c r="W3473">
        <v>0.16118179999999999</v>
      </c>
      <c r="X3473">
        <v>0.98658729999999994</v>
      </c>
      <c r="Y3473">
        <v>-4.0633280000000001E-2</v>
      </c>
      <c r="Z3473">
        <v>-2.7329740000000002E-2</v>
      </c>
      <c r="AA3473">
        <v>0.99880029999999997</v>
      </c>
      <c r="AB3473">
        <v>41</v>
      </c>
      <c r="AC3473">
        <v>-2.8229999999999702</v>
      </c>
      <c r="AD3473">
        <v>-1.10412517052599</v>
      </c>
      <c r="AE3473">
        <v>39.903419999999997</v>
      </c>
      <c r="AF3473">
        <v>-1.64106385462425</v>
      </c>
      <c r="AG3473">
        <v>-1.10412517052599</v>
      </c>
      <c r="AH3473">
        <v>39.939000546704797</v>
      </c>
      <c r="AI3473">
        <v>91.582220578065403</v>
      </c>
      <c r="AJ3473">
        <v>92.352917435825603</v>
      </c>
      <c r="AK3473">
        <v>39.987947529684902</v>
      </c>
      <c r="AL3473">
        <v>80.724501371497794</v>
      </c>
      <c r="AM3473">
        <v>91.498342076839407</v>
      </c>
      <c r="AN3473">
        <v>1.00000001475905</v>
      </c>
    </row>
    <row r="3474" spans="1:40" x14ac:dyDescent="0.3">
      <c r="A3474" t="str">
        <f>"20200111150423438"</f>
        <v>20200111150423438</v>
      </c>
      <c r="B3474" t="str">
        <f>"1578726263431764"</f>
        <v>1578726263431764</v>
      </c>
      <c r="C3474" t="s">
        <v>40</v>
      </c>
      <c r="D3474">
        <v>5.5802050000000003</v>
      </c>
      <c r="E3474">
        <v>0.49664029999999998</v>
      </c>
      <c r="F3474" t="s">
        <v>47</v>
      </c>
      <c r="G3474">
        <v>-245.3271</v>
      </c>
      <c r="H3474">
        <v>54.249510000000001</v>
      </c>
      <c r="I3474">
        <v>391.75</v>
      </c>
      <c r="J3474">
        <v>-188.3374</v>
      </c>
      <c r="K3474">
        <v>1.104023</v>
      </c>
      <c r="L3474">
        <v>36.786160000000002</v>
      </c>
      <c r="M3474">
        <v>-2.9765630000000001E-2</v>
      </c>
      <c r="N3474">
        <v>0</v>
      </c>
      <c r="O3474">
        <v>0.99952160000000001</v>
      </c>
      <c r="P3474">
        <v>-5.4332100000000001E-2</v>
      </c>
      <c r="Q3474">
        <v>0.1524124</v>
      </c>
      <c r="R3474">
        <v>0.98682239999999999</v>
      </c>
      <c r="S3474">
        <v>-0.47250370000000003</v>
      </c>
      <c r="T3474">
        <v>0.4405328</v>
      </c>
      <c r="U3474">
        <v>2.945862</v>
      </c>
      <c r="V3474">
        <v>-2.510915E-2</v>
      </c>
      <c r="W3474">
        <v>0.1606754</v>
      </c>
      <c r="X3474">
        <v>0.98668789999999995</v>
      </c>
      <c r="Y3474">
        <v>-0.12720709999999999</v>
      </c>
      <c r="Z3474">
        <v>0.146287</v>
      </c>
      <c r="AA3474">
        <v>0.98102929999999999</v>
      </c>
      <c r="AB3474">
        <v>41</v>
      </c>
      <c r="AC3474">
        <v>-56.989699999999999</v>
      </c>
      <c r="AD3474">
        <v>53.145487000000003</v>
      </c>
      <c r="AE3474">
        <v>354.96384</v>
      </c>
      <c r="AF3474">
        <v>-45.406090237021701</v>
      </c>
      <c r="AG3474">
        <v>53.145487000000003</v>
      </c>
      <c r="AH3474">
        <v>348.878877639949</v>
      </c>
      <c r="AI3474">
        <v>81.409946765509602</v>
      </c>
      <c r="AJ3474">
        <v>97.415283452334194</v>
      </c>
      <c r="AK3474">
        <v>355.81262917776002</v>
      </c>
      <c r="AL3474">
        <v>80.753899291145203</v>
      </c>
      <c r="AM3474">
        <v>91.4577435157439</v>
      </c>
      <c r="AN3474">
        <v>1.0000000327926399</v>
      </c>
    </row>
    <row r="3475" spans="1:40" x14ac:dyDescent="0.3">
      <c r="A3475" t="str">
        <f>"20200111150423460"</f>
        <v>20200111150423460</v>
      </c>
      <c r="B3475" t="str">
        <f>"1578726263452260"</f>
        <v>1578726263452260</v>
      </c>
      <c r="C3475" t="s">
        <v>40</v>
      </c>
      <c r="D3475">
        <v>6.0309799999999996</v>
      </c>
      <c r="E3475">
        <v>0.4697173</v>
      </c>
      <c r="F3475" t="s">
        <v>41</v>
      </c>
      <c r="G3475">
        <v>-189.69820000000001</v>
      </c>
      <c r="H3475" s="1">
        <v>-2.5981690000000002E-6</v>
      </c>
      <c r="I3475">
        <v>55.564390000000003</v>
      </c>
      <c r="J3475">
        <v>-188.34979999999999</v>
      </c>
      <c r="K3475">
        <v>1.103936</v>
      </c>
      <c r="L3475">
        <v>37.200040000000001</v>
      </c>
      <c r="M3475">
        <v>-2.9899479999999999E-2</v>
      </c>
      <c r="N3475">
        <v>0</v>
      </c>
      <c r="O3475">
        <v>0.99951760000000001</v>
      </c>
      <c r="P3475">
        <v>-5.3961589999999997E-2</v>
      </c>
      <c r="Q3475">
        <v>0.1518111</v>
      </c>
      <c r="R3475">
        <v>0.98693540000000002</v>
      </c>
      <c r="S3475">
        <v>-0.22143550000000001</v>
      </c>
      <c r="T3475">
        <v>-0.17964939999999999</v>
      </c>
      <c r="U3475">
        <v>3.055634</v>
      </c>
      <c r="V3475">
        <v>-2.456999E-2</v>
      </c>
      <c r="W3475">
        <v>0.16008849999999999</v>
      </c>
      <c r="X3475">
        <v>0.98679689999999998</v>
      </c>
      <c r="Y3475">
        <v>-4.2299749999999997E-2</v>
      </c>
      <c r="Z3475">
        <v>-5.8549450000000003E-2</v>
      </c>
      <c r="AA3475">
        <v>0.99738789999999999</v>
      </c>
      <c r="AB3475">
        <v>41</v>
      </c>
      <c r="AC3475">
        <v>-1.34840000000002</v>
      </c>
      <c r="AD3475">
        <v>-1.103938598169</v>
      </c>
      <c r="AE3475">
        <v>18.364350000000002</v>
      </c>
      <c r="AF3475">
        <v>-0.79583281457646604</v>
      </c>
      <c r="AG3475">
        <v>-1.103938598169</v>
      </c>
      <c r="AH3475">
        <v>18.3305728402208</v>
      </c>
      <c r="AI3475">
        <v>93.443177033373104</v>
      </c>
      <c r="AJ3475">
        <v>92.485969471550803</v>
      </c>
      <c r="AK3475">
        <v>18.3810209441131</v>
      </c>
      <c r="AL3475">
        <v>80.787967509812603</v>
      </c>
      <c r="AM3475">
        <v>91.4262974746118</v>
      </c>
      <c r="AN3475">
        <v>1.00000006704522</v>
      </c>
    </row>
    <row r="3476" spans="1:40" x14ac:dyDescent="0.3">
      <c r="A3476" t="str">
        <f>"20200111150423482"</f>
        <v>20200111150423482</v>
      </c>
      <c r="B3476" t="str">
        <f>"1578726263471779"</f>
        <v>1578726263471779</v>
      </c>
      <c r="C3476" t="s">
        <v>40</v>
      </c>
      <c r="D3476">
        <v>8.690963</v>
      </c>
      <c r="E3476">
        <v>0.47606189999999998</v>
      </c>
      <c r="F3476" t="s">
        <v>44</v>
      </c>
      <c r="G3476">
        <v>0</v>
      </c>
      <c r="H3476">
        <v>0</v>
      </c>
      <c r="I3476">
        <v>0</v>
      </c>
      <c r="J3476">
        <v>-188.3622</v>
      </c>
      <c r="K3476">
        <v>1.1038669999999999</v>
      </c>
      <c r="L3476">
        <v>37.612340000000003</v>
      </c>
      <c r="M3476">
        <v>-2.9981839999999999E-2</v>
      </c>
      <c r="N3476">
        <v>0</v>
      </c>
      <c r="O3476">
        <v>0.99951509999999999</v>
      </c>
      <c r="P3476">
        <v>-5.3655059999999997E-2</v>
      </c>
      <c r="Q3476">
        <v>0.15155759999999999</v>
      </c>
      <c r="R3476">
        <v>0.98699110000000001</v>
      </c>
      <c r="S3476">
        <v>-0.36140440000000001</v>
      </c>
      <c r="T3476">
        <v>1.2798959999999999</v>
      </c>
      <c r="U3476">
        <v>2.8230900000000001</v>
      </c>
      <c r="V3476">
        <v>-2.4153569999999999E-2</v>
      </c>
      <c r="W3476">
        <v>0.15984889999999999</v>
      </c>
      <c r="X3476">
        <v>0.986846</v>
      </c>
      <c r="Y3476">
        <v>-8.5991490000000004E-2</v>
      </c>
      <c r="Z3476">
        <v>0.410522</v>
      </c>
      <c r="AA3476">
        <v>0.90778700000000001</v>
      </c>
      <c r="AB3476">
        <v>41</v>
      </c>
      <c r="AC3476">
        <v>-0.36140440000000001</v>
      </c>
      <c r="AD3476">
        <v>1.2798959999999999</v>
      </c>
      <c r="AE3476">
        <v>2.8230900000000001</v>
      </c>
      <c r="AF3476">
        <v>-0.23007084350151899</v>
      </c>
      <c r="AG3476">
        <v>1.2798959999999999</v>
      </c>
      <c r="AH3476">
        <v>2.3561736321876001</v>
      </c>
      <c r="AI3476">
        <v>61.602648918312099</v>
      </c>
      <c r="AJ3476">
        <v>95.577021276875001</v>
      </c>
      <c r="AK3476">
        <v>2.6912117250156302</v>
      </c>
      <c r="AL3476">
        <v>80.801874484569097</v>
      </c>
      <c r="AM3476">
        <v>91.402064130215393</v>
      </c>
      <c r="AN3476">
        <v>1.0000000467454699</v>
      </c>
    </row>
    <row r="3477" spans="1:40" x14ac:dyDescent="0.3">
      <c r="A3477" t="str">
        <f>"20200111150423504"</f>
        <v>20200111150423504</v>
      </c>
      <c r="B3477" t="str">
        <f>"1578726263502036"</f>
        <v>1578726263502036</v>
      </c>
      <c r="C3477" t="s">
        <v>40</v>
      </c>
      <c r="D3477">
        <v>6.9246049999999997</v>
      </c>
      <c r="E3477">
        <v>0.47879310000000003</v>
      </c>
      <c r="F3477" t="s">
        <v>44</v>
      </c>
      <c r="G3477">
        <v>0</v>
      </c>
      <c r="H3477">
        <v>0</v>
      </c>
      <c r="I3477">
        <v>0</v>
      </c>
      <c r="J3477">
        <v>-188.37440000000001</v>
      </c>
      <c r="K3477">
        <v>1.103807</v>
      </c>
      <c r="L3477">
        <v>38.016330000000004</v>
      </c>
      <c r="M3477">
        <v>-3.002869E-2</v>
      </c>
      <c r="N3477">
        <v>0</v>
      </c>
      <c r="O3477">
        <v>0.9995136</v>
      </c>
      <c r="P3477">
        <v>-5.3147779999999999E-2</v>
      </c>
      <c r="Q3477">
        <v>0.15171699999999999</v>
      </c>
      <c r="R3477">
        <v>0.98699400000000004</v>
      </c>
      <c r="S3477">
        <v>-0.3035736</v>
      </c>
      <c r="T3477">
        <v>1.385092</v>
      </c>
      <c r="U3477">
        <v>2.810333</v>
      </c>
      <c r="V3477">
        <v>-2.3579280000000001E-2</v>
      </c>
      <c r="W3477">
        <v>0.16002069999999999</v>
      </c>
      <c r="X3477">
        <v>0.98683200000000004</v>
      </c>
      <c r="Y3477">
        <v>-6.651986E-2</v>
      </c>
      <c r="Z3477">
        <v>0.44030649999999899</v>
      </c>
      <c r="AA3477">
        <v>0.89537999999999995</v>
      </c>
      <c r="AB3477">
        <v>41</v>
      </c>
      <c r="AC3477">
        <v>-0.3035736</v>
      </c>
      <c r="AD3477">
        <v>1.385092</v>
      </c>
      <c r="AE3477">
        <v>2.810333</v>
      </c>
      <c r="AF3477">
        <v>-0.17663251101441699</v>
      </c>
      <c r="AG3477">
        <v>1.385092</v>
      </c>
      <c r="AH3477">
        <v>2.27253251792308</v>
      </c>
      <c r="AI3477">
        <v>58.714624368644003</v>
      </c>
      <c r="AJ3477">
        <v>94.444377098571493</v>
      </c>
      <c r="AK3477">
        <v>2.6672238258963299</v>
      </c>
      <c r="AL3477">
        <v>80.7919022894352</v>
      </c>
      <c r="AM3477">
        <v>91.368760045625393</v>
      </c>
      <c r="AN3477">
        <v>1.0000000015488999</v>
      </c>
    </row>
    <row r="3478" spans="1:40" x14ac:dyDescent="0.3">
      <c r="A3478" t="str">
        <f>"20200111150424063"</f>
        <v>20200111150424063</v>
      </c>
      <c r="B3478" t="str">
        <f>"1578726264052036"</f>
        <v>1578726264052036</v>
      </c>
      <c r="C3478" t="s">
        <v>40</v>
      </c>
      <c r="D3478">
        <v>6.1816950000000004</v>
      </c>
      <c r="E3478">
        <v>0.47879310000000003</v>
      </c>
      <c r="F3478" t="s">
        <v>44</v>
      </c>
      <c r="G3478">
        <v>0</v>
      </c>
      <c r="H3478">
        <v>0</v>
      </c>
      <c r="I3478">
        <v>0</v>
      </c>
      <c r="J3478">
        <v>-188.67320000000001</v>
      </c>
      <c r="K3478">
        <v>1.1020270000000001</v>
      </c>
      <c r="L3478">
        <v>48.618470000000002</v>
      </c>
      <c r="M3478">
        <v>-2.0200010000000001E-2</v>
      </c>
      <c r="N3478">
        <v>0</v>
      </c>
      <c r="O3478">
        <v>0.99975809999999998</v>
      </c>
      <c r="P3478">
        <v>-4.4479110000000002E-2</v>
      </c>
      <c r="Q3478">
        <v>0.1550097</v>
      </c>
      <c r="R3478">
        <v>0.98691110000000004</v>
      </c>
      <c r="S3478">
        <v>-0.2788544</v>
      </c>
      <c r="T3478">
        <v>1.4205429999999999</v>
      </c>
      <c r="U3478">
        <v>2.806152</v>
      </c>
      <c r="V3478">
        <v>-2.3922800000000001E-2</v>
      </c>
      <c r="W3478">
        <v>0.16368250000000001</v>
      </c>
      <c r="X3478">
        <v>0.98622299999999996</v>
      </c>
      <c r="Y3478">
        <v>-6.8180110000000002E-2</v>
      </c>
      <c r="Z3478">
        <v>0.45013249999999999</v>
      </c>
      <c r="AA3478">
        <v>0.89035509999999995</v>
      </c>
      <c r="AB3478">
        <v>43</v>
      </c>
      <c r="AC3478">
        <v>-0.2788544</v>
      </c>
      <c r="AD3478">
        <v>1.4205429999999999</v>
      </c>
      <c r="AE3478">
        <v>2.806152</v>
      </c>
      <c r="AF3478">
        <v>-0.17715631770478099</v>
      </c>
      <c r="AG3478">
        <v>1.4205429999999999</v>
      </c>
      <c r="AH3478">
        <v>2.242229908588</v>
      </c>
      <c r="AI3478">
        <v>57.724636403486997</v>
      </c>
      <c r="AJ3478">
        <v>94.517497159173999</v>
      </c>
      <c r="AK3478">
        <v>2.6602484355259501</v>
      </c>
      <c r="AL3478">
        <v>80.579293550484806</v>
      </c>
      <c r="AM3478">
        <v>91.3895505713962</v>
      </c>
      <c r="AN3478">
        <v>1.0000000334475401</v>
      </c>
    </row>
    <row r="3479" spans="1:40" x14ac:dyDescent="0.3">
      <c r="A3479" t="str">
        <f>"20200111150424085"</f>
        <v>20200111150424085</v>
      </c>
      <c r="B3479" t="str">
        <f>"1578726264082288"</f>
        <v>1578726264082288</v>
      </c>
      <c r="C3479" t="s">
        <v>40</v>
      </c>
      <c r="D3479">
        <v>5.4982430000000004</v>
      </c>
      <c r="E3479">
        <v>0.42868079999999997</v>
      </c>
      <c r="F3479" t="s">
        <v>44</v>
      </c>
      <c r="G3479">
        <v>0</v>
      </c>
      <c r="H3479">
        <v>0</v>
      </c>
      <c r="I3479">
        <v>0</v>
      </c>
      <c r="J3479">
        <v>-188.6806</v>
      </c>
      <c r="K3479">
        <v>1.101869</v>
      </c>
      <c r="L3479">
        <v>49.047060000000002</v>
      </c>
      <c r="M3479">
        <v>-1.8382969999999998E-2</v>
      </c>
      <c r="N3479">
        <v>0</v>
      </c>
      <c r="O3479">
        <v>0.99979320000000005</v>
      </c>
      <c r="P3479">
        <v>-4.1020710000000002E-2</v>
      </c>
      <c r="Q3479">
        <v>0.15584419999999999</v>
      </c>
      <c r="R3479">
        <v>0.98692950000000002</v>
      </c>
      <c r="S3479">
        <v>-0.26155089999999998</v>
      </c>
      <c r="T3479">
        <v>1.4289289999999999</v>
      </c>
      <c r="U3479">
        <v>2.8035580000000002</v>
      </c>
      <c r="V3479">
        <v>-2.2197499999999998E-2</v>
      </c>
      <c r="W3479">
        <v>0.16452310000000001</v>
      </c>
      <c r="X3479">
        <v>0.98612339999999998</v>
      </c>
      <c r="Y3479">
        <v>-6.4504149999999996E-2</v>
      </c>
      <c r="Z3479">
        <v>0.45275860000000001</v>
      </c>
      <c r="AA3479">
        <v>0.88929689999999995</v>
      </c>
      <c r="AB3479">
        <v>43</v>
      </c>
      <c r="AC3479">
        <v>-0.26155089999999998</v>
      </c>
      <c r="AD3479">
        <v>1.4289289999999999</v>
      </c>
      <c r="AE3479">
        <v>2.8035580000000002</v>
      </c>
      <c r="AF3479">
        <v>-0.16696695334480799</v>
      </c>
      <c r="AG3479">
        <v>1.4289289999999999</v>
      </c>
      <c r="AH3479">
        <v>2.2328517818675802</v>
      </c>
      <c r="AI3479">
        <v>57.454990792743601</v>
      </c>
      <c r="AJ3479">
        <v>94.276473033991095</v>
      </c>
      <c r="AK3479">
        <v>2.6561895885534001</v>
      </c>
      <c r="AL3479">
        <v>80.530468204294294</v>
      </c>
      <c r="AM3479">
        <v>91.289502229366803</v>
      </c>
      <c r="AN3479">
        <v>0.99999996973370897</v>
      </c>
    </row>
    <row r="3480" spans="1:40" x14ac:dyDescent="0.3">
      <c r="A3480" t="str">
        <f>"20200111150424108"</f>
        <v>20200111150424108</v>
      </c>
      <c r="B3480" t="str">
        <f>"1578726264101809"</f>
        <v>1578726264101809</v>
      </c>
      <c r="C3480" t="s">
        <v>40</v>
      </c>
      <c r="D3480">
        <v>7.6658429999999997</v>
      </c>
      <c r="E3480">
        <v>0.43754759999999998</v>
      </c>
      <c r="F3480" t="s">
        <v>41</v>
      </c>
      <c r="G3480">
        <v>-190.70050000000001</v>
      </c>
      <c r="H3480" s="1">
        <v>-3.6085510000000002E-6</v>
      </c>
      <c r="I3480">
        <v>57.566279999999999</v>
      </c>
      <c r="J3480">
        <v>-188.6874</v>
      </c>
      <c r="K3480">
        <v>1.1017250000000001</v>
      </c>
      <c r="L3480">
        <v>49.490479999999998</v>
      </c>
      <c r="M3480">
        <v>-1.6424919999999999E-2</v>
      </c>
      <c r="N3480">
        <v>0</v>
      </c>
      <c r="O3480">
        <v>0.99982720000000003</v>
      </c>
      <c r="P3480">
        <v>-3.7766889999999997E-2</v>
      </c>
      <c r="Q3480">
        <v>0.15513689999999999</v>
      </c>
      <c r="R3480">
        <v>0.98717080000000001</v>
      </c>
      <c r="S3480">
        <v>-0.72839359999999997</v>
      </c>
      <c r="T3480">
        <v>-0.39735779999999998</v>
      </c>
      <c r="U3480">
        <v>3.0722049999999999</v>
      </c>
      <c r="V3480">
        <v>-2.082314E-2</v>
      </c>
      <c r="W3480">
        <v>0.16382169999999999</v>
      </c>
      <c r="X3480">
        <v>0.98627019999999999</v>
      </c>
      <c r="Y3480">
        <v>-0.21287229999999999</v>
      </c>
      <c r="Z3480">
        <v>-0.12507080000000001</v>
      </c>
      <c r="AA3480">
        <v>0.96904210000000002</v>
      </c>
      <c r="AB3480">
        <v>43</v>
      </c>
      <c r="AC3480">
        <v>-2.0131000000000001</v>
      </c>
      <c r="AD3480">
        <v>-1.1017286085510001</v>
      </c>
      <c r="AE3480">
        <v>8.0757999999999992</v>
      </c>
      <c r="AF3480">
        <v>-1.84780085562039</v>
      </c>
      <c r="AG3480">
        <v>-1.1017286085510001</v>
      </c>
      <c r="AH3480">
        <v>7.9681544611855202</v>
      </c>
      <c r="AI3480">
        <v>97.671129220201493</v>
      </c>
      <c r="AJ3480">
        <v>103.056017374013</v>
      </c>
      <c r="AK3480">
        <v>8.2534634818506305</v>
      </c>
      <c r="AL3480">
        <v>80.571208814038201</v>
      </c>
      <c r="AM3480">
        <v>91.209507100908993</v>
      </c>
      <c r="AN3480">
        <v>1.00000002997919</v>
      </c>
    </row>
    <row r="3481" spans="1:40" x14ac:dyDescent="0.3">
      <c r="A3481" t="str">
        <f>"20200111150424654"</f>
        <v>20200111150424654</v>
      </c>
      <c r="B3481" t="str">
        <f>"1578726264652055"</f>
        <v>1578726264652055</v>
      </c>
      <c r="C3481" t="s">
        <v>40</v>
      </c>
      <c r="D3481">
        <v>5.8059659999999997</v>
      </c>
      <c r="E3481">
        <v>0.43754759999999998</v>
      </c>
      <c r="F3481" t="s">
        <v>41</v>
      </c>
      <c r="G3481">
        <v>-190.4419</v>
      </c>
      <c r="H3481" s="1">
        <v>-3.6506900000000002E-6</v>
      </c>
      <c r="I3481">
        <v>57.824890000000003</v>
      </c>
      <c r="J3481">
        <v>-188.60120000000001</v>
      </c>
      <c r="K3481">
        <v>1.1025180000000001</v>
      </c>
      <c r="L3481">
        <v>60.329469999999901</v>
      </c>
      <c r="M3481">
        <v>2.231911E-2</v>
      </c>
      <c r="N3481">
        <v>0</v>
      </c>
      <c r="O3481">
        <v>0.99971209999999999</v>
      </c>
      <c r="P3481">
        <v>1.3071589999999999E-2</v>
      </c>
      <c r="Q3481">
        <v>0.1511072</v>
      </c>
      <c r="R3481">
        <v>0.98843099999999995</v>
      </c>
      <c r="S3481">
        <v>-0.64797969999999905</v>
      </c>
      <c r="T3481">
        <v>-0.4069024</v>
      </c>
      <c r="U3481">
        <v>3.0781559999999999</v>
      </c>
      <c r="V3481">
        <v>-8.6188410000000003E-3</v>
      </c>
      <c r="W3481">
        <v>0.1598272</v>
      </c>
      <c r="X3481">
        <v>0.98710739999999997</v>
      </c>
      <c r="Y3481">
        <v>-0.22608900000000001</v>
      </c>
      <c r="Z3481">
        <v>-0.12792539999999999</v>
      </c>
      <c r="AA3481">
        <v>0.96567020000000003</v>
      </c>
      <c r="AB3481">
        <v>45</v>
      </c>
      <c r="AC3481">
        <v>-1.84069999999999</v>
      </c>
      <c r="AD3481">
        <v>-1.10252165069</v>
      </c>
      <c r="AE3481">
        <v>-2.50457999999999</v>
      </c>
      <c r="AF3481">
        <v>-1.58492489490008</v>
      </c>
      <c r="AG3481">
        <v>-1.10252165069</v>
      </c>
      <c r="AH3481">
        <v>-2.2606115299665199</v>
      </c>
      <c r="AI3481">
        <v>111.768794999139</v>
      </c>
      <c r="AJ3481">
        <v>-125.03446973688401</v>
      </c>
      <c r="AK3481">
        <v>2.9728614838454499</v>
      </c>
      <c r="AL3481">
        <v>80.803133736049105</v>
      </c>
      <c r="AM3481">
        <v>90.500260321093606</v>
      </c>
      <c r="AN3481">
        <v>1.0000000187073901</v>
      </c>
    </row>
    <row r="3482" spans="1:40" x14ac:dyDescent="0.3">
      <c r="A3482" t="str">
        <f>"20200111150424676"</f>
        <v>20200111150424676</v>
      </c>
      <c r="B3482" t="str">
        <f>"1578726264672551"</f>
        <v>1578726264672551</v>
      </c>
      <c r="C3482" t="s">
        <v>40</v>
      </c>
      <c r="D3482">
        <v>5.6637950000000004</v>
      </c>
      <c r="E3482">
        <v>0.43754759999999998</v>
      </c>
      <c r="F3482" t="s">
        <v>41</v>
      </c>
      <c r="G3482">
        <v>-189.9187</v>
      </c>
      <c r="H3482" s="1">
        <v>-3.8509870000000003E-6</v>
      </c>
      <c r="I3482">
        <v>68.575909999999993</v>
      </c>
      <c r="J3482">
        <v>-188.59110000000001</v>
      </c>
      <c r="K3482">
        <v>1.1026629999999999</v>
      </c>
      <c r="L3482">
        <v>60.773470000000003</v>
      </c>
      <c r="M3482">
        <v>2.2596310000000001E-2</v>
      </c>
      <c r="N3482">
        <v>0</v>
      </c>
      <c r="O3482">
        <v>0.99970579999999998</v>
      </c>
      <c r="P3482">
        <v>1.141909E-2</v>
      </c>
      <c r="Q3482">
        <v>0.1512569</v>
      </c>
      <c r="R3482">
        <v>0.98842850000000004</v>
      </c>
      <c r="S3482">
        <v>-0.49612430000000002</v>
      </c>
      <c r="T3482">
        <v>-0.41514600000000002</v>
      </c>
      <c r="U3482">
        <v>3.1051329999999999</v>
      </c>
      <c r="V3482">
        <v>-1.0600149999999999E-2</v>
      </c>
      <c r="W3482">
        <v>0.159986299999999</v>
      </c>
      <c r="X3482">
        <v>0.98706229999999995</v>
      </c>
      <c r="Y3482">
        <v>-0.1786953</v>
      </c>
      <c r="Z3482">
        <v>-0.1305857</v>
      </c>
      <c r="AA3482">
        <v>0.97520019999999996</v>
      </c>
      <c r="AB3482">
        <v>45</v>
      </c>
      <c r="AC3482">
        <v>-1.3275999999999799</v>
      </c>
      <c r="AD3482">
        <v>-1.1026668509869999</v>
      </c>
      <c r="AE3482">
        <v>7.8024399999999901</v>
      </c>
      <c r="AF3482">
        <v>-1.4749450420393699</v>
      </c>
      <c r="AG3482">
        <v>-1.1026668509869999</v>
      </c>
      <c r="AH3482">
        <v>7.62249257629004</v>
      </c>
      <c r="AI3482">
        <v>98.083383648208994</v>
      </c>
      <c r="AJ3482">
        <v>100.951337664062</v>
      </c>
      <c r="AK3482">
        <v>7.8417938086192303</v>
      </c>
      <c r="AL3482">
        <v>80.793898804737395</v>
      </c>
      <c r="AM3482">
        <v>90.615280829686697</v>
      </c>
      <c r="AN3482">
        <v>0.999999981724501</v>
      </c>
    </row>
    <row r="3483" spans="1:40" x14ac:dyDescent="0.3">
      <c r="A3483" t="str">
        <f>"20200111150424698"</f>
        <v>20200111150424698</v>
      </c>
      <c r="B3483" t="str">
        <f>"1578726264692072"</f>
        <v>1578726264692072</v>
      </c>
      <c r="C3483" t="s">
        <v>40</v>
      </c>
      <c r="D3483">
        <v>5.4414600000000002</v>
      </c>
      <c r="E3483">
        <v>0.49463760000000001</v>
      </c>
      <c r="F3483" t="s">
        <v>41</v>
      </c>
      <c r="G3483">
        <v>-189.9255</v>
      </c>
      <c r="H3483" s="1">
        <v>-4.0451550000000001E-6</v>
      </c>
      <c r="I3483">
        <v>69.031300000000002</v>
      </c>
      <c r="J3483">
        <v>-188.5804</v>
      </c>
      <c r="K3483">
        <v>1.1027910000000001</v>
      </c>
      <c r="L3483">
        <v>61.239469999999997</v>
      </c>
      <c r="M3483">
        <v>2.2792920000000001E-2</v>
      </c>
      <c r="N3483">
        <v>0</v>
      </c>
      <c r="O3483">
        <v>0.99970130000000001</v>
      </c>
      <c r="P3483">
        <v>9.7735889999999992E-3</v>
      </c>
      <c r="Q3483">
        <v>0.15147389999999999</v>
      </c>
      <c r="R3483">
        <v>0.98841290000000004</v>
      </c>
      <c r="S3483">
        <v>-0.50163270000000004</v>
      </c>
      <c r="T3483">
        <v>-0.414522</v>
      </c>
      <c r="U3483">
        <v>3.1043400000000001</v>
      </c>
      <c r="V3483">
        <v>-1.248987E-2</v>
      </c>
      <c r="W3483">
        <v>0.16021179999999999</v>
      </c>
      <c r="X3483">
        <v>0.98700359999999998</v>
      </c>
      <c r="Y3483">
        <v>-0.18061830000000001</v>
      </c>
      <c r="Z3483">
        <v>-0.13038319999999901</v>
      </c>
      <c r="AA3483">
        <v>0.97487290000000004</v>
      </c>
      <c r="AB3483">
        <v>45</v>
      </c>
      <c r="AC3483">
        <v>-1.3451</v>
      </c>
      <c r="AD3483">
        <v>-1.1027950451549999</v>
      </c>
      <c r="AE3483">
        <v>7.79183</v>
      </c>
      <c r="AF3483">
        <v>-1.4933086131982201</v>
      </c>
      <c r="AG3483">
        <v>-1.1027950451549999</v>
      </c>
      <c r="AH3483">
        <v>7.6110969223829104</v>
      </c>
      <c r="AI3483">
        <v>98.0922029096172</v>
      </c>
      <c r="AJ3483">
        <v>101.100512961421</v>
      </c>
      <c r="AK3483">
        <v>7.8342149503174197</v>
      </c>
      <c r="AL3483">
        <v>80.780809587281098</v>
      </c>
      <c r="AM3483">
        <v>90.7250010472074</v>
      </c>
      <c r="AN3483">
        <v>0.99999996206240704</v>
      </c>
    </row>
    <row r="3484" spans="1:40" x14ac:dyDescent="0.3">
      <c r="A3484" t="str">
        <f>"20200111150424721"</f>
        <v>20200111150424721</v>
      </c>
      <c r="B3484" t="str">
        <f>"1578726264712069"</f>
        <v>1578726264712069</v>
      </c>
      <c r="C3484" t="s">
        <v>40</v>
      </c>
      <c r="D3484">
        <v>9.1918749999999996</v>
      </c>
      <c r="E3484">
        <v>0.49463760000000001</v>
      </c>
      <c r="F3484" t="s">
        <v>87</v>
      </c>
      <c r="G3484">
        <v>-190.6566</v>
      </c>
      <c r="H3484">
        <v>38.192570000000003</v>
      </c>
      <c r="I3484">
        <v>391.87</v>
      </c>
      <c r="J3484">
        <v>-188.56989999999999</v>
      </c>
      <c r="K3484">
        <v>1.1029059999999999</v>
      </c>
      <c r="L3484">
        <v>61.695619999999998</v>
      </c>
      <c r="M3484">
        <v>2.291814E-2</v>
      </c>
      <c r="N3484">
        <v>0</v>
      </c>
      <c r="O3484">
        <v>0.99969830000000004</v>
      </c>
      <c r="P3484">
        <v>7.9321489999999995E-3</v>
      </c>
      <c r="Q3484">
        <v>0.15198739999999999</v>
      </c>
      <c r="R3484">
        <v>0.98835059999999997</v>
      </c>
      <c r="S3484">
        <v>-1.8737790000000001E-2</v>
      </c>
      <c r="T3484">
        <v>0.33474619999999999</v>
      </c>
      <c r="U3484">
        <v>2.9840390000000001</v>
      </c>
      <c r="V3484">
        <v>-1.449493E-2</v>
      </c>
      <c r="W3484">
        <v>0.16073419999999999</v>
      </c>
      <c r="X3484">
        <v>0.98689130000000003</v>
      </c>
      <c r="Y3484">
        <v>-2.9157010000000001E-2</v>
      </c>
      <c r="Z3484">
        <v>0.111411</v>
      </c>
      <c r="AA3484">
        <v>0.99334659999999997</v>
      </c>
      <c r="AB3484">
        <v>45</v>
      </c>
      <c r="AC3484">
        <v>-2.0867</v>
      </c>
      <c r="AD3484">
        <v>37.089663999999999</v>
      </c>
      <c r="AE3484">
        <v>330.17437999999999</v>
      </c>
      <c r="AF3484">
        <v>-9.5331376965000594</v>
      </c>
      <c r="AG3484">
        <v>37.089663999999999</v>
      </c>
      <c r="AH3484">
        <v>325.927171127799</v>
      </c>
      <c r="AI3484">
        <v>83.510569149400496</v>
      </c>
      <c r="AJ3484">
        <v>91.675383090261903</v>
      </c>
      <c r="AK3484">
        <v>328.169231905343</v>
      </c>
      <c r="AL3484">
        <v>80.750485740648401</v>
      </c>
      <c r="AM3484">
        <v>90.841469169159296</v>
      </c>
      <c r="AN3484">
        <v>1.0000000120305099</v>
      </c>
    </row>
    <row r="3485" spans="1:40" x14ac:dyDescent="0.3">
      <c r="A3485" t="str">
        <f>"20200111150424744"</f>
        <v>20200111150424744</v>
      </c>
      <c r="B3485" t="str">
        <f>"1578726264732562"</f>
        <v>1578726264732562</v>
      </c>
      <c r="C3485" t="s">
        <v>40</v>
      </c>
      <c r="D3485">
        <v>5.5454910000000002</v>
      </c>
      <c r="E3485">
        <v>0.48932340000000002</v>
      </c>
      <c r="F3485" t="s">
        <v>87</v>
      </c>
      <c r="G3485">
        <v>-191.2698</v>
      </c>
      <c r="H3485">
        <v>38.318350000000002</v>
      </c>
      <c r="I3485">
        <v>391.87</v>
      </c>
      <c r="J3485">
        <v>-188.5598</v>
      </c>
      <c r="K3485">
        <v>1.1029899999999999</v>
      </c>
      <c r="L3485">
        <v>62.137180000000001</v>
      </c>
      <c r="M3485">
        <v>2.2996059999999999E-2</v>
      </c>
      <c r="N3485">
        <v>0</v>
      </c>
      <c r="O3485">
        <v>0.99969640000000004</v>
      </c>
      <c r="P3485">
        <v>6.6811819999999999E-3</v>
      </c>
      <c r="Q3485">
        <v>0.1513003</v>
      </c>
      <c r="R3485">
        <v>0.98846520000000004</v>
      </c>
      <c r="S3485">
        <v>-2.4398799999999998E-2</v>
      </c>
      <c r="T3485">
        <v>0.33632040000000002</v>
      </c>
      <c r="U3485">
        <v>2.9838260000000001</v>
      </c>
      <c r="V3485">
        <v>-1.5860450000000002E-2</v>
      </c>
      <c r="W3485">
        <v>0.16005639999999999</v>
      </c>
      <c r="X3485">
        <v>0.98698039999999998</v>
      </c>
      <c r="Y3485">
        <v>-3.111935E-2</v>
      </c>
      <c r="Z3485">
        <v>0.1119319</v>
      </c>
      <c r="AA3485">
        <v>0.99322849999999996</v>
      </c>
      <c r="AB3485">
        <v>45</v>
      </c>
      <c r="AC3485">
        <v>-2.71</v>
      </c>
      <c r="AD3485">
        <v>37.215359999999997</v>
      </c>
      <c r="AE3485">
        <v>329.73282</v>
      </c>
      <c r="AF3485">
        <v>-10.162686667613</v>
      </c>
      <c r="AG3485">
        <v>37.215359999999997</v>
      </c>
      <c r="AH3485">
        <v>325.43796668040301</v>
      </c>
      <c r="AI3485">
        <v>83.479447987859402</v>
      </c>
      <c r="AJ3485">
        <v>91.788635472843595</v>
      </c>
      <c r="AK3485">
        <v>327.716544253275</v>
      </c>
      <c r="AL3485">
        <v>80.789829712403602</v>
      </c>
      <c r="AM3485">
        <v>90.920645066457098</v>
      </c>
      <c r="AN3485">
        <v>0.99999995751965998</v>
      </c>
    </row>
    <row r="3486" spans="1:40" x14ac:dyDescent="0.3">
      <c r="A3486" t="str">
        <f>"20200111150424766"</f>
        <v>20200111150424766</v>
      </c>
      <c r="B3486" t="str">
        <f>"1578726264761843"</f>
        <v>1578726264761843</v>
      </c>
      <c r="C3486" t="s">
        <v>40</v>
      </c>
      <c r="D3486">
        <v>5.7437459999999998</v>
      </c>
      <c r="E3486">
        <v>0.48395510000000003</v>
      </c>
      <c r="F3486" t="s">
        <v>87</v>
      </c>
      <c r="G3486">
        <v>-196.75460000000001</v>
      </c>
      <c r="H3486">
        <v>28.066009999999999</v>
      </c>
      <c r="I3486">
        <v>391.87</v>
      </c>
      <c r="J3486">
        <v>-188.54929999999999</v>
      </c>
      <c r="K3486">
        <v>1.103065</v>
      </c>
      <c r="L3486">
        <v>62.5871</v>
      </c>
      <c r="M3486">
        <v>2.3048160000000002E-2</v>
      </c>
      <c r="N3486">
        <v>0</v>
      </c>
      <c r="O3486">
        <v>0.99969509999999995</v>
      </c>
      <c r="P3486">
        <v>7.0101460000000001E-3</v>
      </c>
      <c r="Q3486">
        <v>0.15033050000000001</v>
      </c>
      <c r="R3486">
        <v>0.98861089999999996</v>
      </c>
      <c r="S3486">
        <v>-7.4508669999999999E-2</v>
      </c>
      <c r="T3486">
        <v>0.24515219999999999</v>
      </c>
      <c r="U3486">
        <v>2.997986</v>
      </c>
      <c r="V3486">
        <v>-1.561771E-2</v>
      </c>
      <c r="W3486">
        <v>0.15909570000000001</v>
      </c>
      <c r="X3486">
        <v>0.98713960000000001</v>
      </c>
      <c r="Y3486">
        <v>-4.779804E-2</v>
      </c>
      <c r="Z3486">
        <v>8.1408739999999993E-2</v>
      </c>
      <c r="AA3486">
        <v>0.99553400000000003</v>
      </c>
      <c r="AB3486">
        <v>45</v>
      </c>
      <c r="AC3486">
        <v>-8.2053000000000207</v>
      </c>
      <c r="AD3486">
        <v>26.962945000000001</v>
      </c>
      <c r="AE3486">
        <v>329.28289999999998</v>
      </c>
      <c r="AF3486">
        <v>-15.687663058039901</v>
      </c>
      <c r="AG3486">
        <v>26.962945000000001</v>
      </c>
      <c r="AH3486">
        <v>326.81636521193002</v>
      </c>
      <c r="AI3486">
        <v>85.289074919389506</v>
      </c>
      <c r="AJ3486">
        <v>92.748171705357507</v>
      </c>
      <c r="AK3486">
        <v>328.30175105477798</v>
      </c>
      <c r="AL3486">
        <v>80.845588419084606</v>
      </c>
      <c r="AM3486">
        <v>90.906411026811597</v>
      </c>
      <c r="AN3486">
        <v>0.99999997225614601</v>
      </c>
    </row>
    <row r="3487" spans="1:40" x14ac:dyDescent="0.3">
      <c r="A3487" t="str">
        <f>"20200111150424789"</f>
        <v>20200111150424789</v>
      </c>
      <c r="B3487" t="str">
        <f>"1578726264782339"</f>
        <v>1578726264782339</v>
      </c>
      <c r="C3487" t="s">
        <v>40</v>
      </c>
      <c r="D3487">
        <v>5.5329360000000003</v>
      </c>
      <c r="E3487">
        <v>0.48395510000000003</v>
      </c>
      <c r="F3487" t="s">
        <v>87</v>
      </c>
      <c r="G3487">
        <v>-197.70849999999999</v>
      </c>
      <c r="H3487">
        <v>122.5318</v>
      </c>
      <c r="I3487">
        <v>391.87</v>
      </c>
      <c r="J3487">
        <v>-188.5386</v>
      </c>
      <c r="K3487">
        <v>1.103132</v>
      </c>
      <c r="L3487">
        <v>63.047939999999997</v>
      </c>
      <c r="M3487">
        <v>2.3085479999999999E-2</v>
      </c>
      <c r="N3487">
        <v>0</v>
      </c>
      <c r="O3487">
        <v>0.99969419999999998</v>
      </c>
      <c r="P3487">
        <v>8.308523E-3</v>
      </c>
      <c r="Q3487">
        <v>0.15031129999999901</v>
      </c>
      <c r="R3487">
        <v>0.98860380000000003</v>
      </c>
      <c r="S3487">
        <v>-7.9940800000000006E-2</v>
      </c>
      <c r="T3487">
        <v>1.059823</v>
      </c>
      <c r="U3487">
        <v>2.8739620000000001</v>
      </c>
      <c r="V3487">
        <v>-1.4382590000000001E-2</v>
      </c>
      <c r="W3487">
        <v>0.1590849</v>
      </c>
      <c r="X3487">
        <v>0.98716009999999998</v>
      </c>
      <c r="Y3487">
        <v>-4.9160280000000001E-2</v>
      </c>
      <c r="Z3487">
        <v>0.34558450000000002</v>
      </c>
      <c r="AA3487">
        <v>0.93709900000000002</v>
      </c>
      <c r="AB3487">
        <v>45</v>
      </c>
      <c r="AC3487">
        <v>-9.1698999999999806</v>
      </c>
      <c r="AD3487">
        <v>121.42866799999901</v>
      </c>
      <c r="AE3487">
        <v>328.82206000000002</v>
      </c>
      <c r="AF3487">
        <v>-14.749002751448099</v>
      </c>
      <c r="AG3487">
        <v>121.42866799999901</v>
      </c>
      <c r="AH3487">
        <v>289.12519910297999</v>
      </c>
      <c r="AI3487">
        <v>67.244822463015694</v>
      </c>
      <c r="AJ3487">
        <v>92.920270291004002</v>
      </c>
      <c r="AK3487">
        <v>313.93603687814198</v>
      </c>
      <c r="AL3487">
        <v>80.846215116837101</v>
      </c>
      <c r="AM3487">
        <v>90.834721139597804</v>
      </c>
      <c r="AN3487">
        <v>0.99999996366756305</v>
      </c>
    </row>
    <row r="3488" spans="1:40" x14ac:dyDescent="0.3">
      <c r="A3488" t="str">
        <f>"20200111150424813"</f>
        <v>20200111150424813</v>
      </c>
      <c r="B3488" t="str">
        <f>"1578726264801859"</f>
        <v>1578726264801859</v>
      </c>
      <c r="C3488" t="s">
        <v>40</v>
      </c>
      <c r="D3488">
        <v>5.5720499999999999</v>
      </c>
      <c r="E3488">
        <v>0.4874619</v>
      </c>
      <c r="F3488" t="s">
        <v>87</v>
      </c>
      <c r="G3488">
        <v>-197.16630000000001</v>
      </c>
      <c r="H3488">
        <v>122.3646</v>
      </c>
      <c r="I3488">
        <v>391.87</v>
      </c>
      <c r="J3488">
        <v>-188.5274</v>
      </c>
      <c r="K3488">
        <v>1.103191</v>
      </c>
      <c r="L3488">
        <v>63.531889999999997</v>
      </c>
      <c r="M3488">
        <v>2.3115630000000002E-2</v>
      </c>
      <c r="N3488">
        <v>0</v>
      </c>
      <c r="O3488">
        <v>0.99969330000000001</v>
      </c>
      <c r="P3488">
        <v>9.7166079999999998E-3</v>
      </c>
      <c r="Q3488">
        <v>0.14975079999999999</v>
      </c>
      <c r="R3488">
        <v>0.988676</v>
      </c>
      <c r="S3488">
        <v>-7.5408939999999994E-2</v>
      </c>
      <c r="T3488">
        <v>1.0598799999999999</v>
      </c>
      <c r="U3488">
        <v>2.8740540000000001</v>
      </c>
      <c r="V3488">
        <v>-1.303091E-2</v>
      </c>
      <c r="W3488">
        <v>0.15853499999999901</v>
      </c>
      <c r="X3488">
        <v>0.98726740000000002</v>
      </c>
      <c r="Y3488">
        <v>-4.7712770000000002E-2</v>
      </c>
      <c r="Z3488">
        <v>0.34560970000000002</v>
      </c>
      <c r="AA3488">
        <v>0.93716449999999996</v>
      </c>
      <c r="AB3488">
        <v>45</v>
      </c>
      <c r="AC3488">
        <v>-8.6388999999999996</v>
      </c>
      <c r="AD3488">
        <v>121.261409</v>
      </c>
      <c r="AE3488">
        <v>328.33810999999997</v>
      </c>
      <c r="AF3488">
        <v>-14.280212560610099</v>
      </c>
      <c r="AG3488">
        <v>121.261409</v>
      </c>
      <c r="AH3488">
        <v>288.700258997471</v>
      </c>
      <c r="AI3488">
        <v>67.241346816586301</v>
      </c>
      <c r="AJ3488">
        <v>92.831759162469297</v>
      </c>
      <c r="AK3488">
        <v>313.458280044807</v>
      </c>
      <c r="AL3488">
        <v>80.878127712542295</v>
      </c>
      <c r="AM3488">
        <v>90.756201201484103</v>
      </c>
      <c r="AN3488">
        <v>1.0000000349715901</v>
      </c>
    </row>
    <row r="3489" spans="1:40" x14ac:dyDescent="0.3">
      <c r="A3489" t="str">
        <f>"20200111150424834"</f>
        <v>20200111150424834</v>
      </c>
      <c r="B3489" t="str">
        <f>"1578726264832115"</f>
        <v>1578726264832115</v>
      </c>
      <c r="C3489" t="s">
        <v>40</v>
      </c>
      <c r="D3489">
        <v>5.5562319999999996</v>
      </c>
      <c r="E3489">
        <v>0.4883208</v>
      </c>
      <c r="F3489" t="s">
        <v>41</v>
      </c>
      <c r="G3489">
        <v>-189.042</v>
      </c>
      <c r="H3489" s="1">
        <v>-4.2041049999999996E-6</v>
      </c>
      <c r="I3489">
        <v>79.036529999999999</v>
      </c>
      <c r="J3489">
        <v>-188.5171</v>
      </c>
      <c r="K3489">
        <v>1.1032329999999999</v>
      </c>
      <c r="L3489">
        <v>63.974550000000001</v>
      </c>
      <c r="M3489">
        <v>2.314008E-2</v>
      </c>
      <c r="N3489">
        <v>0</v>
      </c>
      <c r="O3489">
        <v>0.99969269999999999</v>
      </c>
      <c r="P3489">
        <v>1.1025470000000001E-2</v>
      </c>
      <c r="Q3489">
        <v>0.14925069999999999</v>
      </c>
      <c r="R3489">
        <v>0.98873789999999995</v>
      </c>
      <c r="S3489">
        <v>-0.101852399999999</v>
      </c>
      <c r="T3489">
        <v>-0.2183282</v>
      </c>
      <c r="U3489">
        <v>3.068451</v>
      </c>
      <c r="V3489">
        <v>-1.176689E-2</v>
      </c>
      <c r="W3489">
        <v>0.1580454</v>
      </c>
      <c r="X3489">
        <v>0.98736170000000001</v>
      </c>
      <c r="Y3489">
        <v>-5.6211049999999999E-2</v>
      </c>
      <c r="Z3489">
        <v>-7.0869109999999999E-2</v>
      </c>
      <c r="AA3489">
        <v>0.99590049999999997</v>
      </c>
      <c r="AB3489">
        <v>46</v>
      </c>
      <c r="AC3489">
        <v>-0.52490000000000203</v>
      </c>
      <c r="AD3489">
        <v>-1.10323720410499</v>
      </c>
      <c r="AE3489">
        <v>15.061979999999901</v>
      </c>
      <c r="AF3489">
        <v>-0.86865391772814105</v>
      </c>
      <c r="AG3489">
        <v>-1.10323720410499</v>
      </c>
      <c r="AH3489">
        <v>14.965606053215801</v>
      </c>
      <c r="AI3489">
        <v>94.209055442980599</v>
      </c>
      <c r="AJ3489">
        <v>93.321911817830696</v>
      </c>
      <c r="AK3489">
        <v>15.031335818793799</v>
      </c>
      <c r="AL3489">
        <v>80.906537283457396</v>
      </c>
      <c r="AM3489">
        <v>90.682790531417297</v>
      </c>
      <c r="AN3489">
        <v>0.99999996739415997</v>
      </c>
    </row>
    <row r="3490" spans="1:40" x14ac:dyDescent="0.3">
      <c r="A3490" t="str">
        <f>"20200111150424855"</f>
        <v>20200111150424855</v>
      </c>
      <c r="B3490" t="str">
        <f>"1578726264852611"</f>
        <v>1578726264852611</v>
      </c>
      <c r="C3490" t="s">
        <v>40</v>
      </c>
      <c r="D3490">
        <v>5.7327019999999997</v>
      </c>
      <c r="E3490">
        <v>0.4791841</v>
      </c>
      <c r="F3490" t="s">
        <v>41</v>
      </c>
      <c r="G3490">
        <v>-189.011</v>
      </c>
      <c r="H3490" s="1">
        <v>-6.3952950000000005E-7</v>
      </c>
      <c r="I3490">
        <v>80.714590000000001</v>
      </c>
      <c r="J3490">
        <v>-188.5069</v>
      </c>
      <c r="K3490">
        <v>1.1032729999999999</v>
      </c>
      <c r="L3490">
        <v>64.412750000000003</v>
      </c>
      <c r="M3490">
        <v>2.3161939999999999E-2</v>
      </c>
      <c r="N3490">
        <v>0</v>
      </c>
      <c r="O3490">
        <v>0.99969209999999997</v>
      </c>
      <c r="P3490">
        <v>1.216209E-2</v>
      </c>
      <c r="Q3490">
        <v>0.14845649999999999</v>
      </c>
      <c r="R3490">
        <v>0.98884419999999995</v>
      </c>
      <c r="S3490">
        <v>-9.0454099999999996E-2</v>
      </c>
      <c r="T3490">
        <v>-0.20203979999999999</v>
      </c>
      <c r="U3490">
        <v>3.065674</v>
      </c>
      <c r="V3490">
        <v>-1.067077E-2</v>
      </c>
      <c r="W3490">
        <v>0.15726319999999999</v>
      </c>
      <c r="X3490">
        <v>0.98749909999999996</v>
      </c>
      <c r="Y3490">
        <v>-5.2573780000000001E-2</v>
      </c>
      <c r="Z3490">
        <v>-6.5675059999999993E-2</v>
      </c>
      <c r="AA3490">
        <v>0.99645510000000004</v>
      </c>
      <c r="AB3490">
        <v>46</v>
      </c>
      <c r="AC3490">
        <v>-0.504099999999994</v>
      </c>
      <c r="AD3490">
        <v>-1.1032736395295</v>
      </c>
      <c r="AE3490">
        <v>16.301839999999999</v>
      </c>
      <c r="AF3490">
        <v>-0.87754637179935902</v>
      </c>
      <c r="AG3490">
        <v>-1.1032736395295</v>
      </c>
      <c r="AH3490">
        <v>16.211606932628701</v>
      </c>
      <c r="AI3490">
        <v>93.887561689912701</v>
      </c>
      <c r="AJ3490">
        <v>93.098439345338605</v>
      </c>
      <c r="AK3490">
        <v>16.272784017997498</v>
      </c>
      <c r="AL3490">
        <v>80.951922138990795</v>
      </c>
      <c r="AM3490">
        <v>90.619105668252104</v>
      </c>
      <c r="AN3490">
        <v>1.0000000259537201</v>
      </c>
    </row>
    <row r="3491" spans="1:40" x14ac:dyDescent="0.3">
      <c r="A3491" t="str">
        <f>"20200111150424877"</f>
        <v>20200111150424877</v>
      </c>
      <c r="B3491" t="str">
        <f>"1578726264872131"</f>
        <v>1578726264872131</v>
      </c>
      <c r="C3491" t="s">
        <v>40</v>
      </c>
      <c r="D3491">
        <v>5.5476859999999997</v>
      </c>
      <c r="E3491">
        <v>0.48195440000000001</v>
      </c>
      <c r="F3491" t="s">
        <v>87</v>
      </c>
      <c r="G3491">
        <v>-203.10990000000001</v>
      </c>
      <c r="H3491">
        <v>41.450380000000003</v>
      </c>
      <c r="I3491">
        <v>391.00349999999997</v>
      </c>
      <c r="J3491">
        <v>-188.49619999999999</v>
      </c>
      <c r="K3491">
        <v>1.10331</v>
      </c>
      <c r="L3491">
        <v>64.868470000000002</v>
      </c>
      <c r="M3491">
        <v>2.3182330000000001E-2</v>
      </c>
      <c r="N3491">
        <v>0</v>
      </c>
      <c r="O3491">
        <v>0.99969149999999996</v>
      </c>
      <c r="P3491">
        <v>1.226183E-2</v>
      </c>
      <c r="Q3491">
        <v>0.14822669999999999</v>
      </c>
      <c r="R3491">
        <v>0.98887740000000002</v>
      </c>
      <c r="S3491">
        <v>-0.13325499999999901</v>
      </c>
      <c r="T3491">
        <v>0.3681738</v>
      </c>
      <c r="U3491">
        <v>2.980194</v>
      </c>
      <c r="V3491">
        <v>-1.060616E-2</v>
      </c>
      <c r="W3491">
        <v>0.1570452</v>
      </c>
      <c r="X3491">
        <v>0.98753449999999998</v>
      </c>
      <c r="Y3491">
        <v>-6.7481079999999999E-2</v>
      </c>
      <c r="Z3491">
        <v>0.1223586</v>
      </c>
      <c r="AA3491">
        <v>0.99018919999999999</v>
      </c>
      <c r="AB3491">
        <v>46</v>
      </c>
      <c r="AC3491">
        <v>-14.6137</v>
      </c>
      <c r="AD3491">
        <v>40.347070000000002</v>
      </c>
      <c r="AE3491">
        <v>326.13502999999997</v>
      </c>
      <c r="AF3491">
        <v>-21.837098843976499</v>
      </c>
      <c r="AG3491">
        <v>40.347070000000002</v>
      </c>
      <c r="AH3491">
        <v>320.808494656552</v>
      </c>
      <c r="AI3491">
        <v>82.848104729934605</v>
      </c>
      <c r="AJ3491">
        <v>93.894057006303896</v>
      </c>
      <c r="AK3491">
        <v>324.07226846385601</v>
      </c>
      <c r="AL3491">
        <v>80.964569878586104</v>
      </c>
      <c r="AM3491">
        <v>90.615335303382494</v>
      </c>
      <c r="AN3491">
        <v>1.00000003708161</v>
      </c>
    </row>
    <row r="3492" spans="1:40" x14ac:dyDescent="0.3">
      <c r="A3492" t="str">
        <f>"20200111150424901"</f>
        <v>20200111150424901</v>
      </c>
      <c r="B3492" t="str">
        <f>"1578726264892627"</f>
        <v>1578726264892627</v>
      </c>
      <c r="C3492" t="s">
        <v>40</v>
      </c>
      <c r="D3492">
        <v>5.570303</v>
      </c>
      <c r="E3492">
        <v>0.48383300000000001</v>
      </c>
      <c r="F3492" t="s">
        <v>87</v>
      </c>
      <c r="G3492">
        <v>-201.27440000000001</v>
      </c>
      <c r="H3492">
        <v>25.780519999999999</v>
      </c>
      <c r="I3492">
        <v>391.87</v>
      </c>
      <c r="J3492">
        <v>-188.48509999999999</v>
      </c>
      <c r="K3492">
        <v>1.103342</v>
      </c>
      <c r="L3492">
        <v>65.347530000000006</v>
      </c>
      <c r="M3492">
        <v>2.3200490000000001E-2</v>
      </c>
      <c r="N3492">
        <v>0</v>
      </c>
      <c r="O3492">
        <v>0.99969090000000005</v>
      </c>
      <c r="P3492">
        <v>1.1718249999999999E-2</v>
      </c>
      <c r="Q3492">
        <v>0.14813189999999901</v>
      </c>
      <c r="R3492">
        <v>0.98889819999999995</v>
      </c>
      <c r="S3492">
        <v>-0.1172791</v>
      </c>
      <c r="T3492">
        <v>0.22648969999999999</v>
      </c>
      <c r="U3492">
        <v>3.0012509999999999</v>
      </c>
      <c r="V3492">
        <v>-1.1179379999999999E-2</v>
      </c>
      <c r="W3492">
        <v>0.15696370000000001</v>
      </c>
      <c r="X3492">
        <v>0.98754109999999995</v>
      </c>
      <c r="Y3492">
        <v>-6.2109709999999999E-2</v>
      </c>
      <c r="Z3492">
        <v>7.5119549999999993E-2</v>
      </c>
      <c r="AA3492">
        <v>0.99523839999999997</v>
      </c>
      <c r="AB3492">
        <v>46</v>
      </c>
      <c r="AC3492">
        <v>-12.789300000000001</v>
      </c>
      <c r="AD3492">
        <v>24.677178000000001</v>
      </c>
      <c r="AE3492">
        <v>326.52247</v>
      </c>
      <c r="AF3492">
        <v>-20.2461781847318</v>
      </c>
      <c r="AG3492">
        <v>24.677178000000001</v>
      </c>
      <c r="AH3492">
        <v>324.28844511557003</v>
      </c>
      <c r="AI3492">
        <v>85.656808843970794</v>
      </c>
      <c r="AJ3492">
        <v>93.572488952990696</v>
      </c>
      <c r="AK3492">
        <v>325.85559145211198</v>
      </c>
      <c r="AL3492">
        <v>80.969297813578194</v>
      </c>
      <c r="AM3492">
        <v>90.648584582360598</v>
      </c>
      <c r="AN3492">
        <v>1.0000000029220399</v>
      </c>
    </row>
    <row r="3493" spans="1:40" x14ac:dyDescent="0.3">
      <c r="A3493" t="str">
        <f>"20200111150424923"</f>
        <v>20200111150424923</v>
      </c>
      <c r="B3493" t="str">
        <f>"1578726264912146"</f>
        <v>1578726264912146</v>
      </c>
      <c r="C3493" t="s">
        <v>40</v>
      </c>
      <c r="D3493">
        <v>5.6220589999999904</v>
      </c>
      <c r="E3493">
        <v>0.4686611</v>
      </c>
      <c r="F3493" t="s">
        <v>87</v>
      </c>
      <c r="G3493">
        <v>-200.47329999999999</v>
      </c>
      <c r="H3493">
        <v>8.173489</v>
      </c>
      <c r="I3493">
        <v>391.87</v>
      </c>
      <c r="J3493">
        <v>-188.4743</v>
      </c>
      <c r="K3493">
        <v>1.10337</v>
      </c>
      <c r="L3493">
        <v>65.811040000000006</v>
      </c>
      <c r="M3493">
        <v>2.3214660000000002E-2</v>
      </c>
      <c r="N3493">
        <v>0</v>
      </c>
      <c r="O3493">
        <v>0.99969050000000004</v>
      </c>
      <c r="P3493">
        <v>1.0089799999999999E-2</v>
      </c>
      <c r="Q3493">
        <v>0.1493786</v>
      </c>
      <c r="R3493">
        <v>0.98872859999999996</v>
      </c>
      <c r="S3493">
        <v>-0.11106870000000001</v>
      </c>
      <c r="T3493">
        <v>6.5503720000000001E-2</v>
      </c>
      <c r="U3493">
        <v>3.0251769999999998</v>
      </c>
      <c r="V3493">
        <v>-1.282631E-2</v>
      </c>
      <c r="W3493">
        <v>0.15822240000000001</v>
      </c>
      <c r="X3493">
        <v>0.98732019999999998</v>
      </c>
      <c r="Y3493">
        <v>-5.9871559999999997E-2</v>
      </c>
      <c r="Z3493">
        <v>2.1612329999999999E-2</v>
      </c>
      <c r="AA3493">
        <v>0.99797210000000003</v>
      </c>
      <c r="AB3493">
        <v>46</v>
      </c>
      <c r="AC3493">
        <v>-11.998999999999899</v>
      </c>
      <c r="AD3493">
        <v>7.070119</v>
      </c>
      <c r="AE3493">
        <v>326.05896000000001</v>
      </c>
      <c r="AF3493">
        <v>-19.556234227641301</v>
      </c>
      <c r="AG3493">
        <v>7.070119</v>
      </c>
      <c r="AH3493">
        <v>325.53966317938199</v>
      </c>
      <c r="AI3493">
        <v>88.758075504245994</v>
      </c>
      <c r="AJ3493">
        <v>93.437813723374603</v>
      </c>
      <c r="AK3493">
        <v>326.20316550086699</v>
      </c>
      <c r="AL3493">
        <v>80.896267090863404</v>
      </c>
      <c r="AM3493">
        <v>90.744289534441805</v>
      </c>
      <c r="AN3493">
        <v>1.000000009709</v>
      </c>
    </row>
    <row r="3494" spans="1:40" x14ac:dyDescent="0.3">
      <c r="A3494" t="str">
        <f>"20200111150424945"</f>
        <v>20200111150424945</v>
      </c>
      <c r="B3494" t="str">
        <f>"1578726264942403"</f>
        <v>1578726264942403</v>
      </c>
      <c r="C3494" t="s">
        <v>40</v>
      </c>
      <c r="D3494">
        <v>5.5502370000000001</v>
      </c>
      <c r="E3494">
        <v>0.48212290000000002</v>
      </c>
      <c r="F3494" t="s">
        <v>44</v>
      </c>
      <c r="G3494">
        <v>0</v>
      </c>
      <c r="H3494">
        <v>0</v>
      </c>
      <c r="I3494">
        <v>0</v>
      </c>
      <c r="J3494">
        <v>-188.4641</v>
      </c>
      <c r="K3494">
        <v>1.1033919999999999</v>
      </c>
      <c r="L3494">
        <v>66.248719999999906</v>
      </c>
      <c r="M3494">
        <v>2.3225389999999999E-2</v>
      </c>
      <c r="N3494">
        <v>0</v>
      </c>
      <c r="O3494">
        <v>0.99969010000000003</v>
      </c>
      <c r="P3494">
        <v>8.5269159999999903E-3</v>
      </c>
      <c r="Q3494">
        <v>0.15014259999999999</v>
      </c>
      <c r="R3494">
        <v>0.98862760000000005</v>
      </c>
      <c r="S3494">
        <v>-0.17915339999999999</v>
      </c>
      <c r="T3494">
        <v>1.3710500000000001</v>
      </c>
      <c r="U3494">
        <v>2.8288880000000001</v>
      </c>
      <c r="V3494">
        <v>-1.440398E-2</v>
      </c>
      <c r="W3494">
        <v>0.15899779999999999</v>
      </c>
      <c r="X3494">
        <v>0.98717390000000005</v>
      </c>
      <c r="Y3494">
        <v>-8.0069749999999995E-2</v>
      </c>
      <c r="Z3494">
        <v>0.43489800000000001</v>
      </c>
      <c r="AA3494">
        <v>0.89691279999999995</v>
      </c>
      <c r="AB3494">
        <v>46</v>
      </c>
      <c r="AC3494">
        <v>-0.17915339999999999</v>
      </c>
      <c r="AD3494">
        <v>1.3710500000000001</v>
      </c>
      <c r="AE3494">
        <v>2.8288880000000001</v>
      </c>
      <c r="AF3494">
        <v>-0.198393995939046</v>
      </c>
      <c r="AG3494">
        <v>1.3710500000000001</v>
      </c>
      <c r="AH3494">
        <v>2.2885424044870701</v>
      </c>
      <c r="AI3494">
        <v>59.168941543668701</v>
      </c>
      <c r="AJ3494">
        <v>94.954590743854595</v>
      </c>
      <c r="AK3494">
        <v>2.6751756236292401</v>
      </c>
      <c r="AL3494">
        <v>80.851270639581699</v>
      </c>
      <c r="AM3494">
        <v>90.835950688639102</v>
      </c>
      <c r="AN3494">
        <v>1.00000004194294</v>
      </c>
    </row>
    <row r="3495" spans="1:40" x14ac:dyDescent="0.3">
      <c r="A3495" t="str">
        <f>"20200111150424967"</f>
        <v>20200111150424967</v>
      </c>
      <c r="B3495" t="str">
        <f>"1578726264961923"</f>
        <v>1578726264961923</v>
      </c>
      <c r="C3495" t="s">
        <v>40</v>
      </c>
      <c r="D3495">
        <v>5.1690060000000004</v>
      </c>
      <c r="E3495">
        <v>0.48545830000000001</v>
      </c>
      <c r="F3495" t="s">
        <v>87</v>
      </c>
      <c r="G3495">
        <v>-202.66319999999999</v>
      </c>
      <c r="H3495">
        <v>13.31007</v>
      </c>
      <c r="I3495">
        <v>391.00349999999997</v>
      </c>
      <c r="J3495">
        <v>-188.45330000000001</v>
      </c>
      <c r="K3495">
        <v>1.1034060000000001</v>
      </c>
      <c r="L3495">
        <v>66.712980000000002</v>
      </c>
      <c r="M3495">
        <v>2.3234080000000001E-2</v>
      </c>
      <c r="N3495">
        <v>0</v>
      </c>
      <c r="O3495">
        <v>0.99968979999999996</v>
      </c>
      <c r="P3495">
        <v>7.8956649999999996E-3</v>
      </c>
      <c r="Q3495">
        <v>0.15036749999999999</v>
      </c>
      <c r="R3495">
        <v>0.98859859999999999</v>
      </c>
      <c r="S3495">
        <v>-0.13197329999999999</v>
      </c>
      <c r="T3495">
        <v>0.1134549</v>
      </c>
      <c r="U3495">
        <v>3.0184329999999999</v>
      </c>
      <c r="V3495">
        <v>-1.5048280000000001E-2</v>
      </c>
      <c r="W3495">
        <v>0.15923599999999999</v>
      </c>
      <c r="X3495">
        <v>0.9871259</v>
      </c>
      <c r="Y3495">
        <v>-6.6851049999999995E-2</v>
      </c>
      <c r="Z3495">
        <v>3.7485739999999997E-2</v>
      </c>
      <c r="AA3495">
        <v>0.99705860000000002</v>
      </c>
      <c r="AB3495">
        <v>46</v>
      </c>
      <c r="AC3495">
        <v>-14.2098999999999</v>
      </c>
      <c r="AD3495">
        <v>12.206664</v>
      </c>
      <c r="AE3495">
        <v>324.29052000000001</v>
      </c>
      <c r="AF3495">
        <v>-21.710257518447499</v>
      </c>
      <c r="AG3495">
        <v>12.206664</v>
      </c>
      <c r="AH3495">
        <v>323.415449520202</v>
      </c>
      <c r="AI3495">
        <v>87.843361354644202</v>
      </c>
      <c r="AJ3495">
        <v>93.840393970322495</v>
      </c>
      <c r="AK3495">
        <v>324.37307366037697</v>
      </c>
      <c r="AL3495">
        <v>80.837446724574505</v>
      </c>
      <c r="AM3495">
        <v>90.873380134598406</v>
      </c>
      <c r="AN3495">
        <v>1.00000004843888</v>
      </c>
    </row>
    <row r="3496" spans="1:40" x14ac:dyDescent="0.3">
      <c r="A3496" t="str">
        <f>"20200111150427411"</f>
        <v>20200111150427411</v>
      </c>
      <c r="B3496" t="str">
        <f>"1578726267402088"</f>
        <v>1578726267402088</v>
      </c>
      <c r="C3496" t="s">
        <v>40</v>
      </c>
      <c r="D3496">
        <v>5.4206629999999896</v>
      </c>
      <c r="E3496">
        <v>0.61282930000000002</v>
      </c>
      <c r="F3496" t="s">
        <v>87</v>
      </c>
      <c r="G3496">
        <v>-200.24199999999999</v>
      </c>
      <c r="H3496">
        <v>9.5529519999999994</v>
      </c>
      <c r="I3496">
        <v>391.87</v>
      </c>
      <c r="J3496">
        <v>-186.89250000000001</v>
      </c>
      <c r="K3496">
        <v>1.091707</v>
      </c>
      <c r="L3496">
        <v>117.9331</v>
      </c>
      <c r="M3496">
        <v>0.1584284</v>
      </c>
      <c r="N3496">
        <v>0</v>
      </c>
      <c r="O3496">
        <v>0.98724800000000001</v>
      </c>
      <c r="P3496">
        <v>0.31505539999999999</v>
      </c>
      <c r="Q3496">
        <v>0.19268150000000001</v>
      </c>
      <c r="R3496">
        <v>0.92930840000000003</v>
      </c>
      <c r="S3496">
        <v>-0.1096191</v>
      </c>
      <c r="T3496">
        <v>7.8569529999999999E-2</v>
      </c>
      <c r="U3496">
        <v>3.0235289999999999</v>
      </c>
      <c r="V3496">
        <v>0.1701279</v>
      </c>
      <c r="W3496">
        <v>0.20257430000000001</v>
      </c>
      <c r="X3496">
        <v>0.9643756</v>
      </c>
      <c r="Y3496">
        <v>-0.19410520000000001</v>
      </c>
      <c r="Z3496">
        <v>2.522928E-2</v>
      </c>
      <c r="AA3496">
        <v>0.98065630000000004</v>
      </c>
      <c r="AB3496">
        <v>45</v>
      </c>
      <c r="AC3496">
        <v>-13.349500000000001</v>
      </c>
      <c r="AD3496">
        <v>8.4612449999999999</v>
      </c>
      <c r="AE3496">
        <v>273.93689999999998</v>
      </c>
      <c r="AF3496">
        <v>-56.5316885289933</v>
      </c>
      <c r="AG3496">
        <v>8.4612449999999999</v>
      </c>
      <c r="AH3496">
        <v>268.10598902797199</v>
      </c>
      <c r="AI3496">
        <v>88.231249966941206</v>
      </c>
      <c r="AJ3496">
        <v>101.906730782214</v>
      </c>
      <c r="AK3496">
        <v>274.13180375059801</v>
      </c>
      <c r="AL3496">
        <v>78.312463266405501</v>
      </c>
      <c r="AM3496">
        <v>79.995248531950907</v>
      </c>
      <c r="AN3496">
        <v>1.00000007362712</v>
      </c>
    </row>
    <row r="3497" spans="1:40" x14ac:dyDescent="0.3">
      <c r="A3497" t="str">
        <f>"20200111150427424"</f>
        <v>20200111150427424</v>
      </c>
      <c r="B3497" t="str">
        <f>"1578726267422581"</f>
        <v>1578726267422581</v>
      </c>
      <c r="C3497" t="s">
        <v>40</v>
      </c>
      <c r="D3497">
        <v>5.4220370000000004</v>
      </c>
      <c r="E3497">
        <v>0.62733079999999997</v>
      </c>
      <c r="F3497" t="s">
        <v>65</v>
      </c>
      <c r="G3497">
        <v>-156.82820000000001</v>
      </c>
      <c r="H3497">
        <v>3.8544580000000002</v>
      </c>
      <c r="I3497">
        <v>160.33500000000001</v>
      </c>
      <c r="J3497">
        <v>-186.8485</v>
      </c>
      <c r="K3497">
        <v>1.0915029999999999</v>
      </c>
      <c r="L3497">
        <v>118.1902</v>
      </c>
      <c r="M3497">
        <v>0.16517370000000001</v>
      </c>
      <c r="N3497">
        <v>0</v>
      </c>
      <c r="O3497">
        <v>0.98614159999999995</v>
      </c>
      <c r="P3497">
        <v>0.32201229999999997</v>
      </c>
      <c r="Q3497">
        <v>0.1946456</v>
      </c>
      <c r="R3497">
        <v>0.92651019999999995</v>
      </c>
      <c r="S3497">
        <v>1.825439</v>
      </c>
      <c r="T3497">
        <v>0.1677506</v>
      </c>
      <c r="U3497">
        <v>2.574554</v>
      </c>
      <c r="V3497">
        <v>0.17098289999999999</v>
      </c>
      <c r="W3497">
        <v>0.2044511</v>
      </c>
      <c r="X3497">
        <v>0.96382809999999997</v>
      </c>
      <c r="Y3497">
        <v>0.43483620000000001</v>
      </c>
      <c r="Z3497">
        <v>5.435719E-2</v>
      </c>
      <c r="AA3497">
        <v>0.89886749999999904</v>
      </c>
      <c r="AB3497">
        <v>45</v>
      </c>
      <c r="AC3497">
        <v>30.020299999999899</v>
      </c>
      <c r="AD3497">
        <v>2.7629549999999998</v>
      </c>
      <c r="AE3497">
        <v>42.144799999999996</v>
      </c>
      <c r="AF3497">
        <v>22.581413831470499</v>
      </c>
      <c r="AG3497">
        <v>2.7629549999999998</v>
      </c>
      <c r="AH3497">
        <v>46.392666865789401</v>
      </c>
      <c r="AI3497">
        <v>86.934780921223506</v>
      </c>
      <c r="AJ3497">
        <v>64.045713434467203</v>
      </c>
      <c r="AK3497">
        <v>51.670433614207901</v>
      </c>
      <c r="AL3497">
        <v>78.202631205571805</v>
      </c>
      <c r="AM3497">
        <v>79.9403971281249</v>
      </c>
      <c r="AN3497">
        <v>1.00000000536661</v>
      </c>
    </row>
    <row r="3498" spans="1:40" x14ac:dyDescent="0.3">
      <c r="A3498" t="str">
        <f>"20200111150427445"</f>
        <v>20200111150427445</v>
      </c>
      <c r="B3498" t="str">
        <f>"1578726267442101"</f>
        <v>1578726267442101</v>
      </c>
      <c r="C3498" t="s">
        <v>40</v>
      </c>
      <c r="D3498">
        <v>5.4744129999999904</v>
      </c>
      <c r="E3498">
        <v>0.625888</v>
      </c>
      <c r="F3498" t="s">
        <v>65</v>
      </c>
      <c r="G3498">
        <v>-154.09899999999999</v>
      </c>
      <c r="H3498">
        <v>0.62540629999999997</v>
      </c>
      <c r="I3498">
        <v>160.82399999999899</v>
      </c>
      <c r="J3498">
        <v>-186.7758</v>
      </c>
      <c r="K3498">
        <v>1.0912170000000001</v>
      </c>
      <c r="L3498">
        <v>118.59529999999999</v>
      </c>
      <c r="M3498">
        <v>0.17585979999999901</v>
      </c>
      <c r="N3498">
        <v>0</v>
      </c>
      <c r="O3498">
        <v>0.98429169999999999</v>
      </c>
      <c r="P3498">
        <v>0.33213500000000001</v>
      </c>
      <c r="Q3498">
        <v>0.1977778</v>
      </c>
      <c r="R3498">
        <v>0.92226370000000002</v>
      </c>
      <c r="S3498">
        <v>1.9667049999999999</v>
      </c>
      <c r="T3498">
        <v>-2.7988550000000001E-2</v>
      </c>
      <c r="U3498">
        <v>2.5602870000000002</v>
      </c>
      <c r="V3498">
        <v>0.1714215</v>
      </c>
      <c r="W3498">
        <v>0.2074841</v>
      </c>
      <c r="X3498">
        <v>0.96310180000000001</v>
      </c>
      <c r="Y3498">
        <v>0.46017580000000002</v>
      </c>
      <c r="Z3498">
        <v>-8.9055130000000003E-3</v>
      </c>
      <c r="AA3498">
        <v>0.88778319999999999</v>
      </c>
      <c r="AB3498">
        <v>45</v>
      </c>
      <c r="AC3498">
        <v>32.6768</v>
      </c>
      <c r="AD3498">
        <v>-0.46581070000000002</v>
      </c>
      <c r="AE3498">
        <v>42.228699999999897</v>
      </c>
      <c r="AF3498">
        <v>24.738297907391701</v>
      </c>
      <c r="AG3498">
        <v>-0.46581070000000002</v>
      </c>
      <c r="AH3498">
        <v>47.314047268159896</v>
      </c>
      <c r="AI3498">
        <v>90.499865020556101</v>
      </c>
      <c r="AJ3498">
        <v>62.397040675209198</v>
      </c>
      <c r="AK3498">
        <v>53.393065391085898</v>
      </c>
      <c r="AL3498">
        <v>78.025045674068593</v>
      </c>
      <c r="AM3498">
        <v>79.907672582486995</v>
      </c>
      <c r="AN3498">
        <v>1.00000002978914</v>
      </c>
    </row>
    <row r="3499" spans="1:40" x14ac:dyDescent="0.3">
      <c r="A3499" t="str">
        <f>"20200111150427466"</f>
        <v>20200111150427466</v>
      </c>
      <c r="B3499" t="str">
        <f>"1578726267462597"</f>
        <v>1578726267462597</v>
      </c>
      <c r="C3499" t="s">
        <v>40</v>
      </c>
      <c r="D3499">
        <v>5.5114130000000001</v>
      </c>
      <c r="E3499">
        <v>0.62694919999999899</v>
      </c>
      <c r="F3499" t="s">
        <v>65</v>
      </c>
      <c r="G3499">
        <v>-153.88669999999999</v>
      </c>
      <c r="H3499">
        <v>0.34505839999999999</v>
      </c>
      <c r="I3499">
        <v>160.82399999999899</v>
      </c>
      <c r="J3499">
        <v>-186.6919</v>
      </c>
      <c r="K3499">
        <v>1.0909610000000001</v>
      </c>
      <c r="L3499">
        <v>119.0361</v>
      </c>
      <c r="M3499">
        <v>0.18750539999999999</v>
      </c>
      <c r="N3499">
        <v>0</v>
      </c>
      <c r="O3499">
        <v>0.98213950000000005</v>
      </c>
      <c r="P3499">
        <v>0.34131800000000001</v>
      </c>
      <c r="Q3499">
        <v>0.1969553</v>
      </c>
      <c r="R3499">
        <v>0.91908140000000005</v>
      </c>
      <c r="S3499">
        <v>1.984375</v>
      </c>
      <c r="T3499">
        <v>-4.5017719999999997E-2</v>
      </c>
      <c r="U3499">
        <v>2.547882</v>
      </c>
      <c r="V3499">
        <v>0.16966819999999999</v>
      </c>
      <c r="W3499">
        <v>0.20665739999999999</v>
      </c>
      <c r="X3499">
        <v>0.96358980000000005</v>
      </c>
      <c r="Y3499">
        <v>0.45554489999999997</v>
      </c>
      <c r="Z3499">
        <v>-1.432106E-2</v>
      </c>
      <c r="AA3499">
        <v>0.89009760000000004</v>
      </c>
      <c r="AB3499">
        <v>45</v>
      </c>
      <c r="AC3499">
        <v>32.805199999999999</v>
      </c>
      <c r="AD3499">
        <v>-0.74590259999999997</v>
      </c>
      <c r="AE3499">
        <v>41.787899999999901</v>
      </c>
      <c r="AF3499">
        <v>24.381991541144199</v>
      </c>
      <c r="AG3499">
        <v>-0.74590259999999997</v>
      </c>
      <c r="AH3499">
        <v>47.189149277130703</v>
      </c>
      <c r="AI3499">
        <v>90.804547666233006</v>
      </c>
      <c r="AJ3499">
        <v>62.675216406611497</v>
      </c>
      <c r="AK3499">
        <v>53.121122839228804</v>
      </c>
      <c r="AL3499">
        <v>78.0734603841519</v>
      </c>
      <c r="AM3499">
        <v>80.013764736783401</v>
      </c>
      <c r="AN3499">
        <v>0.99999994086501798</v>
      </c>
    </row>
    <row r="3500" spans="1:40" x14ac:dyDescent="0.3">
      <c r="A3500" t="str">
        <f>"20200111150427490"</f>
        <v>20200111150427490</v>
      </c>
      <c r="B3500" t="str">
        <f>"1578726267482117"</f>
        <v>1578726267482117</v>
      </c>
      <c r="C3500" t="s">
        <v>40</v>
      </c>
      <c r="D3500">
        <v>4.1717879999999896</v>
      </c>
      <c r="E3500">
        <v>0.62752209999999997</v>
      </c>
      <c r="F3500" t="s">
        <v>65</v>
      </c>
      <c r="G3500">
        <v>-153.26740000000001</v>
      </c>
      <c r="H3500">
        <v>0.25061610000000001</v>
      </c>
      <c r="I3500">
        <v>160.82390000000001</v>
      </c>
      <c r="J3500">
        <v>-186.59710000000001</v>
      </c>
      <c r="K3500">
        <v>1.090759</v>
      </c>
      <c r="L3500">
        <v>119.5034</v>
      </c>
      <c r="M3500">
        <v>0.19980629999999999</v>
      </c>
      <c r="N3500">
        <v>0</v>
      </c>
      <c r="O3500">
        <v>0.97971079999999999</v>
      </c>
      <c r="P3500">
        <v>0.35163270000000002</v>
      </c>
      <c r="Q3500">
        <v>0.19202060000000001</v>
      </c>
      <c r="R3500">
        <v>0.91623279999999996</v>
      </c>
      <c r="S3500">
        <v>2.019638</v>
      </c>
      <c r="T3500">
        <v>-5.0774809999999997E-2</v>
      </c>
      <c r="U3500">
        <v>2.5249790000000001</v>
      </c>
      <c r="V3500">
        <v>0.16813229999999901</v>
      </c>
      <c r="W3500">
        <v>0.201736</v>
      </c>
      <c r="X3500">
        <v>0.96490109999999996</v>
      </c>
      <c r="Y3500">
        <v>0.45589780000000002</v>
      </c>
      <c r="Z3500">
        <v>-1.6141860000000001E-2</v>
      </c>
      <c r="AA3500">
        <v>0.88988579999999995</v>
      </c>
      <c r="AB3500">
        <v>45</v>
      </c>
      <c r="AC3500">
        <v>33.329700000000003</v>
      </c>
      <c r="AD3500">
        <v>-0.84014290000000003</v>
      </c>
      <c r="AE3500">
        <v>41.320500000000003</v>
      </c>
      <c r="AF3500">
        <v>24.394240571495398</v>
      </c>
      <c r="AG3500">
        <v>-0.84014290000000003</v>
      </c>
      <c r="AH3500">
        <v>47.135575728504897</v>
      </c>
      <c r="AI3500">
        <v>90.906897740385403</v>
      </c>
      <c r="AJ3500">
        <v>62.636920194663197</v>
      </c>
      <c r="AK3500">
        <v>53.080573776194598</v>
      </c>
      <c r="AL3500">
        <v>78.361506125307798</v>
      </c>
      <c r="AM3500">
        <v>80.115553656209499</v>
      </c>
      <c r="AN3500">
        <v>1.0000000083902401</v>
      </c>
    </row>
    <row r="3501" spans="1:40" x14ac:dyDescent="0.3">
      <c r="A3501" t="str">
        <f>"20200111150427511"</f>
        <v>20200111150427511</v>
      </c>
      <c r="B3501" t="str">
        <f>"1578726267502613"</f>
        <v>1578726267502613</v>
      </c>
      <c r="C3501" t="s">
        <v>40</v>
      </c>
      <c r="D3501">
        <v>5.4973099999999997</v>
      </c>
      <c r="E3501">
        <v>0.62743939999999998</v>
      </c>
      <c r="F3501" t="s">
        <v>65</v>
      </c>
      <c r="G3501">
        <v>-152.69919999999999</v>
      </c>
      <c r="H3501">
        <v>0.28835110000000003</v>
      </c>
      <c r="I3501">
        <v>160.8237</v>
      </c>
      <c r="J3501">
        <v>-186.50450000000001</v>
      </c>
      <c r="K3501">
        <v>1.090627</v>
      </c>
      <c r="L3501">
        <v>119.9329</v>
      </c>
      <c r="M3501">
        <v>0.21101610000000001</v>
      </c>
      <c r="N3501">
        <v>0</v>
      </c>
      <c r="O3501">
        <v>0.9773577</v>
      </c>
      <c r="P3501">
        <v>0.36138429999999999</v>
      </c>
      <c r="Q3501">
        <v>0.18750120000000001</v>
      </c>
      <c r="R3501">
        <v>0.91337000000000002</v>
      </c>
      <c r="S3501">
        <v>2.0492710000000001</v>
      </c>
      <c r="T3501">
        <v>-4.8506859999999999E-2</v>
      </c>
      <c r="U3501">
        <v>2.497986</v>
      </c>
      <c r="V3501">
        <v>0.16706849999999901</v>
      </c>
      <c r="W3501">
        <v>0.19722799999999999</v>
      </c>
      <c r="X3501">
        <v>0.96601720000000002</v>
      </c>
      <c r="Y3501">
        <v>0.45672669999999999</v>
      </c>
      <c r="Z3501">
        <v>-1.543892E-2</v>
      </c>
      <c r="AA3501">
        <v>0.88947310000000002</v>
      </c>
      <c r="AB3501">
        <v>45</v>
      </c>
      <c r="AC3501">
        <v>33.805300000000003</v>
      </c>
      <c r="AD3501">
        <v>-0.80227590000000004</v>
      </c>
      <c r="AE3501">
        <v>40.890799999999999</v>
      </c>
      <c r="AF3501">
        <v>24.4086521441027</v>
      </c>
      <c r="AG3501">
        <v>-0.80227590000000004</v>
      </c>
      <c r="AH3501">
        <v>47.093382564793899</v>
      </c>
      <c r="AI3501">
        <v>90.866531752482999</v>
      </c>
      <c r="AJ3501">
        <v>62.602146972936303</v>
      </c>
      <c r="AK3501">
        <v>53.049152938624403</v>
      </c>
      <c r="AL3501">
        <v>78.625093359677805</v>
      </c>
      <c r="AM3501">
        <v>80.188000580565898</v>
      </c>
      <c r="AN3501">
        <v>0.99999999918604499</v>
      </c>
    </row>
    <row r="3502" spans="1:40" x14ac:dyDescent="0.3">
      <c r="A3502" t="str">
        <f>"20200111150427533"</f>
        <v>20200111150427533</v>
      </c>
      <c r="B3502" t="str">
        <f>"1578726267522133"</f>
        <v>1578726267522133</v>
      </c>
      <c r="C3502" t="s">
        <v>40</v>
      </c>
      <c r="D3502">
        <v>5.4802609999999996</v>
      </c>
      <c r="E3502">
        <v>0.62825109999999995</v>
      </c>
      <c r="F3502" t="s">
        <v>65</v>
      </c>
      <c r="G3502">
        <v>-152.22470000000001</v>
      </c>
      <c r="H3502">
        <v>0.56135939999999995</v>
      </c>
      <c r="I3502">
        <v>160.82339999999999</v>
      </c>
      <c r="J3502">
        <v>-186.4066</v>
      </c>
      <c r="K3502">
        <v>1.0905560000000001</v>
      </c>
      <c r="L3502">
        <v>120.364</v>
      </c>
      <c r="M3502">
        <v>0.22216359999999999</v>
      </c>
      <c r="N3502">
        <v>0</v>
      </c>
      <c r="O3502">
        <v>0.97488430000000004</v>
      </c>
      <c r="P3502">
        <v>0.36979849999999997</v>
      </c>
      <c r="Q3502">
        <v>0.1844295</v>
      </c>
      <c r="R3502">
        <v>0.91062339999999997</v>
      </c>
      <c r="S3502">
        <v>2.0718079999999999</v>
      </c>
      <c r="T3502">
        <v>-3.1985640000000003E-2</v>
      </c>
      <c r="U3502">
        <v>2.4713440000000002</v>
      </c>
      <c r="V3502">
        <v>0.16473380000000001</v>
      </c>
      <c r="W3502">
        <v>0.19421649999999999</v>
      </c>
      <c r="X3502">
        <v>0.96702779999999999</v>
      </c>
      <c r="Y3502">
        <v>0.45607760000000003</v>
      </c>
      <c r="Z3502">
        <v>-1.0201770000000001E-2</v>
      </c>
      <c r="AA3502">
        <v>0.88988159999999905</v>
      </c>
      <c r="AB3502">
        <v>45</v>
      </c>
      <c r="AC3502">
        <v>34.181899999999899</v>
      </c>
      <c r="AD3502">
        <v>-0.52919659999999902</v>
      </c>
      <c r="AE3502">
        <v>40.459400000000002</v>
      </c>
      <c r="AF3502">
        <v>24.335331006470099</v>
      </c>
      <c r="AG3502">
        <v>-0.52919659999999902</v>
      </c>
      <c r="AH3502">
        <v>47.038250249665801</v>
      </c>
      <c r="AI3502">
        <v>90.572497853506405</v>
      </c>
      <c r="AJ3502">
        <v>62.645125890652203</v>
      </c>
      <c r="AK3502">
        <v>52.963056660148503</v>
      </c>
      <c r="AL3502">
        <v>78.801042880138795</v>
      </c>
      <c r="AM3502">
        <v>80.332430188478298</v>
      </c>
      <c r="AN3502">
        <v>1.00000001985376</v>
      </c>
    </row>
    <row r="3503" spans="1:40" x14ac:dyDescent="0.3">
      <c r="A3503" t="str">
        <f>"20200111150427556"</f>
        <v>20200111150427556</v>
      </c>
      <c r="B3503" t="str">
        <f>"1578726267552389"</f>
        <v>1578726267552389</v>
      </c>
      <c r="C3503" t="s">
        <v>40</v>
      </c>
      <c r="D3503">
        <v>5.6421789999999996</v>
      </c>
      <c r="E3503">
        <v>0.63119740000000002</v>
      </c>
      <c r="F3503" t="s">
        <v>65</v>
      </c>
      <c r="G3503">
        <v>-151.6848</v>
      </c>
      <c r="H3503">
        <v>0.56103130000000001</v>
      </c>
      <c r="I3503">
        <v>160.82320000000001</v>
      </c>
      <c r="J3503">
        <v>-186.3013</v>
      </c>
      <c r="K3503">
        <v>1.0905279999999999</v>
      </c>
      <c r="L3503">
        <v>120.8052</v>
      </c>
      <c r="M3503">
        <v>0.2334405</v>
      </c>
      <c r="N3503">
        <v>0</v>
      </c>
      <c r="O3503">
        <v>0.9722459</v>
      </c>
      <c r="P3503">
        <v>0.37843660000000001</v>
      </c>
      <c r="Q3503">
        <v>0.18544169999999999</v>
      </c>
      <c r="R3503">
        <v>0.90686109999999998</v>
      </c>
      <c r="S3503">
        <v>2.1007229999999999</v>
      </c>
      <c r="T3503">
        <v>-3.203487E-2</v>
      </c>
      <c r="U3503">
        <v>2.447845</v>
      </c>
      <c r="V3503">
        <v>0.1628136</v>
      </c>
      <c r="W3503">
        <v>0.19527120000000001</v>
      </c>
      <c r="X3503">
        <v>0.96714060000000002</v>
      </c>
      <c r="Y3503">
        <v>0.4560476</v>
      </c>
      <c r="Z3503">
        <v>-1.0215770000000001E-2</v>
      </c>
      <c r="AA3503">
        <v>0.88989680000000004</v>
      </c>
      <c r="AB3503">
        <v>45</v>
      </c>
      <c r="AC3503">
        <v>34.616500000000002</v>
      </c>
      <c r="AD3503">
        <v>-0.52949670000000004</v>
      </c>
      <c r="AE3503">
        <v>40.018000000000001</v>
      </c>
      <c r="AF3503">
        <v>24.314453481171299</v>
      </c>
      <c r="AG3503">
        <v>-0.52949670000000004</v>
      </c>
      <c r="AH3503">
        <v>46.989244501992502</v>
      </c>
      <c r="AI3503">
        <v>90.573397562426706</v>
      </c>
      <c r="AJ3503">
        <v>62.640820948676698</v>
      </c>
      <c r="AK3503">
        <v>52.9099434294858</v>
      </c>
      <c r="AL3503">
        <v>78.739433512741698</v>
      </c>
      <c r="AM3503">
        <v>80.444122685887805</v>
      </c>
      <c r="AN3503">
        <v>1.0000000250313701</v>
      </c>
    </row>
    <row r="3504" spans="1:40" x14ac:dyDescent="0.3">
      <c r="A3504" t="str">
        <f>"20200111150427578"</f>
        <v>20200111150427578</v>
      </c>
      <c r="B3504" t="str">
        <f>"1578726267571912"</f>
        <v>1578726267571912</v>
      </c>
      <c r="C3504" t="s">
        <v>40</v>
      </c>
      <c r="D3504">
        <v>5.6914550000000004</v>
      </c>
      <c r="E3504">
        <v>0.63328549999999995</v>
      </c>
      <c r="F3504" t="s">
        <v>65</v>
      </c>
      <c r="G3504">
        <v>-150.81010000000001</v>
      </c>
      <c r="H3504">
        <v>0.24292179999999999</v>
      </c>
      <c r="I3504">
        <v>160.82310000000001</v>
      </c>
      <c r="J3504">
        <v>-186.19</v>
      </c>
      <c r="K3504">
        <v>1.0905229999999999</v>
      </c>
      <c r="L3504">
        <v>121.2486</v>
      </c>
      <c r="M3504">
        <v>0.24463660000000001</v>
      </c>
      <c r="N3504">
        <v>0</v>
      </c>
      <c r="O3504">
        <v>0.9694895</v>
      </c>
      <c r="P3504">
        <v>0.38648779999999999</v>
      </c>
      <c r="Q3504">
        <v>0.18781880000000001</v>
      </c>
      <c r="R3504">
        <v>0.90296799999999999</v>
      </c>
      <c r="S3504">
        <v>2.1481780000000001</v>
      </c>
      <c r="T3504">
        <v>-5.1300999999999999E-2</v>
      </c>
      <c r="U3504">
        <v>2.4221650000000001</v>
      </c>
      <c r="V3504">
        <v>0.16045770000000001</v>
      </c>
      <c r="W3504">
        <v>0.19771040000000001</v>
      </c>
      <c r="X3504">
        <v>0.96703879999999998</v>
      </c>
      <c r="Y3504">
        <v>0.46022160000000001</v>
      </c>
      <c r="Z3504">
        <v>-1.63074E-2</v>
      </c>
      <c r="AA3504">
        <v>0.88765430000000001</v>
      </c>
      <c r="AB3504">
        <v>45</v>
      </c>
      <c r="AC3504">
        <v>35.3798999999999</v>
      </c>
      <c r="AD3504">
        <v>-0.84760119999999906</v>
      </c>
      <c r="AE3504">
        <v>39.5745</v>
      </c>
      <c r="AF3504">
        <v>24.615786850620001</v>
      </c>
      <c r="AG3504">
        <v>-0.84760119999999906</v>
      </c>
      <c r="AH3504">
        <v>47.016009036354198</v>
      </c>
      <c r="AI3504">
        <v>90.915012150213897</v>
      </c>
      <c r="AJ3504">
        <v>62.365162889342201</v>
      </c>
      <c r="AK3504">
        <v>53.076929976930103</v>
      </c>
      <c r="AL3504">
        <v>78.596899379113097</v>
      </c>
      <c r="AM3504">
        <v>80.578925584501704</v>
      </c>
      <c r="AN3504">
        <v>1.0000000582314399</v>
      </c>
    </row>
    <row r="3505" spans="1:40" x14ac:dyDescent="0.3">
      <c r="A3505" t="str">
        <f>"20200111150427622"</f>
        <v>20200111150427622</v>
      </c>
      <c r="B3505" t="str">
        <f>"1578726267612901"</f>
        <v>1578726267612901</v>
      </c>
      <c r="C3505" t="s">
        <v>40</v>
      </c>
      <c r="D3505">
        <v>5.4828510000000001</v>
      </c>
      <c r="E3505">
        <v>0.63557299999999906</v>
      </c>
      <c r="F3505" t="s">
        <v>65</v>
      </c>
      <c r="G3505">
        <v>-150.09799999999899</v>
      </c>
      <c r="H3505">
        <v>0.2240162</v>
      </c>
      <c r="I3505">
        <v>160.8228</v>
      </c>
      <c r="J3505">
        <v>-185.95910000000001</v>
      </c>
      <c r="K3505">
        <v>1.0905480000000001</v>
      </c>
      <c r="L3505">
        <v>122.1083</v>
      </c>
      <c r="M3505">
        <v>0.26599660000000003</v>
      </c>
      <c r="N3505">
        <v>0</v>
      </c>
      <c r="O3505">
        <v>0.96384829999999999</v>
      </c>
      <c r="P3505">
        <v>0.4036883</v>
      </c>
      <c r="Q3505">
        <v>0.19702349999999999</v>
      </c>
      <c r="R3505">
        <v>0.89343019999999995</v>
      </c>
      <c r="S3505">
        <v>2.1864780000000001</v>
      </c>
      <c r="T3505">
        <v>-5.2491309999999999E-2</v>
      </c>
      <c r="U3505">
        <v>2.3974299999999999</v>
      </c>
      <c r="V3505">
        <v>0.15840170000000001</v>
      </c>
      <c r="W3505">
        <v>0.2069462</v>
      </c>
      <c r="X3505">
        <v>0.96544399999999997</v>
      </c>
      <c r="Y3505">
        <v>0.45291579999999898</v>
      </c>
      <c r="Z3505">
        <v>-1.662286E-2</v>
      </c>
      <c r="AA3505">
        <v>0.89139840000000004</v>
      </c>
      <c r="AB3505">
        <v>45</v>
      </c>
      <c r="AC3505">
        <v>35.8611</v>
      </c>
      <c r="AD3505">
        <v>-0.86653179999999896</v>
      </c>
      <c r="AE3505">
        <v>38.714500000000001</v>
      </c>
      <c r="AF3505">
        <v>24.2631328072668</v>
      </c>
      <c r="AG3505">
        <v>-0.86653179999999896</v>
      </c>
      <c r="AH3505">
        <v>46.8468808169524</v>
      </c>
      <c r="AI3505">
        <v>90.940991604783093</v>
      </c>
      <c r="AJ3505">
        <v>62.6192681376263</v>
      </c>
      <c r="AK3505">
        <v>52.764388874137701</v>
      </c>
      <c r="AL3505">
        <v>78.056548145097807</v>
      </c>
      <c r="AM3505">
        <v>80.682420179486499</v>
      </c>
      <c r="AN3505">
        <v>0.99999997269666396</v>
      </c>
    </row>
    <row r="3506" spans="1:40" x14ac:dyDescent="0.3">
      <c r="A3506" t="str">
        <f>"20200111150427646"</f>
        <v>20200111150427646</v>
      </c>
      <c r="B3506" t="str">
        <f>"1578726267642181"</f>
        <v>1578726267642181</v>
      </c>
      <c r="C3506" t="s">
        <v>40</v>
      </c>
      <c r="D3506">
        <v>5.418272</v>
      </c>
      <c r="E3506">
        <v>0.63762459999999999</v>
      </c>
      <c r="F3506" t="s">
        <v>65</v>
      </c>
      <c r="G3506">
        <v>-148.9221</v>
      </c>
      <c r="H3506">
        <v>8.8428499999999993E-2</v>
      </c>
      <c r="I3506">
        <v>160.82249999999999</v>
      </c>
      <c r="J3506">
        <v>-185.83109999999999</v>
      </c>
      <c r="K3506">
        <v>1.0905579999999999</v>
      </c>
      <c r="L3506">
        <v>122.5547</v>
      </c>
      <c r="M3506">
        <v>0.27694380000000002</v>
      </c>
      <c r="N3506">
        <v>0</v>
      </c>
      <c r="O3506">
        <v>0.96076019999999895</v>
      </c>
      <c r="P3506">
        <v>0.4164947</v>
      </c>
      <c r="Q3506">
        <v>0.20183380000000001</v>
      </c>
      <c r="R3506">
        <v>0.88645090000000004</v>
      </c>
      <c r="S3506">
        <v>2.251846</v>
      </c>
      <c r="T3506">
        <v>-6.0926439999999998E-2</v>
      </c>
      <c r="U3506">
        <v>2.3538209999999999</v>
      </c>
      <c r="V3506">
        <v>0.1617604</v>
      </c>
      <c r="W3506">
        <v>0.21162020000000001</v>
      </c>
      <c r="X3506">
        <v>0.96387270000000003</v>
      </c>
      <c r="Y3506">
        <v>0.46396549999999998</v>
      </c>
      <c r="Z3506">
        <v>-1.9243139999999999E-2</v>
      </c>
      <c r="AA3506">
        <v>0.88564430000000005</v>
      </c>
      <c r="AB3506">
        <v>45</v>
      </c>
      <c r="AC3506">
        <v>36.908999999999899</v>
      </c>
      <c r="AD3506">
        <v>-1.0021294999999999</v>
      </c>
      <c r="AE3506">
        <v>38.267800000000001</v>
      </c>
      <c r="AF3506">
        <v>24.8568457375451</v>
      </c>
      <c r="AG3506">
        <v>-1.0021294999999999</v>
      </c>
      <c r="AH3506">
        <v>46.976893901378403</v>
      </c>
      <c r="AI3506">
        <v>91.080213298419295</v>
      </c>
      <c r="AJ3506">
        <v>62.115376490804202</v>
      </c>
      <c r="AK3506">
        <v>53.157272354554102</v>
      </c>
      <c r="AL3506">
        <v>77.782683712059907</v>
      </c>
      <c r="AM3506">
        <v>80.473204851076204</v>
      </c>
      <c r="AN3506">
        <v>1.0000000589307401</v>
      </c>
    </row>
    <row r="3507" spans="1:40" x14ac:dyDescent="0.3">
      <c r="A3507" t="str">
        <f>"20200111150427668"</f>
        <v>20200111150427668</v>
      </c>
      <c r="B3507" t="str">
        <f>"1578726267662677"</f>
        <v>1578726267662677</v>
      </c>
      <c r="C3507" t="s">
        <v>40</v>
      </c>
      <c r="D3507">
        <v>5.3919439999999996</v>
      </c>
      <c r="E3507">
        <v>0.63856800000000002</v>
      </c>
      <c r="F3507" t="s">
        <v>41</v>
      </c>
      <c r="G3507">
        <v>-155.5121</v>
      </c>
      <c r="H3507">
        <v>7.9985680000000003E-2</v>
      </c>
      <c r="I3507">
        <v>153.1052</v>
      </c>
      <c r="J3507">
        <v>-185.7</v>
      </c>
      <c r="K3507">
        <v>1.0905689999999999</v>
      </c>
      <c r="L3507">
        <v>122.9933</v>
      </c>
      <c r="M3507">
        <v>0.28762599999999999</v>
      </c>
      <c r="N3507">
        <v>0</v>
      </c>
      <c r="O3507">
        <v>0.95761660000000004</v>
      </c>
      <c r="P3507">
        <v>0.43009609999999898</v>
      </c>
      <c r="Q3507">
        <v>0.20210649999999999</v>
      </c>
      <c r="R3507">
        <v>0.87986949999999997</v>
      </c>
      <c r="S3507">
        <v>2.3024140000000002</v>
      </c>
      <c r="T3507">
        <v>-7.6742290000000005E-2</v>
      </c>
      <c r="U3507">
        <v>2.3199920000000001</v>
      </c>
      <c r="V3507">
        <v>0.1658974</v>
      </c>
      <c r="W3507">
        <v>0.21174499999999999</v>
      </c>
      <c r="X3507">
        <v>0.96314180000000005</v>
      </c>
      <c r="Y3507">
        <v>0.47024959999999999</v>
      </c>
      <c r="Z3507">
        <v>-2.4167609999999999E-2</v>
      </c>
      <c r="AA3507">
        <v>0.8822025</v>
      </c>
      <c r="AB3507">
        <v>45</v>
      </c>
      <c r="AC3507">
        <v>30.1878999999999</v>
      </c>
      <c r="AD3507">
        <v>-1.0105833200000001</v>
      </c>
      <c r="AE3507">
        <v>30.111899999999899</v>
      </c>
      <c r="AF3507">
        <v>20.238547508406999</v>
      </c>
      <c r="AG3507">
        <v>-1.0105833200000001</v>
      </c>
      <c r="AH3507">
        <v>37.501949086590699</v>
      </c>
      <c r="AI3507">
        <v>91.358488737140803</v>
      </c>
      <c r="AJ3507">
        <v>61.645747683572402</v>
      </c>
      <c r="AK3507">
        <v>42.626473806660897</v>
      </c>
      <c r="AL3507">
        <v>77.7753667883605</v>
      </c>
      <c r="AM3507">
        <v>80.226925052872502</v>
      </c>
      <c r="AN3507">
        <v>1.0000000096295001</v>
      </c>
    </row>
    <row r="3508" spans="1:40" x14ac:dyDescent="0.3">
      <c r="A3508" t="str">
        <f>"20200111150427690"</f>
        <v>20200111150427690</v>
      </c>
      <c r="B3508" t="str">
        <f>"1578726267682200"</f>
        <v>1578726267682200</v>
      </c>
      <c r="C3508" t="s">
        <v>40</v>
      </c>
      <c r="D3508">
        <v>5.4177369999999998</v>
      </c>
      <c r="E3508">
        <v>0.63965509999999903</v>
      </c>
      <c r="F3508" t="s">
        <v>41</v>
      </c>
      <c r="G3508">
        <v>-158.3561</v>
      </c>
      <c r="H3508">
        <v>1.295234E-2</v>
      </c>
      <c r="I3508">
        <v>149.61619999999999</v>
      </c>
      <c r="J3508">
        <v>-185.56729999999999</v>
      </c>
      <c r="K3508">
        <v>1.090565</v>
      </c>
      <c r="L3508">
        <v>123.41889999999999</v>
      </c>
      <c r="M3508">
        <v>0.29794219999999999</v>
      </c>
      <c r="N3508">
        <v>0</v>
      </c>
      <c r="O3508">
        <v>0.95445729999999995</v>
      </c>
      <c r="P3508">
        <v>0.44263720000000001</v>
      </c>
      <c r="Q3508">
        <v>0.19816600000000001</v>
      </c>
      <c r="R3508">
        <v>0.87452989999999997</v>
      </c>
      <c r="S3508">
        <v>2.3459319999999999</v>
      </c>
      <c r="T3508">
        <v>-9.2452409999999999E-2</v>
      </c>
      <c r="U3508">
        <v>2.2840729999999998</v>
      </c>
      <c r="V3508">
        <v>0.16888020000000001</v>
      </c>
      <c r="W3508">
        <v>0.2077135</v>
      </c>
      <c r="X3508">
        <v>0.96350119999999895</v>
      </c>
      <c r="Y3508">
        <v>0.47576289999999999</v>
      </c>
      <c r="Z3508">
        <v>-2.9073209999999999E-2</v>
      </c>
      <c r="AA3508">
        <v>0.87909289999999995</v>
      </c>
      <c r="AB3508">
        <v>45</v>
      </c>
      <c r="AC3508">
        <v>27.211199999999899</v>
      </c>
      <c r="AD3508">
        <v>-1.07761266</v>
      </c>
      <c r="AE3508">
        <v>26.197299999999998</v>
      </c>
      <c r="AF3508">
        <v>18.154067359251702</v>
      </c>
      <c r="AG3508">
        <v>-1.07761266</v>
      </c>
      <c r="AH3508">
        <v>33.0886401254227</v>
      </c>
      <c r="AI3508">
        <v>91.635486822992704</v>
      </c>
      <c r="AJ3508">
        <v>61.248645393818897</v>
      </c>
      <c r="AK3508">
        <v>37.756979700169097</v>
      </c>
      <c r="AL3508">
        <v>78.011608829213699</v>
      </c>
      <c r="AM3508">
        <v>80.058321265516497</v>
      </c>
      <c r="AN3508">
        <v>0.99999999121786398</v>
      </c>
    </row>
    <row r="3509" spans="1:40" x14ac:dyDescent="0.3">
      <c r="A3509" t="str">
        <f>"20200111150427711"</f>
        <v>20200111150427711</v>
      </c>
      <c r="B3509" t="str">
        <f>"1578726267702693"</f>
        <v>1578726267702693</v>
      </c>
      <c r="C3509" t="s">
        <v>40</v>
      </c>
      <c r="D3509">
        <v>5.46495</v>
      </c>
      <c r="E3509">
        <v>0.63945039999999997</v>
      </c>
      <c r="F3509" t="s">
        <v>41</v>
      </c>
      <c r="G3509">
        <v>-162.73179999999999</v>
      </c>
      <c r="H3509" s="1">
        <v>-4.6040030000000002E-6</v>
      </c>
      <c r="I3509">
        <v>144.9256</v>
      </c>
      <c r="J3509">
        <v>-185.4333</v>
      </c>
      <c r="K3509">
        <v>1.0905579999999999</v>
      </c>
      <c r="L3509">
        <v>123.8326</v>
      </c>
      <c r="M3509">
        <v>0.30793690000000001</v>
      </c>
      <c r="N3509">
        <v>0</v>
      </c>
      <c r="O3509">
        <v>0.95127980000000001</v>
      </c>
      <c r="P3509">
        <v>0.45456770000000002</v>
      </c>
      <c r="Q3509">
        <v>0.1911746</v>
      </c>
      <c r="R3509">
        <v>0.86995429999999996</v>
      </c>
      <c r="S3509">
        <v>2.3869630000000002</v>
      </c>
      <c r="T3509">
        <v>-0.11399570000000001</v>
      </c>
      <c r="U3509">
        <v>2.248062</v>
      </c>
      <c r="V3509">
        <v>0.1712466</v>
      </c>
      <c r="W3509">
        <v>0.2006655</v>
      </c>
      <c r="X3509">
        <v>0.96457660000000001</v>
      </c>
      <c r="Y3509">
        <v>0.4809581</v>
      </c>
      <c r="Z3509">
        <v>-3.5800850000000002E-2</v>
      </c>
      <c r="AA3509">
        <v>0.87601229999999997</v>
      </c>
      <c r="AB3509">
        <v>45</v>
      </c>
      <c r="AC3509">
        <v>22.701499999999999</v>
      </c>
      <c r="AD3509">
        <v>-1.0905626040030001</v>
      </c>
      <c r="AE3509">
        <v>21.093</v>
      </c>
      <c r="AF3509">
        <v>15.0833087037557</v>
      </c>
      <c r="AG3509">
        <v>-1.0905626040030001</v>
      </c>
      <c r="AH3509">
        <v>27.025771181890399</v>
      </c>
      <c r="AI3509">
        <v>92.018058919060906</v>
      </c>
      <c r="AJ3509">
        <v>60.8337487691755</v>
      </c>
      <c r="AK3509">
        <v>30.969143291701499</v>
      </c>
      <c r="AL3509">
        <v>78.424121990749995</v>
      </c>
      <c r="AM3509">
        <v>79.932858150261595</v>
      </c>
      <c r="AN3509">
        <v>1.00000002908468</v>
      </c>
    </row>
    <row r="3510" spans="1:40" x14ac:dyDescent="0.3">
      <c r="A3510" t="str">
        <f>"20200111150427734"</f>
        <v>20200111150427734</v>
      </c>
      <c r="B3510" t="str">
        <f>"1578726267722213"</f>
        <v>1578726267722213</v>
      </c>
      <c r="C3510" t="s">
        <v>40</v>
      </c>
      <c r="D3510">
        <v>5.6998259999999998</v>
      </c>
      <c r="E3510">
        <v>0.6401268</v>
      </c>
      <c r="F3510" t="s">
        <v>41</v>
      </c>
      <c r="G3510">
        <v>-167.31620000000001</v>
      </c>
      <c r="H3510" s="1">
        <v>-1.477268E-6</v>
      </c>
      <c r="I3510">
        <v>140.47380000000001</v>
      </c>
      <c r="J3510">
        <v>-185.28899999999999</v>
      </c>
      <c r="K3510">
        <v>1.090571</v>
      </c>
      <c r="L3510">
        <v>124.2615</v>
      </c>
      <c r="M3510">
        <v>0.31827949999999999</v>
      </c>
      <c r="N3510">
        <v>0</v>
      </c>
      <c r="O3510">
        <v>0.94786950000000003</v>
      </c>
      <c r="P3510">
        <v>0.46553949999999999</v>
      </c>
      <c r="Q3510">
        <v>0.18559390000000001</v>
      </c>
      <c r="R3510">
        <v>0.86534840000000002</v>
      </c>
      <c r="S3510">
        <v>2.4151760000000002</v>
      </c>
      <c r="T3510">
        <v>-0.14538180000000001</v>
      </c>
      <c r="U3510">
        <v>2.2184300000000001</v>
      </c>
      <c r="V3510">
        <v>0.17236399999999999</v>
      </c>
      <c r="W3510">
        <v>0.195072</v>
      </c>
      <c r="X3510">
        <v>0.96552450000000001</v>
      </c>
      <c r="Y3510">
        <v>0.48203659999999998</v>
      </c>
      <c r="Z3510">
        <v>-4.5611550000000001E-2</v>
      </c>
      <c r="AA3510">
        <v>0.87496299999999905</v>
      </c>
      <c r="AB3510">
        <v>45</v>
      </c>
      <c r="AC3510">
        <v>17.972799999999999</v>
      </c>
      <c r="AD3510">
        <v>-1.0905724772680001</v>
      </c>
      <c r="AE3510">
        <v>16.212299999999999</v>
      </c>
      <c r="AF3510">
        <v>11.8531978526761</v>
      </c>
      <c r="AG3510">
        <v>-1.0905724772680001</v>
      </c>
      <c r="AH3510">
        <v>21.047338050945001</v>
      </c>
      <c r="AI3510">
        <v>92.585033090901206</v>
      </c>
      <c r="AJ3510">
        <v>60.613158603016302</v>
      </c>
      <c r="AK3510">
        <v>24.180117590566301</v>
      </c>
      <c r="AL3510">
        <v>78.7510703030608</v>
      </c>
      <c r="AM3510">
        <v>79.878266404749198</v>
      </c>
      <c r="AN3510">
        <v>0.99999999689012498</v>
      </c>
    </row>
    <row r="3511" spans="1:40" x14ac:dyDescent="0.3">
      <c r="A3511" t="str">
        <f>"20200111150427756"</f>
        <v>20200111150427756</v>
      </c>
      <c r="B3511" t="str">
        <f>"1578726267752469"</f>
        <v>1578726267752469</v>
      </c>
      <c r="C3511" t="s">
        <v>40</v>
      </c>
      <c r="D3511">
        <v>5.4351409999999998</v>
      </c>
      <c r="E3511">
        <v>0.64070890000000003</v>
      </c>
      <c r="F3511" t="s">
        <v>41</v>
      </c>
      <c r="G3511">
        <v>-169.7687</v>
      </c>
      <c r="H3511" s="1">
        <v>-4.642885E-7</v>
      </c>
      <c r="I3511">
        <v>138.14580000000001</v>
      </c>
      <c r="J3511">
        <v>-185.142</v>
      </c>
      <c r="K3511">
        <v>1.0906119999999999</v>
      </c>
      <c r="L3511">
        <v>124.68340000000001</v>
      </c>
      <c r="M3511">
        <v>0.3284475</v>
      </c>
      <c r="N3511">
        <v>0</v>
      </c>
      <c r="O3511">
        <v>0.94439439999999997</v>
      </c>
      <c r="P3511">
        <v>0.4752538</v>
      </c>
      <c r="Q3511">
        <v>0.1827916</v>
      </c>
      <c r="R3511">
        <v>0.86065159999999996</v>
      </c>
      <c r="S3511">
        <v>2.4457089999999999</v>
      </c>
      <c r="T3511">
        <v>-0.171853799999999</v>
      </c>
      <c r="U3511">
        <v>2.1879119999999999</v>
      </c>
      <c r="V3511">
        <v>0.1725534</v>
      </c>
      <c r="W3511">
        <v>0.19228619999999999</v>
      </c>
      <c r="X3511">
        <v>0.9660493</v>
      </c>
      <c r="Y3511">
        <v>0.48380699999999999</v>
      </c>
      <c r="Z3511">
        <v>-5.3837030000000001E-2</v>
      </c>
      <c r="AA3511">
        <v>0.87351730000000005</v>
      </c>
      <c r="AB3511">
        <v>45</v>
      </c>
      <c r="AC3511">
        <v>15.3733</v>
      </c>
      <c r="AD3511">
        <v>-1.0906124642885</v>
      </c>
      <c r="AE3511">
        <v>13.462400000000001</v>
      </c>
      <c r="AF3511">
        <v>10.0693041982286</v>
      </c>
      <c r="AG3511">
        <v>-1.0906124642885</v>
      </c>
      <c r="AH3511">
        <v>17.7148224421307</v>
      </c>
      <c r="AI3511">
        <v>93.063706655729902</v>
      </c>
      <c r="AJ3511">
        <v>60.3856132643728</v>
      </c>
      <c r="AK3511">
        <v>20.405765281898699</v>
      </c>
      <c r="AL3511">
        <v>78.913765113759098</v>
      </c>
      <c r="AM3511">
        <v>79.872765115094793</v>
      </c>
      <c r="AN3511">
        <v>0.999999954296244</v>
      </c>
    </row>
    <row r="3512" spans="1:40" x14ac:dyDescent="0.3">
      <c r="A3512" t="str">
        <f>"20200111150427779"</f>
        <v>20200111150427779</v>
      </c>
      <c r="B3512" t="str">
        <f>"1578726267771989"</f>
        <v>1578726267771989</v>
      </c>
      <c r="C3512" t="s">
        <v>40</v>
      </c>
      <c r="D3512">
        <v>5.3954700000000004</v>
      </c>
      <c r="E3512">
        <v>0.64090249999999904</v>
      </c>
      <c r="F3512" t="s">
        <v>68</v>
      </c>
      <c r="G3512">
        <v>-170.84889999999999</v>
      </c>
      <c r="H3512" s="1">
        <v>-3.016437E-6</v>
      </c>
      <c r="I3512">
        <v>137.15379999999999</v>
      </c>
      <c r="J3512">
        <v>-184.9847</v>
      </c>
      <c r="K3512">
        <v>1.0906610000000001</v>
      </c>
      <c r="L3512">
        <v>125.1191</v>
      </c>
      <c r="M3512">
        <v>0.33896179999999998</v>
      </c>
      <c r="N3512">
        <v>0</v>
      </c>
      <c r="O3512">
        <v>0.9406717</v>
      </c>
      <c r="P3512">
        <v>0.48393609999999998</v>
      </c>
      <c r="Q3512">
        <v>0.1811604</v>
      </c>
      <c r="R3512">
        <v>0.85614650000000003</v>
      </c>
      <c r="S3512">
        <v>2.4748230000000002</v>
      </c>
      <c r="T3512">
        <v>-0.18883749999999999</v>
      </c>
      <c r="U3512">
        <v>2.1592250000000002</v>
      </c>
      <c r="V3512">
        <v>0.17135719999999999</v>
      </c>
      <c r="W3512">
        <v>0.19071930000000001</v>
      </c>
      <c r="X3512">
        <v>0.96657280000000001</v>
      </c>
      <c r="Y3512">
        <v>0.48466680000000001</v>
      </c>
      <c r="Z3512">
        <v>-5.9044779999999998E-2</v>
      </c>
      <c r="AA3512">
        <v>0.87270369999999997</v>
      </c>
      <c r="AB3512">
        <v>44</v>
      </c>
      <c r="AC3512">
        <v>14.1358</v>
      </c>
      <c r="AD3512">
        <v>-1.0906640164370001</v>
      </c>
      <c r="AE3512">
        <v>12.0346999999999</v>
      </c>
      <c r="AF3512">
        <v>9.1872483587398595</v>
      </c>
      <c r="AG3512">
        <v>-1.0906640164370001</v>
      </c>
      <c r="AH3512">
        <v>16.058719680491802</v>
      </c>
      <c r="AI3512">
        <v>93.373769682092799</v>
      </c>
      <c r="AJ3512">
        <v>60.225979225498598</v>
      </c>
      <c r="AK3512">
        <v>18.533147551847001</v>
      </c>
      <c r="AL3512">
        <v>79.005235971051306</v>
      </c>
      <c r="AM3512">
        <v>79.946868758919294</v>
      </c>
      <c r="AN3512">
        <v>1.0000000595420799</v>
      </c>
    </row>
    <row r="3513" spans="1:40" x14ac:dyDescent="0.3">
      <c r="A3513" t="str">
        <f>"20200111150427801"</f>
        <v>20200111150427801</v>
      </c>
      <c r="B3513" t="str">
        <f>"1578726267792485"</f>
        <v>1578726267792485</v>
      </c>
      <c r="C3513" t="s">
        <v>40</v>
      </c>
      <c r="D3513">
        <v>5.4239230000000003</v>
      </c>
      <c r="E3513">
        <v>0.6411173</v>
      </c>
      <c r="F3513" t="s">
        <v>68</v>
      </c>
      <c r="G3513">
        <v>-171.01900000000001</v>
      </c>
      <c r="H3513" s="1">
        <v>-3.0588420000000001E-6</v>
      </c>
      <c r="I3513">
        <v>137.03049999999999</v>
      </c>
      <c r="J3513">
        <v>-184.8297</v>
      </c>
      <c r="K3513">
        <v>1.0907070000000001</v>
      </c>
      <c r="L3513">
        <v>125.5341</v>
      </c>
      <c r="M3513">
        <v>0.34900870000000001</v>
      </c>
      <c r="N3513">
        <v>0</v>
      </c>
      <c r="O3513">
        <v>0.93699049999999995</v>
      </c>
      <c r="P3513">
        <v>0.49195179999999999</v>
      </c>
      <c r="Q3513">
        <v>0.18154699999999999</v>
      </c>
      <c r="R3513">
        <v>0.85148349999999995</v>
      </c>
      <c r="S3513">
        <v>2.5</v>
      </c>
      <c r="T3513">
        <v>-0.19524079999999999</v>
      </c>
      <c r="U3513">
        <v>2.132263</v>
      </c>
      <c r="V3513">
        <v>0.17010999999999901</v>
      </c>
      <c r="W3513">
        <v>0.19116440000000001</v>
      </c>
      <c r="X3513">
        <v>0.96670509999999998</v>
      </c>
      <c r="Y3513">
        <v>0.4850119</v>
      </c>
      <c r="Z3513">
        <v>-6.095457E-2</v>
      </c>
      <c r="AA3513">
        <v>0.87238059999999995</v>
      </c>
      <c r="AB3513">
        <v>44</v>
      </c>
      <c r="AC3513">
        <v>13.810699999999899</v>
      </c>
      <c r="AD3513">
        <v>-1.09071005884199</v>
      </c>
      <c r="AE3513">
        <v>11.4963999999999</v>
      </c>
      <c r="AF3513">
        <v>8.8964537731266198</v>
      </c>
      <c r="AG3513">
        <v>-1.09071005884199</v>
      </c>
      <c r="AH3513">
        <v>15.536716042235399</v>
      </c>
      <c r="AI3513">
        <v>93.486236352431803</v>
      </c>
      <c r="AJ3513">
        <v>60.204186154644198</v>
      </c>
      <c r="AK3513">
        <v>17.936724437502299</v>
      </c>
      <c r="AL3513">
        <v>78.979254898916196</v>
      </c>
      <c r="AM3513">
        <v>80.019900983714805</v>
      </c>
      <c r="AN3513">
        <v>0.99999999514668403</v>
      </c>
    </row>
    <row r="3514" spans="1:40" x14ac:dyDescent="0.3">
      <c r="A3514" t="str">
        <f>"20200111150427823"</f>
        <v>20200111150427823</v>
      </c>
      <c r="B3514" t="str">
        <f>"1578726267812005"</f>
        <v>1578726267812005</v>
      </c>
      <c r="C3514" t="s">
        <v>40</v>
      </c>
      <c r="D3514">
        <v>5.4211010000000002</v>
      </c>
      <c r="E3514">
        <v>0.64123260000000004</v>
      </c>
      <c r="F3514" t="s">
        <v>68</v>
      </c>
      <c r="G3514">
        <v>-170.77449999999999</v>
      </c>
      <c r="H3514" s="1">
        <v>-3.0268969999999999E-6</v>
      </c>
      <c r="I3514">
        <v>137.2732</v>
      </c>
      <c r="J3514">
        <v>-184.6739</v>
      </c>
      <c r="K3514">
        <v>1.0907389999999999</v>
      </c>
      <c r="L3514">
        <v>125.9376</v>
      </c>
      <c r="M3514">
        <v>0.35884260000000001</v>
      </c>
      <c r="N3514">
        <v>0</v>
      </c>
      <c r="O3514">
        <v>0.93326849999999995</v>
      </c>
      <c r="P3514">
        <v>0.50129780000000002</v>
      </c>
      <c r="Q3514">
        <v>0.18260170000000001</v>
      </c>
      <c r="R3514">
        <v>0.84578779999999998</v>
      </c>
      <c r="S3514">
        <v>2.5230709999999998</v>
      </c>
      <c r="T3514">
        <v>-0.1957952</v>
      </c>
      <c r="U3514">
        <v>2.1073149999999998</v>
      </c>
      <c r="V3514">
        <v>0.17069790000000001</v>
      </c>
      <c r="W3514">
        <v>0.1922085</v>
      </c>
      <c r="X3514">
        <v>0.96639439999999999</v>
      </c>
      <c r="Y3514">
        <v>0.4848268</v>
      </c>
      <c r="Z3514">
        <v>-6.1026730000000001E-2</v>
      </c>
      <c r="AA3514">
        <v>0.87247849999999905</v>
      </c>
      <c r="AB3514">
        <v>44</v>
      </c>
      <c r="AC3514">
        <v>13.8994</v>
      </c>
      <c r="AD3514">
        <v>-1.0907420268969901</v>
      </c>
      <c r="AE3514">
        <v>11.335599999999999</v>
      </c>
      <c r="AF3514">
        <v>8.8724397839483995</v>
      </c>
      <c r="AG3514">
        <v>-1.0907420268969901</v>
      </c>
      <c r="AH3514">
        <v>15.511371920085899</v>
      </c>
      <c r="AI3514">
        <v>93.492940551690594</v>
      </c>
      <c r="AJ3514">
        <v>60.2306242995516</v>
      </c>
      <c r="AK3514">
        <v>17.902864707422101</v>
      </c>
      <c r="AL3514">
        <v>78.918302225353699</v>
      </c>
      <c r="AM3514">
        <v>79.982952402069003</v>
      </c>
      <c r="AN3514">
        <v>1.0000000084440099</v>
      </c>
    </row>
    <row r="3515" spans="1:40" x14ac:dyDescent="0.3">
      <c r="A3515" t="str">
        <f>"20200111150427846"</f>
        <v>20200111150427846</v>
      </c>
      <c r="B3515" t="str">
        <f>"1578726267842261"</f>
        <v>1578726267842261</v>
      </c>
      <c r="C3515" t="s">
        <v>40</v>
      </c>
      <c r="D3515">
        <v>5.4262069999999998</v>
      </c>
      <c r="E3515">
        <v>0.64130290000000001</v>
      </c>
      <c r="F3515" t="s">
        <v>68</v>
      </c>
      <c r="G3515">
        <v>-170.54669999999999</v>
      </c>
      <c r="H3515" s="1">
        <v>-2.9832090000000001E-6</v>
      </c>
      <c r="I3515">
        <v>137.46780000000001</v>
      </c>
      <c r="J3515">
        <v>-184.50829999999999</v>
      </c>
      <c r="K3515">
        <v>1.0907500000000001</v>
      </c>
      <c r="L3515">
        <v>126.3532</v>
      </c>
      <c r="M3515">
        <v>0.36907050000000002</v>
      </c>
      <c r="N3515">
        <v>0</v>
      </c>
      <c r="O3515">
        <v>0.92927119999999996</v>
      </c>
      <c r="P3515">
        <v>0.51098359999999998</v>
      </c>
      <c r="Q3515">
        <v>0.1847626</v>
      </c>
      <c r="R3515">
        <v>0.839499</v>
      </c>
      <c r="S3515">
        <v>2.5477599999999998</v>
      </c>
      <c r="T3515">
        <v>-0.19670899999999999</v>
      </c>
      <c r="U3515">
        <v>2.0794069999999998</v>
      </c>
      <c r="V3515">
        <v>0.17143720000000001</v>
      </c>
      <c r="W3515">
        <v>0.1943452</v>
      </c>
      <c r="X3515">
        <v>0.96583600000000003</v>
      </c>
      <c r="Y3515">
        <v>0.48509819999999998</v>
      </c>
      <c r="Z3515">
        <v>-6.1210630000000002E-2</v>
      </c>
      <c r="AA3515">
        <v>0.87231479999999995</v>
      </c>
      <c r="AB3515">
        <v>44</v>
      </c>
      <c r="AC3515">
        <v>13.961600000000001</v>
      </c>
      <c r="AD3515">
        <v>-1.0907529832089999</v>
      </c>
      <c r="AE3515">
        <v>11.114599999999999</v>
      </c>
      <c r="AF3515">
        <v>8.8400896990550102</v>
      </c>
      <c r="AG3515">
        <v>-1.0907529832089999</v>
      </c>
      <c r="AH3515">
        <v>15.425537459312601</v>
      </c>
      <c r="AI3515">
        <v>93.510723735450298</v>
      </c>
      <c r="AJ3515">
        <v>60.183777160042297</v>
      </c>
      <c r="AK3515">
        <v>17.8124713014892</v>
      </c>
      <c r="AL3515">
        <v>78.793525166653495</v>
      </c>
      <c r="AM3515">
        <v>79.934755308461703</v>
      </c>
      <c r="AN3515">
        <v>0.99999997460143897</v>
      </c>
    </row>
    <row r="3516" spans="1:40" x14ac:dyDescent="0.3">
      <c r="A3516" t="str">
        <f>"20200111150427869"</f>
        <v>20200111150427869</v>
      </c>
      <c r="B3516" t="str">
        <f>"1578726267862758"</f>
        <v>1578726267862758</v>
      </c>
      <c r="C3516" t="s">
        <v>40</v>
      </c>
      <c r="D3516">
        <v>5.5165059999999997</v>
      </c>
      <c r="E3516">
        <v>0.64111640000000003</v>
      </c>
      <c r="F3516" t="s">
        <v>68</v>
      </c>
      <c r="G3516">
        <v>-170.2783</v>
      </c>
      <c r="H3516" s="1">
        <v>-2.9332320000000002E-6</v>
      </c>
      <c r="I3516">
        <v>137.70050000000001</v>
      </c>
      <c r="J3516">
        <v>-184.33150000000001</v>
      </c>
      <c r="K3516">
        <v>1.090727</v>
      </c>
      <c r="L3516">
        <v>126.78270000000001</v>
      </c>
      <c r="M3516">
        <v>0.37977300000000003</v>
      </c>
      <c r="N3516">
        <v>0</v>
      </c>
      <c r="O3516">
        <v>0.92494860000000001</v>
      </c>
      <c r="P3516">
        <v>0.51983740000000001</v>
      </c>
      <c r="Q3516">
        <v>0.1886225</v>
      </c>
      <c r="R3516">
        <v>0.83318110000000001</v>
      </c>
      <c r="S3516">
        <v>2.5723419999999999</v>
      </c>
      <c r="T3516">
        <v>-0.1971745</v>
      </c>
      <c r="U3516">
        <v>2.0512389999999998</v>
      </c>
      <c r="V3516">
        <v>0.17097379999999901</v>
      </c>
      <c r="W3516">
        <v>0.19821330000000001</v>
      </c>
      <c r="X3516">
        <v>0.96513179999999998</v>
      </c>
      <c r="Y3516">
        <v>0.4849135</v>
      </c>
      <c r="Z3516">
        <v>-6.1233360000000001E-2</v>
      </c>
      <c r="AA3516">
        <v>0.87241579999999996</v>
      </c>
      <c r="AB3516">
        <v>44</v>
      </c>
      <c r="AC3516">
        <v>14.0532</v>
      </c>
      <c r="AD3516">
        <v>-1.090729933232</v>
      </c>
      <c r="AE3516">
        <v>10.9178</v>
      </c>
      <c r="AF3516">
        <v>8.8201417223887404</v>
      </c>
      <c r="AG3516">
        <v>-1.090729933232</v>
      </c>
      <c r="AH3516">
        <v>15.379526792905301</v>
      </c>
      <c r="AI3516">
        <v>93.520493550092198</v>
      </c>
      <c r="AJ3516">
        <v>60.1657763343852</v>
      </c>
      <c r="AK3516">
        <v>17.762726034141298</v>
      </c>
      <c r="AL3516">
        <v>78.567502582695994</v>
      </c>
      <c r="AM3516">
        <v>79.954232441559597</v>
      </c>
      <c r="AN3516">
        <v>0.99999997197728396</v>
      </c>
    </row>
    <row r="3517" spans="1:40" x14ac:dyDescent="0.3">
      <c r="A3517" t="str">
        <f>"20200111150427891"</f>
        <v>20200111150427891</v>
      </c>
      <c r="B3517" t="str">
        <f>"1578726267882277"</f>
        <v>1578726267882277</v>
      </c>
      <c r="C3517" t="s">
        <v>40</v>
      </c>
      <c r="D3517">
        <v>5.5065869999999997</v>
      </c>
      <c r="E3517">
        <v>0.64081309999999903</v>
      </c>
      <c r="F3517" t="s">
        <v>41</v>
      </c>
      <c r="G3517">
        <v>-169.273</v>
      </c>
      <c r="H3517" s="1">
        <v>-5.5151089999999998E-7</v>
      </c>
      <c r="I3517">
        <v>138.5335</v>
      </c>
      <c r="J3517">
        <v>-184.1566</v>
      </c>
      <c r="K3517">
        <v>1.0906769999999999</v>
      </c>
      <c r="L3517">
        <v>127.1927</v>
      </c>
      <c r="M3517">
        <v>0.39017610000000003</v>
      </c>
      <c r="N3517">
        <v>0</v>
      </c>
      <c r="O3517">
        <v>0.92060819999999999</v>
      </c>
      <c r="P3517">
        <v>0.52957290000000001</v>
      </c>
      <c r="Q3517">
        <v>0.19122819999999999</v>
      </c>
      <c r="R3517">
        <v>0.82642870000000002</v>
      </c>
      <c r="S3517">
        <v>2.594376</v>
      </c>
      <c r="T3517">
        <v>-0.18791730000000001</v>
      </c>
      <c r="U3517">
        <v>2.0245060000000001</v>
      </c>
      <c r="V3517">
        <v>0.1717619</v>
      </c>
      <c r="W3517">
        <v>0.2007795</v>
      </c>
      <c r="X3517">
        <v>0.96446120000000002</v>
      </c>
      <c r="Y3517">
        <v>0.48438940000000003</v>
      </c>
      <c r="Z3517">
        <v>-5.8252959999999999E-2</v>
      </c>
      <c r="AA3517">
        <v>0.87291090000000005</v>
      </c>
      <c r="AB3517">
        <v>44</v>
      </c>
      <c r="AC3517">
        <v>14.883599999999999</v>
      </c>
      <c r="AD3517">
        <v>-1.0906775515109</v>
      </c>
      <c r="AE3517">
        <v>11.3408</v>
      </c>
      <c r="AF3517">
        <v>9.2467674646962408</v>
      </c>
      <c r="AG3517">
        <v>-1.0906775515109</v>
      </c>
      <c r="AH3517">
        <v>16.194613302422098</v>
      </c>
      <c r="AI3517">
        <v>93.347184232642405</v>
      </c>
      <c r="AJ3517">
        <v>60.274584852221501</v>
      </c>
      <c r="AK3517">
        <v>18.680411828504202</v>
      </c>
      <c r="AL3517">
        <v>78.417454026187102</v>
      </c>
      <c r="AM3517">
        <v>79.902004127737598</v>
      </c>
      <c r="AN3517">
        <v>0.99999998210864904</v>
      </c>
    </row>
    <row r="3518" spans="1:40" x14ac:dyDescent="0.3">
      <c r="A3518" t="str">
        <f>"20200111150427913"</f>
        <v>20200111150427913</v>
      </c>
      <c r="B3518" t="str">
        <f>"1578726267902773"</f>
        <v>1578726267902773</v>
      </c>
      <c r="C3518" t="s">
        <v>40</v>
      </c>
      <c r="D3518">
        <v>5.5456969999999997</v>
      </c>
      <c r="E3518">
        <v>0.64053070000000001</v>
      </c>
      <c r="F3518" t="s">
        <v>41</v>
      </c>
      <c r="G3518">
        <v>-168.66890000000001</v>
      </c>
      <c r="H3518" s="1">
        <v>-7.1703849999999998E-7</v>
      </c>
      <c r="I3518">
        <v>139.0112</v>
      </c>
      <c r="J3518">
        <v>-183.98240000000001</v>
      </c>
      <c r="K3518">
        <v>1.0906009999999999</v>
      </c>
      <c r="L3518">
        <v>127.58880000000001</v>
      </c>
      <c r="M3518">
        <v>0.40038210000000002</v>
      </c>
      <c r="N3518">
        <v>0</v>
      </c>
      <c r="O3518">
        <v>0.91621509999999995</v>
      </c>
      <c r="P3518">
        <v>0.54116039999999999</v>
      </c>
      <c r="Q3518">
        <v>0.19073870000000001</v>
      </c>
      <c r="R3518">
        <v>0.81900189999999995</v>
      </c>
      <c r="S3518">
        <v>2.616104</v>
      </c>
      <c r="T3518">
        <v>-0.18423100000000001</v>
      </c>
      <c r="U3518">
        <v>1.9963230000000001</v>
      </c>
      <c r="V3518">
        <v>0.1746103</v>
      </c>
      <c r="W3518">
        <v>0.20018340000000001</v>
      </c>
      <c r="X3518">
        <v>0.96407359999999998</v>
      </c>
      <c r="Y3518">
        <v>0.48417080000000001</v>
      </c>
      <c r="Z3518">
        <v>-5.701295E-2</v>
      </c>
      <c r="AA3518">
        <v>0.87311399999999995</v>
      </c>
      <c r="AB3518">
        <v>44</v>
      </c>
      <c r="AC3518">
        <v>15.313499999999999</v>
      </c>
      <c r="AD3518">
        <v>-1.0906017170384901</v>
      </c>
      <c r="AE3518">
        <v>11.4223999999999</v>
      </c>
      <c r="AF3518">
        <v>9.4275663113119101</v>
      </c>
      <c r="AG3518">
        <v>-1.0906017170384901</v>
      </c>
      <c r="AH3518">
        <v>16.544734854794498</v>
      </c>
      <c r="AI3518">
        <v>93.277905160967194</v>
      </c>
      <c r="AJ3518">
        <v>60.324525650096</v>
      </c>
      <c r="AK3518">
        <v>19.073454592046001</v>
      </c>
      <c r="AL3518">
        <v>78.452316364717703</v>
      </c>
      <c r="AM3518">
        <v>79.734037030928306</v>
      </c>
      <c r="AN3518">
        <v>1.0000000283593</v>
      </c>
    </row>
    <row r="3519" spans="1:40" x14ac:dyDescent="0.3">
      <c r="A3519" t="str">
        <f>"20200111150427934"</f>
        <v>20200111150427934</v>
      </c>
      <c r="B3519" t="str">
        <f>"1578726267932053"</f>
        <v>1578726267932053</v>
      </c>
      <c r="C3519" t="s">
        <v>40</v>
      </c>
      <c r="D3519">
        <v>5.5087080000000004</v>
      </c>
      <c r="E3519">
        <v>0.64025549999999998</v>
      </c>
      <c r="F3519" t="s">
        <v>41</v>
      </c>
      <c r="G3519">
        <v>-168.97980000000001</v>
      </c>
      <c r="H3519" s="1">
        <v>-6.1740929999999997E-7</v>
      </c>
      <c r="I3519">
        <v>138.74440000000001</v>
      </c>
      <c r="J3519">
        <v>-183.8022</v>
      </c>
      <c r="K3519">
        <v>1.0905180000000001</v>
      </c>
      <c r="L3519">
        <v>127.98609999999999</v>
      </c>
      <c r="M3519">
        <v>0.41079300000000002</v>
      </c>
      <c r="N3519">
        <v>0</v>
      </c>
      <c r="O3519">
        <v>0.91159440000000003</v>
      </c>
      <c r="P3519">
        <v>0.55305990000000005</v>
      </c>
      <c r="Q3519">
        <v>0.18958820000000001</v>
      </c>
      <c r="R3519">
        <v>0.81128359999999899</v>
      </c>
      <c r="S3519">
        <v>2.6401819999999998</v>
      </c>
      <c r="T3519">
        <v>-0.1919256</v>
      </c>
      <c r="U3519">
        <v>1.9631810000000001</v>
      </c>
      <c r="V3519">
        <v>0.17760600000000001</v>
      </c>
      <c r="W3519">
        <v>0.19891710000000001</v>
      </c>
      <c r="X3519">
        <v>0.96378839999999999</v>
      </c>
      <c r="Y3519">
        <v>0.48496119999999998</v>
      </c>
      <c r="Z3519">
        <v>-5.9299919999999999E-2</v>
      </c>
      <c r="AA3519">
        <v>0.87252289999999999</v>
      </c>
      <c r="AB3519">
        <v>44</v>
      </c>
      <c r="AC3519">
        <v>14.822399999999901</v>
      </c>
      <c r="AD3519">
        <v>-1.0905186174093</v>
      </c>
      <c r="AE3519">
        <v>10.7583</v>
      </c>
      <c r="AF3519">
        <v>9.0615700381112703</v>
      </c>
      <c r="AG3519">
        <v>-1.0905186174093</v>
      </c>
      <c r="AH3519">
        <v>15.841926529933</v>
      </c>
      <c r="AI3519">
        <v>93.419528446495605</v>
      </c>
      <c r="AJ3519">
        <v>60.230476049244601</v>
      </c>
      <c r="AK3519">
        <v>18.2829953396676</v>
      </c>
      <c r="AL3519">
        <v>78.526358769724197</v>
      </c>
      <c r="AM3519">
        <v>79.558728050105302</v>
      </c>
      <c r="AN3519">
        <v>0.99999999194148503</v>
      </c>
    </row>
    <row r="3520" spans="1:40" x14ac:dyDescent="0.3">
      <c r="A3520" t="str">
        <f>"20200111150427946"</f>
        <v>20200111150427946</v>
      </c>
      <c r="B3520" t="str">
        <f>"1578726267942791"</f>
        <v>1578726267942791</v>
      </c>
      <c r="C3520" t="s">
        <v>40</v>
      </c>
      <c r="D3520">
        <v>5.4571440000000004</v>
      </c>
      <c r="E3520">
        <v>0.64006130000000006</v>
      </c>
      <c r="F3520" t="s">
        <v>41</v>
      </c>
      <c r="G3520">
        <v>-169.3321</v>
      </c>
      <c r="H3520" s="1">
        <v>-5.5201469999999897E-7</v>
      </c>
      <c r="I3520">
        <v>138.44630000000001</v>
      </c>
      <c r="J3520">
        <v>-183.70009999999999</v>
      </c>
      <c r="K3520">
        <v>1.090463</v>
      </c>
      <c r="L3520">
        <v>128.20670000000001</v>
      </c>
      <c r="M3520">
        <v>0.41664010000000001</v>
      </c>
      <c r="N3520">
        <v>0</v>
      </c>
      <c r="O3520">
        <v>0.90893659999999998</v>
      </c>
      <c r="P3520">
        <v>0.55996789999999996</v>
      </c>
      <c r="Q3520">
        <v>0.18863379999999999</v>
      </c>
      <c r="R3520">
        <v>0.80675479999999999</v>
      </c>
      <c r="S3520">
        <v>2.6661220000000001</v>
      </c>
      <c r="T3520">
        <v>-0.20092860000000001</v>
      </c>
      <c r="U3520">
        <v>1.927292</v>
      </c>
      <c r="V3520">
        <v>0.17955299999999999</v>
      </c>
      <c r="W3520">
        <v>0.19788620000000001</v>
      </c>
      <c r="X3520">
        <v>0.96363989999999999</v>
      </c>
      <c r="Y3520">
        <v>0.4909309</v>
      </c>
      <c r="Z3520">
        <v>-6.2102360000000002E-2</v>
      </c>
      <c r="AA3520">
        <v>0.86898229999999999</v>
      </c>
      <c r="AB3520">
        <v>44</v>
      </c>
      <c r="AC3520">
        <v>14.367999999999901</v>
      </c>
      <c r="AD3520">
        <v>-1.0904635520146999</v>
      </c>
      <c r="AE3520">
        <v>10.2395999999999</v>
      </c>
      <c r="AF3520">
        <v>8.7609851281284001</v>
      </c>
      <c r="AG3520">
        <v>-1.0904635520146999</v>
      </c>
      <c r="AH3520">
        <v>15.2371030126049</v>
      </c>
      <c r="AI3520">
        <v>93.550189554311999</v>
      </c>
      <c r="AJ3520">
        <v>60.102084722112799</v>
      </c>
      <c r="AK3520">
        <v>17.610033486347898</v>
      </c>
      <c r="AL3520">
        <v>78.586623580744103</v>
      </c>
      <c r="AM3520">
        <v>79.445234010902297</v>
      </c>
      <c r="AN3520">
        <v>1.00000004241572</v>
      </c>
    </row>
    <row r="3521" spans="1:40" x14ac:dyDescent="0.3">
      <c r="A3521" t="str">
        <f>"20200111150427958"</f>
        <v>20200111150427958</v>
      </c>
      <c r="B3521" t="str">
        <f>"1578726267952549"</f>
        <v>1578726267952549</v>
      </c>
      <c r="C3521" t="s">
        <v>40</v>
      </c>
      <c r="D3521">
        <v>5.4463030000000003</v>
      </c>
      <c r="E3521">
        <v>0.64003409999999905</v>
      </c>
      <c r="F3521" t="s">
        <v>41</v>
      </c>
      <c r="G3521">
        <v>-169.3665</v>
      </c>
      <c r="H3521" s="1">
        <v>-5.5317459999999897E-7</v>
      </c>
      <c r="I3521">
        <v>138.39230000000001</v>
      </c>
      <c r="J3521">
        <v>-183.59970000000001</v>
      </c>
      <c r="K3521">
        <v>1.0904</v>
      </c>
      <c r="L3521">
        <v>128.4186</v>
      </c>
      <c r="M3521">
        <v>0.4223481</v>
      </c>
      <c r="N3521">
        <v>0</v>
      </c>
      <c r="O3521">
        <v>0.90629820000000005</v>
      </c>
      <c r="P3521">
        <v>0.56652369999999996</v>
      </c>
      <c r="Q3521">
        <v>0.18789339999999999</v>
      </c>
      <c r="R3521">
        <v>0.80233849999999995</v>
      </c>
      <c r="S3521">
        <v>2.6811980000000002</v>
      </c>
      <c r="T3521">
        <v>-0.2039784</v>
      </c>
      <c r="U3521">
        <v>1.905289</v>
      </c>
      <c r="V3521">
        <v>0.18128150000000001</v>
      </c>
      <c r="W3521">
        <v>0.1970742</v>
      </c>
      <c r="X3521">
        <v>0.96348259999999997</v>
      </c>
      <c r="Y3521">
        <v>0.49244850000000001</v>
      </c>
      <c r="Z3521">
        <v>-6.3007030000000006E-2</v>
      </c>
      <c r="AA3521">
        <v>0.868058</v>
      </c>
      <c r="AB3521">
        <v>44</v>
      </c>
      <c r="AC3521">
        <v>14.2332</v>
      </c>
      <c r="AD3521">
        <v>-1.0904005531745999</v>
      </c>
      <c r="AE3521">
        <v>9.9736999999999991</v>
      </c>
      <c r="AF3521">
        <v>8.6541527503368005</v>
      </c>
      <c r="AG3521">
        <v>-1.0904005531745999</v>
      </c>
      <c r="AH3521">
        <v>14.993342998598701</v>
      </c>
      <c r="AI3521">
        <v>93.604091685323297</v>
      </c>
      <c r="AJ3521">
        <v>60.006471603384</v>
      </c>
      <c r="AK3521">
        <v>17.345998601007501</v>
      </c>
      <c r="AL3521">
        <v>78.634081548408304</v>
      </c>
      <c r="AM3521">
        <v>79.344242380079606</v>
      </c>
      <c r="AN3521">
        <v>0.99999997152532405</v>
      </c>
    </row>
    <row r="3522" spans="1:40" x14ac:dyDescent="0.3">
      <c r="A3522" t="str">
        <f>"20200111150427971"</f>
        <v>20200111150427971</v>
      </c>
      <c r="B3522" t="str">
        <f>"1578726267962309"</f>
        <v>1578726267962309</v>
      </c>
      <c r="C3522" t="s">
        <v>40</v>
      </c>
      <c r="D3522">
        <v>5.5553569999999999</v>
      </c>
      <c r="E3522">
        <v>0.64000900000000005</v>
      </c>
      <c r="F3522" t="s">
        <v>41</v>
      </c>
      <c r="G3522">
        <v>-169.5111</v>
      </c>
      <c r="H3522" s="1">
        <v>-5.3381759999999997E-7</v>
      </c>
      <c r="I3522">
        <v>138.25630000000001</v>
      </c>
      <c r="J3522">
        <v>-183.49709999999999</v>
      </c>
      <c r="K3522">
        <v>1.0903350000000001</v>
      </c>
      <c r="L3522">
        <v>128.63329999999999</v>
      </c>
      <c r="M3522">
        <v>0.4281565</v>
      </c>
      <c r="N3522">
        <v>0</v>
      </c>
      <c r="O3522">
        <v>0.90356840000000005</v>
      </c>
      <c r="P3522">
        <v>0.57306979999999996</v>
      </c>
      <c r="Q3522">
        <v>0.18696650000000001</v>
      </c>
      <c r="R3522">
        <v>0.79789390000000004</v>
      </c>
      <c r="S3522">
        <v>2.6972809999999998</v>
      </c>
      <c r="T3522">
        <v>-0.20875940000000001</v>
      </c>
      <c r="U3522">
        <v>1.8834379999999999</v>
      </c>
      <c r="V3522">
        <v>0.18289250000000001</v>
      </c>
      <c r="W3522">
        <v>0.19607830000000001</v>
      </c>
      <c r="X3522">
        <v>0.96338140000000005</v>
      </c>
      <c r="Y3522">
        <v>0.49394260000000001</v>
      </c>
      <c r="Z3522">
        <v>-6.4417360000000007E-2</v>
      </c>
      <c r="AA3522">
        <v>0.86710499999999902</v>
      </c>
      <c r="AB3522">
        <v>44</v>
      </c>
      <c r="AC3522">
        <v>13.985999999999899</v>
      </c>
      <c r="AD3522">
        <v>-1.0903355338176</v>
      </c>
      <c r="AE3522">
        <v>9.62300000000001</v>
      </c>
      <c r="AF3522">
        <v>8.4832139224612906</v>
      </c>
      <c r="AG3522">
        <v>-1.0903355338176</v>
      </c>
      <c r="AH3522">
        <v>14.6247179201316</v>
      </c>
      <c r="AI3522">
        <v>93.689901437940506</v>
      </c>
      <c r="AJ3522">
        <v>59.883694388436197</v>
      </c>
      <c r="AK3522">
        <v>16.9421404867851</v>
      </c>
      <c r="AL3522">
        <v>78.692278746940602</v>
      </c>
      <c r="AM3522">
        <v>79.250641419933004</v>
      </c>
      <c r="AN3522">
        <v>1.00000004407654</v>
      </c>
    </row>
    <row r="3523" spans="1:40" x14ac:dyDescent="0.3">
      <c r="A3523" t="str">
        <f>"20200111150427982"</f>
        <v>20200111150427982</v>
      </c>
      <c r="B3523" t="str">
        <f>"1578726267972069"</f>
        <v>1578726267972069</v>
      </c>
      <c r="C3523" t="s">
        <v>40</v>
      </c>
      <c r="D3523">
        <v>5.452814</v>
      </c>
      <c r="E3523">
        <v>0.64009740000000004</v>
      </c>
      <c r="F3523" t="s">
        <v>41</v>
      </c>
      <c r="G3523">
        <v>-169.54949999999999</v>
      </c>
      <c r="H3523" s="1">
        <v>-5.3349279999999999E-7</v>
      </c>
      <c r="I3523">
        <v>138.2022</v>
      </c>
      <c r="J3523">
        <v>-183.39060000000001</v>
      </c>
      <c r="K3523">
        <v>1.0902579999999999</v>
      </c>
      <c r="L3523">
        <v>128.851</v>
      </c>
      <c r="M3523">
        <v>0.4341468</v>
      </c>
      <c r="N3523">
        <v>0</v>
      </c>
      <c r="O3523">
        <v>0.90070519999999998</v>
      </c>
      <c r="P3523">
        <v>0.57989009999999996</v>
      </c>
      <c r="Q3523">
        <v>0.18635119999999999</v>
      </c>
      <c r="R3523">
        <v>0.79309560000000001</v>
      </c>
      <c r="S3523">
        <v>2.7128299999999999</v>
      </c>
      <c r="T3523">
        <v>-0.2120717</v>
      </c>
      <c r="U3523">
        <v>1.8611599999999999</v>
      </c>
      <c r="V3523">
        <v>0.1847133</v>
      </c>
      <c r="W3523">
        <v>0.19538249999999999</v>
      </c>
      <c r="X3523">
        <v>0.96317529999999996</v>
      </c>
      <c r="Y3523">
        <v>0.4952762</v>
      </c>
      <c r="Z3523">
        <v>-6.5374989999999994E-2</v>
      </c>
      <c r="AA3523">
        <v>0.8662723</v>
      </c>
      <c r="AB3523">
        <v>44</v>
      </c>
      <c r="AC3523">
        <v>13.841100000000001</v>
      </c>
      <c r="AD3523">
        <v>-1.0902585334928001</v>
      </c>
      <c r="AE3523">
        <v>9.3512000000000004</v>
      </c>
      <c r="AF3523">
        <v>8.3723272306507397</v>
      </c>
      <c r="AG3523">
        <v>-1.0902585334928001</v>
      </c>
      <c r="AH3523">
        <v>14.3722964685275</v>
      </c>
      <c r="AI3523">
        <v>93.750240159476206</v>
      </c>
      <c r="AJ3523">
        <v>59.777817365030799</v>
      </c>
      <c r="AK3523">
        <v>16.6687561835369</v>
      </c>
      <c r="AL3523">
        <v>78.732930864766601</v>
      </c>
      <c r="AM3523">
        <v>79.143887915863104</v>
      </c>
      <c r="AN3523">
        <v>0.99999999151661401</v>
      </c>
    </row>
    <row r="3524" spans="1:40" x14ac:dyDescent="0.3">
      <c r="A3524" t="str">
        <f>"20200111150427995"</f>
        <v>20200111150427995</v>
      </c>
      <c r="B3524" t="str">
        <f>"1578726267992565"</f>
        <v>1578726267992565</v>
      </c>
      <c r="C3524" t="s">
        <v>40</v>
      </c>
      <c r="D3524">
        <v>5.4040869999999996</v>
      </c>
      <c r="E3524">
        <v>0.68352250000000003</v>
      </c>
      <c r="F3524" t="s">
        <v>41</v>
      </c>
      <c r="G3524">
        <v>-169.41929999999999</v>
      </c>
      <c r="H3524" s="1">
        <v>-5.7070919999999896E-7</v>
      </c>
      <c r="I3524">
        <v>138.25020000000001</v>
      </c>
      <c r="J3524">
        <v>-183.27959999999999</v>
      </c>
      <c r="K3524">
        <v>1.0901780000000001</v>
      </c>
      <c r="L3524">
        <v>129.0744</v>
      </c>
      <c r="M3524">
        <v>0.44035609999999997</v>
      </c>
      <c r="N3524">
        <v>0</v>
      </c>
      <c r="O3524">
        <v>0.89768539999999997</v>
      </c>
      <c r="P3524">
        <v>0.58632930000000005</v>
      </c>
      <c r="Q3524">
        <v>0.18614030000000001</v>
      </c>
      <c r="R3524">
        <v>0.78839700000000001</v>
      </c>
      <c r="S3524">
        <v>2.7300110000000002</v>
      </c>
      <c r="T3524">
        <v>-0.2130377</v>
      </c>
      <c r="U3524">
        <v>1.836624</v>
      </c>
      <c r="V3524">
        <v>0.185919</v>
      </c>
      <c r="W3524">
        <v>0.1951108</v>
      </c>
      <c r="X3524">
        <v>0.96299840000000003</v>
      </c>
      <c r="Y3524">
        <v>0.49715100000000001</v>
      </c>
      <c r="Z3524">
        <v>-6.5608079999999999E-2</v>
      </c>
      <c r="AA3524">
        <v>0.86517999999999995</v>
      </c>
      <c r="AB3524">
        <v>44</v>
      </c>
      <c r="AC3524">
        <v>13.860299999999899</v>
      </c>
      <c r="AD3524">
        <v>-1.0901785707092</v>
      </c>
      <c r="AE3524">
        <v>9.1758000000000095</v>
      </c>
      <c r="AF3524">
        <v>8.36662088931166</v>
      </c>
      <c r="AG3524">
        <v>-1.0901785707092</v>
      </c>
      <c r="AH3524">
        <v>14.280796441078</v>
      </c>
      <c r="AI3524">
        <v>93.768464977176606</v>
      </c>
      <c r="AJ3524">
        <v>59.635449184258803</v>
      </c>
      <c r="AK3524">
        <v>16.587042575848301</v>
      </c>
      <c r="AL3524">
        <v>78.748803807373505</v>
      </c>
      <c r="AM3524">
        <v>79.072766874060804</v>
      </c>
      <c r="AN3524">
        <v>1.0000000086201</v>
      </c>
    </row>
    <row r="3525" spans="1:40" x14ac:dyDescent="0.3">
      <c r="A3525" t="str">
        <f>"20200111150428008"</f>
        <v>20200111150428008</v>
      </c>
      <c r="B3525" t="str">
        <f>"1578726268002326"</f>
        <v>1578726268002326</v>
      </c>
      <c r="C3525" t="s">
        <v>40</v>
      </c>
      <c r="D3525">
        <v>5.2039989999999996</v>
      </c>
      <c r="E3525">
        <v>0.6914439</v>
      </c>
      <c r="F3525" t="s">
        <v>41</v>
      </c>
      <c r="G3525">
        <v>-145.4727</v>
      </c>
      <c r="H3525" s="1">
        <v>-4.0835510000000003E-6</v>
      </c>
      <c r="I3525">
        <v>149.03039999999999</v>
      </c>
      <c r="J3525">
        <v>-183.1643</v>
      </c>
      <c r="K3525">
        <v>1.09009</v>
      </c>
      <c r="L3525">
        <v>129.30369999999999</v>
      </c>
      <c r="M3525">
        <v>0.44677729999999999</v>
      </c>
      <c r="N3525">
        <v>0</v>
      </c>
      <c r="O3525">
        <v>0.89450659999999904</v>
      </c>
      <c r="P3525">
        <v>0.59314880000000003</v>
      </c>
      <c r="Q3525">
        <v>0.18611340000000001</v>
      </c>
      <c r="R3525">
        <v>0.78328560000000003</v>
      </c>
      <c r="S3525">
        <v>3.0086819999999999</v>
      </c>
      <c r="T3525">
        <v>-8.6756940000000005E-2</v>
      </c>
      <c r="U3525">
        <v>1.588104</v>
      </c>
      <c r="V3525">
        <v>0.18741749999999999</v>
      </c>
      <c r="W3525">
        <v>0.1950093</v>
      </c>
      <c r="X3525">
        <v>0.96272840000000004</v>
      </c>
      <c r="Y3525">
        <v>0.5822505</v>
      </c>
      <c r="Z3525">
        <v>-2.6466409999999999E-2</v>
      </c>
      <c r="AA3525">
        <v>0.81257849999999998</v>
      </c>
      <c r="AB3525">
        <v>44</v>
      </c>
      <c r="AC3525">
        <v>37.691600000000001</v>
      </c>
      <c r="AD3525">
        <v>-1.090094083551</v>
      </c>
      <c r="AE3525">
        <v>19.726699999999902</v>
      </c>
      <c r="AF3525">
        <v>24.888689663740902</v>
      </c>
      <c r="AG3525">
        <v>-1.090094083551</v>
      </c>
      <c r="AH3525">
        <v>34.467060488353503</v>
      </c>
      <c r="AI3525">
        <v>91.468795410893904</v>
      </c>
      <c r="AJ3525">
        <v>54.166921943202198</v>
      </c>
      <c r="AK3525">
        <v>42.527796051486398</v>
      </c>
      <c r="AL3525">
        <v>78.754732663265102</v>
      </c>
      <c r="AM3525">
        <v>78.983825774646505</v>
      </c>
      <c r="AN3525">
        <v>0.99999995927964902</v>
      </c>
    </row>
    <row r="3526" spans="1:40" x14ac:dyDescent="0.3">
      <c r="A3526" t="str">
        <f>"20200111150428021"</f>
        <v>20200111150428021</v>
      </c>
      <c r="B3526" t="str">
        <f>"1578726268012087"</f>
        <v>1578726268012087</v>
      </c>
      <c r="C3526" t="s">
        <v>40</v>
      </c>
      <c r="D3526">
        <v>5.0278939999999999</v>
      </c>
      <c r="E3526">
        <v>0.69841869999999995</v>
      </c>
      <c r="F3526" t="s">
        <v>41</v>
      </c>
      <c r="G3526">
        <v>-137.05019999999999</v>
      </c>
      <c r="H3526">
        <v>7.9986089999999996E-2</v>
      </c>
      <c r="I3526">
        <v>152.14099999999999</v>
      </c>
      <c r="J3526">
        <v>-183.0394</v>
      </c>
      <c r="K3526">
        <v>1.089987</v>
      </c>
      <c r="L3526">
        <v>129.5455</v>
      </c>
      <c r="M3526">
        <v>0.45368419999999998</v>
      </c>
      <c r="N3526">
        <v>0</v>
      </c>
      <c r="O3526">
        <v>0.89102300000000001</v>
      </c>
      <c r="P3526">
        <v>0.60004409999999997</v>
      </c>
      <c r="Q3526">
        <v>0.18674289999999999</v>
      </c>
      <c r="R3526">
        <v>0.77786519999999904</v>
      </c>
      <c r="S3526">
        <v>3.0706479999999998</v>
      </c>
      <c r="T3526">
        <v>-6.7260860000000006E-2</v>
      </c>
      <c r="U3526">
        <v>1.520691</v>
      </c>
      <c r="V3526">
        <v>0.188614</v>
      </c>
      <c r="W3526">
        <v>0.19557189999999999</v>
      </c>
      <c r="X3526">
        <v>0.96238060000000003</v>
      </c>
      <c r="Y3526">
        <v>0.59700200000000003</v>
      </c>
      <c r="Z3526">
        <v>-2.0439590000000001E-2</v>
      </c>
      <c r="AA3526">
        <v>0.80197940000000001</v>
      </c>
      <c r="AB3526">
        <v>44</v>
      </c>
      <c r="AC3526">
        <v>45.989199999999997</v>
      </c>
      <c r="AD3526">
        <v>-1.01000091</v>
      </c>
      <c r="AE3526">
        <v>22.595499999999902</v>
      </c>
      <c r="AF3526">
        <v>30.718099708148301</v>
      </c>
      <c r="AG3526">
        <v>-1.01000091</v>
      </c>
      <c r="AH3526">
        <v>40.986857307302003</v>
      </c>
      <c r="AI3526">
        <v>91.129654371877095</v>
      </c>
      <c r="AJ3526">
        <v>53.1498286782113</v>
      </c>
      <c r="AK3526">
        <v>51.230305712996497</v>
      </c>
      <c r="AL3526">
        <v>78.721865833906804</v>
      </c>
      <c r="AM3526">
        <v>78.911326723771296</v>
      </c>
      <c r="AN3526">
        <v>1.0000000141609799</v>
      </c>
    </row>
    <row r="3527" spans="1:40" x14ac:dyDescent="0.3">
      <c r="A3527" t="str">
        <f>"20200111150428036"</f>
        <v>20200111150428036</v>
      </c>
      <c r="B3527" t="str">
        <f>"1578726268032583"</f>
        <v>1578726268032583</v>
      </c>
      <c r="C3527" t="s">
        <v>40</v>
      </c>
      <c r="D3527">
        <v>4.9564769999999996</v>
      </c>
      <c r="E3527">
        <v>0.70417010000000002</v>
      </c>
      <c r="F3527" t="s">
        <v>43</v>
      </c>
      <c r="G3527">
        <v>-107.22629999999999</v>
      </c>
      <c r="H3527">
        <v>-0.05</v>
      </c>
      <c r="I3527">
        <v>164.87280000000001</v>
      </c>
      <c r="J3527">
        <v>-182.9136</v>
      </c>
      <c r="K3527">
        <v>1.089885</v>
      </c>
      <c r="L3527">
        <v>129.78530000000001</v>
      </c>
      <c r="M3527">
        <v>0.46060129999999999</v>
      </c>
      <c r="N3527">
        <v>0</v>
      </c>
      <c r="O3527">
        <v>0.88746650000000005</v>
      </c>
      <c r="P3527">
        <v>0.60743139999999995</v>
      </c>
      <c r="Q3527">
        <v>0.18744739999999999</v>
      </c>
      <c r="R3527">
        <v>0.77193959999999995</v>
      </c>
      <c r="S3527">
        <v>3.1259610000000002</v>
      </c>
      <c r="T3527">
        <v>-4.7004459999999998E-2</v>
      </c>
      <c r="U3527">
        <v>1.4566349999999999</v>
      </c>
      <c r="V3527">
        <v>0.1904585</v>
      </c>
      <c r="W3527">
        <v>0.19618260000000001</v>
      </c>
      <c r="X3527">
        <v>0.96189290000000005</v>
      </c>
      <c r="Y3527">
        <v>0.60985</v>
      </c>
      <c r="Z3527">
        <v>-1.423252E-2</v>
      </c>
      <c r="AA3527">
        <v>0.79238909999999996</v>
      </c>
      <c r="AB3527">
        <v>44</v>
      </c>
      <c r="AC3527">
        <v>75.687299999999993</v>
      </c>
      <c r="AD3527">
        <v>-1.139885</v>
      </c>
      <c r="AE3527">
        <v>35.087499999999999</v>
      </c>
      <c r="AF3527">
        <v>51.0054411133451</v>
      </c>
      <c r="AG3527">
        <v>-1.139885</v>
      </c>
      <c r="AH3527">
        <v>65.996568594914393</v>
      </c>
      <c r="AI3527">
        <v>90.782965179485899</v>
      </c>
      <c r="AJ3527">
        <v>52.301360752399397</v>
      </c>
      <c r="AK3527">
        <v>83.417033196364599</v>
      </c>
      <c r="AL3527">
        <v>78.686183949215902</v>
      </c>
      <c r="AM3527">
        <v>78.800081565325002</v>
      </c>
      <c r="AN3527">
        <v>1.00000000191771</v>
      </c>
    </row>
    <row r="3528" spans="1:40" x14ac:dyDescent="0.3">
      <c r="A3528" t="str">
        <f>"20200111150428058"</f>
        <v>20200111150428058</v>
      </c>
      <c r="B3528" t="str">
        <f>"1578726268052105"</f>
        <v>1578726268052105</v>
      </c>
      <c r="C3528" t="s">
        <v>40</v>
      </c>
      <c r="D3528">
        <v>5.0997729999999999</v>
      </c>
      <c r="E3528">
        <v>0.70824960000000003</v>
      </c>
      <c r="F3528" t="s">
        <v>89</v>
      </c>
      <c r="G3528">
        <v>-111.005</v>
      </c>
      <c r="H3528">
        <v>0.24427219999999999</v>
      </c>
      <c r="I3528">
        <v>161.43629999999999</v>
      </c>
      <c r="J3528">
        <v>-182.7021</v>
      </c>
      <c r="K3528">
        <v>1.089704</v>
      </c>
      <c r="L3528">
        <v>130.17859999999999</v>
      </c>
      <c r="M3528">
        <v>0.47213569999999999</v>
      </c>
      <c r="N3528">
        <v>0</v>
      </c>
      <c r="O3528">
        <v>0.88138359999999905</v>
      </c>
      <c r="P3528">
        <v>0.61820989999999998</v>
      </c>
      <c r="Q3528">
        <v>0.1871912</v>
      </c>
      <c r="R3528">
        <v>0.76339760000000001</v>
      </c>
      <c r="S3528">
        <v>3.1746059999999998</v>
      </c>
      <c r="T3528">
        <v>-3.7331820000000002E-2</v>
      </c>
      <c r="U3528">
        <v>1.397324</v>
      </c>
      <c r="V3528">
        <v>0.1914719</v>
      </c>
      <c r="W3528">
        <v>0.19584779999999999</v>
      </c>
      <c r="X3528">
        <v>0.9617599</v>
      </c>
      <c r="Y3528">
        <v>0.6165079</v>
      </c>
      <c r="Z3528">
        <v>-1.1240089999999999E-2</v>
      </c>
      <c r="AA3528">
        <v>0.78726850000000004</v>
      </c>
      <c r="AB3528">
        <v>44</v>
      </c>
      <c r="AC3528">
        <v>71.697100000000006</v>
      </c>
      <c r="AD3528">
        <v>-0.84543179999999996</v>
      </c>
      <c r="AE3528">
        <v>31.2577</v>
      </c>
      <c r="AF3528">
        <v>48.435188596372498</v>
      </c>
      <c r="AG3528">
        <v>-0.84543179999999996</v>
      </c>
      <c r="AH3528">
        <v>61.401312721864699</v>
      </c>
      <c r="AI3528">
        <v>90.619366065563895</v>
      </c>
      <c r="AJ3528">
        <v>51.732568880911003</v>
      </c>
      <c r="AK3528">
        <v>78.209995865380606</v>
      </c>
      <c r="AL3528">
        <v>78.705745782274306</v>
      </c>
      <c r="AM3528">
        <v>78.740489645683695</v>
      </c>
      <c r="AN3528">
        <v>0.99999997725122902</v>
      </c>
    </row>
    <row r="3529" spans="1:40" x14ac:dyDescent="0.3">
      <c r="A3529" t="str">
        <f>"20200111150428071"</f>
        <v>20200111150428071</v>
      </c>
      <c r="B3529" t="str">
        <f>"1578726268061861"</f>
        <v>1578726268061861</v>
      </c>
      <c r="C3529" t="s">
        <v>40</v>
      </c>
      <c r="D3529">
        <v>5.1380359999999996</v>
      </c>
      <c r="E3529">
        <v>0.70876130000000004</v>
      </c>
      <c r="F3529" t="s">
        <v>89</v>
      </c>
      <c r="G3529">
        <v>-112.1893</v>
      </c>
      <c r="H3529">
        <v>0.42776779999999998</v>
      </c>
      <c r="I3529">
        <v>159.32490000000001</v>
      </c>
      <c r="J3529">
        <v>-182.57329999999999</v>
      </c>
      <c r="K3529">
        <v>1.0895889999999999</v>
      </c>
      <c r="L3529">
        <v>130.4128</v>
      </c>
      <c r="M3529">
        <v>0.4791011</v>
      </c>
      <c r="N3529">
        <v>0</v>
      </c>
      <c r="O3529">
        <v>0.87761630000000002</v>
      </c>
      <c r="P3529">
        <v>0.62486960000000003</v>
      </c>
      <c r="Q3529">
        <v>0.1866601</v>
      </c>
      <c r="R3529">
        <v>0.75808710000000001</v>
      </c>
      <c r="S3529">
        <v>3.2188870000000001</v>
      </c>
      <c r="T3529">
        <v>-3.0217049999999999E-2</v>
      </c>
      <c r="U3529">
        <v>1.3305209999999901</v>
      </c>
      <c r="V3529">
        <v>0.19224959999999999</v>
      </c>
      <c r="W3529">
        <v>0.19526279999999999</v>
      </c>
      <c r="X3529">
        <v>0.96172369999999996</v>
      </c>
      <c r="Y3529">
        <v>0.62808050000000004</v>
      </c>
      <c r="Z3529">
        <v>-9.0828009999999997E-3</v>
      </c>
      <c r="AA3529">
        <v>0.77809530000000005</v>
      </c>
      <c r="AB3529">
        <v>44</v>
      </c>
      <c r="AC3529">
        <v>70.383999999999901</v>
      </c>
      <c r="AD3529">
        <v>-0.661821199999999</v>
      </c>
      <c r="AE3529">
        <v>28.912099999999999</v>
      </c>
      <c r="AF3529">
        <v>47.9207347198736</v>
      </c>
      <c r="AG3529">
        <v>-0.661821199999999</v>
      </c>
      <c r="AH3529">
        <v>59.097751658700297</v>
      </c>
      <c r="AI3529">
        <v>90.498371031016305</v>
      </c>
      <c r="AJ3529">
        <v>50.962358651561203</v>
      </c>
      <c r="AK3529">
        <v>76.087969315172899</v>
      </c>
      <c r="AL3529">
        <v>78.739923644010801</v>
      </c>
      <c r="AM3529">
        <v>78.695517700166903</v>
      </c>
      <c r="AN3529">
        <v>0.999999972452844</v>
      </c>
    </row>
    <row r="3530" spans="1:40" x14ac:dyDescent="0.3">
      <c r="A3530" t="str">
        <f>"20200111150428084"</f>
        <v>20200111150428084</v>
      </c>
      <c r="B3530" t="str">
        <f>"1578726268072597"</f>
        <v>1578726268072597</v>
      </c>
      <c r="C3530" t="s">
        <v>40</v>
      </c>
      <c r="D3530">
        <v>5.1877050000000002</v>
      </c>
      <c r="E3530">
        <v>0.70909630000000001</v>
      </c>
      <c r="F3530" t="s">
        <v>89</v>
      </c>
      <c r="G3530">
        <v>-112.1893</v>
      </c>
      <c r="H3530">
        <v>0.34877590000000003</v>
      </c>
      <c r="I3530">
        <v>158.69999999999999</v>
      </c>
      <c r="J3530">
        <v>-182.4512</v>
      </c>
      <c r="K3530">
        <v>1.0894809999999999</v>
      </c>
      <c r="L3530">
        <v>130.6302</v>
      </c>
      <c r="M3530">
        <v>0.48565750000000002</v>
      </c>
      <c r="N3530">
        <v>0</v>
      </c>
      <c r="O3530">
        <v>0.87400469999999897</v>
      </c>
      <c r="P3530">
        <v>0.63064830000000005</v>
      </c>
      <c r="Q3530">
        <v>0.186693</v>
      </c>
      <c r="R3530">
        <v>0.75327840000000001</v>
      </c>
      <c r="S3530">
        <v>3.2342379999999999</v>
      </c>
      <c r="T3530">
        <v>-3.4041170000000003E-2</v>
      </c>
      <c r="U3530">
        <v>1.2998350000000001</v>
      </c>
      <c r="V3530">
        <v>0.19246089999999999</v>
      </c>
      <c r="W3530">
        <v>0.19526370000000001</v>
      </c>
      <c r="X3530">
        <v>0.96168129999999996</v>
      </c>
      <c r="Y3530">
        <v>0.62988180000000005</v>
      </c>
      <c r="Z3530">
        <v>-1.0218E-2</v>
      </c>
      <c r="AA3530">
        <v>0.77662379999999998</v>
      </c>
      <c r="AB3530">
        <v>44</v>
      </c>
      <c r="AC3530">
        <v>70.261899999999997</v>
      </c>
      <c r="AD3530">
        <v>-0.74070509999999901</v>
      </c>
      <c r="AE3530">
        <v>28.069799999999901</v>
      </c>
      <c r="AF3530">
        <v>47.778377730559697</v>
      </c>
      <c r="AG3530">
        <v>-0.74070509999999901</v>
      </c>
      <c r="AH3530">
        <v>58.658143123694202</v>
      </c>
      <c r="AI3530">
        <v>90.560946325624499</v>
      </c>
      <c r="AJ3530">
        <v>50.836408878118498</v>
      </c>
      <c r="AK3530">
        <v>75.657780679379002</v>
      </c>
      <c r="AL3530">
        <v>78.739871570101002</v>
      </c>
      <c r="AM3530">
        <v>78.682927418724006</v>
      </c>
      <c r="AN3530">
        <v>1.00000001666809</v>
      </c>
    </row>
    <row r="3531" spans="1:40" x14ac:dyDescent="0.3">
      <c r="A3531" t="str">
        <f>"20200111150428097"</f>
        <v>20200111150428097</v>
      </c>
      <c r="B3531" t="str">
        <f>"1578726268092118"</f>
        <v>1578726268092118</v>
      </c>
      <c r="C3531" t="s">
        <v>40</v>
      </c>
      <c r="D3531">
        <v>5.2029230000000002</v>
      </c>
      <c r="E3531">
        <v>0.71118239999999999</v>
      </c>
      <c r="F3531" t="s">
        <v>89</v>
      </c>
      <c r="G3531">
        <v>-112.1893</v>
      </c>
      <c r="H3531">
        <v>0.28749750000000002</v>
      </c>
      <c r="I3531">
        <v>158.19210000000001</v>
      </c>
      <c r="J3531">
        <v>-182.31809999999999</v>
      </c>
      <c r="K3531">
        <v>1.0893619999999999</v>
      </c>
      <c r="L3531">
        <v>130.86269999999999</v>
      </c>
      <c r="M3531">
        <v>0.49274990000000002</v>
      </c>
      <c r="N3531">
        <v>0</v>
      </c>
      <c r="O3531">
        <v>0.87002539999999995</v>
      </c>
      <c r="P3531">
        <v>0.63700880000000004</v>
      </c>
      <c r="Q3531">
        <v>0.18656120000000001</v>
      </c>
      <c r="R3531">
        <v>0.7479403</v>
      </c>
      <c r="S3531">
        <v>3.2467190000000001</v>
      </c>
      <c r="T3531">
        <v>-3.7058590000000002E-2</v>
      </c>
      <c r="U3531">
        <v>1.2736050000000001</v>
      </c>
      <c r="V3531">
        <v>0.19282360000000001</v>
      </c>
      <c r="W3531">
        <v>0.1950926</v>
      </c>
      <c r="X3531">
        <v>0.96164329999999998</v>
      </c>
      <c r="Y3531">
        <v>0.6300114</v>
      </c>
      <c r="Z3531">
        <v>-1.110247E-2</v>
      </c>
      <c r="AA3531">
        <v>0.77650649999999999</v>
      </c>
      <c r="AB3531">
        <v>44</v>
      </c>
      <c r="AC3531">
        <v>70.128799999999899</v>
      </c>
      <c r="AD3531">
        <v>-0.80186449999999998</v>
      </c>
      <c r="AE3531">
        <v>27.3294</v>
      </c>
      <c r="AF3531">
        <v>47.547905281678197</v>
      </c>
      <c r="AG3531">
        <v>-0.80186449999999998</v>
      </c>
      <c r="AH3531">
        <v>58.334000742970801</v>
      </c>
      <c r="AI3531">
        <v>90.610462005169097</v>
      </c>
      <c r="AJ3531">
        <v>50.8166051565684</v>
      </c>
      <c r="AK3531">
        <v>75.2615567606246</v>
      </c>
      <c r="AL3531">
        <v>78.749866352685103</v>
      </c>
      <c r="AM3531">
        <v>78.661715452980403</v>
      </c>
      <c r="AN3531">
        <v>0.99999994986330298</v>
      </c>
    </row>
    <row r="3532" spans="1:40" x14ac:dyDescent="0.3">
      <c r="A3532" t="str">
        <f>"20200111150428110"</f>
        <v>20200111150428110</v>
      </c>
      <c r="B3532" t="str">
        <f>"1578726268101877"</f>
        <v>1578726268101877</v>
      </c>
      <c r="C3532" t="s">
        <v>40</v>
      </c>
      <c r="D3532">
        <v>5.2176879999999999</v>
      </c>
      <c r="E3532">
        <v>0.71132850000000003</v>
      </c>
      <c r="F3532" t="s">
        <v>43</v>
      </c>
      <c r="G3532">
        <v>-96.371859999999998</v>
      </c>
      <c r="H3532">
        <v>-0.05</v>
      </c>
      <c r="I3532">
        <v>163.3458</v>
      </c>
      <c r="J3532">
        <v>-182.19239999999999</v>
      </c>
      <c r="K3532">
        <v>1.089251</v>
      </c>
      <c r="L3532">
        <v>131.0796</v>
      </c>
      <c r="M3532">
        <v>0.49940879999999999</v>
      </c>
      <c r="N3532">
        <v>0</v>
      </c>
      <c r="O3532">
        <v>0.86621979999999998</v>
      </c>
      <c r="P3532">
        <v>0.64297159999999998</v>
      </c>
      <c r="Q3532">
        <v>0.18623049999999999</v>
      </c>
      <c r="R3532">
        <v>0.7429036</v>
      </c>
      <c r="S3532">
        <v>3.2707670000000002</v>
      </c>
      <c r="T3532">
        <v>-4.3359519999999999E-2</v>
      </c>
      <c r="U3532">
        <v>1.2361759999999999</v>
      </c>
      <c r="V3532">
        <v>0.19313959999999999</v>
      </c>
      <c r="W3532">
        <v>0.1947255</v>
      </c>
      <c r="X3532">
        <v>0.96165440000000002</v>
      </c>
      <c r="Y3532">
        <v>0.63371309999999903</v>
      </c>
      <c r="Z3532">
        <v>-1.2955360000000001E-2</v>
      </c>
      <c r="AA3532">
        <v>0.77345969999999997</v>
      </c>
      <c r="AB3532">
        <v>44</v>
      </c>
      <c r="AC3532">
        <v>85.820539999999994</v>
      </c>
      <c r="AD3532">
        <v>-1.139251</v>
      </c>
      <c r="AE3532">
        <v>32.266199999999998</v>
      </c>
      <c r="AF3532">
        <v>58.223836459013299</v>
      </c>
      <c r="AG3532">
        <v>-1.139251</v>
      </c>
      <c r="AH3532">
        <v>70.807220194605605</v>
      </c>
      <c r="AI3532">
        <v>90.7120082141994</v>
      </c>
      <c r="AJ3532">
        <v>50.569993202874798</v>
      </c>
      <c r="AK3532">
        <v>91.678653221643202</v>
      </c>
      <c r="AL3532">
        <v>78.771312111545598</v>
      </c>
      <c r="AM3532">
        <v>78.643744371221004</v>
      </c>
      <c r="AN3532">
        <v>1.0000000552388799</v>
      </c>
    </row>
    <row r="3533" spans="1:40" x14ac:dyDescent="0.3">
      <c r="A3533" t="str">
        <f>"20200111150428125"</f>
        <v>20200111150428125</v>
      </c>
      <c r="B3533" t="str">
        <f>"1578726268112613"</f>
        <v>1578726268112613</v>
      </c>
      <c r="C3533" t="s">
        <v>40</v>
      </c>
      <c r="D3533">
        <v>5.2114770000000004</v>
      </c>
      <c r="E3533">
        <v>0.71158429999999995</v>
      </c>
      <c r="F3533" t="s">
        <v>43</v>
      </c>
      <c r="G3533">
        <v>-104.3764</v>
      </c>
      <c r="H3533">
        <v>-0.05</v>
      </c>
      <c r="I3533">
        <v>159.76910000000001</v>
      </c>
      <c r="J3533">
        <v>-182.04859999999999</v>
      </c>
      <c r="K3533">
        <v>1.089121</v>
      </c>
      <c r="L3533">
        <v>131.3219</v>
      </c>
      <c r="M3533">
        <v>0.50696609999999998</v>
      </c>
      <c r="N3533">
        <v>0</v>
      </c>
      <c r="O3533">
        <v>0.86181799999999997</v>
      </c>
      <c r="P3533">
        <v>0.64975890000000003</v>
      </c>
      <c r="Q3533">
        <v>0.18580530000000001</v>
      </c>
      <c r="R3533">
        <v>0.73708200000000001</v>
      </c>
      <c r="S3533">
        <v>3.2817539999999998</v>
      </c>
      <c r="T3533">
        <v>-4.8045869999999997E-2</v>
      </c>
      <c r="U3533">
        <v>1.2099299999999999</v>
      </c>
      <c r="V3533">
        <v>0.19353999999999999</v>
      </c>
      <c r="W3533">
        <v>0.19425580000000001</v>
      </c>
      <c r="X3533">
        <v>0.96166879999999999</v>
      </c>
      <c r="Y3533">
        <v>0.63321549999999904</v>
      </c>
      <c r="Z3533">
        <v>-1.4324959999999999E-2</v>
      </c>
      <c r="AA3533">
        <v>0.7738429</v>
      </c>
      <c r="AB3533">
        <v>44</v>
      </c>
      <c r="AC3533">
        <v>77.672199999999904</v>
      </c>
      <c r="AD3533">
        <v>-1.1391209999999901</v>
      </c>
      <c r="AE3533">
        <v>28.447199999999999</v>
      </c>
      <c r="AF3533">
        <v>52.514275023633601</v>
      </c>
      <c r="AG3533">
        <v>-1.1391209999999901</v>
      </c>
      <c r="AH3533">
        <v>63.889516387129099</v>
      </c>
      <c r="AI3533">
        <v>90.789130921488905</v>
      </c>
      <c r="AJ3533">
        <v>50.581351348696003</v>
      </c>
      <c r="AK3533">
        <v>82.709836066164002</v>
      </c>
      <c r="AL3533">
        <v>78.798746807040104</v>
      </c>
      <c r="AM3533">
        <v>78.620981130148493</v>
      </c>
      <c r="AN3533">
        <v>0.99999996416353898</v>
      </c>
    </row>
    <row r="3534" spans="1:40" x14ac:dyDescent="0.3">
      <c r="A3534" t="str">
        <f>"20200111150428139"</f>
        <v>20200111150428139</v>
      </c>
      <c r="B3534" t="str">
        <f>"1578726268132134"</f>
        <v>1578726268132134</v>
      </c>
      <c r="C3534" t="s">
        <v>40</v>
      </c>
      <c r="D3534">
        <v>5.2598200000000004</v>
      </c>
      <c r="E3534">
        <v>0.71215209999999995</v>
      </c>
      <c r="F3534" t="s">
        <v>41</v>
      </c>
      <c r="G3534">
        <v>-118.17959999999999</v>
      </c>
      <c r="H3534">
        <v>7.9986520000000005E-2</v>
      </c>
      <c r="I3534">
        <v>154.1925</v>
      </c>
      <c r="J3534">
        <v>-181.89920000000001</v>
      </c>
      <c r="K3534">
        <v>1.088991</v>
      </c>
      <c r="L3534">
        <v>131.5685</v>
      </c>
      <c r="M3534">
        <v>0.51474549999999997</v>
      </c>
      <c r="N3534">
        <v>0</v>
      </c>
      <c r="O3534">
        <v>0.85719369999999995</v>
      </c>
      <c r="P3534">
        <v>0.65637529999999999</v>
      </c>
      <c r="Q3534">
        <v>0.18603529999999999</v>
      </c>
      <c r="R3534">
        <v>0.73113779999999995</v>
      </c>
      <c r="S3534">
        <v>3.2939609999999999</v>
      </c>
      <c r="T3534">
        <v>-5.2044750000000001E-2</v>
      </c>
      <c r="U3534">
        <v>1.1795199999999999</v>
      </c>
      <c r="V3534">
        <v>0.19360260000000001</v>
      </c>
      <c r="W3534">
        <v>0.19445319999999999</v>
      </c>
      <c r="X3534">
        <v>0.96161629999999998</v>
      </c>
      <c r="Y3534">
        <v>0.63343709999999998</v>
      </c>
      <c r="Z3534">
        <v>-1.548601E-2</v>
      </c>
      <c r="AA3534">
        <v>0.77363909999999902</v>
      </c>
      <c r="AB3534">
        <v>44</v>
      </c>
      <c r="AC3534">
        <v>63.7196</v>
      </c>
      <c r="AD3534">
        <v>-1.00900448</v>
      </c>
      <c r="AE3534">
        <v>22.623999999999899</v>
      </c>
      <c r="AF3534">
        <v>42.970371397091803</v>
      </c>
      <c r="AG3534">
        <v>-1.00900448</v>
      </c>
      <c r="AH3534">
        <v>52.187589348338697</v>
      </c>
      <c r="AI3534">
        <v>90.855116936200801</v>
      </c>
      <c r="AJ3534">
        <v>50.532540808452097</v>
      </c>
      <c r="AK3534">
        <v>67.609284791628298</v>
      </c>
      <c r="AL3534">
        <v>78.787216722205301</v>
      </c>
      <c r="AM3534">
        <v>78.616791464224306</v>
      </c>
      <c r="AN3534">
        <v>0.99999996107134403</v>
      </c>
    </row>
    <row r="3535" spans="1:40" x14ac:dyDescent="0.3">
      <c r="A3535" t="str">
        <f>"20200111150428152"</f>
        <v>20200111150428152</v>
      </c>
      <c r="B3535" t="str">
        <f>"1578726268141894"</f>
        <v>1578726268141894</v>
      </c>
      <c r="C3535" t="s">
        <v>40</v>
      </c>
      <c r="D3535">
        <v>5.3189149999999996</v>
      </c>
      <c r="E3535">
        <v>0.71178900000000001</v>
      </c>
      <c r="F3535" t="s">
        <v>41</v>
      </c>
      <c r="G3535">
        <v>-122.0217</v>
      </c>
      <c r="H3535">
        <v>7.9986100000000004E-2</v>
      </c>
      <c r="I3535">
        <v>152.32759999999999</v>
      </c>
      <c r="J3535">
        <v>-181.76990000000001</v>
      </c>
      <c r="K3535">
        <v>1.088881</v>
      </c>
      <c r="L3535">
        <v>131.779</v>
      </c>
      <c r="M3535">
        <v>0.52143139999999999</v>
      </c>
      <c r="N3535">
        <v>0</v>
      </c>
      <c r="O3535">
        <v>0.85314269999999903</v>
      </c>
      <c r="P3535">
        <v>0.66189089999999995</v>
      </c>
      <c r="Q3535">
        <v>0.1865318</v>
      </c>
      <c r="R3535">
        <v>0.72602089999999997</v>
      </c>
      <c r="S3535">
        <v>3.30864</v>
      </c>
      <c r="T3535">
        <v>-5.57543E-2</v>
      </c>
      <c r="U3535">
        <v>1.147079</v>
      </c>
      <c r="V3535">
        <v>0.1935008</v>
      </c>
      <c r="W3535">
        <v>0.1949265</v>
      </c>
      <c r="X3535">
        <v>0.96154099999999998</v>
      </c>
      <c r="Y3535">
        <v>0.63520869999999996</v>
      </c>
      <c r="Z3535">
        <v>-1.6559359999999999E-2</v>
      </c>
      <c r="AA3535">
        <v>0.77216300000000004</v>
      </c>
      <c r="AB3535">
        <v>44</v>
      </c>
      <c r="AC3535">
        <v>59.748199999999997</v>
      </c>
      <c r="AD3535">
        <v>-1.0088949</v>
      </c>
      <c r="AE3535">
        <v>20.5486</v>
      </c>
      <c r="AF3535">
        <v>40.253962630589797</v>
      </c>
      <c r="AG3535">
        <v>-1.0088949</v>
      </c>
      <c r="AH3535">
        <v>48.6793169448177</v>
      </c>
      <c r="AI3535">
        <v>90.915044176531296</v>
      </c>
      <c r="AJ3535">
        <v>50.411930609821901</v>
      </c>
      <c r="AK3535">
        <v>63.174957654106798</v>
      </c>
      <c r="AL3535">
        <v>78.759570009601603</v>
      </c>
      <c r="AM3535">
        <v>78.621753086422601</v>
      </c>
      <c r="AN3535">
        <v>0.999999997341945</v>
      </c>
    </row>
    <row r="3536" spans="1:40" x14ac:dyDescent="0.3">
      <c r="A3536" t="str">
        <f>"20200111150428164"</f>
        <v>20200111150428164</v>
      </c>
      <c r="B3536" t="str">
        <f>"1578726268152630"</f>
        <v>1578726268152630</v>
      </c>
      <c r="C3536" t="s">
        <v>40</v>
      </c>
      <c r="D3536">
        <v>5.3132080000000004</v>
      </c>
      <c r="E3536">
        <v>0.71130819999999995</v>
      </c>
      <c r="F3536" t="s">
        <v>41</v>
      </c>
      <c r="G3536">
        <v>-123.6371</v>
      </c>
      <c r="H3536">
        <v>7.9986539999999995E-2</v>
      </c>
      <c r="I3536">
        <v>151.48400000000001</v>
      </c>
      <c r="J3536">
        <v>-181.64019999999999</v>
      </c>
      <c r="K3536">
        <v>1.08877</v>
      </c>
      <c r="L3536">
        <v>131.98580000000001</v>
      </c>
      <c r="M3536">
        <v>0.52808120000000003</v>
      </c>
      <c r="N3536">
        <v>0</v>
      </c>
      <c r="O3536">
        <v>0.84904219999999897</v>
      </c>
      <c r="P3536">
        <v>0.66712119999999997</v>
      </c>
      <c r="Q3536">
        <v>0.1875011</v>
      </c>
      <c r="R3536">
        <v>0.72096649999999995</v>
      </c>
      <c r="S3536">
        <v>3.3158259999999999</v>
      </c>
      <c r="T3536">
        <v>-5.7546020000000003E-2</v>
      </c>
      <c r="U3536">
        <v>1.123947</v>
      </c>
      <c r="V3536">
        <v>0.19315779999999999</v>
      </c>
      <c r="W3536">
        <v>0.19588240000000001</v>
      </c>
      <c r="X3536">
        <v>0.96141569999999998</v>
      </c>
      <c r="Y3536">
        <v>0.63450490000000004</v>
      </c>
      <c r="Z3536">
        <v>-1.706218E-2</v>
      </c>
      <c r="AA3536">
        <v>0.77273049999999999</v>
      </c>
      <c r="AB3536">
        <v>44</v>
      </c>
      <c r="AC3536">
        <v>58.003099999999897</v>
      </c>
      <c r="AD3536">
        <v>-1.0087834600000001</v>
      </c>
      <c r="AE3536">
        <v>19.498200000000001</v>
      </c>
      <c r="AF3536">
        <v>38.944880393969299</v>
      </c>
      <c r="AG3536">
        <v>-1.0087834600000001</v>
      </c>
      <c r="AH3536">
        <v>47.178398077915404</v>
      </c>
      <c r="AI3536">
        <v>90.944713310272505</v>
      </c>
      <c r="AJ3536">
        <v>50.460967750023201</v>
      </c>
      <c r="AK3536">
        <v>61.184332946989002</v>
      </c>
      <c r="AL3536">
        <v>78.703724443752094</v>
      </c>
      <c r="AM3536">
        <v>78.639955580539805</v>
      </c>
      <c r="AN3536">
        <v>0.99999999926854499</v>
      </c>
    </row>
    <row r="3537" spans="1:40" x14ac:dyDescent="0.3">
      <c r="A3537" t="str">
        <f>"20200111150428177"</f>
        <v>20200111150428177</v>
      </c>
      <c r="B3537" t="str">
        <f>"1578726268172150"</f>
        <v>1578726268172150</v>
      </c>
      <c r="C3537" t="s">
        <v>40</v>
      </c>
      <c r="D3537">
        <v>5.4070359999999997</v>
      </c>
      <c r="E3537">
        <v>0.70992089999999997</v>
      </c>
      <c r="F3537" t="s">
        <v>41</v>
      </c>
      <c r="G3537">
        <v>-122.30840000000001</v>
      </c>
      <c r="H3537">
        <v>7.9986150000000006E-2</v>
      </c>
      <c r="I3537">
        <v>151.66720000000001</v>
      </c>
      <c r="J3537">
        <v>-181.5094</v>
      </c>
      <c r="K3537">
        <v>1.0886579999999999</v>
      </c>
      <c r="L3537">
        <v>132.1908</v>
      </c>
      <c r="M3537">
        <v>0.53473649999999995</v>
      </c>
      <c r="N3537">
        <v>0</v>
      </c>
      <c r="O3537">
        <v>0.84486600000000001</v>
      </c>
      <c r="P3537">
        <v>0.67277109999999996</v>
      </c>
      <c r="Q3537">
        <v>0.18778629999999999</v>
      </c>
      <c r="R3537">
        <v>0.71562239999999999</v>
      </c>
      <c r="S3537">
        <v>3.3218990000000002</v>
      </c>
      <c r="T3537">
        <v>-5.6480290000000002E-2</v>
      </c>
      <c r="U3537">
        <v>1.1019289999999999</v>
      </c>
      <c r="V3537">
        <v>0.1932683</v>
      </c>
      <c r="W3537">
        <v>0.19613720000000001</v>
      </c>
      <c r="X3537">
        <v>0.96134160000000002</v>
      </c>
      <c r="Y3537">
        <v>0.63347169999999997</v>
      </c>
      <c r="Z3537">
        <v>-1.6716760000000001E-2</v>
      </c>
      <c r="AA3537">
        <v>0.77358530000000003</v>
      </c>
      <c r="AB3537">
        <v>44</v>
      </c>
      <c r="AC3537">
        <v>59.200999999999901</v>
      </c>
      <c r="AD3537">
        <v>-1.00867184999999</v>
      </c>
      <c r="AE3537">
        <v>19.476400000000002</v>
      </c>
      <c r="AF3537">
        <v>39.596913830490401</v>
      </c>
      <c r="AG3537">
        <v>-1.00867184999999</v>
      </c>
      <c r="AH3537">
        <v>48.105497965451001</v>
      </c>
      <c r="AI3537">
        <v>90.927478352577197</v>
      </c>
      <c r="AJ3537">
        <v>50.541296163240901</v>
      </c>
      <c r="AK3537">
        <v>62.314299629413199</v>
      </c>
      <c r="AL3537">
        <v>78.688837317795802</v>
      </c>
      <c r="AM3537">
        <v>78.6327726399021</v>
      </c>
      <c r="AN3537">
        <v>1.0000000544496399</v>
      </c>
    </row>
    <row r="3538" spans="1:40" x14ac:dyDescent="0.3">
      <c r="A3538" t="str">
        <f>"20200111150428191"</f>
        <v>20200111150428191</v>
      </c>
      <c r="B3538" t="str">
        <f>"1578726268181910"</f>
        <v>1578726268181910</v>
      </c>
      <c r="C3538" t="s">
        <v>40</v>
      </c>
      <c r="D3538">
        <v>5.3152730000000004</v>
      </c>
      <c r="E3538">
        <v>0.70950649999999904</v>
      </c>
      <c r="F3538" t="s">
        <v>41</v>
      </c>
      <c r="G3538">
        <v>-118.77970000000001</v>
      </c>
      <c r="H3538">
        <v>7.9986619999999994E-2</v>
      </c>
      <c r="I3538">
        <v>152.63480000000001</v>
      </c>
      <c r="J3538">
        <v>-181.3492</v>
      </c>
      <c r="K3538">
        <v>1.0885199999999999</v>
      </c>
      <c r="L3538">
        <v>132.43799999999999</v>
      </c>
      <c r="M3538">
        <v>0.54281369999999995</v>
      </c>
      <c r="N3538">
        <v>0</v>
      </c>
      <c r="O3538">
        <v>0.83969869999999902</v>
      </c>
      <c r="P3538">
        <v>0.67901049999999996</v>
      </c>
      <c r="Q3538">
        <v>0.18666949999999999</v>
      </c>
      <c r="R3538">
        <v>0.70999950000000001</v>
      </c>
      <c r="S3538">
        <v>3.322327</v>
      </c>
      <c r="T3538">
        <v>-5.342185E-2</v>
      </c>
      <c r="U3538">
        <v>1.0827639999999901</v>
      </c>
      <c r="V3538">
        <v>0.19232540000000001</v>
      </c>
      <c r="W3538">
        <v>0.19503180000000001</v>
      </c>
      <c r="X3538">
        <v>0.96175549999999999</v>
      </c>
      <c r="Y3538">
        <v>0.63011879999999998</v>
      </c>
      <c r="Z3538">
        <v>-1.5781819999999998E-2</v>
      </c>
      <c r="AA3538">
        <v>0.77633830000000004</v>
      </c>
      <c r="AB3538">
        <v>43</v>
      </c>
      <c r="AC3538">
        <v>62.569499999999898</v>
      </c>
      <c r="AD3538">
        <v>-1.00853338</v>
      </c>
      <c r="AE3538">
        <v>20.1968</v>
      </c>
      <c r="AF3538">
        <v>41.572039542004198</v>
      </c>
      <c r="AG3538">
        <v>-1.00853338</v>
      </c>
      <c r="AH3538">
        <v>50.9174334330094</v>
      </c>
      <c r="AI3538">
        <v>90.879013960129299</v>
      </c>
      <c r="AJ3538">
        <v>50.769742607247601</v>
      </c>
      <c r="AK3538">
        <v>65.740677199626404</v>
      </c>
      <c r="AL3538">
        <v>78.753419328691194</v>
      </c>
      <c r="AM3538">
        <v>78.691539702780105</v>
      </c>
      <c r="AN3538">
        <v>1.0000000521383201</v>
      </c>
    </row>
    <row r="3539" spans="1:40" x14ac:dyDescent="0.3">
      <c r="A3539" t="str">
        <f>"20200111150428205"</f>
        <v>20200111150428205</v>
      </c>
      <c r="B3539" t="str">
        <f>"1578726268202405"</f>
        <v>1578726268202405</v>
      </c>
      <c r="C3539" t="s">
        <v>40</v>
      </c>
      <c r="D3539">
        <v>5.3203110000000002</v>
      </c>
      <c r="E3539">
        <v>0.70836880000000002</v>
      </c>
      <c r="F3539" t="s">
        <v>41</v>
      </c>
      <c r="G3539">
        <v>-121.5243</v>
      </c>
      <c r="H3539">
        <v>7.9985909999999993E-2</v>
      </c>
      <c r="I3539">
        <v>151.41079999999999</v>
      </c>
      <c r="J3539">
        <v>-181.2</v>
      </c>
      <c r="K3539">
        <v>1.0883940000000001</v>
      </c>
      <c r="L3539">
        <v>132.66329999999999</v>
      </c>
      <c r="M3539">
        <v>0.55026049999999904</v>
      </c>
      <c r="N3539">
        <v>0</v>
      </c>
      <c r="O3539">
        <v>0.834837099999999</v>
      </c>
      <c r="P3539">
        <v>0.68539700000000003</v>
      </c>
      <c r="Q3539">
        <v>0.18555199999999999</v>
      </c>
      <c r="R3539">
        <v>0.70413169999999903</v>
      </c>
      <c r="S3539">
        <v>3.3294830000000002</v>
      </c>
      <c r="T3539">
        <v>-5.6128740000000003E-2</v>
      </c>
      <c r="U3539">
        <v>1.0559080000000001</v>
      </c>
      <c r="V3539">
        <v>0.19231300000000001</v>
      </c>
      <c r="W3539">
        <v>0.19389100000000001</v>
      </c>
      <c r="X3539">
        <v>0.96198859999999997</v>
      </c>
      <c r="Y3539">
        <v>0.62936719999999902</v>
      </c>
      <c r="Z3539">
        <v>-1.6547559999999999E-2</v>
      </c>
      <c r="AA3539">
        <v>0.77693190000000001</v>
      </c>
      <c r="AB3539">
        <v>43</v>
      </c>
      <c r="AC3539">
        <v>59.6756999999999</v>
      </c>
      <c r="AD3539">
        <v>-1.0084080900000001</v>
      </c>
      <c r="AE3539">
        <v>18.747499999999999</v>
      </c>
      <c r="AF3539">
        <v>39.4983584419425</v>
      </c>
      <c r="AG3539">
        <v>-1.0084080900000001</v>
      </c>
      <c r="AH3539">
        <v>48.4820031141643</v>
      </c>
      <c r="AI3539">
        <v>90.923843124927899</v>
      </c>
      <c r="AJ3539">
        <v>50.830245720966097</v>
      </c>
      <c r="AK3539">
        <v>62.543119785041</v>
      </c>
      <c r="AL3539">
        <v>78.820054248818806</v>
      </c>
      <c r="AM3539">
        <v>78.694919435227007</v>
      </c>
      <c r="AN3539">
        <v>1.0000000381899701</v>
      </c>
    </row>
    <row r="3540" spans="1:40" x14ac:dyDescent="0.3">
      <c r="A3540" t="str">
        <f>"20200111150428218"</f>
        <v>20200111150428218</v>
      </c>
      <c r="B3540" t="str">
        <f>"1578726268212165"</f>
        <v>1578726268212165</v>
      </c>
      <c r="C3540" t="s">
        <v>40</v>
      </c>
      <c r="D3540">
        <v>5.3059149999999997</v>
      </c>
      <c r="E3540">
        <v>0.7072273</v>
      </c>
      <c r="F3540" t="s">
        <v>41</v>
      </c>
      <c r="G3540">
        <v>-123.91500000000001</v>
      </c>
      <c r="H3540">
        <v>7.9986580000000002E-2</v>
      </c>
      <c r="I3540">
        <v>150.40549999999999</v>
      </c>
      <c r="J3540">
        <v>-181.0609</v>
      </c>
      <c r="K3540">
        <v>1.0882769999999999</v>
      </c>
      <c r="L3540">
        <v>132.8689</v>
      </c>
      <c r="M3540">
        <v>0.55713040000000003</v>
      </c>
      <c r="N3540">
        <v>0</v>
      </c>
      <c r="O3540">
        <v>0.8302678</v>
      </c>
      <c r="P3540">
        <v>0.69137760000000004</v>
      </c>
      <c r="Q3540">
        <v>0.18510689999999999</v>
      </c>
      <c r="R3540">
        <v>0.69837850000000001</v>
      </c>
      <c r="S3540">
        <v>3.3325499999999999</v>
      </c>
      <c r="T3540">
        <v>-5.8663960000000001E-2</v>
      </c>
      <c r="U3540">
        <v>1.0321499999999999</v>
      </c>
      <c r="V3540">
        <v>0.19254950000000001</v>
      </c>
      <c r="W3540">
        <v>0.1934138</v>
      </c>
      <c r="X3540">
        <v>0.96203729999999998</v>
      </c>
      <c r="Y3540">
        <v>0.62819080000000005</v>
      </c>
      <c r="Z3540">
        <v>-1.7271680000000001E-2</v>
      </c>
      <c r="AA3540">
        <v>0.77786769999999905</v>
      </c>
      <c r="AB3540">
        <v>43</v>
      </c>
      <c r="AC3540">
        <v>57.145899999999997</v>
      </c>
      <c r="AD3540">
        <v>-1.00829042</v>
      </c>
      <c r="AE3540">
        <v>17.5365999999999</v>
      </c>
      <c r="AF3540">
        <v>37.670429190199002</v>
      </c>
      <c r="AG3540">
        <v>-1.00829042</v>
      </c>
      <c r="AH3540">
        <v>46.3906516369629</v>
      </c>
      <c r="AI3540">
        <v>90.966635608055199</v>
      </c>
      <c r="AJ3540">
        <v>50.922493381786403</v>
      </c>
      <c r="AK3540">
        <v>59.767637097738003</v>
      </c>
      <c r="AL3540">
        <v>78.847922775421793</v>
      </c>
      <c r="AM3540">
        <v>78.681933684350497</v>
      </c>
      <c r="AN3540">
        <v>0.99999998728598904</v>
      </c>
    </row>
    <row r="3541" spans="1:40" x14ac:dyDescent="0.3">
      <c r="A3541" t="str">
        <f>"20200111150428230"</f>
        <v>20200111150428230</v>
      </c>
      <c r="B3541" t="str">
        <f>"1578726268221925"</f>
        <v>1578726268221925</v>
      </c>
      <c r="C3541" t="s">
        <v>40</v>
      </c>
      <c r="D3541">
        <v>5.3031689999999996</v>
      </c>
      <c r="E3541">
        <v>0.70673359999999996</v>
      </c>
      <c r="F3541" t="s">
        <v>41</v>
      </c>
      <c r="G3541">
        <v>-122.3203</v>
      </c>
      <c r="H3541">
        <v>7.9986119999999994E-2</v>
      </c>
      <c r="I3541">
        <v>150.66079999999999</v>
      </c>
      <c r="J3541">
        <v>-180.91890000000001</v>
      </c>
      <c r="K3541">
        <v>1.088165</v>
      </c>
      <c r="L3541">
        <v>133.07650000000001</v>
      </c>
      <c r="M3541">
        <v>0.56408709999999995</v>
      </c>
      <c r="N3541">
        <v>0</v>
      </c>
      <c r="O3541">
        <v>0.82555669999999903</v>
      </c>
      <c r="P3541">
        <v>0.69725239999999999</v>
      </c>
      <c r="Q3541">
        <v>0.18493870000000001</v>
      </c>
      <c r="R3541">
        <v>0.69255819999999901</v>
      </c>
      <c r="S3541">
        <v>3.3343349999999998</v>
      </c>
      <c r="T3541">
        <v>-5.723429E-2</v>
      </c>
      <c r="U3541">
        <v>1.009933</v>
      </c>
      <c r="V3541">
        <v>0.19261249999999999</v>
      </c>
      <c r="W3541">
        <v>0.19321920000000001</v>
      </c>
      <c r="X3541">
        <v>0.96206380000000002</v>
      </c>
      <c r="Y3541">
        <v>0.62651619999999997</v>
      </c>
      <c r="Z3541">
        <v>-1.6825840000000002E-2</v>
      </c>
      <c r="AA3541">
        <v>0.7792268</v>
      </c>
      <c r="AB3541">
        <v>43</v>
      </c>
      <c r="AC3541">
        <v>58.598599999999998</v>
      </c>
      <c r="AD3541">
        <v>-1.00817888</v>
      </c>
      <c r="AE3541">
        <v>17.584299999999899</v>
      </c>
      <c r="AF3541">
        <v>38.451984862733298</v>
      </c>
      <c r="AG3541">
        <v>-1.00817888</v>
      </c>
      <c r="AH3541">
        <v>47.564864837381997</v>
      </c>
      <c r="AI3541">
        <v>90.944340682069395</v>
      </c>
      <c r="AJ3541">
        <v>51.047526372550003</v>
      </c>
      <c r="AK3541">
        <v>61.171790324759698</v>
      </c>
      <c r="AL3541">
        <v>78.859286987277201</v>
      </c>
      <c r="AM3541">
        <v>78.678629972969105</v>
      </c>
      <c r="AN3541">
        <v>0.999999994837665</v>
      </c>
    </row>
    <row r="3542" spans="1:40" x14ac:dyDescent="0.3">
      <c r="A3542" t="str">
        <f>"20200111150428243"</f>
        <v>20200111150428243</v>
      </c>
      <c r="B3542" t="str">
        <f>"1578726268232661"</f>
        <v>1578726268232661</v>
      </c>
      <c r="C3542" t="s">
        <v>40</v>
      </c>
      <c r="D3542">
        <v>5.2914700000000003</v>
      </c>
      <c r="E3542">
        <v>0.70609679999999997</v>
      </c>
      <c r="F3542" t="s">
        <v>41</v>
      </c>
      <c r="G3542">
        <v>-123.14960000000001</v>
      </c>
      <c r="H3542">
        <v>7.9986329999999994E-2</v>
      </c>
      <c r="I3542">
        <v>150.1052</v>
      </c>
      <c r="J3542">
        <v>-180.7724</v>
      </c>
      <c r="K3542">
        <v>1.088052</v>
      </c>
      <c r="L3542">
        <v>133.28569999999999</v>
      </c>
      <c r="M3542">
        <v>0.57118239999999998</v>
      </c>
      <c r="N3542">
        <v>0</v>
      </c>
      <c r="O3542">
        <v>0.82066309999999998</v>
      </c>
      <c r="P3542">
        <v>0.7031094</v>
      </c>
      <c r="Q3542">
        <v>0.18539230000000001</v>
      </c>
      <c r="R3542">
        <v>0.68648869999999995</v>
      </c>
      <c r="S3542">
        <v>3.3401339999999902</v>
      </c>
      <c r="T3542">
        <v>-5.8291320000000001E-2</v>
      </c>
      <c r="U3542">
        <v>0.98457340000000004</v>
      </c>
      <c r="V3542">
        <v>0.19262989999999999</v>
      </c>
      <c r="W3542">
        <v>0.19364770000000001</v>
      </c>
      <c r="X3542">
        <v>0.96197410000000005</v>
      </c>
      <c r="Y3542">
        <v>0.62559969999999998</v>
      </c>
      <c r="Z3542">
        <v>-1.7098530000000001E-2</v>
      </c>
      <c r="AA3542">
        <v>0.77995680000000001</v>
      </c>
      <c r="AB3542">
        <v>43</v>
      </c>
      <c r="AC3542">
        <v>57.622799999999998</v>
      </c>
      <c r="AD3542">
        <v>-1.0080656699999999</v>
      </c>
      <c r="AE3542">
        <v>16.819500000000001</v>
      </c>
      <c r="AF3542">
        <v>37.676229155503101</v>
      </c>
      <c r="AG3542">
        <v>-1.0080656699999999</v>
      </c>
      <c r="AH3542">
        <v>46.709237666233797</v>
      </c>
      <c r="AI3542">
        <v>90.962374061737194</v>
      </c>
      <c r="AJ3542">
        <v>51.109937661372598</v>
      </c>
      <c r="AK3542">
        <v>60.018891385410797</v>
      </c>
      <c r="AL3542">
        <v>78.834262504854806</v>
      </c>
      <c r="AM3542">
        <v>78.676605166636307</v>
      </c>
      <c r="AN3542">
        <v>0.99999993958005295</v>
      </c>
    </row>
    <row r="3543" spans="1:40" x14ac:dyDescent="0.3">
      <c r="A3543" t="str">
        <f>"20200111150428260"</f>
        <v>20200111150428260</v>
      </c>
      <c r="B3543" t="str">
        <f>"1578726268252181"</f>
        <v>1578726268252181</v>
      </c>
      <c r="C3543" t="s">
        <v>40</v>
      </c>
      <c r="D3543">
        <v>5.3095600000000003</v>
      </c>
      <c r="E3543">
        <v>0.70475339999999997</v>
      </c>
      <c r="F3543" t="s">
        <v>41</v>
      </c>
      <c r="G3543">
        <v>-120.86660000000001</v>
      </c>
      <c r="H3543">
        <v>7.9985669999999995E-2</v>
      </c>
      <c r="I3543">
        <v>150.46019999999999</v>
      </c>
      <c r="J3543">
        <v>-180.58090000000001</v>
      </c>
      <c r="K3543">
        <v>1.087906</v>
      </c>
      <c r="L3543">
        <v>133.55410000000001</v>
      </c>
      <c r="M3543">
        <v>0.58035300000000001</v>
      </c>
      <c r="N3543">
        <v>0</v>
      </c>
      <c r="O3543">
        <v>0.81420300000000001</v>
      </c>
      <c r="P3543">
        <v>0.71061830000000004</v>
      </c>
      <c r="Q3543">
        <v>0.18652589999999999</v>
      </c>
      <c r="R3543">
        <v>0.67840230000000001</v>
      </c>
      <c r="S3543">
        <v>3.3452299999999999</v>
      </c>
      <c r="T3543">
        <v>-5.6291819999999999E-2</v>
      </c>
      <c r="U3543">
        <v>0.95904540000000005</v>
      </c>
      <c r="V3543">
        <v>0.19270909999999999</v>
      </c>
      <c r="W3543">
        <v>0.194746</v>
      </c>
      <c r="X3543">
        <v>0.96173660000000005</v>
      </c>
      <c r="Y3543">
        <v>0.62266619999999995</v>
      </c>
      <c r="Z3543">
        <v>-1.6450579999999999E-2</v>
      </c>
      <c r="AA3543">
        <v>0.78231459999999997</v>
      </c>
      <c r="AB3543">
        <v>43</v>
      </c>
      <c r="AC3543">
        <v>59.714300000000001</v>
      </c>
      <c r="AD3543">
        <v>-1.0079203299999999</v>
      </c>
      <c r="AE3543">
        <v>16.906099999999899</v>
      </c>
      <c r="AF3543">
        <v>38.802942825983301</v>
      </c>
      <c r="AG3543">
        <v>-1.0079203299999999</v>
      </c>
      <c r="AH3543">
        <v>48.4139904009471</v>
      </c>
      <c r="AI3543">
        <v>90.9306873344634</v>
      </c>
      <c r="AJ3543">
        <v>51.288452642790602</v>
      </c>
      <c r="AK3543">
        <v>62.053192842038001</v>
      </c>
      <c r="AL3543">
        <v>78.770114503889701</v>
      </c>
      <c r="AM3543">
        <v>78.669344829384499</v>
      </c>
      <c r="AN3543">
        <v>1.0000000447591799</v>
      </c>
    </row>
    <row r="3544" spans="1:40" x14ac:dyDescent="0.3">
      <c r="A3544" t="str">
        <f>"20200111150428276"</f>
        <v>20200111150428276</v>
      </c>
      <c r="B3544" t="str">
        <f>"1578726268272678"</f>
        <v>1578726268272678</v>
      </c>
      <c r="C3544" t="s">
        <v>40</v>
      </c>
      <c r="D3544">
        <v>5.2949320000000002</v>
      </c>
      <c r="E3544">
        <v>0.70385050000000005</v>
      </c>
      <c r="F3544" t="s">
        <v>41</v>
      </c>
      <c r="G3544">
        <v>-117.05929999999999</v>
      </c>
      <c r="H3544">
        <v>7.9986059999999998E-2</v>
      </c>
      <c r="I3544">
        <v>151.17359999999999</v>
      </c>
      <c r="J3544">
        <v>-180.40950000000001</v>
      </c>
      <c r="K3544">
        <v>1.08778</v>
      </c>
      <c r="L3544">
        <v>133.78909999999999</v>
      </c>
      <c r="M3544">
        <v>0.58844659999999904</v>
      </c>
      <c r="N3544">
        <v>0</v>
      </c>
      <c r="O3544">
        <v>0.80837230000000004</v>
      </c>
      <c r="P3544">
        <v>0.71738210000000002</v>
      </c>
      <c r="Q3544">
        <v>0.1866748</v>
      </c>
      <c r="R3544">
        <v>0.67120459999999904</v>
      </c>
      <c r="S3544">
        <v>3.3488310000000001</v>
      </c>
      <c r="T3544">
        <v>-5.313706E-2</v>
      </c>
      <c r="U3544">
        <v>0.928894</v>
      </c>
      <c r="V3544">
        <v>0.1928407</v>
      </c>
      <c r="W3544">
        <v>0.19486429999999999</v>
      </c>
      <c r="X3544">
        <v>0.96168620000000005</v>
      </c>
      <c r="Y3544">
        <v>0.62162469999999903</v>
      </c>
      <c r="Z3544">
        <v>-1.5497240000000001E-2</v>
      </c>
      <c r="AA3544">
        <v>0.78316189999999997</v>
      </c>
      <c r="AB3544">
        <v>43</v>
      </c>
      <c r="AC3544">
        <v>63.350200000000001</v>
      </c>
      <c r="AD3544">
        <v>-1.00779394</v>
      </c>
      <c r="AE3544">
        <v>17.384499999999999</v>
      </c>
      <c r="AF3544">
        <v>40.9764805225497</v>
      </c>
      <c r="AG3544">
        <v>-1.00779394</v>
      </c>
      <c r="AH3544">
        <v>51.326076646281997</v>
      </c>
      <c r="AI3544">
        <v>90.879120701381893</v>
      </c>
      <c r="AJ3544">
        <v>51.397673843319801</v>
      </c>
      <c r="AK3544">
        <v>65.684501585537006</v>
      </c>
      <c r="AL3544">
        <v>78.763203388985104</v>
      </c>
      <c r="AM3544">
        <v>78.661228730121394</v>
      </c>
      <c r="AN3544">
        <v>0.99999998913070998</v>
      </c>
    </row>
    <row r="3545" spans="1:40" x14ac:dyDescent="0.3">
      <c r="A3545" t="str">
        <f>"20200111150428293"</f>
        <v>20200111150428293</v>
      </c>
      <c r="B3545" t="str">
        <f>"1578726268282437"</f>
        <v>1578726268282437</v>
      </c>
      <c r="C3545" t="s">
        <v>40</v>
      </c>
      <c r="D3545">
        <v>5.2834009999999996</v>
      </c>
      <c r="E3545">
        <v>0.70385050000000005</v>
      </c>
      <c r="F3545" t="s">
        <v>41</v>
      </c>
      <c r="G3545">
        <v>-115.4765</v>
      </c>
      <c r="H3545">
        <v>7.9985600000000004E-2</v>
      </c>
      <c r="I3545">
        <v>151.22040000000001</v>
      </c>
      <c r="J3545">
        <v>-180.20949999999999</v>
      </c>
      <c r="K3545">
        <v>1.0876380000000001</v>
      </c>
      <c r="L3545">
        <v>134.05779999999999</v>
      </c>
      <c r="M3545">
        <v>0.59776689999999999</v>
      </c>
      <c r="N3545">
        <v>0</v>
      </c>
      <c r="O3545">
        <v>0.80150410000000005</v>
      </c>
      <c r="P3545">
        <v>0.72589329999999996</v>
      </c>
      <c r="Q3545">
        <v>0.18589720000000001</v>
      </c>
      <c r="R3545">
        <v>0.6622093</v>
      </c>
      <c r="S3545">
        <v>3.35318</v>
      </c>
      <c r="T3545">
        <v>-5.2043079999999999E-2</v>
      </c>
      <c r="U3545">
        <v>0.90016169999999995</v>
      </c>
      <c r="V3545">
        <v>0.19388859999999999</v>
      </c>
      <c r="W3545">
        <v>0.19401489999999999</v>
      </c>
      <c r="X3545">
        <v>0.96164720000000004</v>
      </c>
      <c r="Y3545">
        <v>0.61906569999999905</v>
      </c>
      <c r="Z3545">
        <v>-1.512234E-2</v>
      </c>
      <c r="AA3545">
        <v>0.78519359999999905</v>
      </c>
      <c r="AB3545">
        <v>43</v>
      </c>
      <c r="AC3545">
        <v>64.732999999999905</v>
      </c>
      <c r="AD3545">
        <v>-1.00765239999999</v>
      </c>
      <c r="AE3545">
        <v>17.162600000000001</v>
      </c>
      <c r="AF3545">
        <v>41.620643307800798</v>
      </c>
      <c r="AG3545">
        <v>-1.00765239999999</v>
      </c>
      <c r="AH3545">
        <v>52.446240485837897</v>
      </c>
      <c r="AI3545">
        <v>90.862227238613798</v>
      </c>
      <c r="AJ3545">
        <v>51.564948740224096</v>
      </c>
      <c r="AK3545">
        <v>66.961940337872093</v>
      </c>
      <c r="AL3545">
        <v>78.812816935004093</v>
      </c>
      <c r="AM3545">
        <v>78.600772254068602</v>
      </c>
      <c r="AN3545">
        <v>0.99999995394990304</v>
      </c>
    </row>
    <row r="3546" spans="1:40" x14ac:dyDescent="0.3">
      <c r="A3546" t="str">
        <f>"20200111150428307"</f>
        <v>20200111150428307</v>
      </c>
      <c r="B3546" t="str">
        <f>"1578726268301958"</f>
        <v>1578726268301958</v>
      </c>
      <c r="C3546" t="s">
        <v>40</v>
      </c>
      <c r="D3546">
        <v>5.2694219999999996</v>
      </c>
      <c r="E3546">
        <v>0.68382330000000002</v>
      </c>
      <c r="F3546" t="s">
        <v>41</v>
      </c>
      <c r="G3546">
        <v>-118.8655</v>
      </c>
      <c r="H3546">
        <v>7.9986509999999997E-2</v>
      </c>
      <c r="I3546">
        <v>149.70650000000001</v>
      </c>
      <c r="J3546">
        <v>-180.03479999999999</v>
      </c>
      <c r="K3546">
        <v>1.087518</v>
      </c>
      <c r="L3546">
        <v>134.2876</v>
      </c>
      <c r="M3546">
        <v>0.60579380000000005</v>
      </c>
      <c r="N3546">
        <v>0</v>
      </c>
      <c r="O3546">
        <v>0.79545399999999999</v>
      </c>
      <c r="P3546">
        <v>0.73296740000000005</v>
      </c>
      <c r="Q3546">
        <v>0.18566079999999999</v>
      </c>
      <c r="R3546">
        <v>0.65443790000000002</v>
      </c>
      <c r="S3546">
        <v>3.36409</v>
      </c>
      <c r="T3546">
        <v>-5.5259349999999999E-2</v>
      </c>
      <c r="U3546">
        <v>0.85816959999999998</v>
      </c>
      <c r="V3546">
        <v>0.19455910000000001</v>
      </c>
      <c r="W3546">
        <v>0.19372729999999999</v>
      </c>
      <c r="X3546">
        <v>0.96156980000000003</v>
      </c>
      <c r="Y3546">
        <v>0.6209654</v>
      </c>
      <c r="Z3546">
        <v>-1.6018230000000001E-2</v>
      </c>
      <c r="AA3546">
        <v>0.78367430000000005</v>
      </c>
      <c r="AB3546">
        <v>43</v>
      </c>
      <c r="AC3546">
        <v>61.1692999999999</v>
      </c>
      <c r="AD3546">
        <v>-1.0075314900000001</v>
      </c>
      <c r="AE3546">
        <v>15.418900000000001</v>
      </c>
      <c r="AF3546">
        <v>39.311908195378201</v>
      </c>
      <c r="AG3546">
        <v>-1.0075314900000001</v>
      </c>
      <c r="AH3546">
        <v>49.315009387752298</v>
      </c>
      <c r="AI3546">
        <v>90.915260851363996</v>
      </c>
      <c r="AJ3546">
        <v>51.439580559414701</v>
      </c>
      <c r="AK3546">
        <v>63.074649397196701</v>
      </c>
      <c r="AL3546">
        <v>78.829614357373998</v>
      </c>
      <c r="AM3546">
        <v>78.561492619739695</v>
      </c>
      <c r="AN3546">
        <v>0.99999999521506999</v>
      </c>
    </row>
    <row r="3547" spans="1:40" x14ac:dyDescent="0.3">
      <c r="A3547" t="str">
        <f>"20200111150428326"</f>
        <v>20200111150428326</v>
      </c>
      <c r="B3547" t="str">
        <f>"1578726268322453"</f>
        <v>1578726268322453</v>
      </c>
      <c r="C3547" t="s">
        <v>40</v>
      </c>
      <c r="D3547">
        <v>5.3222630000000004</v>
      </c>
      <c r="E3547">
        <v>0.67814969999999997</v>
      </c>
      <c r="F3547" t="s">
        <v>41</v>
      </c>
      <c r="G3547">
        <v>-158.8177</v>
      </c>
      <c r="H3547" s="1">
        <v>-7.1281610000000004E-7</v>
      </c>
      <c r="I3547">
        <v>140.4554</v>
      </c>
      <c r="J3547">
        <v>-179.8194</v>
      </c>
      <c r="K3547">
        <v>1.0873740000000001</v>
      </c>
      <c r="L3547">
        <v>134.56379999999999</v>
      </c>
      <c r="M3547">
        <v>0.61552949999999995</v>
      </c>
      <c r="N3547">
        <v>0</v>
      </c>
      <c r="O3547">
        <v>0.78794390000000003</v>
      </c>
      <c r="P3547">
        <v>0.74188549999999998</v>
      </c>
      <c r="Q3547">
        <v>0.18517719999999999</v>
      </c>
      <c r="R3547">
        <v>0.64444950000000001</v>
      </c>
      <c r="S3547">
        <v>3.2833709999999998</v>
      </c>
      <c r="T3547">
        <v>-0.16829469999999999</v>
      </c>
      <c r="U3547">
        <v>0.95448299999999997</v>
      </c>
      <c r="V3547">
        <v>0.19589809999999999</v>
      </c>
      <c r="W3547">
        <v>0.1931602</v>
      </c>
      <c r="X3547">
        <v>0.96141200000000004</v>
      </c>
      <c r="Y3547">
        <v>0.58352269999999995</v>
      </c>
      <c r="Z3547">
        <v>-4.8506809999999997E-2</v>
      </c>
      <c r="AA3547">
        <v>0.81064700000000001</v>
      </c>
      <c r="AB3547">
        <v>43</v>
      </c>
      <c r="AC3547">
        <v>21.0017</v>
      </c>
      <c r="AD3547">
        <v>-1.0873747128161</v>
      </c>
      <c r="AE3547">
        <v>5.8916000000000102</v>
      </c>
      <c r="AF3547">
        <v>12.891401773848401</v>
      </c>
      <c r="AG3547">
        <v>-1.0873747128161</v>
      </c>
      <c r="AH3547">
        <v>17.528209613566599</v>
      </c>
      <c r="AI3547">
        <v>92.860977738031494</v>
      </c>
      <c r="AJ3547">
        <v>53.666783338006702</v>
      </c>
      <c r="AK3547">
        <v>21.785517109262798</v>
      </c>
      <c r="AL3547">
        <v>78.862732188896203</v>
      </c>
      <c r="AM3547">
        <v>78.483026567264901</v>
      </c>
      <c r="AN3547">
        <v>0.999999981095824</v>
      </c>
    </row>
    <row r="3548" spans="1:40" x14ac:dyDescent="0.3">
      <c r="A3548" t="str">
        <f>"20200111150428340"</f>
        <v>20200111150428340</v>
      </c>
      <c r="B3548" t="str">
        <f>"1578726268332213"</f>
        <v>1578726268332213</v>
      </c>
      <c r="C3548" t="s">
        <v>40</v>
      </c>
      <c r="D3548">
        <v>5.3117760000000001</v>
      </c>
      <c r="E3548">
        <v>0.67587640000000004</v>
      </c>
      <c r="F3548" t="s">
        <v>41</v>
      </c>
      <c r="G3548">
        <v>-156.672</v>
      </c>
      <c r="H3548" s="1">
        <v>-1.8433049999999999E-6</v>
      </c>
      <c r="I3548">
        <v>141.24469999999999</v>
      </c>
      <c r="J3548">
        <v>-179.64660000000001</v>
      </c>
      <c r="K3548">
        <v>1.08727</v>
      </c>
      <c r="L3548">
        <v>134.78020000000001</v>
      </c>
      <c r="M3548">
        <v>0.62320909999999996</v>
      </c>
      <c r="N3548">
        <v>0</v>
      </c>
      <c r="O3548">
        <v>0.78188349999999995</v>
      </c>
      <c r="P3548">
        <v>0.74861160000000004</v>
      </c>
      <c r="Q3548">
        <v>0.18502299999999999</v>
      </c>
      <c r="R3548">
        <v>0.63666889999999998</v>
      </c>
      <c r="S3548">
        <v>3.2637330000000002</v>
      </c>
      <c r="T3548">
        <v>-0.15331800000000001</v>
      </c>
      <c r="U3548">
        <v>0.94200130000000004</v>
      </c>
      <c r="V3548">
        <v>0.1965993</v>
      </c>
      <c r="W3548">
        <v>0.19295580000000001</v>
      </c>
      <c r="X3548">
        <v>0.96130990000000005</v>
      </c>
      <c r="Y3548">
        <v>0.57734200000000002</v>
      </c>
      <c r="Z3548">
        <v>-4.4206860000000001E-2</v>
      </c>
      <c r="AA3548">
        <v>0.81530480000000005</v>
      </c>
      <c r="AB3548">
        <v>43</v>
      </c>
      <c r="AC3548">
        <v>22.974599999999999</v>
      </c>
      <c r="AD3548">
        <v>-1.0872718433049999</v>
      </c>
      <c r="AE3548">
        <v>6.4644999999999797</v>
      </c>
      <c r="AF3548">
        <v>13.907734018787099</v>
      </c>
      <c r="AG3548">
        <v>-1.0872718433049999</v>
      </c>
      <c r="AH3548">
        <v>19.3349414168535</v>
      </c>
      <c r="AI3548">
        <v>92.613763911048807</v>
      </c>
      <c r="AJ3548">
        <v>54.272319429001001</v>
      </c>
      <c r="AK3548">
        <v>23.842130466712199</v>
      </c>
      <c r="AL3548">
        <v>78.8746679182523</v>
      </c>
      <c r="AM3548">
        <v>78.441715354219994</v>
      </c>
      <c r="AN3548">
        <v>0.99999997467606905</v>
      </c>
    </row>
    <row r="3549" spans="1:40" x14ac:dyDescent="0.3">
      <c r="A3549" t="str">
        <f>"20200111150428351"</f>
        <v>20200111150428351</v>
      </c>
      <c r="B3549" t="str">
        <f>"1578726268341973"</f>
        <v>1578726268341973</v>
      </c>
      <c r="C3549" t="s">
        <v>40</v>
      </c>
      <c r="D3549">
        <v>5.3245870000000002</v>
      </c>
      <c r="E3549">
        <v>0.67269409999999996</v>
      </c>
      <c r="F3549" t="s">
        <v>41</v>
      </c>
      <c r="G3549">
        <v>-155.5779</v>
      </c>
      <c r="H3549" s="1">
        <v>-2.4011970000000001E-6</v>
      </c>
      <c r="I3549">
        <v>141.57730000000001</v>
      </c>
      <c r="J3549">
        <v>-179.5044</v>
      </c>
      <c r="K3549">
        <v>1.0871850000000001</v>
      </c>
      <c r="L3549">
        <v>134.95609999999999</v>
      </c>
      <c r="M3549">
        <v>0.6294594</v>
      </c>
      <c r="N3549">
        <v>0</v>
      </c>
      <c r="O3549">
        <v>0.77686009999999905</v>
      </c>
      <c r="P3549">
        <v>0.75422219999999995</v>
      </c>
      <c r="Q3549">
        <v>0.18508759999999999</v>
      </c>
      <c r="R3549">
        <v>0.62999329999999998</v>
      </c>
      <c r="S3549">
        <v>3.2606510000000002</v>
      </c>
      <c r="T3549">
        <v>-0.1472955</v>
      </c>
      <c r="U3549">
        <v>0.92083740000000003</v>
      </c>
      <c r="V3549">
        <v>0.19745779999999999</v>
      </c>
      <c r="W3549">
        <v>0.1929661</v>
      </c>
      <c r="X3549">
        <v>0.96113190000000004</v>
      </c>
      <c r="Y3549">
        <v>0.57557040000000004</v>
      </c>
      <c r="Z3549">
        <v>-4.2417900000000001E-2</v>
      </c>
      <c r="AA3549">
        <v>0.81665129999999997</v>
      </c>
      <c r="AB3549">
        <v>43</v>
      </c>
      <c r="AC3549">
        <v>23.926500000000001</v>
      </c>
      <c r="AD3549">
        <v>-1.087187401197</v>
      </c>
      <c r="AE3549">
        <v>6.6212000000000097</v>
      </c>
      <c r="AF3549">
        <v>14.394103181171101</v>
      </c>
      <c r="AG3549">
        <v>-1.087187401197</v>
      </c>
      <c r="AH3549">
        <v>20.168547678467</v>
      </c>
      <c r="AI3549">
        <v>92.512339669593203</v>
      </c>
      <c r="AJ3549">
        <v>54.484906121599302</v>
      </c>
      <c r="AK3549">
        <v>24.8020664117754</v>
      </c>
      <c r="AL3549">
        <v>78.874066909885002</v>
      </c>
      <c r="AM3549">
        <v>78.390518726750599</v>
      </c>
      <c r="AN3549">
        <v>1.0000000138638301</v>
      </c>
    </row>
    <row r="3550" spans="1:40" x14ac:dyDescent="0.3">
      <c r="A3550" t="str">
        <f>"20200111150428363"</f>
        <v>20200111150428363</v>
      </c>
      <c r="B3550" t="str">
        <f>"1578726268352709"</f>
        <v>1578726268352709</v>
      </c>
      <c r="C3550" t="s">
        <v>40</v>
      </c>
      <c r="D3550">
        <v>5.3146950000000004</v>
      </c>
      <c r="E3550">
        <v>0.67149449999999999</v>
      </c>
      <c r="F3550" t="s">
        <v>41</v>
      </c>
      <c r="G3550">
        <v>-153.70230000000001</v>
      </c>
      <c r="H3550" s="1">
        <v>-3.3669419999999998E-6</v>
      </c>
      <c r="I3550">
        <v>142.18279999999999</v>
      </c>
      <c r="J3550">
        <v>-179.3536</v>
      </c>
      <c r="K3550">
        <v>1.087105</v>
      </c>
      <c r="L3550">
        <v>135.1387</v>
      </c>
      <c r="M3550">
        <v>0.63599399999999995</v>
      </c>
      <c r="N3550">
        <v>0</v>
      </c>
      <c r="O3550">
        <v>0.77151919999999996</v>
      </c>
      <c r="P3550">
        <v>0.76005730000000005</v>
      </c>
      <c r="Q3550">
        <v>0.18489149999999999</v>
      </c>
      <c r="R3550">
        <v>0.62299930000000003</v>
      </c>
      <c r="S3550">
        <v>3.2507169999999999</v>
      </c>
      <c r="T3550">
        <v>-0.136970799999999</v>
      </c>
      <c r="U3550">
        <v>0.91047670000000003</v>
      </c>
      <c r="V3550">
        <v>0.1982901</v>
      </c>
      <c r="W3550">
        <v>0.19271720000000001</v>
      </c>
      <c r="X3550">
        <v>0.96101049999999999</v>
      </c>
      <c r="Y3550">
        <v>0.57056180000000001</v>
      </c>
      <c r="Z3550">
        <v>-3.9372879999999999E-2</v>
      </c>
      <c r="AA3550">
        <v>0.820310399999999</v>
      </c>
      <c r="AB3550">
        <v>43</v>
      </c>
      <c r="AC3550">
        <v>25.6512999999999</v>
      </c>
      <c r="AD3550">
        <v>-1.0871083669419901</v>
      </c>
      <c r="AE3550">
        <v>7.0440999999999798</v>
      </c>
      <c r="AF3550">
        <v>15.2869991690819</v>
      </c>
      <c r="AG3550">
        <v>-1.0871083669419901</v>
      </c>
      <c r="AH3550">
        <v>21.715397575841902</v>
      </c>
      <c r="AI3550">
        <v>92.344127643411696</v>
      </c>
      <c r="AJ3550">
        <v>54.8555848477965</v>
      </c>
      <c r="AK3550">
        <v>26.5788005762838</v>
      </c>
      <c r="AL3550">
        <v>78.888600833068594</v>
      </c>
      <c r="AM3550">
        <v>78.341488156216997</v>
      </c>
      <c r="AN3550">
        <v>1.0000000320220399</v>
      </c>
    </row>
    <row r="3551" spans="1:40" x14ac:dyDescent="0.3">
      <c r="A3551" t="str">
        <f>"20200111150428377"</f>
        <v>20200111150428377</v>
      </c>
      <c r="B3551" t="str">
        <f>"1578726268372229"</f>
        <v>1578726268372229</v>
      </c>
      <c r="C3551" t="s">
        <v>40</v>
      </c>
      <c r="D3551">
        <v>5.3290620000000004</v>
      </c>
      <c r="E3551">
        <v>0.66694059999999999</v>
      </c>
      <c r="F3551" t="s">
        <v>41</v>
      </c>
      <c r="G3551">
        <v>-153.43450000000001</v>
      </c>
      <c r="H3551" s="1">
        <v>-3.490092E-6</v>
      </c>
      <c r="I3551">
        <v>142.2139</v>
      </c>
      <c r="J3551">
        <v>-179.18899999999999</v>
      </c>
      <c r="K3551">
        <v>1.0870200000000001</v>
      </c>
      <c r="L3551">
        <v>135.33459999999999</v>
      </c>
      <c r="M3551">
        <v>0.64302930000000003</v>
      </c>
      <c r="N3551">
        <v>0</v>
      </c>
      <c r="O3551">
        <v>0.76566509999999999</v>
      </c>
      <c r="P3551">
        <v>0.76604249999999996</v>
      </c>
      <c r="Q3551">
        <v>0.18451519999999999</v>
      </c>
      <c r="R3551">
        <v>0.61573789999999995</v>
      </c>
      <c r="S3551">
        <v>3.2524869999999999</v>
      </c>
      <c r="T3551">
        <v>-0.1364167</v>
      </c>
      <c r="U3551">
        <v>0.88784789999999902</v>
      </c>
      <c r="V3551">
        <v>0.1987302</v>
      </c>
      <c r="W3551">
        <v>0.19230539999999999</v>
      </c>
      <c r="X3551">
        <v>0.96100209999999997</v>
      </c>
      <c r="Y3551">
        <v>0.56847380000000003</v>
      </c>
      <c r="Z3551">
        <v>-3.908031E-2</v>
      </c>
      <c r="AA3551">
        <v>0.82177259999999996</v>
      </c>
      <c r="AB3551">
        <v>43</v>
      </c>
      <c r="AC3551">
        <v>25.7545</v>
      </c>
      <c r="AD3551">
        <v>-1.0870234900919999</v>
      </c>
      <c r="AE3551">
        <v>6.8792999999999997</v>
      </c>
      <c r="AF3551">
        <v>15.2724027825096</v>
      </c>
      <c r="AG3551">
        <v>-1.0870234900919999</v>
      </c>
      <c r="AH3551">
        <v>21.7948478594992</v>
      </c>
      <c r="AI3551">
        <v>92.338962972271801</v>
      </c>
      <c r="AJ3551">
        <v>54.979743717329001</v>
      </c>
      <c r="AK3551">
        <v>26.635376851810001</v>
      </c>
      <c r="AL3551">
        <v>78.912645162614993</v>
      </c>
      <c r="AM3551">
        <v>78.316223687648801</v>
      </c>
      <c r="AN3551">
        <v>1.0000000477327999</v>
      </c>
    </row>
    <row r="3552" spans="1:40" x14ac:dyDescent="0.3">
      <c r="A3552" t="str">
        <f>"20200111150428392"</f>
        <v>20200111150428392</v>
      </c>
      <c r="B3552" t="str">
        <f>"1578726268381989"</f>
        <v>1578726268381989</v>
      </c>
      <c r="C3552" t="s">
        <v>40</v>
      </c>
      <c r="D3552">
        <v>5.3400990000000004</v>
      </c>
      <c r="E3552">
        <v>0.66494229999999999</v>
      </c>
      <c r="F3552" t="s">
        <v>41</v>
      </c>
      <c r="G3552">
        <v>-151.6473</v>
      </c>
      <c r="H3552" s="1">
        <v>-4.289793E-6</v>
      </c>
      <c r="I3552">
        <v>142.85409999999999</v>
      </c>
      <c r="J3552">
        <v>-178.988</v>
      </c>
      <c r="K3552">
        <v>1.086927</v>
      </c>
      <c r="L3552">
        <v>135.56979999999999</v>
      </c>
      <c r="M3552">
        <v>0.65149429999999997</v>
      </c>
      <c r="N3552">
        <v>0</v>
      </c>
      <c r="O3552">
        <v>0.7584748</v>
      </c>
      <c r="P3552">
        <v>0.77256130000000001</v>
      </c>
      <c r="Q3552">
        <v>0.18396390000000001</v>
      </c>
      <c r="R3552">
        <v>0.60770590000000002</v>
      </c>
      <c r="S3552">
        <v>3.2366790000000001</v>
      </c>
      <c r="T3552">
        <v>-0.1277459</v>
      </c>
      <c r="U3552">
        <v>0.88368230000000003</v>
      </c>
      <c r="V3552">
        <v>0.19820699999999999</v>
      </c>
      <c r="W3552">
        <v>0.19175880000000001</v>
      </c>
      <c r="X3552">
        <v>0.9612193</v>
      </c>
      <c r="Y3552">
        <v>0.55938180000000004</v>
      </c>
      <c r="Z3552">
        <v>-3.6454090000000001E-2</v>
      </c>
      <c r="AA3552">
        <v>0.82810810000000001</v>
      </c>
      <c r="AB3552">
        <v>43</v>
      </c>
      <c r="AC3552">
        <v>27.340699999999998</v>
      </c>
      <c r="AD3552">
        <v>-1.0869312897929999</v>
      </c>
      <c r="AE3552">
        <v>7.2843</v>
      </c>
      <c r="AF3552">
        <v>15.970153189823201</v>
      </c>
      <c r="AG3552">
        <v>-1.0869312897929999</v>
      </c>
      <c r="AH3552">
        <v>23.306039793504599</v>
      </c>
      <c r="AI3552">
        <v>92.203180274809696</v>
      </c>
      <c r="AJ3552">
        <v>55.579627996094899</v>
      </c>
      <c r="AK3552">
        <v>28.273639726635398</v>
      </c>
      <c r="AL3552">
        <v>78.944556393520799</v>
      </c>
      <c r="AM3552">
        <v>78.348702626787599</v>
      </c>
      <c r="AN3552">
        <v>0.999999997459465</v>
      </c>
    </row>
    <row r="3553" spans="1:40" x14ac:dyDescent="0.3">
      <c r="A3553" t="str">
        <f>"20200111150428406"</f>
        <v>20200111150428406</v>
      </c>
      <c r="B3553" t="str">
        <f>"1578726268402485"</f>
        <v>1578726268402485</v>
      </c>
      <c r="C3553" t="s">
        <v>40</v>
      </c>
      <c r="D3553">
        <v>5.2676800000000004</v>
      </c>
      <c r="E3553">
        <v>0.66365859999999999</v>
      </c>
      <c r="F3553" t="s">
        <v>41</v>
      </c>
      <c r="G3553">
        <v>-150.2088</v>
      </c>
      <c r="H3553" s="1">
        <v>-4.845431E-6</v>
      </c>
      <c r="I3553">
        <v>143.2268</v>
      </c>
      <c r="J3553">
        <v>-178.81549999999999</v>
      </c>
      <c r="K3553">
        <v>1.086846</v>
      </c>
      <c r="L3553">
        <v>135.76750000000001</v>
      </c>
      <c r="M3553">
        <v>0.65863629999999995</v>
      </c>
      <c r="N3553">
        <v>0</v>
      </c>
      <c r="O3553">
        <v>0.75228079999999997</v>
      </c>
      <c r="P3553">
        <v>0.77782419999999997</v>
      </c>
      <c r="Q3553">
        <v>0.1839432</v>
      </c>
      <c r="R3553">
        <v>0.60096139999999998</v>
      </c>
      <c r="S3553">
        <v>3.2352289999999999</v>
      </c>
      <c r="T3553">
        <v>-0.1221879</v>
      </c>
      <c r="U3553">
        <v>0.86076350000000001</v>
      </c>
      <c r="V3553">
        <v>0.197516</v>
      </c>
      <c r="W3553">
        <v>0.19175320000000001</v>
      </c>
      <c r="X3553">
        <v>0.96136270000000001</v>
      </c>
      <c r="Y3553">
        <v>0.55698890000000001</v>
      </c>
      <c r="Z3553">
        <v>-3.476195E-2</v>
      </c>
      <c r="AA3553">
        <v>0.82979210000000003</v>
      </c>
      <c r="AB3553">
        <v>43</v>
      </c>
      <c r="AC3553">
        <v>28.606699999999901</v>
      </c>
      <c r="AD3553">
        <v>-1.086850845431</v>
      </c>
      <c r="AE3553">
        <v>7.4592999999999803</v>
      </c>
      <c r="AF3553">
        <v>16.5871444212952</v>
      </c>
      <c r="AG3553">
        <v>-1.086850845431</v>
      </c>
      <c r="AH3553">
        <v>24.423213809182101</v>
      </c>
      <c r="AI3553">
        <v>92.108294308134006</v>
      </c>
      <c r="AJ3553">
        <v>55.817422752403402</v>
      </c>
      <c r="AK3553">
        <v>29.543323739588701</v>
      </c>
      <c r="AL3553">
        <v>78.944883910016003</v>
      </c>
      <c r="AM3553">
        <v>78.389902059714998</v>
      </c>
      <c r="AN3553">
        <v>1.0000000504587601</v>
      </c>
    </row>
    <row r="3554" spans="1:40" x14ac:dyDescent="0.3">
      <c r="A3554" t="str">
        <f>"20200111150428419"</f>
        <v>20200111150428419</v>
      </c>
      <c r="B3554" t="str">
        <f>"1578726268412246"</f>
        <v>1578726268412246</v>
      </c>
      <c r="C3554" t="s">
        <v>40</v>
      </c>
      <c r="D3554">
        <v>5.3577279999999998</v>
      </c>
      <c r="E3554">
        <v>0.66243129999999995</v>
      </c>
      <c r="F3554" t="s">
        <v>41</v>
      </c>
      <c r="G3554">
        <v>-147.46729999999999</v>
      </c>
      <c r="H3554" s="1">
        <v>-2.2087740000000001E-6</v>
      </c>
      <c r="I3554">
        <v>143.90039999999999</v>
      </c>
      <c r="J3554">
        <v>-178.65770000000001</v>
      </c>
      <c r="K3554">
        <v>1.086776</v>
      </c>
      <c r="L3554">
        <v>135.9444</v>
      </c>
      <c r="M3554">
        <v>0.66505819999999904</v>
      </c>
      <c r="N3554">
        <v>0</v>
      </c>
      <c r="O3554">
        <v>0.74660930000000003</v>
      </c>
      <c r="P3554">
        <v>0.78270580000000001</v>
      </c>
      <c r="Q3554">
        <v>0.18321989999999999</v>
      </c>
      <c r="R3554">
        <v>0.59481269999999997</v>
      </c>
      <c r="S3554">
        <v>3.234985</v>
      </c>
      <c r="T3554">
        <v>-0.1121574</v>
      </c>
      <c r="U3554">
        <v>0.839279199999999</v>
      </c>
      <c r="V3554">
        <v>0.19697770000000001</v>
      </c>
      <c r="W3554">
        <v>0.19104180000000001</v>
      </c>
      <c r="X3554">
        <v>0.96161470000000004</v>
      </c>
      <c r="Y3554">
        <v>0.55512930000000005</v>
      </c>
      <c r="Z3554">
        <v>-3.1812819999999999E-2</v>
      </c>
      <c r="AA3554">
        <v>0.83115539999999999</v>
      </c>
      <c r="AB3554">
        <v>43</v>
      </c>
      <c r="AC3554">
        <v>31.1904</v>
      </c>
      <c r="AD3554">
        <v>-1.0867782087740001</v>
      </c>
      <c r="AE3554">
        <v>7.95599999999998</v>
      </c>
      <c r="AF3554">
        <v>17.977796147471398</v>
      </c>
      <c r="AG3554">
        <v>-1.0867782087740001</v>
      </c>
      <c r="AH3554">
        <v>26.656700712870201</v>
      </c>
      <c r="AI3554">
        <v>91.935904825309706</v>
      </c>
      <c r="AJ3554">
        <v>56.003509459626898</v>
      </c>
      <c r="AK3554">
        <v>32.170824268125898</v>
      </c>
      <c r="AL3554">
        <v>78.9864113905561</v>
      </c>
      <c r="AM3554">
        <v>78.423640500824504</v>
      </c>
      <c r="AN3554">
        <v>1.0000000074503099</v>
      </c>
    </row>
    <row r="3555" spans="1:40" x14ac:dyDescent="0.3">
      <c r="A3555" t="str">
        <f>"20200111150428430"</f>
        <v>20200111150428430</v>
      </c>
      <c r="B3555" t="str">
        <f>"1578726268422005"</f>
        <v>1578726268422005</v>
      </c>
      <c r="C3555" t="s">
        <v>40</v>
      </c>
      <c r="D3555">
        <v>5.3428639999999996</v>
      </c>
      <c r="E3555">
        <v>0.66125119999999904</v>
      </c>
      <c r="F3555" t="s">
        <v>41</v>
      </c>
      <c r="G3555">
        <v>-147.45670000000001</v>
      </c>
      <c r="H3555" s="1">
        <v>-2.201868E-6</v>
      </c>
      <c r="I3555">
        <v>143.85749999999999</v>
      </c>
      <c r="J3555">
        <v>-178.50389999999999</v>
      </c>
      <c r="K3555">
        <v>1.086714</v>
      </c>
      <c r="L3555">
        <v>136.11529999999999</v>
      </c>
      <c r="M3555">
        <v>0.67125429999999997</v>
      </c>
      <c r="N3555">
        <v>0</v>
      </c>
      <c r="O3555">
        <v>0.74104329999999996</v>
      </c>
      <c r="P3555">
        <v>0.787138</v>
      </c>
      <c r="Q3555">
        <v>0.1822433</v>
      </c>
      <c r="R3555">
        <v>0.58923769999999998</v>
      </c>
      <c r="S3555">
        <v>3.2356410000000002</v>
      </c>
      <c r="T3555">
        <v>-0.1127021</v>
      </c>
      <c r="U3555">
        <v>0.82061770000000001</v>
      </c>
      <c r="V3555">
        <v>0.19594880000000001</v>
      </c>
      <c r="W3555">
        <v>0.19010050000000001</v>
      </c>
      <c r="X3555">
        <v>0.96201139999999996</v>
      </c>
      <c r="Y3555">
        <v>0.55273509999999904</v>
      </c>
      <c r="Z3555">
        <v>-3.1845539999999999E-2</v>
      </c>
      <c r="AA3555">
        <v>0.8327483</v>
      </c>
      <c r="AB3555">
        <v>43</v>
      </c>
      <c r="AC3555">
        <v>31.047199999999901</v>
      </c>
      <c r="AD3555">
        <v>-1.0867162018680001</v>
      </c>
      <c r="AE3555">
        <v>7.7421999999999898</v>
      </c>
      <c r="AF3555">
        <v>17.792239668716</v>
      </c>
      <c r="AG3555">
        <v>-1.0867162018680001</v>
      </c>
      <c r="AH3555">
        <v>26.550869518131101</v>
      </c>
      <c r="AI3555">
        <v>91.947375326106894</v>
      </c>
      <c r="AJ3555">
        <v>56.173212932507496</v>
      </c>
      <c r="AK3555">
        <v>31.9795781195008</v>
      </c>
      <c r="AL3555">
        <v>79.041351046096295</v>
      </c>
      <c r="AM3555">
        <v>78.487111530534406</v>
      </c>
      <c r="AN3555">
        <v>1.0000000330258201</v>
      </c>
    </row>
    <row r="3556" spans="1:40" x14ac:dyDescent="0.3">
      <c r="A3556" t="str">
        <f>"20200111150428442"</f>
        <v>20200111150428442</v>
      </c>
      <c r="B3556" t="str">
        <f>"1578726268432742"</f>
        <v>1578726268432742</v>
      </c>
      <c r="C3556" t="s">
        <v>40</v>
      </c>
      <c r="D3556">
        <v>5.34565</v>
      </c>
      <c r="E3556">
        <v>0.66043999999999903</v>
      </c>
      <c r="F3556" t="s">
        <v>41</v>
      </c>
      <c r="G3556">
        <v>-147.34139999999999</v>
      </c>
      <c r="H3556" s="1">
        <v>-2.2518460000000002E-6</v>
      </c>
      <c r="I3556">
        <v>143.85939999999999</v>
      </c>
      <c r="J3556">
        <v>-178.33969999999999</v>
      </c>
      <c r="K3556">
        <v>1.086654</v>
      </c>
      <c r="L3556">
        <v>136.29329999999999</v>
      </c>
      <c r="M3556">
        <v>0.67774919999999905</v>
      </c>
      <c r="N3556">
        <v>0</v>
      </c>
      <c r="O3556">
        <v>0.73510750000000002</v>
      </c>
      <c r="P3556">
        <v>0.79192580000000001</v>
      </c>
      <c r="Q3556">
        <v>0.1815486</v>
      </c>
      <c r="R3556">
        <v>0.58300390000000002</v>
      </c>
      <c r="S3556">
        <v>3.2354889999999998</v>
      </c>
      <c r="T3556">
        <v>-0.11282979999999999</v>
      </c>
      <c r="U3556">
        <v>0.80404659999999994</v>
      </c>
      <c r="V3556">
        <v>0.195191</v>
      </c>
      <c r="W3556">
        <v>0.1894286</v>
      </c>
      <c r="X3556">
        <v>0.96229790000000004</v>
      </c>
      <c r="Y3556">
        <v>0.54940349999999905</v>
      </c>
      <c r="Z3556">
        <v>-3.1737139999999997E-2</v>
      </c>
      <c r="AA3556">
        <v>0.83495419999999998</v>
      </c>
      <c r="AB3556">
        <v>43</v>
      </c>
      <c r="AC3556">
        <v>30.9983</v>
      </c>
      <c r="AD3556">
        <v>-1.0866562518459999</v>
      </c>
      <c r="AE3556">
        <v>7.5660999999999996</v>
      </c>
      <c r="AF3556">
        <v>17.641115572835801</v>
      </c>
      <c r="AG3556">
        <v>-1.0866562518459999</v>
      </c>
      <c r="AH3556">
        <v>26.543812310459501</v>
      </c>
      <c r="AI3556">
        <v>91.952747809731704</v>
      </c>
      <c r="AJ3556">
        <v>56.391841129630301</v>
      </c>
      <c r="AK3556">
        <v>31.8898691191533</v>
      </c>
      <c r="AL3556">
        <v>79.080559996251097</v>
      </c>
      <c r="AM3556">
        <v>78.533777894633502</v>
      </c>
      <c r="AN3556">
        <v>0.99999998466168405</v>
      </c>
    </row>
    <row r="3557" spans="1:40" x14ac:dyDescent="0.3">
      <c r="A3557" t="str">
        <f>"20200111150428455"</f>
        <v>20200111150428455</v>
      </c>
      <c r="B3557" t="str">
        <f>"1578726268452261"</f>
        <v>1578726268452261</v>
      </c>
      <c r="C3557" t="s">
        <v>40</v>
      </c>
      <c r="D3557">
        <v>5.3921239999999999</v>
      </c>
      <c r="E3557">
        <v>0.65904180000000001</v>
      </c>
      <c r="F3557" t="s">
        <v>41</v>
      </c>
      <c r="G3557">
        <v>-148.1157</v>
      </c>
      <c r="H3557" s="1">
        <v>-1.85164E-6</v>
      </c>
      <c r="I3557">
        <v>143.6037</v>
      </c>
      <c r="J3557">
        <v>-178.18389999999999</v>
      </c>
      <c r="K3557">
        <v>1.0865990000000001</v>
      </c>
      <c r="L3557">
        <v>136.4599</v>
      </c>
      <c r="M3557">
        <v>0.68383079999999996</v>
      </c>
      <c r="N3557">
        <v>0</v>
      </c>
      <c r="O3557">
        <v>0.72945329999999997</v>
      </c>
      <c r="P3557">
        <v>0.79647029999999996</v>
      </c>
      <c r="Q3557">
        <v>0.18125959999999999</v>
      </c>
      <c r="R3557">
        <v>0.57687089999999996</v>
      </c>
      <c r="S3557">
        <v>3.2382970000000002</v>
      </c>
      <c r="T3557">
        <v>-0.1164277</v>
      </c>
      <c r="U3557">
        <v>0.78326419999999997</v>
      </c>
      <c r="V3557">
        <v>0.194688</v>
      </c>
      <c r="W3557">
        <v>0.1891505</v>
      </c>
      <c r="X3557">
        <v>0.96245449999999999</v>
      </c>
      <c r="Y3557">
        <v>0.54765129999999995</v>
      </c>
      <c r="Z3557">
        <v>-3.2609150000000003E-2</v>
      </c>
      <c r="AA3557">
        <v>0.83607099999999901</v>
      </c>
      <c r="AB3557">
        <v>43</v>
      </c>
      <c r="AC3557">
        <v>30.068199999999901</v>
      </c>
      <c r="AD3557">
        <v>-1.0866008516400001</v>
      </c>
      <c r="AE3557">
        <v>7.1437999999999899</v>
      </c>
      <c r="AF3557">
        <v>17.029476244411999</v>
      </c>
      <c r="AG3557">
        <v>-1.0866008516400001</v>
      </c>
      <c r="AH3557">
        <v>25.7443282516378</v>
      </c>
      <c r="AI3557">
        <v>92.016130033375902</v>
      </c>
      <c r="AJ3557">
        <v>56.515978516362203</v>
      </c>
      <c r="AK3557">
        <v>30.886148994296001</v>
      </c>
      <c r="AL3557">
        <v>79.096787455342394</v>
      </c>
      <c r="AM3557">
        <v>78.564358170800205</v>
      </c>
      <c r="AN3557">
        <v>0.99999999678225004</v>
      </c>
    </row>
    <row r="3558" spans="1:40" x14ac:dyDescent="0.3">
      <c r="A3558" t="str">
        <f>"20200111150428467"</f>
        <v>20200111150428467</v>
      </c>
      <c r="B3558" t="str">
        <f>"1578726268462021"</f>
        <v>1578726268462021</v>
      </c>
      <c r="C3558" t="s">
        <v>40</v>
      </c>
      <c r="D3558">
        <v>5.1280099999999997</v>
      </c>
      <c r="E3558">
        <v>0.65904180000000001</v>
      </c>
      <c r="F3558" t="s">
        <v>41</v>
      </c>
      <c r="G3558">
        <v>-147.37639999999999</v>
      </c>
      <c r="H3558" s="1">
        <v>-2.2093600000000001E-6</v>
      </c>
      <c r="I3558">
        <v>143.75620000000001</v>
      </c>
      <c r="J3558">
        <v>-178.0077</v>
      </c>
      <c r="K3558">
        <v>1.0865400000000001</v>
      </c>
      <c r="L3558">
        <v>136.6456</v>
      </c>
      <c r="M3558">
        <v>0.69060840000000001</v>
      </c>
      <c r="N3558">
        <v>0</v>
      </c>
      <c r="O3558">
        <v>0.72303969999999995</v>
      </c>
      <c r="P3558">
        <v>0.80146700000000004</v>
      </c>
      <c r="Q3558">
        <v>0.18129990000000001</v>
      </c>
      <c r="R3558">
        <v>0.56989569999999901</v>
      </c>
      <c r="S3558">
        <v>3.2372890000000001</v>
      </c>
      <c r="T3558">
        <v>-0.11418159999999999</v>
      </c>
      <c r="U3558">
        <v>0.76670839999999996</v>
      </c>
      <c r="V3558">
        <v>0.19412660000000001</v>
      </c>
      <c r="W3558">
        <v>0.1892025</v>
      </c>
      <c r="X3558">
        <v>0.96255769999999996</v>
      </c>
      <c r="Y3558">
        <v>0.54385260000000002</v>
      </c>
      <c r="Z3558">
        <v>-3.1817829999999998E-2</v>
      </c>
      <c r="AA3558">
        <v>0.83857739999999903</v>
      </c>
      <c r="AB3558">
        <v>43</v>
      </c>
      <c r="AC3558">
        <v>30.6313</v>
      </c>
      <c r="AD3558">
        <v>-1.0865422093599999</v>
      </c>
      <c r="AE3558">
        <v>7.1105999999999998</v>
      </c>
      <c r="AF3558">
        <v>17.218807083299801</v>
      </c>
      <c r="AG3558">
        <v>-1.0865422093599999</v>
      </c>
      <c r="AH3558">
        <v>26.267716468659501</v>
      </c>
      <c r="AI3558">
        <v>91.981307484204706</v>
      </c>
      <c r="AJ3558">
        <v>56.754672042592802</v>
      </c>
      <c r="AK3558">
        <v>31.427071448394699</v>
      </c>
      <c r="AL3558">
        <v>79.093753591267301</v>
      </c>
      <c r="AM3558">
        <v>78.597659286997498</v>
      </c>
      <c r="AN3558">
        <v>1.0000000243315399</v>
      </c>
    </row>
    <row r="3559" spans="1:40" x14ac:dyDescent="0.3">
      <c r="A3559" t="str">
        <f>"20200111150428482"</f>
        <v>20200111150428482</v>
      </c>
      <c r="B3559" t="str">
        <f>"1578726268472757"</f>
        <v>1578726268472757</v>
      </c>
      <c r="C3559" t="s">
        <v>40</v>
      </c>
      <c r="D3559">
        <v>5.0561239999999996</v>
      </c>
      <c r="E3559">
        <v>0.6595683</v>
      </c>
      <c r="F3559" t="s">
        <v>41</v>
      </c>
      <c r="G3559">
        <v>-147.0461</v>
      </c>
      <c r="H3559" s="1">
        <v>-2.3340259999999999E-6</v>
      </c>
      <c r="I3559">
        <v>143.69210000000001</v>
      </c>
      <c r="J3559">
        <v>-177.81649999999999</v>
      </c>
      <c r="K3559">
        <v>1.086481</v>
      </c>
      <c r="L3559">
        <v>136.84209999999999</v>
      </c>
      <c r="M3559">
        <v>0.69781879999999996</v>
      </c>
      <c r="N3559">
        <v>0</v>
      </c>
      <c r="O3559">
        <v>0.71608309999999997</v>
      </c>
      <c r="P3559">
        <v>0.80684460000000002</v>
      </c>
      <c r="Q3559">
        <v>0.18159829999999999</v>
      </c>
      <c r="R3559">
        <v>0.56215999999999999</v>
      </c>
      <c r="S3559">
        <v>3.2439269999999998</v>
      </c>
      <c r="T3559">
        <v>-0.1138397</v>
      </c>
      <c r="U3559">
        <v>0.73828130000000003</v>
      </c>
      <c r="V3559">
        <v>0.19372819999999999</v>
      </c>
      <c r="W3559">
        <v>0.18950500000000001</v>
      </c>
      <c r="X3559">
        <v>0.9625785</v>
      </c>
      <c r="Y3559">
        <v>0.5428113</v>
      </c>
      <c r="Z3559">
        <v>-3.154125E-2</v>
      </c>
      <c r="AA3559">
        <v>0.83926219999999996</v>
      </c>
      <c r="AB3559">
        <v>43</v>
      </c>
      <c r="AC3559">
        <v>30.770399999999899</v>
      </c>
      <c r="AD3559">
        <v>-1.0864833340260001</v>
      </c>
      <c r="AE3559">
        <v>6.8500000000000201</v>
      </c>
      <c r="AF3559">
        <v>17.2359938861152</v>
      </c>
      <c r="AG3559">
        <v>-1.0864833340260001</v>
      </c>
      <c r="AH3559">
        <v>26.3496458968058</v>
      </c>
      <c r="AI3559">
        <v>91.976298828112903</v>
      </c>
      <c r="AJ3559">
        <v>56.810249425012401</v>
      </c>
      <c r="AK3559">
        <v>31.504980085128899</v>
      </c>
      <c r="AL3559">
        <v>79.076102732537294</v>
      </c>
      <c r="AM3559">
        <v>78.620688295089394</v>
      </c>
      <c r="AN3559">
        <v>1.0000000645812399</v>
      </c>
    </row>
    <row r="3560" spans="1:40" x14ac:dyDescent="0.3">
      <c r="A3560" t="str">
        <f>"20200111150428497"</f>
        <v>20200111150428497</v>
      </c>
      <c r="B3560" t="str">
        <f>"1578726268492277"</f>
        <v>1578726268492277</v>
      </c>
      <c r="C3560" t="s">
        <v>40</v>
      </c>
      <c r="D3560">
        <v>5.3075989999999997</v>
      </c>
      <c r="E3560">
        <v>0.69307200000000002</v>
      </c>
      <c r="F3560" t="s">
        <v>41</v>
      </c>
      <c r="G3560">
        <v>-143.15119999999999</v>
      </c>
      <c r="H3560" s="1">
        <v>-4.0417949999999996E-6</v>
      </c>
      <c r="I3560">
        <v>144.34119999999999</v>
      </c>
      <c r="J3560">
        <v>-177.62620000000001</v>
      </c>
      <c r="K3560">
        <v>1.0864259999999999</v>
      </c>
      <c r="L3560">
        <v>137.03440000000001</v>
      </c>
      <c r="M3560">
        <v>0.70487929999999999</v>
      </c>
      <c r="N3560">
        <v>0</v>
      </c>
      <c r="O3560">
        <v>0.70913389999999998</v>
      </c>
      <c r="P3560">
        <v>0.81225990000000003</v>
      </c>
      <c r="Q3560">
        <v>0.18154429999999999</v>
      </c>
      <c r="R3560">
        <v>0.5543245</v>
      </c>
      <c r="S3560">
        <v>3.2510829999999999</v>
      </c>
      <c r="T3560">
        <v>-0.10189570000000001</v>
      </c>
      <c r="U3560">
        <v>0.70330809999999999</v>
      </c>
      <c r="V3560">
        <v>0.1935356</v>
      </c>
      <c r="W3560">
        <v>0.18944639999999999</v>
      </c>
      <c r="X3560">
        <v>0.9626287</v>
      </c>
      <c r="Y3560">
        <v>0.54362659999999996</v>
      </c>
      <c r="Z3560">
        <v>-2.8101350000000001E-2</v>
      </c>
      <c r="AA3560">
        <v>0.83885659999999895</v>
      </c>
      <c r="AB3560">
        <v>43</v>
      </c>
      <c r="AC3560">
        <v>34.475000000000001</v>
      </c>
      <c r="AD3560">
        <v>-1.0864300417949999</v>
      </c>
      <c r="AE3560">
        <v>7.3067999999999804</v>
      </c>
      <c r="AF3560">
        <v>19.281300937121198</v>
      </c>
      <c r="AG3560">
        <v>-1.0864300417949999</v>
      </c>
      <c r="AH3560">
        <v>29.4582600653765</v>
      </c>
      <c r="AI3560">
        <v>91.767474847914897</v>
      </c>
      <c r="AJ3560">
        <v>56.794068681881498</v>
      </c>
      <c r="AK3560">
        <v>35.224110806987099</v>
      </c>
      <c r="AL3560">
        <v>79.079521388454594</v>
      </c>
      <c r="AM3560">
        <v>78.632284018062904</v>
      </c>
      <c r="AN3560">
        <v>0.99999999050200405</v>
      </c>
    </row>
    <row r="3561" spans="1:40" x14ac:dyDescent="0.3">
      <c r="A3561" t="str">
        <f>"20200111150428509"</f>
        <v>20200111150428509</v>
      </c>
      <c r="B3561" t="str">
        <f>"1578726268502038"</f>
        <v>1578726268502038</v>
      </c>
      <c r="C3561" t="s">
        <v>40</v>
      </c>
      <c r="D3561">
        <v>5.3582979999999996</v>
      </c>
      <c r="E3561">
        <v>0.69307200000000002</v>
      </c>
      <c r="F3561" t="s">
        <v>44</v>
      </c>
      <c r="G3561">
        <v>0</v>
      </c>
      <c r="H3561">
        <v>0</v>
      </c>
      <c r="I3561">
        <v>0</v>
      </c>
      <c r="J3561">
        <v>-177.4383</v>
      </c>
      <c r="K3561">
        <v>1.0863750000000001</v>
      </c>
      <c r="L3561">
        <v>137.22149999999999</v>
      </c>
      <c r="M3561">
        <v>0.71173850000000005</v>
      </c>
      <c r="N3561">
        <v>0</v>
      </c>
      <c r="O3561">
        <v>0.70224909999999996</v>
      </c>
      <c r="P3561">
        <v>0.81765259999999995</v>
      </c>
      <c r="Q3561">
        <v>0.1816017</v>
      </c>
      <c r="R3561">
        <v>0.54631960000000002</v>
      </c>
      <c r="S3561">
        <v>3.3449249999999999</v>
      </c>
      <c r="T3561">
        <v>0.29399439999999999</v>
      </c>
      <c r="U3561">
        <v>0.41432190000000002</v>
      </c>
      <c r="V3561">
        <v>0.19364870000000001</v>
      </c>
      <c r="W3561">
        <v>0.18948580000000001</v>
      </c>
      <c r="X3561">
        <v>0.96259819999999996</v>
      </c>
      <c r="Y3561">
        <v>0.60510050000000004</v>
      </c>
      <c r="Z3561">
        <v>8.2016690000000003E-2</v>
      </c>
      <c r="AA3561">
        <v>0.79191330000000004</v>
      </c>
      <c r="AB3561">
        <v>43</v>
      </c>
      <c r="AC3561">
        <v>3.3449249999999999</v>
      </c>
      <c r="AD3561">
        <v>0.29399439999999999</v>
      </c>
      <c r="AE3561">
        <v>0.41432190000000002</v>
      </c>
      <c r="AF3561">
        <v>2.0388513403767998</v>
      </c>
      <c r="AG3561">
        <v>0.29399439999999999</v>
      </c>
      <c r="AH3561">
        <v>2.6518594807716598</v>
      </c>
      <c r="AI3561">
        <v>84.9771961275368</v>
      </c>
      <c r="AJ3561">
        <v>52.4455352765399</v>
      </c>
      <c r="AK3561">
        <v>3.3579318339040398</v>
      </c>
      <c r="AL3561">
        <v>79.077222297604806</v>
      </c>
      <c r="AM3561">
        <v>78.625462971550405</v>
      </c>
      <c r="AN3561">
        <v>0.99999999102828496</v>
      </c>
    </row>
    <row r="3562" spans="1:40" x14ac:dyDescent="0.3">
      <c r="A3562" t="str">
        <f>"20200111150428521"</f>
        <v>20200111150428521</v>
      </c>
      <c r="B3562" t="str">
        <f>"1578726268512773"</f>
        <v>1578726268512773</v>
      </c>
      <c r="C3562" t="s">
        <v>40</v>
      </c>
      <c r="D3562">
        <v>5.3243859999999996</v>
      </c>
      <c r="E3562">
        <v>0.73795580000000005</v>
      </c>
      <c r="F3562" t="s">
        <v>44</v>
      </c>
      <c r="G3562">
        <v>0</v>
      </c>
      <c r="H3562">
        <v>0</v>
      </c>
      <c r="I3562">
        <v>0</v>
      </c>
      <c r="J3562">
        <v>-177.26740000000001</v>
      </c>
      <c r="K3562">
        <v>1.0863339999999999</v>
      </c>
      <c r="L3562">
        <v>137.38720000000001</v>
      </c>
      <c r="M3562">
        <v>0.7178544</v>
      </c>
      <c r="N3562">
        <v>0</v>
      </c>
      <c r="O3562">
        <v>0.69599599999999995</v>
      </c>
      <c r="P3562">
        <v>0.82251929999999995</v>
      </c>
      <c r="Q3562">
        <v>0.18174190000000001</v>
      </c>
      <c r="R3562">
        <v>0.53891739999999999</v>
      </c>
      <c r="S3562">
        <v>3.348846</v>
      </c>
      <c r="T3562">
        <v>0.29433700000000002</v>
      </c>
      <c r="U3562">
        <v>0.38139339999999999</v>
      </c>
      <c r="V3562">
        <v>0.19391829999999999</v>
      </c>
      <c r="W3562">
        <v>0.18960279999999999</v>
      </c>
      <c r="X3562">
        <v>0.96252090000000001</v>
      </c>
      <c r="Y3562">
        <v>0.60595129999999997</v>
      </c>
      <c r="Z3562">
        <v>8.1785629999999998E-2</v>
      </c>
      <c r="AA3562">
        <v>0.7912863</v>
      </c>
      <c r="AB3562">
        <v>42</v>
      </c>
      <c r="AC3562">
        <v>3.348846</v>
      </c>
      <c r="AD3562">
        <v>0.29433700000000002</v>
      </c>
      <c r="AE3562">
        <v>0.38139339999999999</v>
      </c>
      <c r="AF3562">
        <v>2.0417107106321999</v>
      </c>
      <c r="AG3562">
        <v>0.29433700000000002</v>
      </c>
      <c r="AH3562">
        <v>2.6495926807870598</v>
      </c>
      <c r="AI3562">
        <v>84.971294773071904</v>
      </c>
      <c r="AJ3562">
        <v>52.3830408816982</v>
      </c>
      <c r="AK3562">
        <v>3.3579098066445399</v>
      </c>
      <c r="AL3562">
        <v>79.070395090331303</v>
      </c>
      <c r="AM3562">
        <v>78.609150033845793</v>
      </c>
      <c r="AN3562">
        <v>1.00000000588977</v>
      </c>
    </row>
    <row r="3563" spans="1:40" x14ac:dyDescent="0.3">
      <c r="A3563" t="str">
        <f>"20200111150428534"</f>
        <v>20200111150428534</v>
      </c>
      <c r="B3563" t="str">
        <f>"1578726268522533"</f>
        <v>1578726268522533</v>
      </c>
      <c r="C3563" t="s">
        <v>40</v>
      </c>
      <c r="D3563">
        <v>5.3339169999999996</v>
      </c>
      <c r="E3563">
        <v>0.74010030000000004</v>
      </c>
      <c r="F3563" t="s">
        <v>44</v>
      </c>
      <c r="G3563">
        <v>0</v>
      </c>
      <c r="H3563">
        <v>0</v>
      </c>
      <c r="I3563">
        <v>0</v>
      </c>
      <c r="J3563">
        <v>-177.10730000000001</v>
      </c>
      <c r="K3563">
        <v>1.086298</v>
      </c>
      <c r="L3563">
        <v>137.54060000000001</v>
      </c>
      <c r="M3563">
        <v>0.7235028</v>
      </c>
      <c r="N3563">
        <v>0</v>
      </c>
      <c r="O3563">
        <v>0.69012229999999997</v>
      </c>
      <c r="P3563">
        <v>0.82711369999999895</v>
      </c>
      <c r="Q3563">
        <v>0.18135850000000001</v>
      </c>
      <c r="R3563">
        <v>0.53196999999999905</v>
      </c>
      <c r="S3563">
        <v>3.5908809999999902</v>
      </c>
      <c r="T3563">
        <v>3.155732E-2</v>
      </c>
      <c r="U3563">
        <v>7.5515750000000006E-2</v>
      </c>
      <c r="V3563">
        <v>0.19423889999999999</v>
      </c>
      <c r="W3563">
        <v>0.18919540000000001</v>
      </c>
      <c r="X3563">
        <v>0.96253639999999996</v>
      </c>
      <c r="Y3563">
        <v>0.67480249999999997</v>
      </c>
      <c r="Z3563">
        <v>8.5327530000000006E-3</v>
      </c>
      <c r="AA3563">
        <v>0.73794910000000002</v>
      </c>
      <c r="AB3563">
        <v>42</v>
      </c>
      <c r="AC3563">
        <v>3.5908809999999902</v>
      </c>
      <c r="AD3563">
        <v>3.155732E-2</v>
      </c>
      <c r="AE3563">
        <v>7.5515750000000006E-2</v>
      </c>
      <c r="AF3563">
        <v>2.4236572883743799</v>
      </c>
      <c r="AG3563">
        <v>3.155732E-2</v>
      </c>
      <c r="AH3563">
        <v>2.6502873117626602</v>
      </c>
      <c r="AI3563">
        <v>89.496559594846801</v>
      </c>
      <c r="AJ3563">
        <v>47.557442029156299</v>
      </c>
      <c r="AK3563">
        <v>3.5915363496456498</v>
      </c>
      <c r="AL3563">
        <v>79.094167444946606</v>
      </c>
      <c r="AM3563">
        <v>78.5909902479371</v>
      </c>
      <c r="AN3563">
        <v>0.99999998548966396</v>
      </c>
    </row>
    <row r="3564" spans="1:40" x14ac:dyDescent="0.3">
      <c r="A3564" t="str">
        <f>"20200111150428545"</f>
        <v>20200111150428545</v>
      </c>
      <c r="B3564" t="str">
        <f>"1578726268542054"</f>
        <v>1578726268542054</v>
      </c>
      <c r="C3564" t="s">
        <v>40</v>
      </c>
      <c r="D3564">
        <v>5.0079949999999904</v>
      </c>
      <c r="E3564">
        <v>0.68341580000000002</v>
      </c>
      <c r="F3564" t="s">
        <v>44</v>
      </c>
      <c r="G3564">
        <v>0</v>
      </c>
      <c r="H3564">
        <v>0</v>
      </c>
      <c r="I3564">
        <v>0</v>
      </c>
      <c r="J3564">
        <v>-176.93270000000001</v>
      </c>
      <c r="K3564">
        <v>1.0862590000000001</v>
      </c>
      <c r="L3564">
        <v>137.70529999999999</v>
      </c>
      <c r="M3564">
        <v>0.72957179999999999</v>
      </c>
      <c r="N3564">
        <v>0</v>
      </c>
      <c r="O3564">
        <v>0.68370310000000001</v>
      </c>
      <c r="P3564">
        <v>0.83188379999999995</v>
      </c>
      <c r="Q3564">
        <v>0.18134140000000001</v>
      </c>
      <c r="R3564">
        <v>0.52448509999999904</v>
      </c>
      <c r="S3564">
        <v>3.6024929999999999</v>
      </c>
      <c r="T3564">
        <v>2.0094750000000001E-2</v>
      </c>
      <c r="U3564">
        <v>3.1387329999999998E-2</v>
      </c>
      <c r="V3564">
        <v>0.19443779999999999</v>
      </c>
      <c r="W3564">
        <v>0.18915850000000001</v>
      </c>
      <c r="X3564">
        <v>0.96250360000000001</v>
      </c>
      <c r="Y3564">
        <v>0.67739459999999996</v>
      </c>
      <c r="Z3564">
        <v>5.4025139999999998E-3</v>
      </c>
      <c r="AA3564">
        <v>0.73560000000000003</v>
      </c>
      <c r="AB3564">
        <v>42</v>
      </c>
      <c r="AC3564">
        <v>3.6024929999999999</v>
      </c>
      <c r="AD3564">
        <v>2.0094750000000001E-2</v>
      </c>
      <c r="AE3564">
        <v>3.1387329999999998E-2</v>
      </c>
      <c r="AF3564">
        <v>2.4403960565487202</v>
      </c>
      <c r="AG3564">
        <v>2.0094750000000001E-2</v>
      </c>
      <c r="AH3564">
        <v>2.6500189634127298</v>
      </c>
      <c r="AI3564">
        <v>89.680408942711196</v>
      </c>
      <c r="AJ3564">
        <v>47.358103537802897</v>
      </c>
      <c r="AK3564">
        <v>3.6025736936589099</v>
      </c>
      <c r="AL3564">
        <v>79.096321670165395</v>
      </c>
      <c r="AM3564">
        <v>78.579235341134506</v>
      </c>
      <c r="AN3564">
        <v>1.0000000881020199</v>
      </c>
    </row>
    <row r="3565" spans="1:40" x14ac:dyDescent="0.3">
      <c r="A3565" t="str">
        <f>"20200111150428560"</f>
        <v>20200111150428560</v>
      </c>
      <c r="B3565" t="str">
        <f>"1578726268552789"</f>
        <v>1578726268552789</v>
      </c>
      <c r="C3565" t="s">
        <v>40</v>
      </c>
      <c r="D3565">
        <v>5.0746339999999996</v>
      </c>
      <c r="E3565">
        <v>0.67910409999999999</v>
      </c>
      <c r="F3565" t="s">
        <v>44</v>
      </c>
      <c r="G3565">
        <v>0</v>
      </c>
      <c r="H3565">
        <v>0</v>
      </c>
      <c r="I3565">
        <v>0</v>
      </c>
      <c r="J3565">
        <v>-176.73079999999999</v>
      </c>
      <c r="K3565">
        <v>1.086214</v>
      </c>
      <c r="L3565">
        <v>137.8913</v>
      </c>
      <c r="M3565">
        <v>0.73645249999999995</v>
      </c>
      <c r="N3565">
        <v>0</v>
      </c>
      <c r="O3565">
        <v>0.67628580000000005</v>
      </c>
      <c r="P3565">
        <v>0.83748509999999998</v>
      </c>
      <c r="Q3565">
        <v>0.18076159999999999</v>
      </c>
      <c r="R3565">
        <v>0.51569770000000004</v>
      </c>
      <c r="S3565">
        <v>3.3444060000000002</v>
      </c>
      <c r="T3565">
        <v>0.1241601</v>
      </c>
      <c r="U3565">
        <v>0.37239070000000002</v>
      </c>
      <c r="V3565">
        <v>0.19490879999999999</v>
      </c>
      <c r="W3565">
        <v>0.18854779999999999</v>
      </c>
      <c r="X3565">
        <v>0.96252800000000005</v>
      </c>
      <c r="Y3565">
        <v>0.58993830000000003</v>
      </c>
      <c r="Z3565">
        <v>3.3814429999999999E-2</v>
      </c>
      <c r="AA3565">
        <v>0.80673989999999995</v>
      </c>
      <c r="AB3565">
        <v>42</v>
      </c>
      <c r="AC3565">
        <v>3.3444060000000002</v>
      </c>
      <c r="AD3565">
        <v>0.1241601</v>
      </c>
      <c r="AE3565">
        <v>0.37239070000000002</v>
      </c>
      <c r="AF3565">
        <v>1.98509735402156</v>
      </c>
      <c r="AG3565">
        <v>0.1241601</v>
      </c>
      <c r="AH3565">
        <v>2.7115210133279999</v>
      </c>
      <c r="AI3565">
        <v>87.884060055541497</v>
      </c>
      <c r="AJ3565">
        <v>53.7922406093425</v>
      </c>
      <c r="AK3565">
        <v>3.3627925063992201</v>
      </c>
      <c r="AL3565">
        <v>79.131951663416601</v>
      </c>
      <c r="AM3565">
        <v>78.552582142862803</v>
      </c>
      <c r="AN3565">
        <v>0.99999993199313697</v>
      </c>
    </row>
    <row r="3566" spans="1:40" x14ac:dyDescent="0.3">
      <c r="A3566" t="str">
        <f>"20200111150428577"</f>
        <v>20200111150428577</v>
      </c>
      <c r="B3566" t="str">
        <f>"1578726268572310"</f>
        <v>1578726268572310</v>
      </c>
      <c r="C3566" t="s">
        <v>40</v>
      </c>
      <c r="D3566">
        <v>5.0746890000000002</v>
      </c>
      <c r="E3566">
        <v>0.67825259999999998</v>
      </c>
      <c r="F3566" t="s">
        <v>44</v>
      </c>
      <c r="G3566">
        <v>0</v>
      </c>
      <c r="H3566">
        <v>0</v>
      </c>
      <c r="I3566">
        <v>0</v>
      </c>
      <c r="J3566">
        <v>-176.5035</v>
      </c>
      <c r="K3566">
        <v>1.0861719999999999</v>
      </c>
      <c r="L3566">
        <v>138.09690000000001</v>
      </c>
      <c r="M3566">
        <v>0.74405339999999998</v>
      </c>
      <c r="N3566">
        <v>0</v>
      </c>
      <c r="O3566">
        <v>0.66791420000000001</v>
      </c>
      <c r="P3566">
        <v>0.84344010000000003</v>
      </c>
      <c r="Q3566">
        <v>0.1804646</v>
      </c>
      <c r="R3566">
        <v>0.5060055</v>
      </c>
      <c r="S3566">
        <v>3.3311609999999998</v>
      </c>
      <c r="T3566">
        <v>0.11811770000000001</v>
      </c>
      <c r="U3566">
        <v>0.36618040000000002</v>
      </c>
      <c r="V3566">
        <v>0.19517029999999999</v>
      </c>
      <c r="W3566">
        <v>0.18822749999999999</v>
      </c>
      <c r="X3566">
        <v>0.9625378</v>
      </c>
      <c r="Y3566">
        <v>0.58199230000000002</v>
      </c>
      <c r="Z3566">
        <v>3.1953130000000003E-2</v>
      </c>
      <c r="AA3566">
        <v>0.81256629999999996</v>
      </c>
      <c r="AB3566">
        <v>42</v>
      </c>
      <c r="AC3566">
        <v>3.3311609999999998</v>
      </c>
      <c r="AD3566">
        <v>0.11811770000000001</v>
      </c>
      <c r="AE3566">
        <v>0.36618040000000002</v>
      </c>
      <c r="AF3566">
        <v>1.9503177822719699</v>
      </c>
      <c r="AG3566">
        <v>0.11811770000000001</v>
      </c>
      <c r="AH3566">
        <v>2.7201342925945</v>
      </c>
      <c r="AI3566">
        <v>87.978876852159303</v>
      </c>
      <c r="AJ3566">
        <v>54.359734244675003</v>
      </c>
      <c r="AK3566">
        <v>3.3491524021232801</v>
      </c>
      <c r="AL3566">
        <v>79.150639132419798</v>
      </c>
      <c r="AM3566">
        <v>78.537743553434595</v>
      </c>
      <c r="AN3566">
        <v>1.00000002709358</v>
      </c>
    </row>
    <row r="3567" spans="1:40" x14ac:dyDescent="0.3">
      <c r="A3567" t="str">
        <f>"20200111150428593"</f>
        <v>20200111150428593</v>
      </c>
      <c r="B3567" t="str">
        <f>"1578726268582069"</f>
        <v>1578726268582069</v>
      </c>
      <c r="C3567" t="s">
        <v>40</v>
      </c>
      <c r="D3567">
        <v>5.1650539999999996</v>
      </c>
      <c r="E3567">
        <v>0.67717150000000004</v>
      </c>
      <c r="F3567" t="s">
        <v>44</v>
      </c>
      <c r="G3567">
        <v>0</v>
      </c>
      <c r="H3567">
        <v>0</v>
      </c>
      <c r="I3567">
        <v>0</v>
      </c>
      <c r="J3567">
        <v>-176.2629</v>
      </c>
      <c r="K3567">
        <v>1.0861289999999999</v>
      </c>
      <c r="L3567">
        <v>138.30959999999999</v>
      </c>
      <c r="M3567">
        <v>0.75192389999999998</v>
      </c>
      <c r="N3567">
        <v>0</v>
      </c>
      <c r="O3567">
        <v>0.65904099999999999</v>
      </c>
      <c r="P3567">
        <v>0.84965429999999997</v>
      </c>
      <c r="Q3567">
        <v>0.1797445</v>
      </c>
      <c r="R3567">
        <v>0.49576170000000003</v>
      </c>
      <c r="S3567">
        <v>3.3347020000000001</v>
      </c>
      <c r="T3567">
        <v>9.8956349999999998E-2</v>
      </c>
      <c r="U3567">
        <v>0.33500669999999999</v>
      </c>
      <c r="V3567">
        <v>0.1954863</v>
      </c>
      <c r="W3567">
        <v>0.18748329999999999</v>
      </c>
      <c r="X3567">
        <v>0.96261890000000006</v>
      </c>
      <c r="Y3567">
        <v>0.58016869999999998</v>
      </c>
      <c r="Z3567">
        <v>2.655536E-2</v>
      </c>
      <c r="AA3567">
        <v>0.81406330000000005</v>
      </c>
      <c r="AB3567">
        <v>42</v>
      </c>
      <c r="AC3567">
        <v>3.3347020000000001</v>
      </c>
      <c r="AD3567">
        <v>9.8956349999999998E-2</v>
      </c>
      <c r="AE3567">
        <v>0.33500669999999999</v>
      </c>
      <c r="AF3567">
        <v>1.94437870679249</v>
      </c>
      <c r="AG3567">
        <v>9.8956349999999998E-2</v>
      </c>
      <c r="AH3567">
        <v>2.7262243533747399</v>
      </c>
      <c r="AI3567">
        <v>88.307296866052297</v>
      </c>
      <c r="AJ3567">
        <v>54.503039877173798</v>
      </c>
      <c r="AK3567">
        <v>3.35002987144397</v>
      </c>
      <c r="AL3567">
        <v>79.194051391985099</v>
      </c>
      <c r="AM3567">
        <v>78.520618929033603</v>
      </c>
      <c r="AN3567">
        <v>1.0000000139518901</v>
      </c>
    </row>
    <row r="3568" spans="1:40" x14ac:dyDescent="0.3">
      <c r="A3568" t="str">
        <f>"20200111150428616"</f>
        <v>20200111150428616</v>
      </c>
      <c r="B3568" t="str">
        <f>"1578726268612326"</f>
        <v>1578726268612326</v>
      </c>
      <c r="C3568" t="s">
        <v>40</v>
      </c>
      <c r="D3568">
        <v>5.2904609999999996</v>
      </c>
      <c r="E3568">
        <v>0.67666519999999997</v>
      </c>
      <c r="F3568" t="s">
        <v>44</v>
      </c>
      <c r="G3568">
        <v>0</v>
      </c>
      <c r="H3568">
        <v>0</v>
      </c>
      <c r="I3568">
        <v>0</v>
      </c>
      <c r="J3568">
        <v>-175.93049999999999</v>
      </c>
      <c r="K3568">
        <v>1.086087</v>
      </c>
      <c r="L3568">
        <v>138.5949</v>
      </c>
      <c r="M3568">
        <v>0.76250340000000005</v>
      </c>
      <c r="N3568">
        <v>0</v>
      </c>
      <c r="O3568">
        <v>0.64677109999999904</v>
      </c>
      <c r="P3568">
        <v>0.85768739999999999</v>
      </c>
      <c r="Q3568">
        <v>0.17858829999999901</v>
      </c>
      <c r="R3568">
        <v>0.48216029999999999</v>
      </c>
      <c r="S3568">
        <v>3.333771</v>
      </c>
      <c r="T3568">
        <v>9.8941210000000002E-2</v>
      </c>
      <c r="U3568">
        <v>0.30187989999999998</v>
      </c>
      <c r="V3568">
        <v>0.19535179999999999</v>
      </c>
      <c r="W3568">
        <v>0.18632209999999999</v>
      </c>
      <c r="X3568">
        <v>0.96287160000000005</v>
      </c>
      <c r="Y3568">
        <v>0.57496190000000003</v>
      </c>
      <c r="Z3568">
        <v>2.624189E-2</v>
      </c>
      <c r="AA3568">
        <v>0.81775920000000002</v>
      </c>
      <c r="AB3568">
        <v>42</v>
      </c>
      <c r="AC3568">
        <v>3.333771</v>
      </c>
      <c r="AD3568">
        <v>9.8941210000000002E-2</v>
      </c>
      <c r="AE3568">
        <v>0.30187989999999998</v>
      </c>
      <c r="AF3568">
        <v>1.9245864392937599</v>
      </c>
      <c r="AG3568">
        <v>9.8941210000000002E-2</v>
      </c>
      <c r="AH3568">
        <v>2.7352466970254299</v>
      </c>
      <c r="AI3568">
        <v>88.305492809733707</v>
      </c>
      <c r="AJ3568">
        <v>54.868844234796903</v>
      </c>
      <c r="AK3568">
        <v>3.3459523037452699</v>
      </c>
      <c r="AL3568">
        <v>79.261776359250007</v>
      </c>
      <c r="AM3568">
        <v>78.531238491560302</v>
      </c>
      <c r="AN3568">
        <v>0.99999998439910398</v>
      </c>
    </row>
    <row r="3569" spans="1:40" x14ac:dyDescent="0.3">
      <c r="A3569" t="str">
        <f>"20200111150428631"</f>
        <v>20200111150428631</v>
      </c>
      <c r="B3569" t="str">
        <f>"1578726268622085"</f>
        <v>1578726268622085</v>
      </c>
      <c r="C3569" t="s">
        <v>40</v>
      </c>
      <c r="D3569">
        <v>5.1842090000000001</v>
      </c>
      <c r="E3569">
        <v>0.6761914</v>
      </c>
      <c r="F3569" t="s">
        <v>44</v>
      </c>
      <c r="G3569">
        <v>0</v>
      </c>
      <c r="H3569">
        <v>0</v>
      </c>
      <c r="I3569">
        <v>0</v>
      </c>
      <c r="J3569">
        <v>-175.6961</v>
      </c>
      <c r="K3569">
        <v>1.086058</v>
      </c>
      <c r="L3569">
        <v>138.791</v>
      </c>
      <c r="M3569">
        <v>0.76977739999999995</v>
      </c>
      <c r="N3569">
        <v>0</v>
      </c>
      <c r="O3569">
        <v>0.63809649999999996</v>
      </c>
      <c r="P3569">
        <v>0.86292979999999997</v>
      </c>
      <c r="Q3569">
        <v>0.17827370000000001</v>
      </c>
      <c r="R3569">
        <v>0.4728329</v>
      </c>
      <c r="S3569">
        <v>3.3392789999999999</v>
      </c>
      <c r="T3569">
        <v>7.8051209999999996E-2</v>
      </c>
      <c r="U3569">
        <v>0.25300600000000001</v>
      </c>
      <c r="V3569">
        <v>0.19492770000000001</v>
      </c>
      <c r="W3569">
        <v>0.1860194</v>
      </c>
      <c r="X3569">
        <v>0.96301610000000004</v>
      </c>
      <c r="Y3569">
        <v>0.57789190000000001</v>
      </c>
      <c r="Z3569">
        <v>2.058101E-2</v>
      </c>
      <c r="AA3569">
        <v>0.81585379999999996</v>
      </c>
      <c r="AB3569">
        <v>42</v>
      </c>
      <c r="AC3569">
        <v>3.3392789999999999</v>
      </c>
      <c r="AD3569">
        <v>7.8051209999999996E-2</v>
      </c>
      <c r="AE3569">
        <v>0.25300600000000001</v>
      </c>
      <c r="AF3569">
        <v>1.93523954979711</v>
      </c>
      <c r="AG3569">
        <v>7.8051209999999996E-2</v>
      </c>
      <c r="AH3569">
        <v>2.7308368861069998</v>
      </c>
      <c r="AI3569">
        <v>88.664131458625405</v>
      </c>
      <c r="AJ3569">
        <v>54.676259764114697</v>
      </c>
      <c r="AK3569">
        <v>3.3479417863821901</v>
      </c>
      <c r="AL3569">
        <v>79.279428750520907</v>
      </c>
      <c r="AM3569">
        <v>78.557150922520705</v>
      </c>
      <c r="AN3569">
        <v>1.0000000171314201</v>
      </c>
    </row>
    <row r="3570" spans="1:40" x14ac:dyDescent="0.3">
      <c r="A3570" t="str">
        <f>"20200111150428643"</f>
        <v>20200111150428643</v>
      </c>
      <c r="B3570" t="str">
        <f>"1578726268632822"</f>
        <v>1578726268632822</v>
      </c>
      <c r="C3570" t="s">
        <v>40</v>
      </c>
      <c r="D3570">
        <v>5.1901199999999896</v>
      </c>
      <c r="E3570">
        <v>0.67591939999999995</v>
      </c>
      <c r="F3570" t="s">
        <v>44</v>
      </c>
      <c r="G3570">
        <v>0</v>
      </c>
      <c r="H3570">
        <v>0</v>
      </c>
      <c r="I3570">
        <v>0</v>
      </c>
      <c r="J3570">
        <v>-175.51689999999999</v>
      </c>
      <c r="K3570">
        <v>1.0860350000000001</v>
      </c>
      <c r="L3570">
        <v>138.9375</v>
      </c>
      <c r="M3570">
        <v>0.77522259999999998</v>
      </c>
      <c r="N3570">
        <v>0</v>
      </c>
      <c r="O3570">
        <v>0.63146969999999902</v>
      </c>
      <c r="P3570">
        <v>0.86675769999999996</v>
      </c>
      <c r="Q3570">
        <v>0.1780641</v>
      </c>
      <c r="R3570">
        <v>0.46585870000000001</v>
      </c>
      <c r="S3570">
        <v>3.3406370000000001</v>
      </c>
      <c r="T3570">
        <v>7.3731539999999998E-2</v>
      </c>
      <c r="U3570">
        <v>0.2201843</v>
      </c>
      <c r="V3570">
        <v>0.1944574</v>
      </c>
      <c r="W3570">
        <v>0.18582689999999999</v>
      </c>
      <c r="X3570">
        <v>0.96314829999999996</v>
      </c>
      <c r="Y3570">
        <v>0.57892639999999995</v>
      </c>
      <c r="Z3570">
        <v>1.9352029999999999E-2</v>
      </c>
      <c r="AA3570">
        <v>0.81515019999999905</v>
      </c>
      <c r="AB3570">
        <v>42</v>
      </c>
      <c r="AC3570">
        <v>3.3406370000000001</v>
      </c>
      <c r="AD3570">
        <v>7.3731539999999998E-2</v>
      </c>
      <c r="AE3570">
        <v>0.2201843</v>
      </c>
      <c r="AF3570">
        <v>1.93814669895646</v>
      </c>
      <c r="AG3570">
        <v>7.3731539999999998E-2</v>
      </c>
      <c r="AH3570">
        <v>2.7278305098139701</v>
      </c>
      <c r="AI3570">
        <v>88.737749131294905</v>
      </c>
      <c r="AJ3570">
        <v>54.6058833864071</v>
      </c>
      <c r="AK3570">
        <v>3.3470745819205399</v>
      </c>
      <c r="AL3570">
        <v>79.290653531058595</v>
      </c>
      <c r="AM3570">
        <v>78.585559028413499</v>
      </c>
      <c r="AN3570">
        <v>0.99999998248562905</v>
      </c>
    </row>
    <row r="3571" spans="1:40" x14ac:dyDescent="0.3">
      <c r="A3571" t="str">
        <f>"20200111150428657"</f>
        <v>20200111150428657</v>
      </c>
      <c r="B3571" t="str">
        <f>"1578726268652341"</f>
        <v>1578726268652341</v>
      </c>
      <c r="C3571" t="s">
        <v>40</v>
      </c>
      <c r="D3571">
        <v>5.1852559999999999</v>
      </c>
      <c r="E3571">
        <v>0.67665659999999905</v>
      </c>
      <c r="F3571" t="s">
        <v>44</v>
      </c>
      <c r="G3571">
        <v>0</v>
      </c>
      <c r="H3571">
        <v>0</v>
      </c>
      <c r="I3571">
        <v>0</v>
      </c>
      <c r="J3571">
        <v>-175.32409999999999</v>
      </c>
      <c r="K3571">
        <v>1.086012</v>
      </c>
      <c r="L3571">
        <v>139.09219999999999</v>
      </c>
      <c r="M3571">
        <v>0.78098400000000001</v>
      </c>
      <c r="N3571">
        <v>0</v>
      </c>
      <c r="O3571">
        <v>0.62433000000000005</v>
      </c>
      <c r="P3571">
        <v>0.87086919999999901</v>
      </c>
      <c r="Q3571">
        <v>0.17812629999999999</v>
      </c>
      <c r="R3571">
        <v>0.45810260000000003</v>
      </c>
      <c r="S3571">
        <v>3.3420719999999999</v>
      </c>
      <c r="T3571">
        <v>6.8895100000000001E-2</v>
      </c>
      <c r="U3571">
        <v>0.1952209</v>
      </c>
      <c r="V3571">
        <v>0.19421949999999999</v>
      </c>
      <c r="W3571">
        <v>0.18589439999999999</v>
      </c>
      <c r="X3571">
        <v>0.96318329999999996</v>
      </c>
      <c r="Y3571">
        <v>0.57756940000000001</v>
      </c>
      <c r="Z3571">
        <v>1.7959699999999999E-2</v>
      </c>
      <c r="AA3571">
        <v>0.81614399999999998</v>
      </c>
      <c r="AB3571">
        <v>42</v>
      </c>
      <c r="AC3571">
        <v>3.3420719999999999</v>
      </c>
      <c r="AD3571">
        <v>6.8895100000000001E-2</v>
      </c>
      <c r="AE3571">
        <v>0.1952209</v>
      </c>
      <c r="AF3571">
        <v>1.9335395364975301</v>
      </c>
      <c r="AG3571">
        <v>6.8895100000000001E-2</v>
      </c>
      <c r="AH3571">
        <v>2.7312074749849402</v>
      </c>
      <c r="AI3571">
        <v>88.820554061025206</v>
      </c>
      <c r="AJ3571">
        <v>54.703677186665999</v>
      </c>
      <c r="AK3571">
        <v>3.3470607920109101</v>
      </c>
      <c r="AL3571">
        <v>79.286717736993296</v>
      </c>
      <c r="AM3571">
        <v>78.599561024546503</v>
      </c>
      <c r="AN3571">
        <v>1.0000000057652401</v>
      </c>
    </row>
    <row r="3572" spans="1:40" x14ac:dyDescent="0.3">
      <c r="A3572" t="str">
        <f>"20200111150428670"</f>
        <v>20200111150428670</v>
      </c>
      <c r="B3572" t="str">
        <f>"1578726268662101"</f>
        <v>1578726268662101</v>
      </c>
      <c r="C3572" t="s">
        <v>40</v>
      </c>
      <c r="D3572">
        <v>5.2217909999999996</v>
      </c>
      <c r="E3572">
        <v>0.67710349999999997</v>
      </c>
      <c r="F3572" t="s">
        <v>44</v>
      </c>
      <c r="G3572">
        <v>0</v>
      </c>
      <c r="H3572">
        <v>0</v>
      </c>
      <c r="I3572">
        <v>0</v>
      </c>
      <c r="J3572">
        <v>-175.1139</v>
      </c>
      <c r="K3572">
        <v>1.085998</v>
      </c>
      <c r="L3572">
        <v>139.25829999999999</v>
      </c>
      <c r="M3572">
        <v>0.7871534</v>
      </c>
      <c r="N3572">
        <v>0</v>
      </c>
      <c r="O3572">
        <v>0.61653349999999996</v>
      </c>
      <c r="P3572">
        <v>0.87481019999999898</v>
      </c>
      <c r="Q3572">
        <v>0.1787098</v>
      </c>
      <c r="R3572">
        <v>0.45029999999999998</v>
      </c>
      <c r="S3572">
        <v>3.3481749999999999</v>
      </c>
      <c r="T3572">
        <v>5.8940770000000003E-2</v>
      </c>
      <c r="U3572">
        <v>0.16082759999999999</v>
      </c>
      <c r="V3572">
        <v>0.1932084</v>
      </c>
      <c r="W3572">
        <v>0.18651880000000001</v>
      </c>
      <c r="X3572">
        <v>0.96326599999999996</v>
      </c>
      <c r="Y3572">
        <v>0.57796440000000004</v>
      </c>
      <c r="Z3572">
        <v>1.524675E-2</v>
      </c>
      <c r="AA3572">
        <v>0.81591959999999997</v>
      </c>
      <c r="AB3572">
        <v>42</v>
      </c>
      <c r="AC3572">
        <v>3.3481749999999999</v>
      </c>
      <c r="AD3572">
        <v>5.8940770000000003E-2</v>
      </c>
      <c r="AE3572">
        <v>0.16082759999999999</v>
      </c>
      <c r="AF3572">
        <v>1.9373344924634599</v>
      </c>
      <c r="AG3572">
        <v>5.8940770000000003E-2</v>
      </c>
      <c r="AH3572">
        <v>2.7342149886399798</v>
      </c>
      <c r="AI3572">
        <v>88.992327711045306</v>
      </c>
      <c r="AJ3572">
        <v>54.680430760409799</v>
      </c>
      <c r="AK3572">
        <v>3.3515176493881702</v>
      </c>
      <c r="AL3572">
        <v>79.250306096085595</v>
      </c>
      <c r="AM3572">
        <v>78.658317481375207</v>
      </c>
      <c r="AN3572">
        <v>1.0000000676699901</v>
      </c>
    </row>
    <row r="3573" spans="1:40" x14ac:dyDescent="0.3">
      <c r="A3573" t="str">
        <f>"20200111150428694"</f>
        <v>20200111150428694</v>
      </c>
      <c r="B3573" t="str">
        <f>"1578726268682597"</f>
        <v>1578726268682597</v>
      </c>
      <c r="C3573" t="s">
        <v>40</v>
      </c>
      <c r="D3573">
        <v>5.4267149999999997</v>
      </c>
      <c r="E3573">
        <v>0.67666269999999995</v>
      </c>
      <c r="F3573" t="s">
        <v>44</v>
      </c>
      <c r="G3573">
        <v>0</v>
      </c>
      <c r="H3573">
        <v>0</v>
      </c>
      <c r="I3573">
        <v>0</v>
      </c>
      <c r="J3573">
        <v>-174.77330000000001</v>
      </c>
      <c r="K3573">
        <v>1.085977</v>
      </c>
      <c r="L3573">
        <v>139.51920000000001</v>
      </c>
      <c r="M3573">
        <v>0.79688619999999899</v>
      </c>
      <c r="N3573">
        <v>0</v>
      </c>
      <c r="O3573">
        <v>0.60390100000000002</v>
      </c>
      <c r="P3573">
        <v>0.88140149999999995</v>
      </c>
      <c r="Q3573">
        <v>0.17939840000000001</v>
      </c>
      <c r="R3573">
        <v>0.43697580000000003</v>
      </c>
      <c r="S3573">
        <v>3.3518370000000002</v>
      </c>
      <c r="T3573">
        <v>5.5839060000000003E-2</v>
      </c>
      <c r="U3573">
        <v>0.1283569</v>
      </c>
      <c r="V3573">
        <v>0.19241269999999999</v>
      </c>
      <c r="W3573">
        <v>0.18723600000000001</v>
      </c>
      <c r="X3573">
        <v>0.96328599999999998</v>
      </c>
      <c r="Y3573">
        <v>0.57289109999999999</v>
      </c>
      <c r="Z3573">
        <v>1.423079E-2</v>
      </c>
      <c r="AA3573">
        <v>0.81950800000000001</v>
      </c>
      <c r="AB3573">
        <v>42</v>
      </c>
      <c r="AC3573">
        <v>3.3518370000000002</v>
      </c>
      <c r="AD3573">
        <v>5.5839060000000003E-2</v>
      </c>
      <c r="AE3573">
        <v>0.1283569</v>
      </c>
      <c r="AF3573">
        <v>1.9216245894631301</v>
      </c>
      <c r="AG3573">
        <v>5.5839060000000003E-2</v>
      </c>
      <c r="AH3573">
        <v>2.7481652598659299</v>
      </c>
      <c r="AI3573">
        <v>89.046018757252099</v>
      </c>
      <c r="AJ3573">
        <v>55.037249752034803</v>
      </c>
      <c r="AK3573">
        <v>3.35382935746365</v>
      </c>
      <c r="AL3573">
        <v>79.208475296920398</v>
      </c>
      <c r="AM3573">
        <v>78.704051612376404</v>
      </c>
      <c r="AN3573">
        <v>0.99999994230664302</v>
      </c>
    </row>
    <row r="3574" spans="1:40" x14ac:dyDescent="0.3">
      <c r="A3574" t="str">
        <f>"20200111150428716"</f>
        <v>20200111150428716</v>
      </c>
      <c r="B3574" t="str">
        <f>"1578726268711877"</f>
        <v>1578726268711877</v>
      </c>
      <c r="C3574" t="s">
        <v>40</v>
      </c>
      <c r="D3574">
        <v>5.4264060000000001</v>
      </c>
      <c r="E3574">
        <v>0.67501089999999997</v>
      </c>
      <c r="F3574" t="s">
        <v>44</v>
      </c>
      <c r="G3574">
        <v>0</v>
      </c>
      <c r="H3574">
        <v>0</v>
      </c>
      <c r="I3574">
        <v>0</v>
      </c>
      <c r="J3574">
        <v>-174.43</v>
      </c>
      <c r="K3574">
        <v>1.085968</v>
      </c>
      <c r="L3574">
        <v>139.77369999999999</v>
      </c>
      <c r="M3574">
        <v>0.80639320000000003</v>
      </c>
      <c r="N3574">
        <v>0</v>
      </c>
      <c r="O3574">
        <v>0.59114630000000001</v>
      </c>
      <c r="P3574">
        <v>0.88770559999999998</v>
      </c>
      <c r="Q3574">
        <v>0.17981059999999999</v>
      </c>
      <c r="R3574">
        <v>0.423848</v>
      </c>
      <c r="S3574">
        <v>3.353958</v>
      </c>
      <c r="T3574">
        <v>4.5676950000000001E-2</v>
      </c>
      <c r="U3574">
        <v>8.1527710000000003E-2</v>
      </c>
      <c r="V3574">
        <v>0.1913552</v>
      </c>
      <c r="W3574">
        <v>0.18769169999999999</v>
      </c>
      <c r="X3574">
        <v>0.96340800000000004</v>
      </c>
      <c r="Y3574">
        <v>0.57135329999999995</v>
      </c>
      <c r="Z3574">
        <v>1.14947E-2</v>
      </c>
      <c r="AA3574">
        <v>0.82062380000000001</v>
      </c>
      <c r="AB3574">
        <v>42</v>
      </c>
      <c r="AC3574">
        <v>3.353958</v>
      </c>
      <c r="AD3574">
        <v>4.5676950000000001E-2</v>
      </c>
      <c r="AE3574">
        <v>8.1527710000000003E-2</v>
      </c>
      <c r="AF3574">
        <v>1.9168458078967401</v>
      </c>
      <c r="AG3574">
        <v>4.5676950000000001E-2</v>
      </c>
      <c r="AH3574">
        <v>2.7526735321164701</v>
      </c>
      <c r="AI3574">
        <v>89.219833148955104</v>
      </c>
      <c r="AJ3574">
        <v>55.148273352776698</v>
      </c>
      <c r="AK3574">
        <v>3.3546379550448102</v>
      </c>
      <c r="AL3574">
        <v>79.181894788148995</v>
      </c>
      <c r="AM3574">
        <v>78.765937215264003</v>
      </c>
      <c r="AN3574">
        <v>0.99999998063996398</v>
      </c>
    </row>
    <row r="3575" spans="1:40" x14ac:dyDescent="0.3">
      <c r="A3575" t="str">
        <f>"20200111150428730"</f>
        <v>20200111150428730</v>
      </c>
      <c r="B3575" t="str">
        <f>"1578726268722613"</f>
        <v>1578726268722613</v>
      </c>
      <c r="C3575" t="s">
        <v>40</v>
      </c>
      <c r="D3575">
        <v>5.4909860000000004</v>
      </c>
      <c r="E3575">
        <v>0.6740467</v>
      </c>
      <c r="F3575" t="s">
        <v>44</v>
      </c>
      <c r="G3575">
        <v>0</v>
      </c>
      <c r="H3575">
        <v>0</v>
      </c>
      <c r="I3575">
        <v>0</v>
      </c>
      <c r="J3575">
        <v>-174.21369999999999</v>
      </c>
      <c r="K3575">
        <v>1.08596</v>
      </c>
      <c r="L3575">
        <v>139.93039999999999</v>
      </c>
      <c r="M3575">
        <v>0.81223540000000005</v>
      </c>
      <c r="N3575">
        <v>0</v>
      </c>
      <c r="O3575">
        <v>0.58309299999999997</v>
      </c>
      <c r="P3575">
        <v>0.89164659999999996</v>
      </c>
      <c r="Q3575">
        <v>0.17975969999999999</v>
      </c>
      <c r="R3575">
        <v>0.41551519999999997</v>
      </c>
      <c r="S3575">
        <v>3.3505099999999999</v>
      </c>
      <c r="T3575">
        <v>3.9766549999999998E-2</v>
      </c>
      <c r="U3575">
        <v>4.3869020000000002E-2</v>
      </c>
      <c r="V3575">
        <v>0.1907981</v>
      </c>
      <c r="W3575">
        <v>0.18766459999999999</v>
      </c>
      <c r="X3575">
        <v>0.96352380000000004</v>
      </c>
      <c r="Y3575">
        <v>0.57241140000000001</v>
      </c>
      <c r="Z3575">
        <v>9.9528519999999999E-3</v>
      </c>
      <c r="AA3575">
        <v>0.81990620000000003</v>
      </c>
      <c r="AB3575">
        <v>42</v>
      </c>
      <c r="AC3575">
        <v>3.3505099999999999</v>
      </c>
      <c r="AD3575">
        <v>3.9766549999999998E-2</v>
      </c>
      <c r="AE3575">
        <v>4.3869020000000002E-2</v>
      </c>
      <c r="AF3575">
        <v>1.9180217562269699</v>
      </c>
      <c r="AG3575">
        <v>3.9766549999999998E-2</v>
      </c>
      <c r="AH3575">
        <v>2.7469751008549999</v>
      </c>
      <c r="AI3575">
        <v>89.319962009125305</v>
      </c>
      <c r="AJ3575">
        <v>55.076080514433897</v>
      </c>
      <c r="AK3575">
        <v>3.3505613023158101</v>
      </c>
      <c r="AL3575">
        <v>79.183475971161798</v>
      </c>
      <c r="AM3575">
        <v>78.799127371486307</v>
      </c>
      <c r="AN3575">
        <v>1.0000000151116</v>
      </c>
    </row>
    <row r="3576" spans="1:40" x14ac:dyDescent="0.3">
      <c r="A3576" t="str">
        <f>"20200111150428744"</f>
        <v>20200111150428744</v>
      </c>
      <c r="B3576" t="str">
        <f>"1578726268742641"</f>
        <v>1578726268742641</v>
      </c>
      <c r="C3576" t="s">
        <v>40</v>
      </c>
      <c r="D3576">
        <v>5.409357</v>
      </c>
      <c r="E3576">
        <v>0.67359139999999995</v>
      </c>
      <c r="F3576" t="s">
        <v>44</v>
      </c>
      <c r="G3576">
        <v>0</v>
      </c>
      <c r="H3576">
        <v>0</v>
      </c>
      <c r="I3576">
        <v>0</v>
      </c>
      <c r="J3576">
        <v>-173.99080000000001</v>
      </c>
      <c r="K3576">
        <v>1.0859529999999999</v>
      </c>
      <c r="L3576">
        <v>140.08750000000001</v>
      </c>
      <c r="M3576">
        <v>0.81812450000000003</v>
      </c>
      <c r="N3576">
        <v>0</v>
      </c>
      <c r="O3576">
        <v>0.57480100000000001</v>
      </c>
      <c r="P3576">
        <v>0.89565090000000003</v>
      </c>
      <c r="Q3576">
        <v>0.17971489999999901</v>
      </c>
      <c r="R3576">
        <v>0.40683200000000003</v>
      </c>
      <c r="S3576">
        <v>3.346619</v>
      </c>
      <c r="T3576">
        <v>4.5071130000000001E-2</v>
      </c>
      <c r="U3576">
        <v>1.902771E-2</v>
      </c>
      <c r="V3576">
        <v>0.1903639</v>
      </c>
      <c r="W3576">
        <v>0.18763930000000001</v>
      </c>
      <c r="X3576">
        <v>0.96361459999999999</v>
      </c>
      <c r="Y3576">
        <v>0.57012030000000002</v>
      </c>
      <c r="Z3576">
        <v>1.119066E-2</v>
      </c>
      <c r="AA3576">
        <v>0.82148500000000002</v>
      </c>
      <c r="AB3576">
        <v>42</v>
      </c>
      <c r="AC3576">
        <v>3.346619</v>
      </c>
      <c r="AD3576">
        <v>4.5071130000000001E-2</v>
      </c>
      <c r="AE3576">
        <v>1.902771E-2</v>
      </c>
      <c r="AF3576">
        <v>1.9079903323473899</v>
      </c>
      <c r="AG3576">
        <v>4.5071130000000001E-2</v>
      </c>
      <c r="AH3576">
        <v>2.74876917330513</v>
      </c>
      <c r="AI3576">
        <v>89.228279059162105</v>
      </c>
      <c r="AJ3576">
        <v>55.234505371967202</v>
      </c>
      <c r="AK3576">
        <v>3.3463697469352098</v>
      </c>
      <c r="AL3576">
        <v>79.184951707805197</v>
      </c>
      <c r="AM3576">
        <v>78.825001481030299</v>
      </c>
      <c r="AN3576">
        <v>1.00000000933042</v>
      </c>
    </row>
    <row r="3577" spans="1:40" x14ac:dyDescent="0.3">
      <c r="A3577" t="str">
        <f>"20200111150428757"</f>
        <v>20200111150428757</v>
      </c>
      <c r="B3577" t="str">
        <f>"1578726268752401"</f>
        <v>1578726268752401</v>
      </c>
      <c r="C3577" t="s">
        <v>40</v>
      </c>
      <c r="D3577">
        <v>5.3584480000000001</v>
      </c>
      <c r="E3577">
        <v>0.67327239999999999</v>
      </c>
      <c r="F3577" t="s">
        <v>44</v>
      </c>
      <c r="G3577">
        <v>0</v>
      </c>
      <c r="H3577">
        <v>0</v>
      </c>
      <c r="I3577">
        <v>0</v>
      </c>
      <c r="J3577">
        <v>-173.79429999999999</v>
      </c>
      <c r="K3577">
        <v>1.085952</v>
      </c>
      <c r="L3577">
        <v>140.22329999999999</v>
      </c>
      <c r="M3577">
        <v>0.82321739999999999</v>
      </c>
      <c r="N3577">
        <v>0</v>
      </c>
      <c r="O3577">
        <v>0.56748290000000001</v>
      </c>
      <c r="P3577">
        <v>0.89900759999999902</v>
      </c>
      <c r="Q3577">
        <v>0.1798109</v>
      </c>
      <c r="R3577">
        <v>0.39931640000000002</v>
      </c>
      <c r="S3577">
        <v>3.3474119999999998</v>
      </c>
      <c r="T3577">
        <v>3.1808379999999997E-2</v>
      </c>
      <c r="U3577">
        <v>-9.3688959999999998E-3</v>
      </c>
      <c r="V3577">
        <v>0.1898359</v>
      </c>
      <c r="W3577">
        <v>0.1877587</v>
      </c>
      <c r="X3577">
        <v>0.96369550000000004</v>
      </c>
      <c r="Y3577">
        <v>0.56981459999999995</v>
      </c>
      <c r="Z3577">
        <v>7.8400610000000006E-3</v>
      </c>
      <c r="AA3577">
        <v>0.82173589999999996</v>
      </c>
      <c r="AB3577">
        <v>42</v>
      </c>
      <c r="AC3577">
        <v>3.3474119999999998</v>
      </c>
      <c r="AD3577">
        <v>3.1808379999999997E-2</v>
      </c>
      <c r="AE3577">
        <v>-9.3688959999999998E-3</v>
      </c>
      <c r="AF3577">
        <v>1.90740300106063</v>
      </c>
      <c r="AG3577">
        <v>3.1808379999999997E-2</v>
      </c>
      <c r="AH3577">
        <v>2.7504627598759401</v>
      </c>
      <c r="AI3577">
        <v>89.455523107524598</v>
      </c>
      <c r="AJ3577">
        <v>55.259295604162403</v>
      </c>
      <c r="AK3577">
        <v>3.34727402149236</v>
      </c>
      <c r="AL3577">
        <v>79.177986782062504</v>
      </c>
      <c r="AM3577">
        <v>78.856132055104197</v>
      </c>
      <c r="AN3577">
        <v>1.0000000075373701</v>
      </c>
    </row>
    <row r="3578" spans="1:40" x14ac:dyDescent="0.3">
      <c r="A3578" t="str">
        <f>"20200111150428770"</f>
        <v>20200111150428770</v>
      </c>
      <c r="B3578" t="str">
        <f>"1578726268762161"</f>
        <v>1578726268762161</v>
      </c>
      <c r="C3578" t="s">
        <v>40</v>
      </c>
      <c r="D3578">
        <v>5.3676370000000002</v>
      </c>
      <c r="E3578">
        <v>0.67278890000000002</v>
      </c>
      <c r="F3578" t="s">
        <v>44</v>
      </c>
      <c r="G3578">
        <v>0</v>
      </c>
      <c r="H3578">
        <v>0</v>
      </c>
      <c r="I3578">
        <v>0</v>
      </c>
      <c r="J3578">
        <v>-173.57429999999999</v>
      </c>
      <c r="K3578">
        <v>1.0859570000000001</v>
      </c>
      <c r="L3578">
        <v>140.37280000000001</v>
      </c>
      <c r="M3578">
        <v>0.8288143</v>
      </c>
      <c r="N3578">
        <v>0</v>
      </c>
      <c r="O3578">
        <v>0.55927689999999997</v>
      </c>
      <c r="P3578">
        <v>0.90247849999999996</v>
      </c>
      <c r="Q3578">
        <v>0.17962120000000001</v>
      </c>
      <c r="R3578">
        <v>0.3914955</v>
      </c>
      <c r="S3578">
        <v>3.3472599999999999</v>
      </c>
      <c r="T3578">
        <v>2.540195E-2</v>
      </c>
      <c r="U3578">
        <v>-3.4484859999999999E-2</v>
      </c>
      <c r="V3578">
        <v>0.18864120000000001</v>
      </c>
      <c r="W3578">
        <v>0.18762480000000001</v>
      </c>
      <c r="X3578">
        <v>0.96395609999999998</v>
      </c>
      <c r="Y3578">
        <v>0.56783289999999997</v>
      </c>
      <c r="Z3578">
        <v>6.2037330000000003E-3</v>
      </c>
      <c r="AA3578">
        <v>0.82312039999999997</v>
      </c>
      <c r="AB3578">
        <v>42</v>
      </c>
      <c r="AC3578">
        <v>3.3472599999999999</v>
      </c>
      <c r="AD3578">
        <v>2.540195E-2</v>
      </c>
      <c r="AE3578">
        <v>-3.4484859999999999E-2</v>
      </c>
      <c r="AF3578">
        <v>1.9007798209726201</v>
      </c>
      <c r="AG3578">
        <v>2.540195E-2</v>
      </c>
      <c r="AH3578">
        <v>2.75519225802628</v>
      </c>
      <c r="AI3578">
        <v>89.565195664439997</v>
      </c>
      <c r="AJ3578">
        <v>55.398591091161599</v>
      </c>
      <c r="AK3578">
        <v>3.3473412681662</v>
      </c>
      <c r="AL3578">
        <v>79.185797037047493</v>
      </c>
      <c r="AM3578">
        <v>78.927444972087301</v>
      </c>
      <c r="AN3578">
        <v>0.99999996531984403</v>
      </c>
    </row>
    <row r="3579" spans="1:40" x14ac:dyDescent="0.3">
      <c r="A3579" t="str">
        <f>"20200111150428794"</f>
        <v>20200111150428794</v>
      </c>
      <c r="B3579" t="str">
        <f>"1578726268782657"</f>
        <v>1578726268782657</v>
      </c>
      <c r="C3579" t="s">
        <v>40</v>
      </c>
      <c r="D3579">
        <v>5.3945540000000003</v>
      </c>
      <c r="E3579">
        <v>0.67174419999999901</v>
      </c>
      <c r="F3579" t="s">
        <v>44</v>
      </c>
      <c r="G3579">
        <v>0</v>
      </c>
      <c r="H3579">
        <v>0</v>
      </c>
      <c r="I3579">
        <v>0</v>
      </c>
      <c r="J3579">
        <v>-173.21729999999999</v>
      </c>
      <c r="K3579">
        <v>1.0859570000000001</v>
      </c>
      <c r="L3579">
        <v>140.6078</v>
      </c>
      <c r="M3579">
        <v>0.83764930000000004</v>
      </c>
      <c r="N3579">
        <v>0</v>
      </c>
      <c r="O3579">
        <v>0.54595550000000004</v>
      </c>
      <c r="P3579">
        <v>0.90800369999999997</v>
      </c>
      <c r="Q3579">
        <v>0.17924770000000001</v>
      </c>
      <c r="R3579">
        <v>0.3786814</v>
      </c>
      <c r="S3579">
        <v>3.3462830000000001</v>
      </c>
      <c r="T3579">
        <v>1.9224169999999999E-2</v>
      </c>
      <c r="U3579">
        <v>-5.9799190000000002E-2</v>
      </c>
      <c r="V3579">
        <v>0.18689629999999999</v>
      </c>
      <c r="W3579">
        <v>0.1873339</v>
      </c>
      <c r="X3579">
        <v>0.96435249999999995</v>
      </c>
      <c r="Y3579">
        <v>0.56089500000000003</v>
      </c>
      <c r="Z3579">
        <v>4.6129999999999999E-3</v>
      </c>
      <c r="AA3579">
        <v>0.82787409999999995</v>
      </c>
      <c r="AB3579">
        <v>42</v>
      </c>
      <c r="AC3579">
        <v>3.3462830000000001</v>
      </c>
      <c r="AD3579">
        <v>1.9224169999999999E-2</v>
      </c>
      <c r="AE3579">
        <v>-5.9799190000000002E-2</v>
      </c>
      <c r="AF3579">
        <v>1.8772097306956801</v>
      </c>
      <c r="AG3579">
        <v>1.9224169999999999E-2</v>
      </c>
      <c r="AH3579">
        <v>2.77065522671974</v>
      </c>
      <c r="AI3579">
        <v>89.670884920686206</v>
      </c>
      <c r="AJ3579">
        <v>55.881072808699997</v>
      </c>
      <c r="AK3579">
        <v>3.34676206609914</v>
      </c>
      <c r="AL3579">
        <v>79.202765418614902</v>
      </c>
      <c r="AM3579">
        <v>79.031768170285304</v>
      </c>
      <c r="AN3579">
        <v>0.99999998064957396</v>
      </c>
    </row>
    <row r="3580" spans="1:40" x14ac:dyDescent="0.3">
      <c r="A3580" t="str">
        <f>"20200111150428810"</f>
        <v>20200111150428810</v>
      </c>
      <c r="B3580" t="str">
        <f>"1578726268802177"</f>
        <v>1578726268802177</v>
      </c>
      <c r="C3580" t="s">
        <v>40</v>
      </c>
      <c r="D3580">
        <v>5.181616</v>
      </c>
      <c r="E3580">
        <v>0.67165200000000003</v>
      </c>
      <c r="F3580" t="s">
        <v>44</v>
      </c>
      <c r="G3580">
        <v>0</v>
      </c>
      <c r="H3580">
        <v>0</v>
      </c>
      <c r="I3580">
        <v>0</v>
      </c>
      <c r="J3580">
        <v>-172.9479</v>
      </c>
      <c r="K3580">
        <v>1.08596</v>
      </c>
      <c r="L3580">
        <v>140.78030000000001</v>
      </c>
      <c r="M3580">
        <v>0.84412989999999999</v>
      </c>
      <c r="N3580">
        <v>0</v>
      </c>
      <c r="O3580">
        <v>0.5358811</v>
      </c>
      <c r="P3580">
        <v>0.91222460000000005</v>
      </c>
      <c r="Q3580">
        <v>0.1788701</v>
      </c>
      <c r="R3580">
        <v>0.36858109999999999</v>
      </c>
      <c r="S3580">
        <v>3.3418580000000002</v>
      </c>
      <c r="T3580">
        <v>1.9444349999999999E-2</v>
      </c>
      <c r="U3580">
        <v>-0.1000977</v>
      </c>
      <c r="V3580">
        <v>0.18606600000000001</v>
      </c>
      <c r="W3580">
        <v>0.1869971</v>
      </c>
      <c r="X3580">
        <v>0.96457839999999995</v>
      </c>
      <c r="Y3580">
        <v>0.56097330000000001</v>
      </c>
      <c r="Z3580">
        <v>4.6238859999999998E-3</v>
      </c>
      <c r="AA3580">
        <v>0.82782099999999903</v>
      </c>
      <c r="AB3580">
        <v>42</v>
      </c>
      <c r="AC3580">
        <v>3.3418580000000002</v>
      </c>
      <c r="AD3580">
        <v>1.9444349999999999E-2</v>
      </c>
      <c r="AE3580">
        <v>-0.1000977</v>
      </c>
      <c r="AF3580">
        <v>1.8755295636220699</v>
      </c>
      <c r="AG3580">
        <v>1.9444349999999999E-2</v>
      </c>
      <c r="AH3580">
        <v>2.7676103718836198</v>
      </c>
      <c r="AI3580">
        <v>89.666770736712294</v>
      </c>
      <c r="AJ3580">
        <v>55.875641353947898</v>
      </c>
      <c r="AK3580">
        <v>3.3433002254247399</v>
      </c>
      <c r="AL3580">
        <v>79.222409786287599</v>
      </c>
      <c r="AM3580">
        <v>79.081817306401007</v>
      </c>
      <c r="AN3580">
        <v>0.99999998075548402</v>
      </c>
    </row>
    <row r="3581" spans="1:40" x14ac:dyDescent="0.3">
      <c r="A3581" t="str">
        <f>"20200111150428822"</f>
        <v>20200111150428822</v>
      </c>
      <c r="B3581" t="str">
        <f>"1578726268812914"</f>
        <v>1578726268812914</v>
      </c>
      <c r="C3581" t="s">
        <v>40</v>
      </c>
      <c r="D3581">
        <v>5.0833529999999998</v>
      </c>
      <c r="E3581">
        <v>0.67162880000000003</v>
      </c>
      <c r="F3581" t="s">
        <v>44</v>
      </c>
      <c r="G3581">
        <v>0</v>
      </c>
      <c r="H3581">
        <v>0</v>
      </c>
      <c r="I3581">
        <v>0</v>
      </c>
      <c r="J3581">
        <v>-172.75370000000001</v>
      </c>
      <c r="K3581">
        <v>1.0859639999999999</v>
      </c>
      <c r="L3581">
        <v>140.90119999999999</v>
      </c>
      <c r="M3581">
        <v>0.84869550000000005</v>
      </c>
      <c r="N3581">
        <v>0</v>
      </c>
      <c r="O3581">
        <v>0.5286206</v>
      </c>
      <c r="P3581">
        <v>0.91493610000000003</v>
      </c>
      <c r="Q3581">
        <v>0.17892559999999999</v>
      </c>
      <c r="R3581">
        <v>0.36177029999999999</v>
      </c>
      <c r="S3581">
        <v>3.3397519999999998</v>
      </c>
      <c r="T3581">
        <v>2.1033530000000002E-2</v>
      </c>
      <c r="U3581">
        <v>-0.13670350000000001</v>
      </c>
      <c r="V3581">
        <v>0.18497620000000001</v>
      </c>
      <c r="W3581">
        <v>0.18710489999999999</v>
      </c>
      <c r="X3581">
        <v>0.96476709999999999</v>
      </c>
      <c r="Y3581">
        <v>0.56294519999999904</v>
      </c>
      <c r="Z3581">
        <v>4.9730909999999998E-3</v>
      </c>
      <c r="AA3581">
        <v>0.82647929999999903</v>
      </c>
      <c r="AB3581">
        <v>42</v>
      </c>
      <c r="AC3581">
        <v>3.3397519999999998</v>
      </c>
      <c r="AD3581">
        <v>2.1033530000000002E-2</v>
      </c>
      <c r="AE3581">
        <v>-0.13670350000000001</v>
      </c>
      <c r="AF3581">
        <v>1.8816667372739699</v>
      </c>
      <c r="AG3581">
        <v>2.1033530000000002E-2</v>
      </c>
      <c r="AH3581">
        <v>2.7624403689557999</v>
      </c>
      <c r="AI3581">
        <v>89.639447485497996</v>
      </c>
      <c r="AJ3581">
        <v>55.738833956543203</v>
      </c>
      <c r="AK3581">
        <v>3.3424824474608998</v>
      </c>
      <c r="AL3581">
        <v>79.216122513773996</v>
      </c>
      <c r="AM3581">
        <v>79.1463148405998</v>
      </c>
      <c r="AN3581">
        <v>0.99999999770643</v>
      </c>
    </row>
    <row r="3582" spans="1:40" x14ac:dyDescent="0.3">
      <c r="A3582" t="str">
        <f>"20200111150428836"</f>
        <v>20200111150428836</v>
      </c>
      <c r="B3582" t="str">
        <f>"1578726268832434"</f>
        <v>1578726268832434</v>
      </c>
      <c r="C3582" t="s">
        <v>40</v>
      </c>
      <c r="D3582">
        <v>5.0677260000000004</v>
      </c>
      <c r="E3582">
        <v>0.67140730000000004</v>
      </c>
      <c r="F3582" t="s">
        <v>44</v>
      </c>
      <c r="G3582">
        <v>0</v>
      </c>
      <c r="H3582">
        <v>0</v>
      </c>
      <c r="I3582">
        <v>0</v>
      </c>
      <c r="J3582">
        <v>-172.55109999999999</v>
      </c>
      <c r="K3582">
        <v>1.085968</v>
      </c>
      <c r="L3582">
        <v>141.02510000000001</v>
      </c>
      <c r="M3582">
        <v>0.85337399999999997</v>
      </c>
      <c r="N3582">
        <v>0</v>
      </c>
      <c r="O3582">
        <v>0.52103409999999994</v>
      </c>
      <c r="P3582">
        <v>0.91764610000000002</v>
      </c>
      <c r="Q3582">
        <v>0.17948649999999999</v>
      </c>
      <c r="R3582">
        <v>0.3545567</v>
      </c>
      <c r="S3582">
        <v>3.3390499999999999</v>
      </c>
      <c r="T3582">
        <v>1.8819570000000001E-2</v>
      </c>
      <c r="U3582">
        <v>-0.16137699999999999</v>
      </c>
      <c r="V3582">
        <v>0.18393419999999999</v>
      </c>
      <c r="W3582">
        <v>0.1877152</v>
      </c>
      <c r="X3582">
        <v>0.96484769999999997</v>
      </c>
      <c r="Y3582">
        <v>0.56168339999999894</v>
      </c>
      <c r="Z3582">
        <v>4.410499E-3</v>
      </c>
      <c r="AA3582">
        <v>0.82734050000000003</v>
      </c>
      <c r="AB3582">
        <v>42</v>
      </c>
      <c r="AC3582">
        <v>3.3390499999999999</v>
      </c>
      <c r="AD3582">
        <v>1.8819570000000001E-2</v>
      </c>
      <c r="AE3582">
        <v>-0.16137699999999999</v>
      </c>
      <c r="AF3582">
        <v>1.87767374949026</v>
      </c>
      <c r="AG3582">
        <v>1.8819570000000001E-2</v>
      </c>
      <c r="AH3582">
        <v>2.7656699749513201</v>
      </c>
      <c r="AI3582">
        <v>89.677438924369298</v>
      </c>
      <c r="AJ3582">
        <v>55.826560562509599</v>
      </c>
      <c r="AK3582">
        <v>3.3428944488402599</v>
      </c>
      <c r="AL3582">
        <v>79.180523474701303</v>
      </c>
      <c r="AM3582">
        <v>79.206895557450295</v>
      </c>
      <c r="AN3582">
        <v>0.99999993521798203</v>
      </c>
    </row>
    <row r="3583" spans="1:40" x14ac:dyDescent="0.3">
      <c r="A3583" t="str">
        <f>"20200111150428850"</f>
        <v>20200111150428850</v>
      </c>
      <c r="B3583" t="str">
        <f>"1578726268842193"</f>
        <v>1578726268842193</v>
      </c>
      <c r="C3583" t="s">
        <v>40</v>
      </c>
      <c r="D3583">
        <v>5.031288</v>
      </c>
      <c r="E3583">
        <v>0.67113999999999996</v>
      </c>
      <c r="F3583" t="s">
        <v>44</v>
      </c>
      <c r="G3583">
        <v>0</v>
      </c>
      <c r="H3583">
        <v>0</v>
      </c>
      <c r="I3583">
        <v>0</v>
      </c>
      <c r="J3583">
        <v>-172.31010000000001</v>
      </c>
      <c r="K3583">
        <v>1.0859749999999999</v>
      </c>
      <c r="L3583">
        <v>141.16980000000001</v>
      </c>
      <c r="M3583">
        <v>0.85882619999999898</v>
      </c>
      <c r="N3583">
        <v>0</v>
      </c>
      <c r="O3583">
        <v>0.51199740000000005</v>
      </c>
      <c r="P3583">
        <v>0.92053689999999999</v>
      </c>
      <c r="Q3583">
        <v>0.18038969999999999</v>
      </c>
      <c r="R3583">
        <v>0.34651320000000002</v>
      </c>
      <c r="S3583">
        <v>3.3379210000000001</v>
      </c>
      <c r="T3583">
        <v>1.531076E-2</v>
      </c>
      <c r="U3583">
        <v>-0.1855164</v>
      </c>
      <c r="V3583">
        <v>0.18213579999999999</v>
      </c>
      <c r="W3583">
        <v>0.18870190000000001</v>
      </c>
      <c r="X3583">
        <v>0.96499650000000003</v>
      </c>
      <c r="Y3583">
        <v>0.55893340000000002</v>
      </c>
      <c r="Z3583">
        <v>3.5471999999999999E-3</v>
      </c>
      <c r="AA3583">
        <v>0.82920490000000002</v>
      </c>
      <c r="AB3583">
        <v>41</v>
      </c>
      <c r="AC3583">
        <v>3.3379210000000001</v>
      </c>
      <c r="AD3583">
        <v>1.531076E-2</v>
      </c>
      <c r="AE3583">
        <v>-0.1855164</v>
      </c>
      <c r="AF3583">
        <v>1.86855211489464</v>
      </c>
      <c r="AG3583">
        <v>1.531076E-2</v>
      </c>
      <c r="AH3583">
        <v>2.7720348314621801</v>
      </c>
      <c r="AI3583">
        <v>89.737590427032799</v>
      </c>
      <c r="AJ3583">
        <v>56.017178377420599</v>
      </c>
      <c r="AK3583">
        <v>3.3430373214022899</v>
      </c>
      <c r="AL3583">
        <v>79.122962302269201</v>
      </c>
      <c r="AM3583">
        <v>79.311590974344895</v>
      </c>
      <c r="AN3583">
        <v>1.0000000508587401</v>
      </c>
    </row>
    <row r="3584" spans="1:40" x14ac:dyDescent="0.3">
      <c r="A3584" t="str">
        <f>"20200111150428865"</f>
        <v>20200111150428865</v>
      </c>
      <c r="B3584" t="str">
        <f>"1578726268862689"</f>
        <v>1578726268862689</v>
      </c>
      <c r="C3584" t="s">
        <v>40</v>
      </c>
      <c r="D3584">
        <v>5.0734029999999999</v>
      </c>
      <c r="E3584">
        <v>0.6709965</v>
      </c>
      <c r="F3584" t="s">
        <v>44</v>
      </c>
      <c r="G3584">
        <v>0</v>
      </c>
      <c r="H3584">
        <v>0</v>
      </c>
      <c r="I3584">
        <v>0</v>
      </c>
      <c r="J3584">
        <v>-172.0719</v>
      </c>
      <c r="K3584">
        <v>1.0859840000000001</v>
      </c>
      <c r="L3584">
        <v>141.30879999999999</v>
      </c>
      <c r="M3584">
        <v>0.86409040000000004</v>
      </c>
      <c r="N3584">
        <v>0</v>
      </c>
      <c r="O3584">
        <v>0.50306220000000001</v>
      </c>
      <c r="P3584">
        <v>0.92379279999999997</v>
      </c>
      <c r="Q3584">
        <v>0.1807522</v>
      </c>
      <c r="R3584">
        <v>0.33754319999999999</v>
      </c>
      <c r="S3584">
        <v>3.3349609999999998</v>
      </c>
      <c r="T3584">
        <v>2.0953059999999999E-2</v>
      </c>
      <c r="U3584">
        <v>-0.21275330000000001</v>
      </c>
      <c r="V3584">
        <v>0.18148909999999999</v>
      </c>
      <c r="W3584">
        <v>0.18909709999999999</v>
      </c>
      <c r="X3584">
        <v>0.96504089999999998</v>
      </c>
      <c r="Y3584">
        <v>0.55711109999999997</v>
      </c>
      <c r="Z3584">
        <v>4.8038760000000003E-3</v>
      </c>
      <c r="AA3584">
        <v>0.8304241</v>
      </c>
      <c r="AB3584">
        <v>41</v>
      </c>
      <c r="AC3584">
        <v>3.3349609999999998</v>
      </c>
      <c r="AD3584">
        <v>2.0953059999999999E-2</v>
      </c>
      <c r="AE3584">
        <v>-0.21275330000000001</v>
      </c>
      <c r="AF3584">
        <v>1.8617148438309099</v>
      </c>
      <c r="AG3584">
        <v>2.0953059999999999E-2</v>
      </c>
      <c r="AH3584">
        <v>2.7749538138088901</v>
      </c>
      <c r="AI3584">
        <v>89.640740084771593</v>
      </c>
      <c r="AJ3584">
        <v>56.1423634721396</v>
      </c>
      <c r="AK3584">
        <v>3.3416747087704701</v>
      </c>
      <c r="AL3584">
        <v>79.099903014338295</v>
      </c>
      <c r="AM3584">
        <v>79.349150754877002</v>
      </c>
      <c r="AN3584">
        <v>0.99999997266001395</v>
      </c>
    </row>
    <row r="3585" spans="1:40" x14ac:dyDescent="0.3">
      <c r="A3585" t="str">
        <f>"20200111150428879"</f>
        <v>20200111150428879</v>
      </c>
      <c r="B3585" t="str">
        <f>"1578726268872449"</f>
        <v>1578726268872449</v>
      </c>
      <c r="C3585" t="s">
        <v>40</v>
      </c>
      <c r="D3585">
        <v>5.1552740000000004</v>
      </c>
      <c r="E3585">
        <v>0.67028120000000002</v>
      </c>
      <c r="F3585" t="s">
        <v>44</v>
      </c>
      <c r="G3585">
        <v>0</v>
      </c>
      <c r="H3585">
        <v>0</v>
      </c>
      <c r="I3585">
        <v>0</v>
      </c>
      <c r="J3585">
        <v>-171.84379999999999</v>
      </c>
      <c r="K3585">
        <v>1.085995</v>
      </c>
      <c r="L3585">
        <v>141.43860000000001</v>
      </c>
      <c r="M3585">
        <v>0.86901849999999903</v>
      </c>
      <c r="N3585">
        <v>0</v>
      </c>
      <c r="O3585">
        <v>0.4945003</v>
      </c>
      <c r="P3585">
        <v>0.92691690000000004</v>
      </c>
      <c r="Q3585">
        <v>0.1805843</v>
      </c>
      <c r="R3585">
        <v>0.32895960000000002</v>
      </c>
      <c r="S3585">
        <v>3.3338619999999999</v>
      </c>
      <c r="T3585">
        <v>1.335335E-2</v>
      </c>
      <c r="U3585">
        <v>-0.24357599999999999</v>
      </c>
      <c r="V3585">
        <v>0.1809106</v>
      </c>
      <c r="W3585">
        <v>0.18895899999999999</v>
      </c>
      <c r="X3585">
        <v>0.96517660000000005</v>
      </c>
      <c r="Y3585">
        <v>0.55657719999999999</v>
      </c>
      <c r="Z3585">
        <v>3.0311610000000001E-3</v>
      </c>
      <c r="AA3585">
        <v>0.83079029999999998</v>
      </c>
      <c r="AB3585">
        <v>41</v>
      </c>
      <c r="AC3585">
        <v>3.3338619999999999</v>
      </c>
      <c r="AD3585">
        <v>1.335335E-2</v>
      </c>
      <c r="AE3585">
        <v>-0.24357599999999999</v>
      </c>
      <c r="AF3585">
        <v>1.8604951691222</v>
      </c>
      <c r="AG3585">
        <v>1.335335E-2</v>
      </c>
      <c r="AH3585">
        <v>2.7770787192870001</v>
      </c>
      <c r="AI3585">
        <v>89.771116845945301</v>
      </c>
      <c r="AJ3585">
        <v>56.180016203269503</v>
      </c>
      <c r="AK3585">
        <v>3.3427214660213602</v>
      </c>
      <c r="AL3585">
        <v>79.107961231534503</v>
      </c>
      <c r="AM3585">
        <v>79.383786293384503</v>
      </c>
      <c r="AN3585">
        <v>1.0000000090304599</v>
      </c>
    </row>
    <row r="3586" spans="1:40" x14ac:dyDescent="0.3">
      <c r="A3586" t="str">
        <f>"20200111150428894"</f>
        <v>20200111150428894</v>
      </c>
      <c r="B3586" t="str">
        <f>"1578726268891969"</f>
        <v>1578726268891969</v>
      </c>
      <c r="C3586" t="s">
        <v>40</v>
      </c>
      <c r="D3586">
        <v>5.0773020000000004</v>
      </c>
      <c r="E3586">
        <v>0.66899759999999997</v>
      </c>
      <c r="F3586" t="s">
        <v>44</v>
      </c>
      <c r="G3586">
        <v>0</v>
      </c>
      <c r="H3586">
        <v>0</v>
      </c>
      <c r="I3586">
        <v>0</v>
      </c>
      <c r="J3586">
        <v>-171.59209999999999</v>
      </c>
      <c r="K3586">
        <v>1.086004</v>
      </c>
      <c r="L3586">
        <v>141.5788</v>
      </c>
      <c r="M3586">
        <v>0.8743379</v>
      </c>
      <c r="N3586">
        <v>0</v>
      </c>
      <c r="O3586">
        <v>0.48503299999999999</v>
      </c>
      <c r="P3586">
        <v>0.93042849999999999</v>
      </c>
      <c r="Q3586">
        <v>0.1801768</v>
      </c>
      <c r="R3586">
        <v>0.31912259999999998</v>
      </c>
      <c r="S3586">
        <v>3.329453</v>
      </c>
      <c r="T3586">
        <v>1.2606259999999999E-2</v>
      </c>
      <c r="U3586">
        <v>-0.26875310000000002</v>
      </c>
      <c r="V3586">
        <v>0.18066840000000001</v>
      </c>
      <c r="W3586">
        <v>0.18856709999999999</v>
      </c>
      <c r="X3586">
        <v>0.96529860000000001</v>
      </c>
      <c r="Y3586">
        <v>0.55387739999999996</v>
      </c>
      <c r="Z3586">
        <v>2.8282099999999998E-3</v>
      </c>
      <c r="AA3586">
        <v>0.83259340000000004</v>
      </c>
      <c r="AB3586">
        <v>41</v>
      </c>
      <c r="AC3586">
        <v>3.329453</v>
      </c>
      <c r="AD3586">
        <v>1.2606259999999999E-2</v>
      </c>
      <c r="AE3586">
        <v>-0.26875310000000002</v>
      </c>
      <c r="AF3586">
        <v>1.8501047910730199</v>
      </c>
      <c r="AG3586">
        <v>1.2606259999999999E-2</v>
      </c>
      <c r="AH3586">
        <v>2.7810573423115899</v>
      </c>
      <c r="AI3586">
        <v>89.783763078165506</v>
      </c>
      <c r="AJ3586">
        <v>56.366071841348898</v>
      </c>
      <c r="AK3586">
        <v>3.34025846259952</v>
      </c>
      <c r="AL3586">
        <v>79.130826455024007</v>
      </c>
      <c r="AM3586">
        <v>79.398986264220497</v>
      </c>
      <c r="AN3586">
        <v>1.0000000045614601</v>
      </c>
    </row>
    <row r="3587" spans="1:40" x14ac:dyDescent="0.3">
      <c r="A3587" t="str">
        <f>"20200111150428906"</f>
        <v>20200111150428906</v>
      </c>
      <c r="B3587" t="str">
        <f>"1578726268902705"</f>
        <v>1578726268902705</v>
      </c>
      <c r="C3587" t="s">
        <v>40</v>
      </c>
      <c r="D3587">
        <v>5.0156479999999997</v>
      </c>
      <c r="E3587">
        <v>0.66847400000000001</v>
      </c>
      <c r="F3587" t="s">
        <v>44</v>
      </c>
      <c r="G3587">
        <v>0</v>
      </c>
      <c r="H3587">
        <v>0</v>
      </c>
      <c r="I3587">
        <v>0</v>
      </c>
      <c r="J3587">
        <v>-171.38730000000001</v>
      </c>
      <c r="K3587">
        <v>1.0860099999999999</v>
      </c>
      <c r="L3587">
        <v>141.69049999999999</v>
      </c>
      <c r="M3587">
        <v>0.8785714</v>
      </c>
      <c r="N3587">
        <v>0</v>
      </c>
      <c r="O3587">
        <v>0.47732170000000002</v>
      </c>
      <c r="P3587">
        <v>0.93303780000000003</v>
      </c>
      <c r="Q3587">
        <v>0.17954579999999901</v>
      </c>
      <c r="R3587">
        <v>0.31177519999999997</v>
      </c>
      <c r="S3587">
        <v>3.3226779999999998</v>
      </c>
      <c r="T3587">
        <v>1.3394949999999999E-2</v>
      </c>
      <c r="U3587">
        <v>-0.2943268</v>
      </c>
      <c r="V3587">
        <v>0.17981359999999999</v>
      </c>
      <c r="W3587">
        <v>0.18798029999999999</v>
      </c>
      <c r="X3587">
        <v>0.96557269999999995</v>
      </c>
      <c r="Y3587">
        <v>0.55304949999999997</v>
      </c>
      <c r="Z3587">
        <v>2.981544E-3</v>
      </c>
      <c r="AA3587">
        <v>0.83314310000000003</v>
      </c>
      <c r="AB3587">
        <v>41</v>
      </c>
      <c r="AC3587">
        <v>3.3226779999999998</v>
      </c>
      <c r="AD3587">
        <v>1.3394949999999999E-2</v>
      </c>
      <c r="AE3587">
        <v>-0.2943268</v>
      </c>
      <c r="AF3587">
        <v>1.8447985433170599</v>
      </c>
      <c r="AG3587">
        <v>1.3394949999999999E-2</v>
      </c>
      <c r="AH3587">
        <v>2.7790604258932801</v>
      </c>
      <c r="AI3587">
        <v>89.769917854617205</v>
      </c>
      <c r="AJ3587">
        <v>56.422959693336601</v>
      </c>
      <c r="AK3587">
        <v>3.3356615447129001</v>
      </c>
      <c r="AL3587">
        <v>79.165060671234897</v>
      </c>
      <c r="AM3587">
        <v>79.450942190206902</v>
      </c>
      <c r="AN3587">
        <v>1.0000000814591601</v>
      </c>
    </row>
    <row r="3588" spans="1:40" x14ac:dyDescent="0.3">
      <c r="A3588" t="str">
        <f>"20200111150428920"</f>
        <v>20200111150428920</v>
      </c>
      <c r="B3588" t="str">
        <f>"1578726268912466"</f>
        <v>1578726268912466</v>
      </c>
      <c r="C3588" t="s">
        <v>40</v>
      </c>
      <c r="D3588">
        <v>4.9844739999999996</v>
      </c>
      <c r="E3588">
        <v>0.66816999999999904</v>
      </c>
      <c r="F3588" t="s">
        <v>44</v>
      </c>
      <c r="G3588">
        <v>0</v>
      </c>
      <c r="H3588">
        <v>0</v>
      </c>
      <c r="I3588">
        <v>0</v>
      </c>
      <c r="J3588">
        <v>-171.1712</v>
      </c>
      <c r="K3588">
        <v>1.086015</v>
      </c>
      <c r="L3588">
        <v>141.80500000000001</v>
      </c>
      <c r="M3588">
        <v>0.88294490000000003</v>
      </c>
      <c r="N3588">
        <v>0</v>
      </c>
      <c r="O3588">
        <v>0.46918219999999999</v>
      </c>
      <c r="P3588">
        <v>0.93572560000000005</v>
      </c>
      <c r="Q3588">
        <v>0.1793247</v>
      </c>
      <c r="R3588">
        <v>0.3037435</v>
      </c>
      <c r="S3588">
        <v>3.318222</v>
      </c>
      <c r="T3588">
        <v>1.5843510000000002E-2</v>
      </c>
      <c r="U3588">
        <v>-0.3171234</v>
      </c>
      <c r="V3588">
        <v>0.1791954</v>
      </c>
      <c r="W3588">
        <v>0.18779199999999999</v>
      </c>
      <c r="X3588">
        <v>0.96572420000000003</v>
      </c>
      <c r="Y3588">
        <v>0.55111940000000004</v>
      </c>
      <c r="Z3588">
        <v>3.4913219999999998E-3</v>
      </c>
      <c r="AA3588">
        <v>0.83441909999999897</v>
      </c>
      <c r="AB3588">
        <v>41</v>
      </c>
      <c r="AC3588">
        <v>3.318222</v>
      </c>
      <c r="AD3588">
        <v>1.5843510000000002E-2</v>
      </c>
      <c r="AE3588">
        <v>-0.3171234</v>
      </c>
      <c r="AF3588">
        <v>1.8370655600699799</v>
      </c>
      <c r="AG3588">
        <v>1.5843510000000002E-2</v>
      </c>
      <c r="AH3588">
        <v>2.7813400733297602</v>
      </c>
      <c r="AI3588">
        <v>89.727666676049594</v>
      </c>
      <c r="AJ3588">
        <v>56.555375156103601</v>
      </c>
      <c r="AK3588">
        <v>3.3333036903820199</v>
      </c>
      <c r="AL3588">
        <v>79.1760445096306</v>
      </c>
      <c r="AM3588">
        <v>79.488012480080698</v>
      </c>
      <c r="AN3588">
        <v>1.0000000285553901</v>
      </c>
    </row>
    <row r="3589" spans="1:40" x14ac:dyDescent="0.3">
      <c r="A3589" t="str">
        <f>"20200111150428933"</f>
        <v>20200111150428933</v>
      </c>
      <c r="B3589" t="str">
        <f>"1578726268922225"</f>
        <v>1578726268922225</v>
      </c>
      <c r="C3589" t="s">
        <v>40</v>
      </c>
      <c r="D3589">
        <v>4.993303</v>
      </c>
      <c r="E3589">
        <v>0.66784469999999996</v>
      </c>
      <c r="F3589" t="s">
        <v>44</v>
      </c>
      <c r="G3589">
        <v>0</v>
      </c>
      <c r="H3589">
        <v>0</v>
      </c>
      <c r="I3589">
        <v>0</v>
      </c>
      <c r="J3589">
        <v>-170.94569999999999</v>
      </c>
      <c r="K3589">
        <v>1.086025</v>
      </c>
      <c r="L3589">
        <v>141.92230000000001</v>
      </c>
      <c r="M3589">
        <v>0.88741270000000005</v>
      </c>
      <c r="N3589">
        <v>0</v>
      </c>
      <c r="O3589">
        <v>0.46067619999999998</v>
      </c>
      <c r="P3589">
        <v>0.93852150000000001</v>
      </c>
      <c r="Q3589">
        <v>0.17911009999999999</v>
      </c>
      <c r="R3589">
        <v>0.29512250000000001</v>
      </c>
      <c r="S3589">
        <v>3.3150940000000002</v>
      </c>
      <c r="T3589">
        <v>1.328111E-2</v>
      </c>
      <c r="U3589">
        <v>-0.34368900000000002</v>
      </c>
      <c r="V3589">
        <v>0.1788042</v>
      </c>
      <c r="W3589">
        <v>0.1875995</v>
      </c>
      <c r="X3589">
        <v>0.96583410000000003</v>
      </c>
      <c r="Y3589">
        <v>0.54979929999999999</v>
      </c>
      <c r="Z3589">
        <v>2.8954889999999998E-3</v>
      </c>
      <c r="AA3589">
        <v>0.83529169999999997</v>
      </c>
      <c r="AB3589">
        <v>41</v>
      </c>
      <c r="AC3589">
        <v>3.3150940000000002</v>
      </c>
      <c r="AD3589">
        <v>1.328111E-2</v>
      </c>
      <c r="AE3589">
        <v>-0.34368900000000002</v>
      </c>
      <c r="AF3589">
        <v>1.8324028126484999</v>
      </c>
      <c r="AG3589">
        <v>1.328111E-2</v>
      </c>
      <c r="AH3589">
        <v>2.78386736795987</v>
      </c>
      <c r="AI3589">
        <v>89.771679846620103</v>
      </c>
      <c r="AJ3589">
        <v>56.6462070838692</v>
      </c>
      <c r="AK3589">
        <v>3.3328357262362598</v>
      </c>
      <c r="AL3589">
        <v>79.187273331300005</v>
      </c>
      <c r="AM3589">
        <v>79.511618312406398</v>
      </c>
      <c r="AN3589">
        <v>1.00000001153035</v>
      </c>
    </row>
    <row r="3590" spans="1:40" x14ac:dyDescent="0.3">
      <c r="A3590" t="str">
        <f>"20200111150428950"</f>
        <v>20200111150428950</v>
      </c>
      <c r="B3590" t="str">
        <f>"1578726268942721"</f>
        <v>1578726268942721</v>
      </c>
      <c r="C3590" t="s">
        <v>40</v>
      </c>
      <c r="D3590">
        <v>5.0438519999999896</v>
      </c>
      <c r="E3590">
        <v>0.66711989999999999</v>
      </c>
      <c r="F3590" t="s">
        <v>44</v>
      </c>
      <c r="G3590">
        <v>0</v>
      </c>
      <c r="H3590">
        <v>0</v>
      </c>
      <c r="I3590">
        <v>0</v>
      </c>
      <c r="J3590">
        <v>-170.66290000000001</v>
      </c>
      <c r="K3590">
        <v>1.0860299999999901</v>
      </c>
      <c r="L3590">
        <v>142.06559999999999</v>
      </c>
      <c r="M3590">
        <v>0.89287709999999998</v>
      </c>
      <c r="N3590">
        <v>0</v>
      </c>
      <c r="O3590">
        <v>0.44999349999999999</v>
      </c>
      <c r="P3590">
        <v>0.94186510000000001</v>
      </c>
      <c r="Q3590">
        <v>0.17906440000000001</v>
      </c>
      <c r="R3590">
        <v>0.28429919999999997</v>
      </c>
      <c r="S3590">
        <v>3.3114319999999999</v>
      </c>
      <c r="T3590">
        <v>1.0854600000000001E-2</v>
      </c>
      <c r="U3590">
        <v>-0.37202449999999998</v>
      </c>
      <c r="V3590">
        <v>0.17832709999999999</v>
      </c>
      <c r="W3590">
        <v>0.18758030000000001</v>
      </c>
      <c r="X3590">
        <v>0.96592599999999995</v>
      </c>
      <c r="Y3590">
        <v>0.54693429999999998</v>
      </c>
      <c r="Z3590">
        <v>2.3320039999999999E-3</v>
      </c>
      <c r="AA3590">
        <v>0.83717229999999998</v>
      </c>
      <c r="AB3590">
        <v>41</v>
      </c>
      <c r="AC3590">
        <v>3.3114319999999999</v>
      </c>
      <c r="AD3590">
        <v>1.0854600000000001E-2</v>
      </c>
      <c r="AE3590">
        <v>-0.37202449999999998</v>
      </c>
      <c r="AF3590">
        <v>1.82252752733768</v>
      </c>
      <c r="AG3590">
        <v>1.0854600000000001E-2</v>
      </c>
      <c r="AH3590">
        <v>2.78964906222786</v>
      </c>
      <c r="AI3590">
        <v>89.813361982558902</v>
      </c>
      <c r="AJ3590">
        <v>56.842697865730898</v>
      </c>
      <c r="AK3590">
        <v>3.3322464345593601</v>
      </c>
      <c r="AL3590">
        <v>79.188392953006797</v>
      </c>
      <c r="AM3590">
        <v>79.539958974782195</v>
      </c>
      <c r="AN3590">
        <v>0.99999998050924899</v>
      </c>
    </row>
    <row r="3591" spans="1:40" x14ac:dyDescent="0.3">
      <c r="A3591" t="str">
        <f>"20200111150428964"</f>
        <v>20200111150428964</v>
      </c>
      <c r="B3591" t="str">
        <f>"1578726268952481"</f>
        <v>1578726268952481</v>
      </c>
      <c r="C3591" t="s">
        <v>40</v>
      </c>
      <c r="D3591">
        <v>5.274527</v>
      </c>
      <c r="E3591">
        <v>0.66697759999999995</v>
      </c>
      <c r="F3591" t="s">
        <v>44</v>
      </c>
      <c r="G3591">
        <v>0</v>
      </c>
      <c r="H3591">
        <v>0</v>
      </c>
      <c r="I3591">
        <v>0</v>
      </c>
      <c r="J3591">
        <v>-170.43969999999999</v>
      </c>
      <c r="K3591">
        <v>1.086039</v>
      </c>
      <c r="L3591">
        <v>142.17519999999999</v>
      </c>
      <c r="M3591">
        <v>0.89708109999999996</v>
      </c>
      <c r="N3591">
        <v>0</v>
      </c>
      <c r="O3591">
        <v>0.44155319999999998</v>
      </c>
      <c r="P3591">
        <v>0.94451620000000003</v>
      </c>
      <c r="Q3591">
        <v>0.17877860000000001</v>
      </c>
      <c r="R3591">
        <v>0.2755495</v>
      </c>
      <c r="S3591">
        <v>3.306244</v>
      </c>
      <c r="T3591">
        <v>5.7673450000000001E-3</v>
      </c>
      <c r="U3591">
        <v>-0.40472409999999998</v>
      </c>
      <c r="V3591">
        <v>0.17818519999999999</v>
      </c>
      <c r="W3591">
        <v>0.18730579999999999</v>
      </c>
      <c r="X3591">
        <v>0.96600540000000001</v>
      </c>
      <c r="Y3591">
        <v>0.5473557</v>
      </c>
      <c r="Z3591">
        <v>1.2275350000000001E-3</v>
      </c>
      <c r="AA3591">
        <v>0.83689919999999995</v>
      </c>
      <c r="AB3591">
        <v>41</v>
      </c>
      <c r="AC3591">
        <v>3.306244</v>
      </c>
      <c r="AD3591">
        <v>5.7673450000000001E-3</v>
      </c>
      <c r="AE3591">
        <v>-0.40472409999999998</v>
      </c>
      <c r="AF3591">
        <v>1.82319936041534</v>
      </c>
      <c r="AG3591">
        <v>5.7673450000000001E-3</v>
      </c>
      <c r="AH3591">
        <v>2.78763852617235</v>
      </c>
      <c r="AI3591">
        <v>89.900794721475805</v>
      </c>
      <c r="AJ3591">
        <v>56.814108032570701</v>
      </c>
      <c r="AK3591">
        <v>3.33091845032081</v>
      </c>
      <c r="AL3591">
        <v>79.204403894790502</v>
      </c>
      <c r="AM3591">
        <v>79.548938988699206</v>
      </c>
      <c r="AN3591">
        <v>0.99999993052091696</v>
      </c>
    </row>
    <row r="3592" spans="1:40" x14ac:dyDescent="0.3">
      <c r="A3592" t="str">
        <f>"20200111150428977"</f>
        <v>20200111150428977</v>
      </c>
      <c r="B3592" t="str">
        <f>"1578726268972001"</f>
        <v>1578726268972001</v>
      </c>
      <c r="C3592" t="s">
        <v>40</v>
      </c>
      <c r="D3592">
        <v>5.0616560000000002</v>
      </c>
      <c r="E3592">
        <v>0.66604969999999997</v>
      </c>
      <c r="F3592" t="s">
        <v>44</v>
      </c>
      <c r="G3592">
        <v>0</v>
      </c>
      <c r="H3592">
        <v>0</v>
      </c>
      <c r="I3592">
        <v>0</v>
      </c>
      <c r="J3592">
        <v>-170.21190000000001</v>
      </c>
      <c r="K3592">
        <v>1.086047</v>
      </c>
      <c r="L3592">
        <v>142.28440000000001</v>
      </c>
      <c r="M3592">
        <v>0.90127460000000004</v>
      </c>
      <c r="N3592">
        <v>0</v>
      </c>
      <c r="O3592">
        <v>0.43292920000000001</v>
      </c>
      <c r="P3592">
        <v>0.9471115</v>
      </c>
      <c r="Q3592">
        <v>0.17854979999999901</v>
      </c>
      <c r="R3592">
        <v>0.26664539999999998</v>
      </c>
      <c r="S3592">
        <v>3.3025359999999999</v>
      </c>
      <c r="T3592">
        <v>1.659155E-3</v>
      </c>
      <c r="U3592">
        <v>-0.43406679999999997</v>
      </c>
      <c r="V3592">
        <v>0.17801829999999999</v>
      </c>
      <c r="W3592">
        <v>0.18708939999999999</v>
      </c>
      <c r="X3592">
        <v>0.9660782</v>
      </c>
      <c r="Y3592">
        <v>0.54676139999999995</v>
      </c>
      <c r="Z3592">
        <v>3.4928949999999998E-4</v>
      </c>
      <c r="AA3592">
        <v>0.83728840000000004</v>
      </c>
      <c r="AB3592">
        <v>41</v>
      </c>
      <c r="AC3592">
        <v>3.3025359999999999</v>
      </c>
      <c r="AD3592">
        <v>1.659155E-3</v>
      </c>
      <c r="AE3592">
        <v>-0.43406679999999997</v>
      </c>
      <c r="AF3592">
        <v>1.8212289123241101</v>
      </c>
      <c r="AG3592">
        <v>1.659155E-3</v>
      </c>
      <c r="AH3592">
        <v>2.7889563928976</v>
      </c>
      <c r="AI3592">
        <v>89.971460726170093</v>
      </c>
      <c r="AJ3592">
        <v>56.854881675314402</v>
      </c>
      <c r="AK3592">
        <v>3.3309390966159902</v>
      </c>
      <c r="AL3592">
        <v>79.217026845366107</v>
      </c>
      <c r="AM3592">
        <v>79.559282269057306</v>
      </c>
      <c r="AN3592">
        <v>1.0000000236212401</v>
      </c>
    </row>
    <row r="3593" spans="1:40" x14ac:dyDescent="0.3">
      <c r="A3593" t="str">
        <f>"20200111150428991"</f>
        <v>20200111150428991</v>
      </c>
      <c r="B3593" t="str">
        <f>"1578726268982737"</f>
        <v>1578726268982737</v>
      </c>
      <c r="C3593" t="s">
        <v>40</v>
      </c>
      <c r="D3593">
        <v>5.0562360000000002</v>
      </c>
      <c r="E3593">
        <v>0.66562690000000002</v>
      </c>
      <c r="F3593" t="s">
        <v>49</v>
      </c>
      <c r="G3593">
        <v>649.95730000000003</v>
      </c>
      <c r="H3593">
        <v>-0.1</v>
      </c>
      <c r="I3593">
        <v>28.424769999999999</v>
      </c>
      <c r="J3593">
        <v>-169.9736</v>
      </c>
      <c r="K3593">
        <v>1.086058</v>
      </c>
      <c r="L3593">
        <v>142.3963</v>
      </c>
      <c r="M3593">
        <v>0.90555850000000004</v>
      </c>
      <c r="N3593">
        <v>0</v>
      </c>
      <c r="O3593">
        <v>0.42389549999999998</v>
      </c>
      <c r="P3593">
        <v>0.9498202</v>
      </c>
      <c r="Q3593">
        <v>0.17790590000000001</v>
      </c>
      <c r="R3593">
        <v>0.25727640000000002</v>
      </c>
      <c r="S3593">
        <v>3.2973180000000002</v>
      </c>
      <c r="T3593">
        <v>-4.7682519999999997E-3</v>
      </c>
      <c r="U3593">
        <v>-0.4577484</v>
      </c>
      <c r="V3593">
        <v>0.17791960000000001</v>
      </c>
      <c r="W3593">
        <v>0.18645610000000001</v>
      </c>
      <c r="X3593">
        <v>0.96621880000000004</v>
      </c>
      <c r="Y3593">
        <v>0.54446269999999997</v>
      </c>
      <c r="Z3593">
        <v>-9.9137610000000001E-4</v>
      </c>
      <c r="AA3593">
        <v>0.83878449999999904</v>
      </c>
      <c r="AB3593">
        <v>41</v>
      </c>
      <c r="AC3593">
        <v>819.93089999999995</v>
      </c>
      <c r="AD3593">
        <v>-1.1860580000000001</v>
      </c>
      <c r="AE3593">
        <v>-113.97153</v>
      </c>
      <c r="AF3593">
        <v>450.83429267087502</v>
      </c>
      <c r="AG3593">
        <v>-1.1860580000000001</v>
      </c>
      <c r="AH3593">
        <v>694.27791086769196</v>
      </c>
      <c r="AI3593">
        <v>90.082091148661107</v>
      </c>
      <c r="AJ3593">
        <v>57.002034815737296</v>
      </c>
      <c r="AK3593">
        <v>827.81325412222895</v>
      </c>
      <c r="AL3593">
        <v>79.253962118972396</v>
      </c>
      <c r="AM3593">
        <v>79.566428913463099</v>
      </c>
      <c r="AN3593">
        <v>1.0000000153824</v>
      </c>
    </row>
    <row r="3594" spans="1:40" x14ac:dyDescent="0.3">
      <c r="A3594" t="str">
        <f>"20200111150429005"</f>
        <v>20200111150429005</v>
      </c>
      <c r="B3594" t="str">
        <f>"1578726269002257"</f>
        <v>1578726269002257</v>
      </c>
      <c r="C3594" t="s">
        <v>40</v>
      </c>
      <c r="D3594">
        <v>5.0599460000000001</v>
      </c>
      <c r="E3594">
        <v>0.66460759999999997</v>
      </c>
      <c r="F3594" t="s">
        <v>49</v>
      </c>
      <c r="G3594">
        <v>226.15459999999999</v>
      </c>
      <c r="H3594">
        <v>-0.1</v>
      </c>
      <c r="I3594">
        <v>83.796099999999996</v>
      </c>
      <c r="J3594">
        <v>-169.7449</v>
      </c>
      <c r="K3594">
        <v>1.0860700000000001</v>
      </c>
      <c r="L3594">
        <v>142.50049999999999</v>
      </c>
      <c r="M3594">
        <v>0.90957160000000004</v>
      </c>
      <c r="N3594">
        <v>0</v>
      </c>
      <c r="O3594">
        <v>0.41521469999999999</v>
      </c>
      <c r="P3594">
        <v>0.95224980000000004</v>
      </c>
      <c r="Q3594">
        <v>0.17724819999999999</v>
      </c>
      <c r="R3594">
        <v>0.2486033</v>
      </c>
      <c r="S3594">
        <v>3.2922519999999902</v>
      </c>
      <c r="T3594">
        <v>-9.8574160000000008E-3</v>
      </c>
      <c r="U3594">
        <v>-0.48703000000000002</v>
      </c>
      <c r="V3594">
        <v>0.17750629999999901</v>
      </c>
      <c r="W3594">
        <v>0.18582270000000001</v>
      </c>
      <c r="X3594">
        <v>0.96641679999999996</v>
      </c>
      <c r="Y3594">
        <v>0.54392209999999996</v>
      </c>
      <c r="Z3594">
        <v>-2.026861E-3</v>
      </c>
      <c r="AA3594">
        <v>0.83913329999999997</v>
      </c>
      <c r="AB3594">
        <v>41</v>
      </c>
      <c r="AC3594">
        <v>395.89949999999999</v>
      </c>
      <c r="AD3594">
        <v>-1.18607</v>
      </c>
      <c r="AE3594">
        <v>-58.7043999999999</v>
      </c>
      <c r="AF3594">
        <v>217.80732210388899</v>
      </c>
      <c r="AG3594">
        <v>-1.18607</v>
      </c>
      <c r="AH3594">
        <v>335.76744575750001</v>
      </c>
      <c r="AI3594">
        <v>90.169796134437604</v>
      </c>
      <c r="AJ3594">
        <v>57.029128156252298</v>
      </c>
      <c r="AK3594">
        <v>400.22645334189002</v>
      </c>
      <c r="AL3594">
        <v>79.290898594554307</v>
      </c>
      <c r="AM3594">
        <v>79.592221386711699</v>
      </c>
      <c r="AN3594">
        <v>0.99999999684860896</v>
      </c>
    </row>
    <row r="3595" spans="1:40" x14ac:dyDescent="0.3">
      <c r="A3595" t="str">
        <f>"20200111150429017"</f>
        <v>20200111150429017</v>
      </c>
      <c r="B3595" t="str">
        <f>"1578726269012017"</f>
        <v>1578726269012017</v>
      </c>
      <c r="C3595" t="s">
        <v>40</v>
      </c>
      <c r="D3595">
        <v>5.139405</v>
      </c>
      <c r="E3595">
        <v>0.664103</v>
      </c>
      <c r="F3595" t="s">
        <v>49</v>
      </c>
      <c r="G3595">
        <v>53.26135</v>
      </c>
      <c r="H3595">
        <v>-0.1</v>
      </c>
      <c r="I3595">
        <v>107.9478</v>
      </c>
      <c r="J3595">
        <v>-169.52529999999999</v>
      </c>
      <c r="K3595">
        <v>1.0860799999999999</v>
      </c>
      <c r="L3595">
        <v>142.59780000000001</v>
      </c>
      <c r="M3595">
        <v>0.91333350000000002</v>
      </c>
      <c r="N3595">
        <v>0</v>
      </c>
      <c r="O3595">
        <v>0.40687309999999999</v>
      </c>
      <c r="P3595">
        <v>0.95449240000000002</v>
      </c>
      <c r="Q3595">
        <v>0.1758247</v>
      </c>
      <c r="R3595">
        <v>0.24089379999999999</v>
      </c>
      <c r="S3595">
        <v>3.2866360000000001</v>
      </c>
      <c r="T3595">
        <v>-1.748013E-2</v>
      </c>
      <c r="U3595">
        <v>-0.50923160000000001</v>
      </c>
      <c r="V3595">
        <v>0.17651600000000001</v>
      </c>
      <c r="W3595">
        <v>0.184452</v>
      </c>
      <c r="X3595">
        <v>0.96686070000000002</v>
      </c>
      <c r="Y3595">
        <v>0.54198059999999904</v>
      </c>
      <c r="Z3595">
        <v>-3.55259E-3</v>
      </c>
      <c r="AA3595">
        <v>0.84038349999999995</v>
      </c>
      <c r="AB3595">
        <v>41</v>
      </c>
      <c r="AC3595">
        <v>222.78665000000001</v>
      </c>
      <c r="AD3595">
        <v>-1.18608</v>
      </c>
      <c r="AE3595">
        <v>-34.65</v>
      </c>
      <c r="AF3595">
        <v>122.306408055503</v>
      </c>
      <c r="AG3595">
        <v>-1.18608</v>
      </c>
      <c r="AH3595">
        <v>189.40127510668799</v>
      </c>
      <c r="AI3595">
        <v>90.301415297293701</v>
      </c>
      <c r="AJ3595">
        <v>57.147533343264101</v>
      </c>
      <c r="AK3595">
        <v>225.46198626208599</v>
      </c>
      <c r="AL3595">
        <v>79.3708157897821</v>
      </c>
      <c r="AM3595">
        <v>79.653676992985297</v>
      </c>
      <c r="AN3595">
        <v>1.0000000258822399</v>
      </c>
    </row>
    <row r="3596" spans="1:40" x14ac:dyDescent="0.3">
      <c r="A3596" t="str">
        <f>"20200111150429040"</f>
        <v>20200111150429040</v>
      </c>
      <c r="B3596" t="str">
        <f>"1578726269032513"</f>
        <v>1578726269032513</v>
      </c>
      <c r="C3596" t="s">
        <v>40</v>
      </c>
      <c r="D3596">
        <v>5.0653079999999999</v>
      </c>
      <c r="E3596">
        <v>0.64301809999999904</v>
      </c>
      <c r="F3596" t="s">
        <v>41</v>
      </c>
      <c r="G3596">
        <v>-22.33352</v>
      </c>
      <c r="H3596" s="1">
        <v>-5.2632860000000001E-6</v>
      </c>
      <c r="I3596">
        <v>118.7317</v>
      </c>
      <c r="J3596">
        <v>-169.14340000000001</v>
      </c>
      <c r="K3596">
        <v>1.0861050000000001</v>
      </c>
      <c r="L3596">
        <v>142.76179999999999</v>
      </c>
      <c r="M3596">
        <v>0.91967030000000005</v>
      </c>
      <c r="N3596">
        <v>0</v>
      </c>
      <c r="O3596">
        <v>0.39233960000000001</v>
      </c>
      <c r="P3596">
        <v>0.9579278</v>
      </c>
      <c r="Q3596">
        <v>0.1754291</v>
      </c>
      <c r="R3596">
        <v>0.2271541</v>
      </c>
      <c r="S3596">
        <v>3.281784</v>
      </c>
      <c r="T3596">
        <v>-2.4215339999999998E-2</v>
      </c>
      <c r="U3596">
        <v>-0.53211980000000003</v>
      </c>
      <c r="V3596">
        <v>0.17507639999999999</v>
      </c>
      <c r="W3596">
        <v>0.18413099999999999</v>
      </c>
      <c r="X3596">
        <v>0.96718360000000003</v>
      </c>
      <c r="Y3596">
        <v>0.53452699999999997</v>
      </c>
      <c r="Z3596">
        <v>-4.79876E-3</v>
      </c>
      <c r="AA3596">
        <v>0.84513780000000005</v>
      </c>
      <c r="AB3596">
        <v>41</v>
      </c>
      <c r="AC3596">
        <v>146.80987999999999</v>
      </c>
      <c r="AD3596">
        <v>-1.08611026328599</v>
      </c>
      <c r="AE3596">
        <v>-24.030099999999901</v>
      </c>
      <c r="AF3596">
        <v>79.705858109914502</v>
      </c>
      <c r="AG3596">
        <v>-1.08611026328599</v>
      </c>
      <c r="AH3596">
        <v>125.599377674417</v>
      </c>
      <c r="AI3596">
        <v>90.418326636933401</v>
      </c>
      <c r="AJ3596">
        <v>57.600627885095101</v>
      </c>
      <c r="AK3596">
        <v>148.759561456542</v>
      </c>
      <c r="AL3596">
        <v>79.389528438174295</v>
      </c>
      <c r="AM3596">
        <v>79.739610887704799</v>
      </c>
      <c r="AN3596">
        <v>1.00000004355345</v>
      </c>
    </row>
    <row r="3597" spans="1:40" x14ac:dyDescent="0.3">
      <c r="A3597" t="str">
        <f>"20200111150429056"</f>
        <v>20200111150429056</v>
      </c>
      <c r="B3597" t="str">
        <f>"1578726269052033"</f>
        <v>1578726269052033</v>
      </c>
      <c r="C3597" t="s">
        <v>40</v>
      </c>
      <c r="D3597">
        <v>5.0352610000000002</v>
      </c>
      <c r="E3597">
        <v>0.64265909999999904</v>
      </c>
      <c r="F3597" t="s">
        <v>41</v>
      </c>
      <c r="G3597">
        <v>-145.0737</v>
      </c>
      <c r="H3597" s="1">
        <v>-2.119209E-6</v>
      </c>
      <c r="I3597">
        <v>139.7046</v>
      </c>
      <c r="J3597">
        <v>-168.8723</v>
      </c>
      <c r="K3597">
        <v>1.0861209999999999</v>
      </c>
      <c r="L3597">
        <v>142.87389999999999</v>
      </c>
      <c r="M3597">
        <v>0.92401049999999996</v>
      </c>
      <c r="N3597">
        <v>0</v>
      </c>
      <c r="O3597">
        <v>0.38200580000000001</v>
      </c>
      <c r="P3597">
        <v>0.96020110000000003</v>
      </c>
      <c r="Q3597">
        <v>0.1757986</v>
      </c>
      <c r="R3597">
        <v>0.2170454</v>
      </c>
      <c r="S3597">
        <v>3.2567439999999999</v>
      </c>
      <c r="T3597">
        <v>-0.14695540000000001</v>
      </c>
      <c r="U3597">
        <v>-0.41365049999999998</v>
      </c>
      <c r="V3597">
        <v>0.1744105</v>
      </c>
      <c r="W3597">
        <v>0.18453539999999999</v>
      </c>
      <c r="X3597">
        <v>0.96722680000000005</v>
      </c>
      <c r="Y3597">
        <v>0.49458239999999998</v>
      </c>
      <c r="Z3597">
        <v>-2.803686E-2</v>
      </c>
      <c r="AA3597">
        <v>0.86867839999999996</v>
      </c>
      <c r="AB3597">
        <v>41</v>
      </c>
      <c r="AC3597">
        <v>23.7986</v>
      </c>
      <c r="AD3597">
        <v>-1.086123119209</v>
      </c>
      <c r="AE3597">
        <v>-3.16929999999999</v>
      </c>
      <c r="AF3597">
        <v>11.996777844653</v>
      </c>
      <c r="AG3597">
        <v>-1.086123119209</v>
      </c>
      <c r="AH3597">
        <v>20.739890113405899</v>
      </c>
      <c r="AI3597">
        <v>92.595515738810093</v>
      </c>
      <c r="AJ3597">
        <v>59.953203042795899</v>
      </c>
      <c r="AK3597">
        <v>23.984273680897498</v>
      </c>
      <c r="AL3597">
        <v>79.365953684314505</v>
      </c>
      <c r="AM3597">
        <v>79.778258643944795</v>
      </c>
      <c r="AN3597">
        <v>1.0000000095008199</v>
      </c>
    </row>
    <row r="3598" spans="1:40" x14ac:dyDescent="0.3">
      <c r="A3598" t="str">
        <f>"20200111150429074"</f>
        <v>20200111150429074</v>
      </c>
      <c r="B3598" t="str">
        <f>"1578726269062769"</f>
        <v>1578726269062769</v>
      </c>
      <c r="C3598" t="s">
        <v>40</v>
      </c>
      <c r="D3598">
        <v>5.0740679999999996</v>
      </c>
      <c r="E3598">
        <v>0.64270629999999995</v>
      </c>
      <c r="F3598" t="s">
        <v>41</v>
      </c>
      <c r="G3598">
        <v>-143.803</v>
      </c>
      <c r="H3598" s="1">
        <v>-2.6726730000000002E-6</v>
      </c>
      <c r="I3598">
        <v>139.4365</v>
      </c>
      <c r="J3598">
        <v>-168.57169999999999</v>
      </c>
      <c r="K3598">
        <v>1.0861459999999901</v>
      </c>
      <c r="L3598">
        <v>142.994</v>
      </c>
      <c r="M3598">
        <v>0.92867189999999999</v>
      </c>
      <c r="N3598">
        <v>0</v>
      </c>
      <c r="O3598">
        <v>0.37052980000000002</v>
      </c>
      <c r="P3598">
        <v>0.96235910000000002</v>
      </c>
      <c r="Q3598">
        <v>0.1772338</v>
      </c>
      <c r="R3598">
        <v>0.20604239999999999</v>
      </c>
      <c r="S3598">
        <v>3.2509000000000001</v>
      </c>
      <c r="T3598">
        <v>-0.14084459999999999</v>
      </c>
      <c r="U3598">
        <v>-0.44573970000000002</v>
      </c>
      <c r="V3598">
        <v>0.17345239999999901</v>
      </c>
      <c r="W3598">
        <v>0.18601709999999999</v>
      </c>
      <c r="X3598">
        <v>0.96711519999999995</v>
      </c>
      <c r="Y3598">
        <v>0.4925233</v>
      </c>
      <c r="Z3598">
        <v>-2.6395020000000002E-2</v>
      </c>
      <c r="AA3598">
        <v>0.86989889999999903</v>
      </c>
      <c r="AB3598">
        <v>41</v>
      </c>
      <c r="AC3598">
        <v>24.7686999999999</v>
      </c>
      <c r="AD3598">
        <v>-1.0861486726730001</v>
      </c>
      <c r="AE3598">
        <v>-3.5575000000000001</v>
      </c>
      <c r="AF3598">
        <v>12.459540545043801</v>
      </c>
      <c r="AG3598">
        <v>-1.0861486726730001</v>
      </c>
      <c r="AH3598">
        <v>21.646047419428601</v>
      </c>
      <c r="AI3598">
        <v>92.490110496539202</v>
      </c>
      <c r="AJ3598">
        <v>60.0751188716767</v>
      </c>
      <c r="AK3598">
        <v>24.999424761719901</v>
      </c>
      <c r="AL3598">
        <v>79.279562179482696</v>
      </c>
      <c r="AM3598">
        <v>79.832087257109094</v>
      </c>
      <c r="AN3598">
        <v>0.99999995331460301</v>
      </c>
    </row>
    <row r="3599" spans="1:40" x14ac:dyDescent="0.3">
      <c r="A3599" t="str">
        <f>"20200111150429096"</f>
        <v>20200111150429096</v>
      </c>
      <c r="B3599" t="str">
        <f>"1578726269092049"</f>
        <v>1578726269092049</v>
      </c>
      <c r="C3599" t="s">
        <v>40</v>
      </c>
      <c r="D3599">
        <v>5.2362129999999896</v>
      </c>
      <c r="E3599">
        <v>0.64036380000000004</v>
      </c>
      <c r="F3599" t="s">
        <v>41</v>
      </c>
      <c r="G3599">
        <v>-142.5172</v>
      </c>
      <c r="H3599" s="1">
        <v>-3.2817010000000001E-6</v>
      </c>
      <c r="I3599">
        <v>139.1129</v>
      </c>
      <c r="J3599">
        <v>-168.18109999999999</v>
      </c>
      <c r="K3599">
        <v>1.086182</v>
      </c>
      <c r="L3599">
        <v>143.14340000000001</v>
      </c>
      <c r="M3599">
        <v>0.93449400000000005</v>
      </c>
      <c r="N3599">
        <v>0</v>
      </c>
      <c r="O3599">
        <v>0.35559089999999999</v>
      </c>
      <c r="P3599">
        <v>0.96528290000000005</v>
      </c>
      <c r="Q3599">
        <v>0.17797959999999999</v>
      </c>
      <c r="R3599">
        <v>0.19118689999999999</v>
      </c>
      <c r="S3599">
        <v>3.245743</v>
      </c>
      <c r="T3599">
        <v>-0.1353068</v>
      </c>
      <c r="U3599">
        <v>-0.48348999999999998</v>
      </c>
      <c r="V3599">
        <v>0.1728208</v>
      </c>
      <c r="W3599">
        <v>0.18679760000000001</v>
      </c>
      <c r="X3599">
        <v>0.96707790000000005</v>
      </c>
      <c r="Y3599">
        <v>0.48874489999999998</v>
      </c>
      <c r="Z3599">
        <v>-2.471425E-2</v>
      </c>
      <c r="AA3599">
        <v>0.87207659999999998</v>
      </c>
      <c r="AB3599">
        <v>41</v>
      </c>
      <c r="AC3599">
        <v>25.663899999999899</v>
      </c>
      <c r="AD3599">
        <v>-1.086185281701</v>
      </c>
      <c r="AE3599">
        <v>-4.0305000000000097</v>
      </c>
      <c r="AF3599">
        <v>12.8716057560052</v>
      </c>
      <c r="AG3599">
        <v>-1.086185281701</v>
      </c>
      <c r="AH3599">
        <v>22.5133079493731</v>
      </c>
      <c r="AI3599">
        <v>92.398379105743999</v>
      </c>
      <c r="AJ3599">
        <v>60.2419625445877</v>
      </c>
      <c r="AK3599">
        <v>25.955867699376199</v>
      </c>
      <c r="AL3599">
        <v>79.234045729973005</v>
      </c>
      <c r="AM3599">
        <v>79.867961087285707</v>
      </c>
      <c r="AN3599">
        <v>1.0000000184733999</v>
      </c>
    </row>
    <row r="3600" spans="1:40" x14ac:dyDescent="0.3">
      <c r="A3600" t="str">
        <f>"20200111150429111"</f>
        <v>20200111150429111</v>
      </c>
      <c r="B3600" t="str">
        <f>"1578726269102786"</f>
        <v>1578726269102786</v>
      </c>
      <c r="C3600" t="s">
        <v>40</v>
      </c>
      <c r="D3600">
        <v>5.1947650000000003</v>
      </c>
      <c r="E3600">
        <v>0.59538919999999995</v>
      </c>
      <c r="F3600" t="s">
        <v>41</v>
      </c>
      <c r="G3600">
        <v>-143.5583</v>
      </c>
      <c r="H3600" s="1">
        <v>-2.8144769999999999E-6</v>
      </c>
      <c r="I3600">
        <v>139.22899999999899</v>
      </c>
      <c r="J3600">
        <v>-167.92490000000001</v>
      </c>
      <c r="K3600">
        <v>1.0862019999999999</v>
      </c>
      <c r="L3600">
        <v>143.2379</v>
      </c>
      <c r="M3600">
        <v>0.93817070000000002</v>
      </c>
      <c r="N3600">
        <v>0</v>
      </c>
      <c r="O3600">
        <v>0.34577400000000003</v>
      </c>
      <c r="P3600">
        <v>0.96720459999999997</v>
      </c>
      <c r="Q3600">
        <v>0.1777745</v>
      </c>
      <c r="R3600">
        <v>0.18141550000000001</v>
      </c>
      <c r="S3600">
        <v>3.2361149999999999</v>
      </c>
      <c r="T3600">
        <v>-0.1427543</v>
      </c>
      <c r="U3600">
        <v>-0.51445010000000002</v>
      </c>
      <c r="V3600">
        <v>0.17245829999999901</v>
      </c>
      <c r="W3600">
        <v>0.1866139</v>
      </c>
      <c r="X3600">
        <v>0.96717799999999998</v>
      </c>
      <c r="Y3600">
        <v>0.48805470000000001</v>
      </c>
      <c r="Z3600">
        <v>-2.5708769999999999E-2</v>
      </c>
      <c r="AA3600">
        <v>0.87243440000000005</v>
      </c>
      <c r="AB3600">
        <v>41</v>
      </c>
      <c r="AC3600">
        <v>24.366599999999998</v>
      </c>
      <c r="AD3600">
        <v>-1.086204814477</v>
      </c>
      <c r="AE3600">
        <v>-4.0089000000000103</v>
      </c>
      <c r="AF3600">
        <v>12.1645160065786</v>
      </c>
      <c r="AG3600">
        <v>-1.086204814477</v>
      </c>
      <c r="AH3600">
        <v>21.435348700538501</v>
      </c>
      <c r="AI3600">
        <v>92.523470800834701</v>
      </c>
      <c r="AJ3600">
        <v>60.425179233254703</v>
      </c>
      <c r="AK3600">
        <v>24.670416787865101</v>
      </c>
      <c r="AL3600">
        <v>79.244758590384293</v>
      </c>
      <c r="AM3600">
        <v>79.889799471470994</v>
      </c>
      <c r="AN3600">
        <v>0.99999994829804795</v>
      </c>
    </row>
    <row r="3601" spans="1:40" x14ac:dyDescent="0.3">
      <c r="A3601" t="str">
        <f>"20200111150429131"</f>
        <v>20200111150429131</v>
      </c>
      <c r="B3601" t="str">
        <f>"1578726269122305"</f>
        <v>1578726269122305</v>
      </c>
      <c r="C3601" t="s">
        <v>40</v>
      </c>
      <c r="D3601">
        <v>5.2207589999999904</v>
      </c>
      <c r="E3601">
        <v>0.57287140000000003</v>
      </c>
      <c r="F3601" t="s">
        <v>41</v>
      </c>
      <c r="G3601">
        <v>-150.07589999999999</v>
      </c>
      <c r="H3601" s="1">
        <v>-4.6990990000000002E-6</v>
      </c>
      <c r="I3601">
        <v>142.14689999999999</v>
      </c>
      <c r="J3601">
        <v>-167.5949</v>
      </c>
      <c r="K3601">
        <v>1.086225</v>
      </c>
      <c r="L3601">
        <v>143.35470000000001</v>
      </c>
      <c r="M3601">
        <v>0.94273779999999996</v>
      </c>
      <c r="N3601">
        <v>0</v>
      </c>
      <c r="O3601">
        <v>0.3331209</v>
      </c>
      <c r="P3601">
        <v>0.96956929999999997</v>
      </c>
      <c r="Q3601">
        <v>0.1767244</v>
      </c>
      <c r="R3601">
        <v>0.1694222</v>
      </c>
      <c r="S3601">
        <v>3.1736149999999999</v>
      </c>
      <c r="T3601">
        <v>-0.19313130000000001</v>
      </c>
      <c r="U3601">
        <v>-0.19398499999999999</v>
      </c>
      <c r="V3601">
        <v>0.171432</v>
      </c>
      <c r="W3601">
        <v>0.1856198</v>
      </c>
      <c r="X3601">
        <v>0.96755170000000001</v>
      </c>
      <c r="Y3601">
        <v>0.38875169999999998</v>
      </c>
      <c r="Z3601">
        <v>-3.1798100000000003E-2</v>
      </c>
      <c r="AA3601">
        <v>0.92079370000000005</v>
      </c>
      <c r="AB3601">
        <v>41</v>
      </c>
      <c r="AC3601">
        <v>17.518999999999998</v>
      </c>
      <c r="AD3601">
        <v>-1.0862296990989999</v>
      </c>
      <c r="AE3601">
        <v>-1.20780000000002</v>
      </c>
      <c r="AF3601">
        <v>6.94895816294519</v>
      </c>
      <c r="AG3601">
        <v>-1.0862296990989999</v>
      </c>
      <c r="AH3601">
        <v>16.054276909237402</v>
      </c>
      <c r="AI3601">
        <v>93.553093479024994</v>
      </c>
      <c r="AJ3601">
        <v>66.595033805266098</v>
      </c>
      <c r="AK3601">
        <v>17.5273421141952</v>
      </c>
      <c r="AL3601">
        <v>79.302729412234498</v>
      </c>
      <c r="AM3601">
        <v>79.952537950912401</v>
      </c>
      <c r="AN3601">
        <v>0.99999996647446399</v>
      </c>
    </row>
    <row r="3602" spans="1:40" x14ac:dyDescent="0.3">
      <c r="A3602" t="str">
        <f>"20200111150429152"</f>
        <v>20200111150429152</v>
      </c>
      <c r="B3602" t="str">
        <f>"1578726269142801"</f>
        <v>1578726269142801</v>
      </c>
      <c r="C3602" t="s">
        <v>40</v>
      </c>
      <c r="D3602">
        <v>5.3207259999999996</v>
      </c>
      <c r="E3602">
        <v>0.56457170000000001</v>
      </c>
      <c r="F3602" t="s">
        <v>41</v>
      </c>
      <c r="G3602">
        <v>-153.4314</v>
      </c>
      <c r="H3602" s="1">
        <v>-3.7265019999999999E-6</v>
      </c>
      <c r="I3602">
        <v>143.10120000000001</v>
      </c>
      <c r="J3602">
        <v>-167.20959999999999</v>
      </c>
      <c r="K3602">
        <v>1.0862449999999999</v>
      </c>
      <c r="L3602">
        <v>143.48439999999999</v>
      </c>
      <c r="M3602">
        <v>0.94783510000000004</v>
      </c>
      <c r="N3602">
        <v>0</v>
      </c>
      <c r="O3602">
        <v>0.3183281</v>
      </c>
      <c r="P3602">
        <v>0.97211709999999996</v>
      </c>
      <c r="Q3602">
        <v>0.17500250000000001</v>
      </c>
      <c r="R3602">
        <v>0.1560858</v>
      </c>
      <c r="S3602">
        <v>3.1480260000000002</v>
      </c>
      <c r="T3602">
        <v>-0.2414268</v>
      </c>
      <c r="U3602">
        <v>-5.6335450000000002E-2</v>
      </c>
      <c r="V3602">
        <v>0.1695931</v>
      </c>
      <c r="W3602">
        <v>0.1839923</v>
      </c>
      <c r="X3602">
        <v>0.9681864</v>
      </c>
      <c r="Y3602">
        <v>0.33339159999999901</v>
      </c>
      <c r="Z3602">
        <v>-3.6834369999999998E-2</v>
      </c>
      <c r="AA3602">
        <v>0.94206860000000003</v>
      </c>
      <c r="AB3602">
        <v>41</v>
      </c>
      <c r="AC3602">
        <v>13.778199999999901</v>
      </c>
      <c r="AD3602">
        <v>-1.086248726502</v>
      </c>
      <c r="AE3602">
        <v>-0.38319999999998799</v>
      </c>
      <c r="AF3602">
        <v>4.72053614474724</v>
      </c>
      <c r="AG3602">
        <v>-1.086248726502</v>
      </c>
      <c r="AH3602">
        <v>12.8593976257508</v>
      </c>
      <c r="AI3602">
        <v>94.533907180539799</v>
      </c>
      <c r="AJ3602">
        <v>69.842397838666798</v>
      </c>
      <c r="AK3602">
        <v>13.741452073447601</v>
      </c>
      <c r="AL3602">
        <v>79.397612447399993</v>
      </c>
      <c r="AM3602">
        <v>80.064539995552295</v>
      </c>
      <c r="AN3602">
        <v>0.99999994558592797</v>
      </c>
    </row>
    <row r="3603" spans="1:40" x14ac:dyDescent="0.3">
      <c r="A3603" t="str">
        <f>"20200111150429175"</f>
        <v>20200111150429175</v>
      </c>
      <c r="B3603" t="str">
        <f>"1578726269172081"</f>
        <v>1578726269172081</v>
      </c>
      <c r="C3603" t="s">
        <v>40</v>
      </c>
      <c r="D3603">
        <v>5.3004670000000003</v>
      </c>
      <c r="E3603">
        <v>0.55856149999999904</v>
      </c>
      <c r="F3603" t="s">
        <v>41</v>
      </c>
      <c r="G3603">
        <v>-153.38810000000001</v>
      </c>
      <c r="H3603" s="1">
        <v>-3.781158E-6</v>
      </c>
      <c r="I3603">
        <v>143.3263</v>
      </c>
      <c r="J3603">
        <v>-166.81790000000001</v>
      </c>
      <c r="K3603">
        <v>1.086271</v>
      </c>
      <c r="L3603">
        <v>143.60929999999999</v>
      </c>
      <c r="M3603">
        <v>0.95275840000000001</v>
      </c>
      <c r="N3603">
        <v>0</v>
      </c>
      <c r="O3603">
        <v>0.30327500000000002</v>
      </c>
      <c r="P3603">
        <v>0.97431829999999997</v>
      </c>
      <c r="Q3603">
        <v>0.17366239999999999</v>
      </c>
      <c r="R3603">
        <v>0.14333599999999999</v>
      </c>
      <c r="S3603">
        <v>3.1361690000000002</v>
      </c>
      <c r="T3603">
        <v>-0.24647469999999999</v>
      </c>
      <c r="U3603">
        <v>-3.5858149999999998E-2</v>
      </c>
      <c r="V3603">
        <v>0.1669379</v>
      </c>
      <c r="W3603">
        <v>0.1827829</v>
      </c>
      <c r="X3603">
        <v>0.96887679999999998</v>
      </c>
      <c r="Y3603">
        <v>0.31231419999999999</v>
      </c>
      <c r="Z3603">
        <v>-3.5776559999999999E-2</v>
      </c>
      <c r="AA3603">
        <v>0.94930490000000001</v>
      </c>
      <c r="AB3603">
        <v>41</v>
      </c>
      <c r="AC3603">
        <v>13.4298</v>
      </c>
      <c r="AD3603">
        <v>-1.086274781158</v>
      </c>
      <c r="AE3603">
        <v>-0.28299999999998698</v>
      </c>
      <c r="AF3603">
        <v>4.3149342745606702</v>
      </c>
      <c r="AG3603">
        <v>-1.086274781158</v>
      </c>
      <c r="AH3603">
        <v>12.6286944328607</v>
      </c>
      <c r="AI3603">
        <v>94.653404946548093</v>
      </c>
      <c r="AJ3603">
        <v>71.135882901574007</v>
      </c>
      <c r="AK3603">
        <v>13.3896442735618</v>
      </c>
      <c r="AL3603">
        <v>79.468102553067396</v>
      </c>
      <c r="AM3603">
        <v>80.223900191729996</v>
      </c>
      <c r="AN3603">
        <v>1.00000005228352</v>
      </c>
    </row>
    <row r="3604" spans="1:40" x14ac:dyDescent="0.3">
      <c r="A3604" t="str">
        <f>"20200111150429197"</f>
        <v>20200111150429197</v>
      </c>
      <c r="B3604" t="str">
        <f>"1578726269192577"</f>
        <v>1578726269192577</v>
      </c>
      <c r="C3604" t="s">
        <v>40</v>
      </c>
      <c r="D3604">
        <v>5.3499439999999998</v>
      </c>
      <c r="E3604">
        <v>0.55545819999999901</v>
      </c>
      <c r="F3604" t="s">
        <v>41</v>
      </c>
      <c r="G3604">
        <v>-153.08969999999999</v>
      </c>
      <c r="H3604" s="1">
        <v>-3.9083039999999996E-6</v>
      </c>
      <c r="I3604">
        <v>143.47059999999999</v>
      </c>
      <c r="J3604">
        <v>-166.42339999999999</v>
      </c>
      <c r="K3604">
        <v>1.086303</v>
      </c>
      <c r="L3604">
        <v>143.72829999999999</v>
      </c>
      <c r="M3604">
        <v>0.95745690000000006</v>
      </c>
      <c r="N3604">
        <v>0</v>
      </c>
      <c r="O3604">
        <v>0.28809869999999999</v>
      </c>
      <c r="P3604">
        <v>0.97624279999999997</v>
      </c>
      <c r="Q3604">
        <v>0.17304839999999999</v>
      </c>
      <c r="R3604">
        <v>0.13040080000000001</v>
      </c>
      <c r="S3604">
        <v>3.1278380000000001</v>
      </c>
      <c r="T3604">
        <v>-0.2474953</v>
      </c>
      <c r="U3604">
        <v>-3.1600950000000003E-2</v>
      </c>
      <c r="V3604">
        <v>0.16437889999999999</v>
      </c>
      <c r="W3604">
        <v>0.1822925</v>
      </c>
      <c r="X3604">
        <v>0.96940649999999995</v>
      </c>
      <c r="Y3604">
        <v>0.29599039999999999</v>
      </c>
      <c r="Z3604">
        <v>-3.4216360000000001E-2</v>
      </c>
      <c r="AA3604">
        <v>0.95457789999999998</v>
      </c>
      <c r="AB3604">
        <v>41</v>
      </c>
      <c r="AC3604">
        <v>13.333699999999901</v>
      </c>
      <c r="AD3604">
        <v>-1.086306908304</v>
      </c>
      <c r="AE3604">
        <v>-0.25769999999999899</v>
      </c>
      <c r="AF3604">
        <v>4.0617714921471499</v>
      </c>
      <c r="AG3604">
        <v>-1.086306908304</v>
      </c>
      <c r="AH3604">
        <v>12.610278942862999</v>
      </c>
      <c r="AI3604">
        <v>94.687539584437602</v>
      </c>
      <c r="AJ3604">
        <v>72.146247626957205</v>
      </c>
      <c r="AK3604">
        <v>13.2927493533227</v>
      </c>
      <c r="AL3604">
        <v>79.496679674067394</v>
      </c>
      <c r="AM3604">
        <v>80.376094604256707</v>
      </c>
      <c r="AN3604">
        <v>0.99999997028185394</v>
      </c>
    </row>
    <row r="3605" spans="1:40" x14ac:dyDescent="0.3">
      <c r="A3605" t="str">
        <f>"20200111150429219"</f>
        <v>20200111150429219</v>
      </c>
      <c r="B3605" t="str">
        <f>"1578726269212100"</f>
        <v>1578726269212100</v>
      </c>
      <c r="C3605" t="s">
        <v>40</v>
      </c>
      <c r="D3605">
        <v>5.2981829999999999</v>
      </c>
      <c r="E3605">
        <v>0.55307510000000004</v>
      </c>
      <c r="F3605" t="s">
        <v>41</v>
      </c>
      <c r="G3605">
        <v>-152.9084</v>
      </c>
      <c r="H3605" s="1">
        <v>-3.9778079999999996E-6</v>
      </c>
      <c r="I3605">
        <v>143.5146</v>
      </c>
      <c r="J3605">
        <v>-166.01990000000001</v>
      </c>
      <c r="K3605">
        <v>1.086338</v>
      </c>
      <c r="L3605">
        <v>143.84289999999999</v>
      </c>
      <c r="M3605">
        <v>0.96199409999999996</v>
      </c>
      <c r="N3605">
        <v>0</v>
      </c>
      <c r="O3605">
        <v>0.27256639999999999</v>
      </c>
      <c r="P3605">
        <v>0.97807259999999996</v>
      </c>
      <c r="Q3605">
        <v>0.17220260000000001</v>
      </c>
      <c r="R3605">
        <v>0.11713510000000001</v>
      </c>
      <c r="S3605">
        <v>3.1240999999999999</v>
      </c>
      <c r="T3605">
        <v>-0.25110729999999998</v>
      </c>
      <c r="U3605">
        <v>-4.9377440000000002E-2</v>
      </c>
      <c r="V3605">
        <v>0.1618338</v>
      </c>
      <c r="W3605">
        <v>0.18156990000000001</v>
      </c>
      <c r="X3605">
        <v>0.9699702</v>
      </c>
      <c r="Y3605">
        <v>0.28598869999999998</v>
      </c>
      <c r="Z3605">
        <v>-3.314922E-2</v>
      </c>
      <c r="AA3605">
        <v>0.95765940000000005</v>
      </c>
      <c r="AB3605">
        <v>40</v>
      </c>
      <c r="AC3605">
        <v>13.111499999999999</v>
      </c>
      <c r="AD3605">
        <v>-1.0863419778079999</v>
      </c>
      <c r="AE3605">
        <v>-0.32829999999998399</v>
      </c>
      <c r="AF3605">
        <v>3.8636054773989001</v>
      </c>
      <c r="AG3605">
        <v>-1.0863419778079999</v>
      </c>
      <c r="AH3605">
        <v>12.4400786504713</v>
      </c>
      <c r="AI3605">
        <v>94.767231141718099</v>
      </c>
      <c r="AJ3605">
        <v>72.746394239652602</v>
      </c>
      <c r="AK3605">
        <v>13.0714629253059</v>
      </c>
      <c r="AL3605">
        <v>79.538784574158598</v>
      </c>
      <c r="AM3605">
        <v>80.527786947160095</v>
      </c>
      <c r="AN3605">
        <v>0.99999999814824503</v>
      </c>
    </row>
    <row r="3606" spans="1:40" x14ac:dyDescent="0.3">
      <c r="A3606" t="str">
        <f>"20200111150429241"</f>
        <v>20200111150429241</v>
      </c>
      <c r="B3606" t="str">
        <f>"1578726269232592"</f>
        <v>1578726269232592</v>
      </c>
      <c r="C3606" t="s">
        <v>40</v>
      </c>
      <c r="D3606">
        <v>5.3827339999999904</v>
      </c>
      <c r="E3606">
        <v>0.55053229999999997</v>
      </c>
      <c r="F3606" t="s">
        <v>41</v>
      </c>
      <c r="G3606">
        <v>-152.74350000000001</v>
      </c>
      <c r="H3606" s="1">
        <v>-4.036347E-6</v>
      </c>
      <c r="I3606">
        <v>143.5284</v>
      </c>
      <c r="J3606">
        <v>-165.64179999999999</v>
      </c>
      <c r="K3606">
        <v>1.086374</v>
      </c>
      <c r="L3606">
        <v>143.94390000000001</v>
      </c>
      <c r="M3606">
        <v>0.96600079999999999</v>
      </c>
      <c r="N3606">
        <v>0</v>
      </c>
      <c r="O3606">
        <v>0.25800719999999999</v>
      </c>
      <c r="P3606">
        <v>0.97961010000000004</v>
      </c>
      <c r="Q3606">
        <v>0.1712322</v>
      </c>
      <c r="R3606">
        <v>0.10509</v>
      </c>
      <c r="S3606">
        <v>3.1210629999999999</v>
      </c>
      <c r="T3606">
        <v>-0.25538119999999997</v>
      </c>
      <c r="U3606">
        <v>-7.3928830000000001E-2</v>
      </c>
      <c r="V3606">
        <v>0.15910179999999999</v>
      </c>
      <c r="W3606">
        <v>0.18072959999999999</v>
      </c>
      <c r="X3606">
        <v>0.97057890000000002</v>
      </c>
      <c r="Y3606">
        <v>0.279066799999999</v>
      </c>
      <c r="Z3606">
        <v>-3.2307170000000003E-2</v>
      </c>
      <c r="AA3606">
        <v>0.95972809999999997</v>
      </c>
      <c r="AB3606">
        <v>40</v>
      </c>
      <c r="AC3606">
        <v>12.8982999999999</v>
      </c>
      <c r="AD3606">
        <v>-1.0863780363469999</v>
      </c>
      <c r="AE3606">
        <v>-0.41550000000000797</v>
      </c>
      <c r="AF3606">
        <v>3.7034942830292801</v>
      </c>
      <c r="AG3606">
        <v>-1.0863780363469999</v>
      </c>
      <c r="AH3606">
        <v>12.267327966324901</v>
      </c>
      <c r="AI3606">
        <v>94.845911934131195</v>
      </c>
      <c r="AJ3606">
        <v>73.200986183935001</v>
      </c>
      <c r="AK3606">
        <v>12.860148621834201</v>
      </c>
      <c r="AL3606">
        <v>79.587740037135404</v>
      </c>
      <c r="AM3606">
        <v>80.690605675643397</v>
      </c>
      <c r="AN3606">
        <v>0.99999998610230501</v>
      </c>
    </row>
    <row r="3607" spans="1:40" x14ac:dyDescent="0.3">
      <c r="A3607" t="str">
        <f>"20200111150429263"</f>
        <v>20200111150429263</v>
      </c>
      <c r="B3607" t="str">
        <f>"1578726269252114"</f>
        <v>1578726269252114</v>
      </c>
      <c r="C3607" t="s">
        <v>40</v>
      </c>
      <c r="D3607">
        <v>5.2389789999999996</v>
      </c>
      <c r="E3607">
        <v>0.54952480000000004</v>
      </c>
      <c r="F3607" t="s">
        <v>41</v>
      </c>
      <c r="G3607">
        <v>-152.77189999999999</v>
      </c>
      <c r="H3607" s="1">
        <v>-4.0318769999999999E-6</v>
      </c>
      <c r="I3607">
        <v>143.5575</v>
      </c>
      <c r="J3607">
        <v>-165.245</v>
      </c>
      <c r="K3607">
        <v>1.086408</v>
      </c>
      <c r="L3607">
        <v>144.04339999999999</v>
      </c>
      <c r="M3607">
        <v>0.9699546</v>
      </c>
      <c r="N3607">
        <v>0</v>
      </c>
      <c r="O3607">
        <v>0.2427213</v>
      </c>
      <c r="P3607">
        <v>0.98102500000000004</v>
      </c>
      <c r="Q3607">
        <v>0.17045969999999999</v>
      </c>
      <c r="R3607">
        <v>9.2376609999999998E-2</v>
      </c>
      <c r="S3607">
        <v>3.1185</v>
      </c>
      <c r="T3607">
        <v>-0.26323790000000002</v>
      </c>
      <c r="U3607">
        <v>-9.3627929999999998E-2</v>
      </c>
      <c r="V3607">
        <v>0.15633900000000001</v>
      </c>
      <c r="W3607">
        <v>0.180087</v>
      </c>
      <c r="X3607">
        <v>0.97114710000000004</v>
      </c>
      <c r="Y3607">
        <v>0.2699455</v>
      </c>
      <c r="Z3607">
        <v>-3.1683990000000002E-2</v>
      </c>
      <c r="AA3607">
        <v>0.96235420000000005</v>
      </c>
      <c r="AB3607">
        <v>40</v>
      </c>
      <c r="AC3607">
        <v>12.473100000000001</v>
      </c>
      <c r="AD3607">
        <v>-1.0864120318770001</v>
      </c>
      <c r="AE3607">
        <v>-0.48589999999998601</v>
      </c>
      <c r="AF3607">
        <v>3.4729605744191199</v>
      </c>
      <c r="AG3607">
        <v>-1.0864120318770001</v>
      </c>
      <c r="AH3607">
        <v>11.8919653028107</v>
      </c>
      <c r="AI3607">
        <v>95.011656686951696</v>
      </c>
      <c r="AJ3607">
        <v>73.719946112591302</v>
      </c>
      <c r="AK3607">
        <v>12.4362608937627</v>
      </c>
      <c r="AL3607">
        <v>79.625172128436105</v>
      </c>
      <c r="AM3607">
        <v>80.854768087761002</v>
      </c>
      <c r="AN3607">
        <v>0.99999995016420296</v>
      </c>
    </row>
    <row r="3608" spans="1:40" x14ac:dyDescent="0.3">
      <c r="A3608" t="str">
        <f>"20200111150429286"</f>
        <v>20200111150429286</v>
      </c>
      <c r="B3608" t="str">
        <f>"1578726269282370"</f>
        <v>1578726269282370</v>
      </c>
      <c r="C3608" t="s">
        <v>40</v>
      </c>
      <c r="D3608">
        <v>5.3933169999999997</v>
      </c>
      <c r="E3608">
        <v>0.54718080000000002</v>
      </c>
      <c r="F3608" t="s">
        <v>41</v>
      </c>
      <c r="G3608">
        <v>-152.49279999999999</v>
      </c>
      <c r="H3608" s="1">
        <v>-4.1205980000000004E-6</v>
      </c>
      <c r="I3608">
        <v>143.5224</v>
      </c>
      <c r="J3608">
        <v>-164.8449</v>
      </c>
      <c r="K3608">
        <v>1.0864499999999999</v>
      </c>
      <c r="L3608">
        <v>144.1369</v>
      </c>
      <c r="M3608">
        <v>0.97368180000000004</v>
      </c>
      <c r="N3608">
        <v>0</v>
      </c>
      <c r="O3608">
        <v>0.2273097</v>
      </c>
      <c r="P3608">
        <v>0.98213059999999996</v>
      </c>
      <c r="Q3608">
        <v>0.17056289999999999</v>
      </c>
      <c r="R3608">
        <v>7.9548099999999997E-2</v>
      </c>
      <c r="S3608">
        <v>3.1161189999999999</v>
      </c>
      <c r="T3608">
        <v>-0.26547530000000003</v>
      </c>
      <c r="U3608">
        <v>-0.1273193</v>
      </c>
      <c r="V3608">
        <v>0.15360670000000001</v>
      </c>
      <c r="W3608">
        <v>0.1803159</v>
      </c>
      <c r="X3608">
        <v>0.97154059999999998</v>
      </c>
      <c r="Y3608">
        <v>0.26513239999999999</v>
      </c>
      <c r="Z3608">
        <v>-3.048789E-2</v>
      </c>
      <c r="AA3608">
        <v>0.96372990000000003</v>
      </c>
      <c r="AB3608">
        <v>40</v>
      </c>
      <c r="AC3608">
        <v>12.3521</v>
      </c>
      <c r="AD3608">
        <v>-1.0864541205979901</v>
      </c>
      <c r="AE3608">
        <v>-0.61449999999999205</v>
      </c>
      <c r="AF3608">
        <v>3.3804582821286</v>
      </c>
      <c r="AG3608">
        <v>-1.0864541205979901</v>
      </c>
      <c r="AH3608">
        <v>11.797913844361499</v>
      </c>
      <c r="AI3608">
        <v>95.058998167807005</v>
      </c>
      <c r="AJ3608">
        <v>74.011394646573706</v>
      </c>
      <c r="AK3608">
        <v>12.3206595534635</v>
      </c>
      <c r="AL3608">
        <v>79.6118392703723</v>
      </c>
      <c r="AM3608">
        <v>81.015546345910295</v>
      </c>
      <c r="AN3608">
        <v>0.99999998976302895</v>
      </c>
    </row>
    <row r="3609" spans="1:40" x14ac:dyDescent="0.3">
      <c r="A3609" t="str">
        <f>"20200111150429309"</f>
        <v>20200111150429309</v>
      </c>
      <c r="B3609" t="str">
        <f>"1578726269302865"</f>
        <v>1578726269302865</v>
      </c>
      <c r="C3609" t="s">
        <v>40</v>
      </c>
      <c r="D3609">
        <v>5.3918889999999999</v>
      </c>
      <c r="E3609">
        <v>0.54659619999999998</v>
      </c>
      <c r="F3609" t="s">
        <v>41</v>
      </c>
      <c r="G3609">
        <v>-152.5806</v>
      </c>
      <c r="H3609" s="1">
        <v>-4.0944439999999997E-6</v>
      </c>
      <c r="I3609">
        <v>143.54339999999999</v>
      </c>
      <c r="J3609">
        <v>-164.4316</v>
      </c>
      <c r="K3609">
        <v>1.086495</v>
      </c>
      <c r="L3609">
        <v>144.22659999999999</v>
      </c>
      <c r="M3609">
        <v>0.97726469999999999</v>
      </c>
      <c r="N3609">
        <v>0</v>
      </c>
      <c r="O3609">
        <v>0.21137700000000001</v>
      </c>
      <c r="P3609">
        <v>0.98304829999999999</v>
      </c>
      <c r="Q3609">
        <v>0.17114309999999999</v>
      </c>
      <c r="R3609">
        <v>6.5775730000000004E-2</v>
      </c>
      <c r="S3609">
        <v>3.1147459999999998</v>
      </c>
      <c r="T3609">
        <v>-0.27592430000000001</v>
      </c>
      <c r="U3609">
        <v>-0.1507416</v>
      </c>
      <c r="V3609">
        <v>0.151335</v>
      </c>
      <c r="W3609">
        <v>0.18099870000000001</v>
      </c>
      <c r="X3609">
        <v>0.97177009999999997</v>
      </c>
      <c r="Y3609">
        <v>0.25658209999999998</v>
      </c>
      <c r="Z3609">
        <v>-2.99332E-2</v>
      </c>
      <c r="AA3609">
        <v>0.9660588</v>
      </c>
      <c r="AB3609">
        <v>40</v>
      </c>
      <c r="AC3609">
        <v>11.851000000000001</v>
      </c>
      <c r="AD3609">
        <v>-1.0864990944440001</v>
      </c>
      <c r="AE3609">
        <v>-0.68319999999999903</v>
      </c>
      <c r="AF3609">
        <v>3.1467683294291602</v>
      </c>
      <c r="AG3609">
        <v>-1.0864990944440001</v>
      </c>
      <c r="AH3609">
        <v>11.343685105493099</v>
      </c>
      <c r="AI3609">
        <v>95.2731605432093</v>
      </c>
      <c r="AJ3609">
        <v>74.495844445402795</v>
      </c>
      <c r="AK3609">
        <v>11.822090465476601</v>
      </c>
      <c r="AL3609">
        <v>79.572063025908506</v>
      </c>
      <c r="AM3609">
        <v>81.148355393165005</v>
      </c>
      <c r="AN3609">
        <v>0.99999996944034897</v>
      </c>
    </row>
    <row r="3610" spans="1:40" x14ac:dyDescent="0.3">
      <c r="A3610" t="str">
        <f>"20200111150429332"</f>
        <v>20200111150429332</v>
      </c>
      <c r="B3610" t="str">
        <f>"1578726269322384"</f>
        <v>1578726269322384</v>
      </c>
      <c r="C3610" t="s">
        <v>40</v>
      </c>
      <c r="D3610">
        <v>5.4147679999999996</v>
      </c>
      <c r="E3610">
        <v>0.54543629999999999</v>
      </c>
      <c r="F3610" t="s">
        <v>41</v>
      </c>
      <c r="G3610">
        <v>-152.44059999999999</v>
      </c>
      <c r="H3610" s="1">
        <v>-4.1328910000000002E-6</v>
      </c>
      <c r="I3610">
        <v>143.4915</v>
      </c>
      <c r="J3610">
        <v>-164.0342</v>
      </c>
      <c r="K3610">
        <v>1.0865340000000001</v>
      </c>
      <c r="L3610">
        <v>144.3056</v>
      </c>
      <c r="M3610">
        <v>0.98045360000000004</v>
      </c>
      <c r="N3610">
        <v>0</v>
      </c>
      <c r="O3610">
        <v>0.19605449999999999</v>
      </c>
      <c r="P3610">
        <v>0.98385599999999995</v>
      </c>
      <c r="Q3610">
        <v>0.1712631</v>
      </c>
      <c r="R3610">
        <v>5.1924280000000003E-2</v>
      </c>
      <c r="S3610">
        <v>3.1136020000000002</v>
      </c>
      <c r="T3610">
        <v>-0.28212169999999998</v>
      </c>
      <c r="U3610">
        <v>-0.19087219999999999</v>
      </c>
      <c r="V3610">
        <v>0.1497908</v>
      </c>
      <c r="W3610">
        <v>0.18118919999999999</v>
      </c>
      <c r="X3610">
        <v>0.9719738</v>
      </c>
      <c r="Y3610">
        <v>0.25387969999999999</v>
      </c>
      <c r="Z3610">
        <v>-2.9121330000000001E-2</v>
      </c>
      <c r="AA3610">
        <v>0.96679729999999997</v>
      </c>
      <c r="AB3610">
        <v>40</v>
      </c>
      <c r="AC3610">
        <v>11.5936</v>
      </c>
      <c r="AD3610">
        <v>-1.086538132891</v>
      </c>
      <c r="AE3610">
        <v>-0.81409999999999605</v>
      </c>
      <c r="AF3610">
        <v>3.0449711981316301</v>
      </c>
      <c r="AG3610">
        <v>-1.086538132891</v>
      </c>
      <c r="AH3610">
        <v>11.1117927418505</v>
      </c>
      <c r="AI3610">
        <v>95.387384378089706</v>
      </c>
      <c r="AJ3610">
        <v>74.675399148067498</v>
      </c>
      <c r="AK3610">
        <v>11.5725689736341</v>
      </c>
      <c r="AL3610">
        <v>79.560964355104403</v>
      </c>
      <c r="AM3610">
        <v>81.239075324457204</v>
      </c>
      <c r="AN3610">
        <v>0.99999993892385797</v>
      </c>
    </row>
    <row r="3611" spans="1:40" x14ac:dyDescent="0.3">
      <c r="A3611" t="str">
        <f>"20200111150429352"</f>
        <v>20200111150429352</v>
      </c>
      <c r="B3611" t="str">
        <f>"1578726269342881"</f>
        <v>1578726269342881</v>
      </c>
      <c r="C3611" t="s">
        <v>40</v>
      </c>
      <c r="D3611">
        <v>5.4904960000000003</v>
      </c>
      <c r="E3611">
        <v>0.54448369999999902</v>
      </c>
      <c r="F3611" t="s">
        <v>41</v>
      </c>
      <c r="G3611">
        <v>-152.13829999999999</v>
      </c>
      <c r="H3611" s="1">
        <v>-4.2270170000000002E-6</v>
      </c>
      <c r="I3611">
        <v>143.44220000000001</v>
      </c>
      <c r="J3611">
        <v>-163.6507</v>
      </c>
      <c r="K3611">
        <v>1.086568</v>
      </c>
      <c r="L3611">
        <v>144.37569999999999</v>
      </c>
      <c r="M3611">
        <v>0.98329739999999999</v>
      </c>
      <c r="N3611">
        <v>0</v>
      </c>
      <c r="O3611">
        <v>0.1812551</v>
      </c>
      <c r="P3611">
        <v>0.98464419999999997</v>
      </c>
      <c r="Q3611">
        <v>0.17025699999999999</v>
      </c>
      <c r="R3611">
        <v>3.8585410000000001E-2</v>
      </c>
      <c r="S3611">
        <v>3.1105800000000001</v>
      </c>
      <c r="T3611">
        <v>-0.28411180000000003</v>
      </c>
      <c r="U3611">
        <v>-0.22573850000000001</v>
      </c>
      <c r="V3611">
        <v>0.14828440000000001</v>
      </c>
      <c r="W3611">
        <v>0.180254</v>
      </c>
      <c r="X3611">
        <v>0.97237870000000004</v>
      </c>
      <c r="Y3611">
        <v>0.25019960000000002</v>
      </c>
      <c r="Z3611">
        <v>-2.784737E-2</v>
      </c>
      <c r="AA3611">
        <v>0.96779369999999998</v>
      </c>
      <c r="AB3611">
        <v>40</v>
      </c>
      <c r="AC3611">
        <v>11.5124</v>
      </c>
      <c r="AD3611">
        <v>-1.086572227017</v>
      </c>
      <c r="AE3611">
        <v>-0.93349999999998001</v>
      </c>
      <c r="AF3611">
        <v>2.97863855296599</v>
      </c>
      <c r="AG3611">
        <v>-1.086572227017</v>
      </c>
      <c r="AH3611">
        <v>11.0546003921375</v>
      </c>
      <c r="AI3611">
        <v>95.421506460500893</v>
      </c>
      <c r="AJ3611">
        <v>74.919914102848793</v>
      </c>
      <c r="AK3611">
        <v>11.500309415993399</v>
      </c>
      <c r="AL3611">
        <v>79.615445614011193</v>
      </c>
      <c r="AM3611">
        <v>81.329391554106806</v>
      </c>
      <c r="AN3611">
        <v>1.00000005200652</v>
      </c>
    </row>
    <row r="3612" spans="1:40" x14ac:dyDescent="0.3">
      <c r="A3612" t="str">
        <f>"20200111150429376"</f>
        <v>20200111150429376</v>
      </c>
      <c r="B3612" t="str">
        <f>"1578726269372161"</f>
        <v>1578726269372161</v>
      </c>
      <c r="C3612" t="s">
        <v>40</v>
      </c>
      <c r="D3612">
        <v>5.4553909999999997</v>
      </c>
      <c r="E3612">
        <v>0.54307640000000001</v>
      </c>
      <c r="F3612" t="s">
        <v>41</v>
      </c>
      <c r="G3612">
        <v>-151.87129999999999</v>
      </c>
      <c r="H3612" s="1">
        <v>-4.3077119999999998E-6</v>
      </c>
      <c r="I3612">
        <v>143.38489999999999</v>
      </c>
      <c r="J3612">
        <v>-163.2441</v>
      </c>
      <c r="K3612">
        <v>1.0866070000000001</v>
      </c>
      <c r="L3612">
        <v>144.44329999999999</v>
      </c>
      <c r="M3612">
        <v>0.9860622</v>
      </c>
      <c r="N3612">
        <v>0</v>
      </c>
      <c r="O3612">
        <v>0.16555599999999901</v>
      </c>
      <c r="P3612">
        <v>0.98553170000000001</v>
      </c>
      <c r="Q3612">
        <v>0.1673983</v>
      </c>
      <c r="R3612">
        <v>2.6558890000000002E-2</v>
      </c>
      <c r="S3612">
        <v>3.1065670000000001</v>
      </c>
      <c r="T3612">
        <v>-0.28656079999999901</v>
      </c>
      <c r="U3612">
        <v>-0.26129150000000001</v>
      </c>
      <c r="V3612">
        <v>0.1445919</v>
      </c>
      <c r="W3612">
        <v>0.17756769999999999</v>
      </c>
      <c r="X3612">
        <v>0.97342839999999997</v>
      </c>
      <c r="Y3612">
        <v>0.24591650000000001</v>
      </c>
      <c r="Z3612">
        <v>-2.6486260000000001E-2</v>
      </c>
      <c r="AA3612">
        <v>0.96892909999999999</v>
      </c>
      <c r="AB3612">
        <v>40</v>
      </c>
      <c r="AC3612">
        <v>11.3728</v>
      </c>
      <c r="AD3612">
        <v>-1.0866113077120001</v>
      </c>
      <c r="AE3612">
        <v>-1.0584</v>
      </c>
      <c r="AF3612">
        <v>2.90063048917869</v>
      </c>
      <c r="AG3612">
        <v>-1.0866113077120001</v>
      </c>
      <c r="AH3612">
        <v>10.9415428756674</v>
      </c>
      <c r="AI3612">
        <v>95.483287373718795</v>
      </c>
      <c r="AJ3612">
        <v>75.1522850387462</v>
      </c>
      <c r="AK3612">
        <v>11.371532080984901</v>
      </c>
      <c r="AL3612">
        <v>79.771882621630795</v>
      </c>
      <c r="AM3612">
        <v>81.551129437869506</v>
      </c>
      <c r="AN3612">
        <v>0.99999997777772898</v>
      </c>
    </row>
    <row r="3613" spans="1:40" x14ac:dyDescent="0.3">
      <c r="A3613" t="str">
        <f>"20200111150429398"</f>
        <v>20200111150429398</v>
      </c>
      <c r="B3613" t="str">
        <f>"1578726269392657"</f>
        <v>1578726269392657</v>
      </c>
      <c r="C3613" t="s">
        <v>40</v>
      </c>
      <c r="D3613">
        <v>5.4449310000000004</v>
      </c>
      <c r="E3613">
        <v>0.54239029999999999</v>
      </c>
      <c r="F3613" t="s">
        <v>41</v>
      </c>
      <c r="G3613">
        <v>-151.97929999999999</v>
      </c>
      <c r="H3613" s="1">
        <v>-4.2712870000000004E-6</v>
      </c>
      <c r="I3613">
        <v>143.38659999999999</v>
      </c>
      <c r="J3613">
        <v>-162.83959999999999</v>
      </c>
      <c r="K3613">
        <v>1.086659</v>
      </c>
      <c r="L3613">
        <v>144.50399999999999</v>
      </c>
      <c r="M3613">
        <v>0.98855959999999998</v>
      </c>
      <c r="N3613">
        <v>0</v>
      </c>
      <c r="O3613">
        <v>0.14992529999999901</v>
      </c>
      <c r="P3613">
        <v>0.98577979999999998</v>
      </c>
      <c r="Q3613">
        <v>0.16755039999999999</v>
      </c>
      <c r="R3613">
        <v>1.2848170000000001E-2</v>
      </c>
      <c r="S3613">
        <v>3.1026919999999998</v>
      </c>
      <c r="T3613">
        <v>-0.29928650000000001</v>
      </c>
      <c r="U3613">
        <v>-0.29103089999999998</v>
      </c>
      <c r="V3613">
        <v>0.142704</v>
      </c>
      <c r="W3613">
        <v>0.17780609999999999</v>
      </c>
      <c r="X3613">
        <v>0.97366339999999996</v>
      </c>
      <c r="Y3613">
        <v>0.23982829999999999</v>
      </c>
      <c r="Z3613">
        <v>-2.5898270000000001E-2</v>
      </c>
      <c r="AA3613">
        <v>0.97046980000000005</v>
      </c>
      <c r="AB3613">
        <v>40</v>
      </c>
      <c r="AC3613">
        <v>10.860299999999899</v>
      </c>
      <c r="AD3613">
        <v>-1.0866632712869999</v>
      </c>
      <c r="AE3613">
        <v>-1.1173999999999999</v>
      </c>
      <c r="AF3613">
        <v>2.7064105697734901</v>
      </c>
      <c r="AG3613">
        <v>-1.0866632712869999</v>
      </c>
      <c r="AH3613">
        <v>10.4662793566169</v>
      </c>
      <c r="AI3613">
        <v>95.740029135379103</v>
      </c>
      <c r="AJ3613">
        <v>75.501812920107</v>
      </c>
      <c r="AK3613">
        <v>10.865012600457</v>
      </c>
      <c r="AL3613">
        <v>79.758001924475806</v>
      </c>
      <c r="AM3613">
        <v>81.661867143240798</v>
      </c>
      <c r="AN3613">
        <v>0.99999992865638199</v>
      </c>
    </row>
    <row r="3614" spans="1:40" x14ac:dyDescent="0.3">
      <c r="A3614" t="str">
        <f>"20200111150429419"</f>
        <v>20200111150429419</v>
      </c>
      <c r="B3614" t="str">
        <f>"1578726269412180"</f>
        <v>1578726269412180</v>
      </c>
      <c r="C3614" t="s">
        <v>40</v>
      </c>
      <c r="D3614">
        <v>5.4486629999999998</v>
      </c>
      <c r="E3614">
        <v>0.54200360000000003</v>
      </c>
      <c r="F3614" t="s">
        <v>41</v>
      </c>
      <c r="G3614">
        <v>-151.67840000000001</v>
      </c>
      <c r="H3614" s="1">
        <v>-4.3615669999999996E-6</v>
      </c>
      <c r="I3614">
        <v>143.31829999999999</v>
      </c>
      <c r="J3614">
        <v>-162.4443</v>
      </c>
      <c r="K3614">
        <v>1.0867249999999999</v>
      </c>
      <c r="L3614">
        <v>144.55709999999999</v>
      </c>
      <c r="M3614">
        <v>0.99075789999999997</v>
      </c>
      <c r="N3614">
        <v>0</v>
      </c>
      <c r="O3614">
        <v>0.13463559999999999</v>
      </c>
      <c r="P3614">
        <v>0.98539319999999997</v>
      </c>
      <c r="Q3614">
        <v>0.17029339999999901</v>
      </c>
      <c r="R3614">
        <v>-3.6525400000000002E-4</v>
      </c>
      <c r="S3614">
        <v>3.098862</v>
      </c>
      <c r="T3614">
        <v>-0.3017049</v>
      </c>
      <c r="U3614">
        <v>-0.32919310000000002</v>
      </c>
      <c r="V3614">
        <v>0.1407428</v>
      </c>
      <c r="W3614">
        <v>0.18063389999999999</v>
      </c>
      <c r="X3614">
        <v>0.97342839999999997</v>
      </c>
      <c r="Y3614">
        <v>0.23683409999999999</v>
      </c>
      <c r="Z3614">
        <v>-2.4505760000000001E-2</v>
      </c>
      <c r="AA3614">
        <v>0.97124100000000002</v>
      </c>
      <c r="AB3614">
        <v>40</v>
      </c>
      <c r="AC3614">
        <v>10.765899999999901</v>
      </c>
      <c r="AD3614">
        <v>-1.086729361567</v>
      </c>
      <c r="AE3614">
        <v>-1.2387999999999899</v>
      </c>
      <c r="AF3614">
        <v>2.6505344258063199</v>
      </c>
      <c r="AG3614">
        <v>-1.086729361567</v>
      </c>
      <c r="AH3614">
        <v>10.3964941449261</v>
      </c>
      <c r="AI3614">
        <v>95.783680598949701</v>
      </c>
      <c r="AJ3614">
        <v>75.697405890219898</v>
      </c>
      <c r="AK3614">
        <v>10.783941948710501</v>
      </c>
      <c r="AL3614">
        <v>79.593315099739698</v>
      </c>
      <c r="AM3614">
        <v>81.772922161408701</v>
      </c>
      <c r="AN3614">
        <v>0.99999999575380505</v>
      </c>
    </row>
    <row r="3615" spans="1:40" x14ac:dyDescent="0.3">
      <c r="A3615" t="str">
        <f>"20200111150429442"</f>
        <v>20200111150429442</v>
      </c>
      <c r="B3615" t="str">
        <f>"1578726269432673"</f>
        <v>1578726269432673</v>
      </c>
      <c r="C3615" t="s">
        <v>40</v>
      </c>
      <c r="D3615">
        <v>5.3488449999999998</v>
      </c>
      <c r="E3615">
        <v>0.54171029999999998</v>
      </c>
      <c r="F3615" t="s">
        <v>41</v>
      </c>
      <c r="G3615">
        <v>-151.0301</v>
      </c>
      <c r="H3615" s="1">
        <v>-4.5619380000000001E-6</v>
      </c>
      <c r="I3615">
        <v>143.20429999999999</v>
      </c>
      <c r="J3615">
        <v>-162.05189999999999</v>
      </c>
      <c r="K3615">
        <v>1.0867739999999999</v>
      </c>
      <c r="L3615">
        <v>144.6035</v>
      </c>
      <c r="M3615">
        <v>0.99270340000000001</v>
      </c>
      <c r="N3615">
        <v>0</v>
      </c>
      <c r="O3615">
        <v>0.1194508</v>
      </c>
      <c r="P3615">
        <v>0.98494320000000002</v>
      </c>
      <c r="Q3615">
        <v>0.17243420000000001</v>
      </c>
      <c r="R3615">
        <v>-1.239082E-2</v>
      </c>
      <c r="S3615">
        <v>3.0952609999999998</v>
      </c>
      <c r="T3615">
        <v>-0.29469390000000001</v>
      </c>
      <c r="U3615">
        <v>-0.36683650000000001</v>
      </c>
      <c r="V3615">
        <v>0.13773879999999999</v>
      </c>
      <c r="W3615">
        <v>0.1829066</v>
      </c>
      <c r="X3615">
        <v>0.97343369999999996</v>
      </c>
      <c r="Y3615">
        <v>0.23390610000000001</v>
      </c>
      <c r="Z3615">
        <v>-2.238014E-2</v>
      </c>
      <c r="AA3615">
        <v>0.97200160000000002</v>
      </c>
      <c r="AB3615">
        <v>40</v>
      </c>
      <c r="AC3615">
        <v>11.021799999999899</v>
      </c>
      <c r="AD3615">
        <v>-1.0867785619379999</v>
      </c>
      <c r="AE3615">
        <v>-1.3992</v>
      </c>
      <c r="AF3615">
        <v>2.6802751125460902</v>
      </c>
      <c r="AG3615">
        <v>-1.0867785619379999</v>
      </c>
      <c r="AH3615">
        <v>10.6735777241978</v>
      </c>
      <c r="AI3615">
        <v>95.639873834298996</v>
      </c>
      <c r="AJ3615">
        <v>75.903748257092502</v>
      </c>
      <c r="AK3615">
        <v>11.058491025276201</v>
      </c>
      <c r="AL3615">
        <v>79.460892815327199</v>
      </c>
      <c r="AM3615">
        <v>81.946234832867901</v>
      </c>
      <c r="AN3615">
        <v>0.99999998482234398</v>
      </c>
    </row>
    <row r="3616" spans="1:40" x14ac:dyDescent="0.3">
      <c r="A3616" t="str">
        <f>"20200111150429464"</f>
        <v>20200111150429464</v>
      </c>
      <c r="B3616" t="str">
        <f>"1578726269462928"</f>
        <v>1578726269462928</v>
      </c>
      <c r="C3616" t="s">
        <v>40</v>
      </c>
      <c r="D3616">
        <v>5.3124070000000003</v>
      </c>
      <c r="E3616">
        <v>0.54124749999999999</v>
      </c>
      <c r="F3616" t="s">
        <v>41</v>
      </c>
      <c r="G3616">
        <v>-150.45089999999999</v>
      </c>
      <c r="H3616" s="1">
        <v>-4.7390029999999997E-6</v>
      </c>
      <c r="I3616">
        <v>143.09119999999999</v>
      </c>
      <c r="J3616">
        <v>-161.64429999999999</v>
      </c>
      <c r="K3616">
        <v>1.0868</v>
      </c>
      <c r="L3616">
        <v>144.64519999999999</v>
      </c>
      <c r="M3616">
        <v>0.99447540000000001</v>
      </c>
      <c r="N3616">
        <v>0</v>
      </c>
      <c r="O3616">
        <v>0.103669899999999</v>
      </c>
      <c r="P3616">
        <v>0.98492990000000002</v>
      </c>
      <c r="Q3616">
        <v>0.17115559999999999</v>
      </c>
      <c r="R3616">
        <v>-2.4884650000000001E-2</v>
      </c>
      <c r="S3616">
        <v>3.091507</v>
      </c>
      <c r="T3616">
        <v>-0.28960940000000002</v>
      </c>
      <c r="U3616">
        <v>-0.40296939999999998</v>
      </c>
      <c r="V3616">
        <v>0.13457060000000001</v>
      </c>
      <c r="W3616">
        <v>0.18177299999999999</v>
      </c>
      <c r="X3616">
        <v>0.97408899999999998</v>
      </c>
      <c r="Y3616">
        <v>0.22993130000000001</v>
      </c>
      <c r="Z3616">
        <v>-2.0355809999999998E-2</v>
      </c>
      <c r="AA3616">
        <v>0.97299400000000003</v>
      </c>
      <c r="AB3616">
        <v>40</v>
      </c>
      <c r="AC3616">
        <v>11.193399999999899</v>
      </c>
      <c r="AD3616">
        <v>-1.086804739003</v>
      </c>
      <c r="AE3616">
        <v>-1.554</v>
      </c>
      <c r="AF3616">
        <v>2.68140057416884</v>
      </c>
      <c r="AG3616">
        <v>-1.086804739003</v>
      </c>
      <c r="AH3616">
        <v>10.871398006472999</v>
      </c>
      <c r="AI3616">
        <v>95.543787969050797</v>
      </c>
      <c r="AJ3616">
        <v>76.144696433125205</v>
      </c>
      <c r="AK3616">
        <v>11.249815473820799</v>
      </c>
      <c r="AL3616">
        <v>79.5269511636875</v>
      </c>
      <c r="AM3616">
        <v>82.134363678355498</v>
      </c>
      <c r="AN3616">
        <v>1.0000000249171701</v>
      </c>
    </row>
    <row r="3617" spans="1:40" x14ac:dyDescent="0.3">
      <c r="A3617" t="str">
        <f>"20200111150429487"</f>
        <v>20200111150429487</v>
      </c>
      <c r="B3617" t="str">
        <f>"1578726269482448"</f>
        <v>1578726269482448</v>
      </c>
      <c r="C3617" t="s">
        <v>40</v>
      </c>
      <c r="D3617">
        <v>5.4025429999999997</v>
      </c>
      <c r="E3617">
        <v>0.54036779999999995</v>
      </c>
      <c r="F3617" t="s">
        <v>41</v>
      </c>
      <c r="G3617">
        <v>-150.23320000000001</v>
      </c>
      <c r="H3617" s="1">
        <v>-4.8001739999999999E-6</v>
      </c>
      <c r="I3617">
        <v>143.01840000000001</v>
      </c>
      <c r="J3617">
        <v>-161.2415</v>
      </c>
      <c r="K3617">
        <v>1.0868150000000001</v>
      </c>
      <c r="L3617">
        <v>144.68010000000001</v>
      </c>
      <c r="M3617">
        <v>0.99597789999999997</v>
      </c>
      <c r="N3617">
        <v>0</v>
      </c>
      <c r="O3617">
        <v>8.8074429999999995E-2</v>
      </c>
      <c r="P3617">
        <v>0.98519869999999998</v>
      </c>
      <c r="Q3617">
        <v>0.16709470000000001</v>
      </c>
      <c r="R3617">
        <v>-3.8248619999999997E-2</v>
      </c>
      <c r="S3617">
        <v>3.0858759999999998</v>
      </c>
      <c r="T3617">
        <v>-0.29389999999999999</v>
      </c>
      <c r="U3617">
        <v>-0.43992609999999899</v>
      </c>
      <c r="V3617">
        <v>0.13239409999999999</v>
      </c>
      <c r="W3617">
        <v>0.1778197</v>
      </c>
      <c r="X3617">
        <v>0.97511639999999999</v>
      </c>
      <c r="Y3617">
        <v>0.2263918</v>
      </c>
      <c r="Z3617">
        <v>-1.9036250000000001E-2</v>
      </c>
      <c r="AA3617">
        <v>0.97385029999999995</v>
      </c>
      <c r="AB3617">
        <v>40</v>
      </c>
      <c r="AC3617">
        <v>11.008299999999901</v>
      </c>
      <c r="AD3617">
        <v>-1.0868198001739999</v>
      </c>
      <c r="AE3617">
        <v>-1.66169999999999</v>
      </c>
      <c r="AF3617">
        <v>2.6001426304814301</v>
      </c>
      <c r="AG3617">
        <v>-1.0868198001739999</v>
      </c>
      <c r="AH3617">
        <v>10.7170035506798</v>
      </c>
      <c r="AI3617">
        <v>95.628421739866994</v>
      </c>
      <c r="AJ3617">
        <v>76.362496784836495</v>
      </c>
      <c r="AK3617">
        <v>11.081339453431699</v>
      </c>
      <c r="AL3617">
        <v>79.7572110133178</v>
      </c>
      <c r="AM3617">
        <v>82.268081654262701</v>
      </c>
      <c r="AN3617">
        <v>1.0000000184859299</v>
      </c>
    </row>
    <row r="3618" spans="1:40" x14ac:dyDescent="0.3">
      <c r="A3618" t="str">
        <f>"20200111150429510"</f>
        <v>20200111150429510</v>
      </c>
      <c r="B3618" t="str">
        <f>"1578726269501969"</f>
        <v>1578726269501969</v>
      </c>
      <c r="C3618" t="s">
        <v>40</v>
      </c>
      <c r="D3618">
        <v>5.4398559999999998</v>
      </c>
      <c r="E3618">
        <v>0.53965689999999999</v>
      </c>
      <c r="F3618" t="s">
        <v>41</v>
      </c>
      <c r="G3618">
        <v>-150.43109999999999</v>
      </c>
      <c r="H3618" s="1">
        <v>-4.7320190000000001E-6</v>
      </c>
      <c r="I3618">
        <v>143.01400000000001</v>
      </c>
      <c r="J3618">
        <v>-160.828</v>
      </c>
      <c r="K3618">
        <v>1.0868530000000001</v>
      </c>
      <c r="L3618">
        <v>144.709</v>
      </c>
      <c r="M3618">
        <v>0.99726380000000003</v>
      </c>
      <c r="N3618">
        <v>0</v>
      </c>
      <c r="O3618">
        <v>7.2070780000000001E-2</v>
      </c>
      <c r="P3618">
        <v>0.98521510000000001</v>
      </c>
      <c r="Q3618">
        <v>0.16306199999999901</v>
      </c>
      <c r="R3618">
        <v>-5.2553839999999998E-2</v>
      </c>
      <c r="S3618">
        <v>3.0791629999999999</v>
      </c>
      <c r="T3618">
        <v>-0.30956240000000002</v>
      </c>
      <c r="U3618">
        <v>-0.47454829999999998</v>
      </c>
      <c r="V3618">
        <v>0.13075590000000001</v>
      </c>
      <c r="W3618">
        <v>0.1738701</v>
      </c>
      <c r="X3618">
        <v>0.97604919999999995</v>
      </c>
      <c r="Y3618">
        <v>0.22171070000000001</v>
      </c>
      <c r="Z3618">
        <v>-1.8243519999999999E-2</v>
      </c>
      <c r="AA3618">
        <v>0.97494179999999997</v>
      </c>
      <c r="AB3618">
        <v>40</v>
      </c>
      <c r="AC3618">
        <v>10.3969</v>
      </c>
      <c r="AD3618">
        <v>-1.086857732019</v>
      </c>
      <c r="AE3618">
        <v>-1.6949999999999901</v>
      </c>
      <c r="AF3618">
        <v>2.4143048663251201</v>
      </c>
      <c r="AG3618">
        <v>-1.086857732019</v>
      </c>
      <c r="AH3618">
        <v>10.1397417268868</v>
      </c>
      <c r="AI3618">
        <v>95.952883178789605</v>
      </c>
      <c r="AJ3618">
        <v>76.607070996838104</v>
      </c>
      <c r="AK3618">
        <v>10.479718030805</v>
      </c>
      <c r="AL3618">
        <v>79.987088164597296</v>
      </c>
      <c r="AM3618">
        <v>82.3698305416209</v>
      </c>
      <c r="AN3618">
        <v>0.99999997893972903</v>
      </c>
    </row>
    <row r="3619" spans="1:40" x14ac:dyDescent="0.3">
      <c r="A3619" t="str">
        <f>"20200111150429532"</f>
        <v>20200111150429532</v>
      </c>
      <c r="B3619" t="str">
        <f>"1578726269522465"</f>
        <v>1578726269522465</v>
      </c>
      <c r="C3619" t="s">
        <v>40</v>
      </c>
      <c r="D3619">
        <v>5.3773720000000003</v>
      </c>
      <c r="E3619">
        <v>0.53829499999999997</v>
      </c>
      <c r="F3619" t="s">
        <v>41</v>
      </c>
      <c r="G3619">
        <v>-150.3075</v>
      </c>
      <c r="H3619" s="1">
        <v>-4.7630430000000001E-6</v>
      </c>
      <c r="I3619">
        <v>142.95160000000001</v>
      </c>
      <c r="J3619">
        <v>-160.43199999999999</v>
      </c>
      <c r="K3619">
        <v>1.086903</v>
      </c>
      <c r="L3619">
        <v>144.73009999999999</v>
      </c>
      <c r="M3619">
        <v>0.99825330000000001</v>
      </c>
      <c r="N3619">
        <v>0</v>
      </c>
      <c r="O3619">
        <v>5.6747159999999998E-2</v>
      </c>
      <c r="P3619">
        <v>0.98493249999999999</v>
      </c>
      <c r="Q3619">
        <v>0.16045209999999999</v>
      </c>
      <c r="R3619">
        <v>-6.4522490000000002E-2</v>
      </c>
      <c r="S3619">
        <v>3.07016</v>
      </c>
      <c r="T3619">
        <v>-0.31717050000000002</v>
      </c>
      <c r="U3619">
        <v>-0.51281739999999998</v>
      </c>
      <c r="V3619">
        <v>0.12751499999999999</v>
      </c>
      <c r="W3619">
        <v>0.17140849999999999</v>
      </c>
      <c r="X3619">
        <v>0.97691300000000003</v>
      </c>
      <c r="Y3619">
        <v>0.2190329</v>
      </c>
      <c r="Z3619">
        <v>-1.7019030000000001E-2</v>
      </c>
      <c r="AA3619">
        <v>0.97556900000000002</v>
      </c>
      <c r="AB3619">
        <v>40</v>
      </c>
      <c r="AC3619">
        <v>10.124499999999999</v>
      </c>
      <c r="AD3619">
        <v>-1.086907763043</v>
      </c>
      <c r="AE3619">
        <v>-1.77849999999997</v>
      </c>
      <c r="AF3619">
        <v>2.3242624272550398</v>
      </c>
      <c r="AG3619">
        <v>-1.086907763043</v>
      </c>
      <c r="AH3619">
        <v>9.89659891565862</v>
      </c>
      <c r="AI3619">
        <v>96.102730012480194</v>
      </c>
      <c r="AJ3619">
        <v>76.783340325534496</v>
      </c>
      <c r="AK3619">
        <v>10.223807236716</v>
      </c>
      <c r="AL3619">
        <v>80.130277473807695</v>
      </c>
      <c r="AM3619">
        <v>82.563311645527605</v>
      </c>
      <c r="AN3619">
        <v>0.99999997933312401</v>
      </c>
    </row>
    <row r="3620" spans="1:40" x14ac:dyDescent="0.3">
      <c r="A3620" t="str">
        <f>"20200111150429554"</f>
        <v>20200111150429554</v>
      </c>
      <c r="B3620" t="str">
        <f>"1578726269541985"</f>
        <v>1578726269541985</v>
      </c>
      <c r="C3620" t="s">
        <v>40</v>
      </c>
      <c r="D3620">
        <v>5.3212479999999998</v>
      </c>
      <c r="E3620">
        <v>0.53722259999999999</v>
      </c>
      <c r="F3620" t="s">
        <v>41</v>
      </c>
      <c r="G3620">
        <v>-149.8168</v>
      </c>
      <c r="H3620" s="1">
        <v>-9.2158880000000002E-7</v>
      </c>
      <c r="I3620">
        <v>142.851</v>
      </c>
      <c r="J3620">
        <v>-160.04259999999999</v>
      </c>
      <c r="K3620">
        <v>1.0869549999999999</v>
      </c>
      <c r="L3620">
        <v>144.7448</v>
      </c>
      <c r="M3620">
        <v>0.99899559999999998</v>
      </c>
      <c r="N3620">
        <v>0</v>
      </c>
      <c r="O3620">
        <v>4.1689490000000003E-2</v>
      </c>
      <c r="P3620">
        <v>0.98435090000000003</v>
      </c>
      <c r="Q3620">
        <v>0.15965599999999999</v>
      </c>
      <c r="R3620">
        <v>-7.4587550000000002E-2</v>
      </c>
      <c r="S3620">
        <v>3.0614620000000001</v>
      </c>
      <c r="T3620">
        <v>-0.31346790000000002</v>
      </c>
      <c r="U3620">
        <v>-0.54193119999999995</v>
      </c>
      <c r="V3620">
        <v>0.1227114</v>
      </c>
      <c r="W3620">
        <v>0.17082359999999999</v>
      </c>
      <c r="X3620">
        <v>0.97763040000000001</v>
      </c>
      <c r="Y3620">
        <v>0.2139142</v>
      </c>
      <c r="Z3620">
        <v>-1.5067789999999999E-2</v>
      </c>
      <c r="AA3620">
        <v>0.97673620000000005</v>
      </c>
      <c r="AB3620">
        <v>40</v>
      </c>
      <c r="AC3620">
        <v>10.2257999999999</v>
      </c>
      <c r="AD3620">
        <v>-1.0869559215887901</v>
      </c>
      <c r="AE3620">
        <v>-1.8937999999999899</v>
      </c>
      <c r="AF3620">
        <v>2.2934651042864602</v>
      </c>
      <c r="AG3620">
        <v>-1.0869559215887901</v>
      </c>
      <c r="AH3620">
        <v>10.0283946161207</v>
      </c>
      <c r="AI3620">
        <v>96.031488201307198</v>
      </c>
      <c r="AJ3620">
        <v>77.118153858427803</v>
      </c>
      <c r="AK3620">
        <v>10.3445712302006</v>
      </c>
      <c r="AL3620">
        <v>80.164291603451403</v>
      </c>
      <c r="AM3620">
        <v>82.845694392693801</v>
      </c>
      <c r="AN3620">
        <v>0.99999999450554</v>
      </c>
    </row>
    <row r="3621" spans="1:40" x14ac:dyDescent="0.3">
      <c r="A3621" t="str">
        <f>"20200111150429576"</f>
        <v>20200111150429576</v>
      </c>
      <c r="B3621" t="str">
        <f>"1578726269572241"</f>
        <v>1578726269572241</v>
      </c>
      <c r="C3621" t="s">
        <v>40</v>
      </c>
      <c r="D3621">
        <v>5.4076510000000004</v>
      </c>
      <c r="E3621">
        <v>0.50280639999999999</v>
      </c>
      <c r="F3621" t="s">
        <v>41</v>
      </c>
      <c r="G3621">
        <v>-149.40430000000001</v>
      </c>
      <c r="H3621" s="1">
        <v>-1.076377E-6</v>
      </c>
      <c r="I3621">
        <v>142.76759999999999</v>
      </c>
      <c r="J3621">
        <v>-159.64320000000001</v>
      </c>
      <c r="K3621">
        <v>1.0870139999999999</v>
      </c>
      <c r="L3621">
        <v>144.75380000000001</v>
      </c>
      <c r="M3621">
        <v>0.99952070000000004</v>
      </c>
      <c r="N3621">
        <v>0</v>
      </c>
      <c r="O3621">
        <v>2.6252890000000001E-2</v>
      </c>
      <c r="P3621">
        <v>0.98363310000000004</v>
      </c>
      <c r="Q3621">
        <v>0.15887950000000001</v>
      </c>
      <c r="R3621">
        <v>-8.4990140000000006E-2</v>
      </c>
      <c r="S3621">
        <v>3.0553129999999999</v>
      </c>
      <c r="T3621">
        <v>-0.31217460000000002</v>
      </c>
      <c r="U3621">
        <v>-0.56784060000000003</v>
      </c>
      <c r="V3621">
        <v>0.11788319999999999</v>
      </c>
      <c r="W3621">
        <v>0.17025699999999999</v>
      </c>
      <c r="X3621">
        <v>0.9783231</v>
      </c>
      <c r="Y3621">
        <v>0.20729900000000001</v>
      </c>
      <c r="Z3621">
        <v>-1.312843E-2</v>
      </c>
      <c r="AA3621">
        <v>0.97818950000000005</v>
      </c>
      <c r="AB3621">
        <v>39</v>
      </c>
      <c r="AC3621">
        <v>10.238899999999999</v>
      </c>
      <c r="AD3621">
        <v>-1.0870150763769999</v>
      </c>
      <c r="AE3621">
        <v>-1.9862000000000199</v>
      </c>
      <c r="AF3621">
        <v>2.23012781717143</v>
      </c>
      <c r="AG3621">
        <v>-1.0870150763769999</v>
      </c>
      <c r="AH3621">
        <v>10.0737949436199</v>
      </c>
      <c r="AI3621">
        <v>96.014179641260796</v>
      </c>
      <c r="AJ3621">
        <v>77.517233697706601</v>
      </c>
      <c r="AK3621">
        <v>10.3747971750437</v>
      </c>
      <c r="AL3621">
        <v>80.197238004560901</v>
      </c>
      <c r="AM3621">
        <v>83.129260297918606</v>
      </c>
      <c r="AN3621">
        <v>0.99999999144242502</v>
      </c>
    </row>
    <row r="3622" spans="1:40" x14ac:dyDescent="0.3">
      <c r="A3622" t="str">
        <f>"20200111150429599"</f>
        <v>20200111150429599</v>
      </c>
      <c r="B3622" t="str">
        <f>"1578726269592736"</f>
        <v>1578726269592736</v>
      </c>
      <c r="C3622" t="s">
        <v>40</v>
      </c>
      <c r="D3622">
        <v>5.3033080000000004</v>
      </c>
      <c r="E3622">
        <v>0.52021289999999998</v>
      </c>
      <c r="F3622" t="s">
        <v>44</v>
      </c>
      <c r="G3622">
        <v>0</v>
      </c>
      <c r="H3622">
        <v>0</v>
      </c>
      <c r="I3622">
        <v>0</v>
      </c>
      <c r="J3622">
        <v>-159.23089999999999</v>
      </c>
      <c r="K3622">
        <v>1.0871</v>
      </c>
      <c r="L3622">
        <v>144.75659999999999</v>
      </c>
      <c r="M3622">
        <v>0.9998108</v>
      </c>
      <c r="N3622">
        <v>0</v>
      </c>
      <c r="O3622">
        <v>1.037886E-2</v>
      </c>
      <c r="P3622">
        <v>0.98255689999999996</v>
      </c>
      <c r="Q3622">
        <v>0.15830139999999901</v>
      </c>
      <c r="R3622">
        <v>-9.7584169999999998E-2</v>
      </c>
      <c r="S3622">
        <v>2.8839570000000001</v>
      </c>
      <c r="T3622">
        <v>0.89334910000000001</v>
      </c>
      <c r="U3622">
        <v>-0.25074770000000002</v>
      </c>
      <c r="V3622">
        <v>0.1148285</v>
      </c>
      <c r="W3622">
        <v>0.1698646</v>
      </c>
      <c r="X3622">
        <v>0.97875449999999997</v>
      </c>
      <c r="Y3622">
        <v>9.2181750000000007E-2</v>
      </c>
      <c r="Z3622">
        <v>1.7062419999999998E-2</v>
      </c>
      <c r="AA3622">
        <v>0.99559600000000004</v>
      </c>
      <c r="AB3622">
        <v>39</v>
      </c>
      <c r="AC3622">
        <v>2.8839570000000001</v>
      </c>
      <c r="AD3622">
        <v>0.89334910000000001</v>
      </c>
      <c r="AE3622">
        <v>-0.25074770000000002</v>
      </c>
      <c r="AF3622">
        <v>0.25626515445756498</v>
      </c>
      <c r="AG3622">
        <v>0.89334910000000001</v>
      </c>
      <c r="AH3622">
        <v>2.6306685029550301</v>
      </c>
      <c r="AI3622">
        <v>71.325248611639395</v>
      </c>
      <c r="AJ3622">
        <v>84.436117830454705</v>
      </c>
      <c r="AK3622">
        <v>2.79001097064145</v>
      </c>
      <c r="AL3622">
        <v>80.220052983214003</v>
      </c>
      <c r="AM3622">
        <v>83.308588141068796</v>
      </c>
      <c r="AN3622">
        <v>0.99999996900782895</v>
      </c>
    </row>
    <row r="3623" spans="1:40" x14ac:dyDescent="0.3">
      <c r="A3623" t="str">
        <f>"20200111150429621"</f>
        <v>20200111150429621</v>
      </c>
      <c r="B3623" t="str">
        <f>"1578726269612257"</f>
        <v>1578726269612257</v>
      </c>
      <c r="C3623" t="s">
        <v>40</v>
      </c>
      <c r="D3623">
        <v>5.3112130000000004</v>
      </c>
      <c r="E3623">
        <v>0.51954309999999904</v>
      </c>
      <c r="F3623" t="s">
        <v>41</v>
      </c>
      <c r="G3623">
        <v>-139.75559999999999</v>
      </c>
      <c r="H3623" s="1">
        <v>-6.0811299999999999E-7</v>
      </c>
      <c r="I3623">
        <v>141.57409999999999</v>
      </c>
      <c r="J3623">
        <v>-158.84139999999999</v>
      </c>
      <c r="K3623">
        <v>1.087253</v>
      </c>
      <c r="L3623">
        <v>144.75319999999999</v>
      </c>
      <c r="M3623">
        <v>0.9998515</v>
      </c>
      <c r="N3623">
        <v>0</v>
      </c>
      <c r="O3623">
        <v>-4.4823149999999997E-3</v>
      </c>
      <c r="P3623">
        <v>0.98149090000000005</v>
      </c>
      <c r="Q3623">
        <v>0.1575782</v>
      </c>
      <c r="R3623">
        <v>-0.1088335</v>
      </c>
      <c r="S3623">
        <v>3.031326</v>
      </c>
      <c r="T3623">
        <v>-0.16920660000000001</v>
      </c>
      <c r="U3623">
        <v>-0.4953613</v>
      </c>
      <c r="V3623">
        <v>0.1114298</v>
      </c>
      <c r="W3623">
        <v>0.1694985</v>
      </c>
      <c r="X3623">
        <v>0.97921069999999999</v>
      </c>
      <c r="Y3623">
        <v>0.15661839999999999</v>
      </c>
      <c r="Z3623">
        <v>-4.0906830000000003E-3</v>
      </c>
      <c r="AA3623">
        <v>0.98765069999999999</v>
      </c>
      <c r="AB3623">
        <v>39</v>
      </c>
      <c r="AC3623">
        <v>19.085799999999999</v>
      </c>
      <c r="AD3623">
        <v>-1.087253608113</v>
      </c>
      <c r="AE3623">
        <v>-3.1791</v>
      </c>
      <c r="AF3623">
        <v>3.08377036366057</v>
      </c>
      <c r="AG3623">
        <v>-1.087253608113</v>
      </c>
      <c r="AH3623">
        <v>19.039740254727299</v>
      </c>
      <c r="AI3623">
        <v>93.226340439708494</v>
      </c>
      <c r="AJ3623">
        <v>80.799984333678395</v>
      </c>
      <c r="AK3623">
        <v>19.318474811217101</v>
      </c>
      <c r="AL3623">
        <v>80.241337612683793</v>
      </c>
      <c r="AM3623">
        <v>83.507923202652194</v>
      </c>
      <c r="AN3623">
        <v>0.99999996841238903</v>
      </c>
    </row>
    <row r="3624" spans="1:40" x14ac:dyDescent="0.3">
      <c r="A3624" t="str">
        <f>"20200111150429643"</f>
        <v>20200111150429643</v>
      </c>
      <c r="B3624" t="str">
        <f>"1578726269632753"</f>
        <v>1578726269632753</v>
      </c>
      <c r="C3624" t="s">
        <v>40</v>
      </c>
      <c r="D3624">
        <v>5.1936970000000002</v>
      </c>
      <c r="E3624">
        <v>0.51485369999999997</v>
      </c>
      <c r="F3624" t="s">
        <v>42</v>
      </c>
      <c r="G3624">
        <v>-157.9802</v>
      </c>
      <c r="H3624">
        <v>1.0254719999999999</v>
      </c>
      <c r="I3624">
        <v>144.60319999999999</v>
      </c>
      <c r="J3624">
        <v>-158.45330000000001</v>
      </c>
      <c r="K3624">
        <v>1.087453</v>
      </c>
      <c r="L3624">
        <v>144.744</v>
      </c>
      <c r="M3624">
        <v>0.99967099999999998</v>
      </c>
      <c r="N3624">
        <v>0</v>
      </c>
      <c r="O3624">
        <v>-1.9198449999999999E-2</v>
      </c>
      <c r="P3624">
        <v>0.9806646</v>
      </c>
      <c r="Q3624">
        <v>0.1554577</v>
      </c>
      <c r="R3624">
        <v>-0.1188712</v>
      </c>
      <c r="S3624">
        <v>3.0329440000000001</v>
      </c>
      <c r="T3624">
        <v>-0.21745900000000001</v>
      </c>
      <c r="U3624">
        <v>-0.5279083</v>
      </c>
      <c r="V3624">
        <v>0.1069031</v>
      </c>
      <c r="W3624">
        <v>0.1679649</v>
      </c>
      <c r="X3624">
        <v>0.9799793</v>
      </c>
      <c r="Y3624">
        <v>0.15220029999999901</v>
      </c>
      <c r="Z3624">
        <v>-4.0447060000000003E-3</v>
      </c>
      <c r="AA3624">
        <v>0.98834140000000004</v>
      </c>
      <c r="AB3624">
        <v>39</v>
      </c>
      <c r="AC3624">
        <v>0.47310000000001601</v>
      </c>
      <c r="AD3624">
        <v>-6.1981000000000001E-2</v>
      </c>
      <c r="AE3624">
        <v>-0.140800000000012</v>
      </c>
      <c r="AF3624">
        <v>0.129645793388312</v>
      </c>
      <c r="AG3624">
        <v>-6.1981000000000001E-2</v>
      </c>
      <c r="AH3624">
        <v>0.46833203911792598</v>
      </c>
      <c r="AI3624">
        <v>97.268672436572203</v>
      </c>
      <c r="AJ3624">
        <v>74.526606500461995</v>
      </c>
      <c r="AK3624">
        <v>0.48988220519696302</v>
      </c>
      <c r="AL3624">
        <v>80.330484484307505</v>
      </c>
      <c r="AM3624">
        <v>83.774386607798704</v>
      </c>
      <c r="AN3624">
        <v>0.99999995442505396</v>
      </c>
    </row>
    <row r="3625" spans="1:40" x14ac:dyDescent="0.3">
      <c r="A3625" t="str">
        <f>"20200111150429665"</f>
        <v>20200111150429665</v>
      </c>
      <c r="B3625" t="str">
        <f>"1578726269662033"</f>
        <v>1578726269662033</v>
      </c>
      <c r="C3625" t="s">
        <v>40</v>
      </c>
      <c r="D3625">
        <v>5.2009840000000001</v>
      </c>
      <c r="E3625">
        <v>0.51480379999999903</v>
      </c>
      <c r="F3625" t="s">
        <v>42</v>
      </c>
      <c r="G3625">
        <v>-157.636</v>
      </c>
      <c r="H3625">
        <v>1.013503</v>
      </c>
      <c r="I3625">
        <v>144.60220000000001</v>
      </c>
      <c r="J3625">
        <v>-158.0515</v>
      </c>
      <c r="K3625">
        <v>1.087688</v>
      </c>
      <c r="L3625">
        <v>144.72829999999999</v>
      </c>
      <c r="M3625">
        <v>0.99925399999999998</v>
      </c>
      <c r="N3625">
        <v>0</v>
      </c>
      <c r="O3625">
        <v>-3.439263E-2</v>
      </c>
      <c r="P3625">
        <v>0.98042359999999995</v>
      </c>
      <c r="Q3625">
        <v>0.14844189999999999</v>
      </c>
      <c r="R3625">
        <v>-0.12936339999999999</v>
      </c>
      <c r="S3625">
        <v>3.038834</v>
      </c>
      <c r="T3625">
        <v>-0.27467709999999901</v>
      </c>
      <c r="U3625">
        <v>-0.52680969999999905</v>
      </c>
      <c r="V3625">
        <v>0.10213460000000001</v>
      </c>
      <c r="W3625">
        <v>0.16173850000000001</v>
      </c>
      <c r="X3625">
        <v>0.98153409999999996</v>
      </c>
      <c r="Y3625">
        <v>0.1364147</v>
      </c>
      <c r="Z3625">
        <v>-3.0300710000000001E-3</v>
      </c>
      <c r="AA3625">
        <v>0.99064719999999995</v>
      </c>
      <c r="AB3625">
        <v>39</v>
      </c>
      <c r="AC3625">
        <v>0.41550000000000797</v>
      </c>
      <c r="AD3625">
        <v>-7.4184999999999904E-2</v>
      </c>
      <c r="AE3625">
        <v>-0.12609999999997901</v>
      </c>
      <c r="AF3625">
        <v>0.10856411036951399</v>
      </c>
      <c r="AG3625">
        <v>-7.4184999999999904E-2</v>
      </c>
      <c r="AH3625">
        <v>0.40769142106352002</v>
      </c>
      <c r="AI3625">
        <v>99.972718937830194</v>
      </c>
      <c r="AJ3625">
        <v>75.088738336111803</v>
      </c>
      <c r="AK3625">
        <v>0.428371188450059</v>
      </c>
      <c r="AL3625">
        <v>80.692180640246406</v>
      </c>
      <c r="AM3625">
        <v>84.059404623659802</v>
      </c>
      <c r="AN3625">
        <v>1.0000000041811099</v>
      </c>
    </row>
    <row r="3626" spans="1:40" x14ac:dyDescent="0.3">
      <c r="A3626" t="str">
        <f>"20200111150429689"</f>
        <v>20200111150429689</v>
      </c>
      <c r="B3626" t="str">
        <f>"1578726269682529"</f>
        <v>1578726269682529</v>
      </c>
      <c r="C3626" t="s">
        <v>40</v>
      </c>
      <c r="D3626">
        <v>5.2325660000000003</v>
      </c>
      <c r="E3626">
        <v>0.51371739999999999</v>
      </c>
      <c r="F3626" t="s">
        <v>42</v>
      </c>
      <c r="G3626">
        <v>-157.28489999999999</v>
      </c>
      <c r="H3626">
        <v>1.0140800000000001</v>
      </c>
      <c r="I3626">
        <v>144.58670000000001</v>
      </c>
      <c r="J3626">
        <v>-157.65209999999999</v>
      </c>
      <c r="K3626">
        <v>1.0879700000000001</v>
      </c>
      <c r="L3626">
        <v>144.70660000000001</v>
      </c>
      <c r="M3626">
        <v>0.99860720000000003</v>
      </c>
      <c r="N3626">
        <v>0</v>
      </c>
      <c r="O3626">
        <v>-4.9503199999999997E-2</v>
      </c>
      <c r="P3626">
        <v>0.97976739999999996</v>
      </c>
      <c r="Q3626">
        <v>0.143767899999999</v>
      </c>
      <c r="R3626">
        <v>-0.13923740000000001</v>
      </c>
      <c r="S3626">
        <v>3.0300750000000001</v>
      </c>
      <c r="T3626">
        <v>-0.29066560000000002</v>
      </c>
      <c r="U3626">
        <v>-0.55960080000000001</v>
      </c>
      <c r="V3626">
        <v>9.6917359999999994E-2</v>
      </c>
      <c r="W3626">
        <v>0.15800999999999901</v>
      </c>
      <c r="X3626">
        <v>0.98266980000000004</v>
      </c>
      <c r="Y3626">
        <v>0.13233320000000001</v>
      </c>
      <c r="Z3626">
        <v>-1.58749E-3</v>
      </c>
      <c r="AA3626">
        <v>0.99120399999999997</v>
      </c>
      <c r="AB3626">
        <v>39</v>
      </c>
      <c r="AC3626">
        <v>0.36719999999999597</v>
      </c>
      <c r="AD3626">
        <v>-7.3890000000000206E-2</v>
      </c>
      <c r="AE3626">
        <v>-0.11990000000000101</v>
      </c>
      <c r="AF3626">
        <v>9.7986957119114995E-2</v>
      </c>
      <c r="AG3626">
        <v>-7.3890000000000206E-2</v>
      </c>
      <c r="AH3626">
        <v>0.35953067501480301</v>
      </c>
      <c r="AI3626">
        <v>101.215452682128</v>
      </c>
      <c r="AJ3626">
        <v>74.754799597447501</v>
      </c>
      <c r="AK3626">
        <v>0.37989930526662402</v>
      </c>
      <c r="AL3626">
        <v>80.908591986904696</v>
      </c>
      <c r="AM3626">
        <v>84.367329554448503</v>
      </c>
      <c r="AN3626">
        <v>1.0000000353006999</v>
      </c>
    </row>
    <row r="3627" spans="1:40" x14ac:dyDescent="0.3">
      <c r="A3627" t="str">
        <f>"20200111150429710"</f>
        <v>20200111150429710</v>
      </c>
      <c r="B3627" t="str">
        <f>"1578726269702049"</f>
        <v>1578726269702049</v>
      </c>
      <c r="C3627" t="s">
        <v>40</v>
      </c>
      <c r="D3627">
        <v>5.2148510000000003</v>
      </c>
      <c r="E3627">
        <v>0.51340370000000002</v>
      </c>
      <c r="F3627" t="s">
        <v>42</v>
      </c>
      <c r="G3627">
        <v>-156.9359</v>
      </c>
      <c r="H3627">
        <v>1.0141629999999999</v>
      </c>
      <c r="I3627">
        <v>144.5685</v>
      </c>
      <c r="J3627">
        <v>-157.27029999999999</v>
      </c>
      <c r="K3627">
        <v>1.088271</v>
      </c>
      <c r="L3627">
        <v>144.67959999999999</v>
      </c>
      <c r="M3627">
        <v>0.99776629999999999</v>
      </c>
      <c r="N3627">
        <v>0</v>
      </c>
      <c r="O3627">
        <v>-6.4038789999999998E-2</v>
      </c>
      <c r="P3627">
        <v>0.9770837</v>
      </c>
      <c r="Q3627">
        <v>0.15225529999999901</v>
      </c>
      <c r="R3627">
        <v>-0.14874709999999999</v>
      </c>
      <c r="S3627">
        <v>3.024826</v>
      </c>
      <c r="T3627">
        <v>-0.311554099999999</v>
      </c>
      <c r="U3627">
        <v>-0.58299259999999997</v>
      </c>
      <c r="V3627">
        <v>9.2536569999999999E-2</v>
      </c>
      <c r="W3627">
        <v>0.16742760000000001</v>
      </c>
      <c r="X3627">
        <v>0.98153199999999996</v>
      </c>
      <c r="Y3627">
        <v>0.12565770000000001</v>
      </c>
      <c r="Z3627">
        <v>1.1107369999999999E-4</v>
      </c>
      <c r="AA3627">
        <v>0.99207369999999995</v>
      </c>
      <c r="AB3627">
        <v>39</v>
      </c>
      <c r="AC3627">
        <v>0.33439999999998798</v>
      </c>
      <c r="AD3627">
        <v>-7.4107999999999993E-2</v>
      </c>
      <c r="AE3627">
        <v>-0.111099999999993</v>
      </c>
      <c r="AF3627">
        <v>8.5664420211342601E-2</v>
      </c>
      <c r="AG3627">
        <v>-7.4107999999999993E-2</v>
      </c>
      <c r="AH3627">
        <v>0.32639272631432698</v>
      </c>
      <c r="AI3627">
        <v>102.386301124864</v>
      </c>
      <c r="AJ3627">
        <v>75.293941169352195</v>
      </c>
      <c r="AK3627">
        <v>0.345488929410256</v>
      </c>
      <c r="AL3627">
        <v>80.361712583689695</v>
      </c>
      <c r="AM3627">
        <v>84.614205414696002</v>
      </c>
      <c r="AN3627">
        <v>1.0000000425265601</v>
      </c>
    </row>
    <row r="3628" spans="1:40" x14ac:dyDescent="0.3">
      <c r="A3628" t="str">
        <f>"20200111150429733"</f>
        <v>20200111150429733</v>
      </c>
      <c r="B3628" t="str">
        <f>"1578726269722545"</f>
        <v>1578726269722545</v>
      </c>
      <c r="C3628" t="s">
        <v>40</v>
      </c>
      <c r="D3628">
        <v>5.2567159999999999</v>
      </c>
      <c r="E3628">
        <v>0.5124377</v>
      </c>
      <c r="F3628" t="s">
        <v>42</v>
      </c>
      <c r="G3628">
        <v>-156.25909999999999</v>
      </c>
      <c r="H3628">
        <v>0.9903014</v>
      </c>
      <c r="I3628">
        <v>144.4751</v>
      </c>
      <c r="J3628">
        <v>-156.8837</v>
      </c>
      <c r="K3628">
        <v>1.0885320000000001</v>
      </c>
      <c r="L3628">
        <v>144.6463</v>
      </c>
      <c r="M3628">
        <v>0.99668679999999998</v>
      </c>
      <c r="N3628">
        <v>0</v>
      </c>
      <c r="O3628">
        <v>-7.8890840000000004E-2</v>
      </c>
      <c r="P3628">
        <v>0.97493529999999995</v>
      </c>
      <c r="Q3628">
        <v>0.15483910000000001</v>
      </c>
      <c r="R3628">
        <v>-0.15976879999999999</v>
      </c>
      <c r="S3628">
        <v>3.022888</v>
      </c>
      <c r="T3628">
        <v>-0.29269889999999998</v>
      </c>
      <c r="U3628">
        <v>-0.61138919999999997</v>
      </c>
      <c r="V3628">
        <v>8.9110449999999994E-2</v>
      </c>
      <c r="W3628">
        <v>0.1709331</v>
      </c>
      <c r="X3628">
        <v>0.98124469999999997</v>
      </c>
      <c r="Y3628">
        <v>0.1200961</v>
      </c>
      <c r="Z3628">
        <v>1.782889E-3</v>
      </c>
      <c r="AA3628">
        <v>0.99276070000000005</v>
      </c>
      <c r="AB3628">
        <v>38</v>
      </c>
      <c r="AC3628">
        <v>0.62460000000001503</v>
      </c>
      <c r="AD3628">
        <v>-9.8230599999999904E-2</v>
      </c>
      <c r="AE3628">
        <v>-0.17119999999999799</v>
      </c>
      <c r="AF3628">
        <v>0.11865170666140901</v>
      </c>
      <c r="AG3628">
        <v>-9.8230599999999904E-2</v>
      </c>
      <c r="AH3628">
        <v>0.62185526383331702</v>
      </c>
      <c r="AI3628">
        <v>98.8199411799214</v>
      </c>
      <c r="AJ3628">
        <v>79.197646719485803</v>
      </c>
      <c r="AK3628">
        <v>0.64064923899683901</v>
      </c>
      <c r="AL3628">
        <v>80.157923909750295</v>
      </c>
      <c r="AM3628">
        <v>84.810992520309497</v>
      </c>
      <c r="AN3628">
        <v>0.999999979126451</v>
      </c>
    </row>
    <row r="3629" spans="1:40" x14ac:dyDescent="0.3">
      <c r="A3629" t="str">
        <f>"20200111150429754"</f>
        <v>20200111150429754</v>
      </c>
      <c r="B3629" t="str">
        <f>"1578726269752801"</f>
        <v>1578726269752801</v>
      </c>
      <c r="C3629" t="s">
        <v>40</v>
      </c>
      <c r="D3629">
        <v>5.3061970000000001</v>
      </c>
      <c r="E3629">
        <v>0.51011410000000001</v>
      </c>
      <c r="F3629" t="s">
        <v>42</v>
      </c>
      <c r="G3629">
        <v>-155.91380000000001</v>
      </c>
      <c r="H3629">
        <v>0.99752470000000004</v>
      </c>
      <c r="I3629">
        <v>144.44130000000001</v>
      </c>
      <c r="J3629">
        <v>-156.5076</v>
      </c>
      <c r="K3629">
        <v>1.0887420000000001</v>
      </c>
      <c r="L3629">
        <v>144.60810000000001</v>
      </c>
      <c r="M3629">
        <v>0.9954115</v>
      </c>
      <c r="N3629">
        <v>0</v>
      </c>
      <c r="O3629">
        <v>-9.3452419999999994E-2</v>
      </c>
      <c r="P3629">
        <v>0.97298370000000001</v>
      </c>
      <c r="Q3629">
        <v>0.15473000000000001</v>
      </c>
      <c r="R3629">
        <v>-0.17135069999999999</v>
      </c>
      <c r="S3629">
        <v>3.0175779999999999</v>
      </c>
      <c r="T3629">
        <v>-0.28292779999999901</v>
      </c>
      <c r="U3629">
        <v>-0.6374512</v>
      </c>
      <c r="V3629">
        <v>8.6413210000000004E-2</v>
      </c>
      <c r="W3629">
        <v>0.17170160000000001</v>
      </c>
      <c r="X3629">
        <v>0.9813518</v>
      </c>
      <c r="Y3629">
        <v>0.1142382</v>
      </c>
      <c r="Z3629">
        <v>3.3336429999999998E-3</v>
      </c>
      <c r="AA3629">
        <v>0.99344779999999999</v>
      </c>
      <c r="AB3629">
        <v>38</v>
      </c>
      <c r="AC3629">
        <v>0.593799999999987</v>
      </c>
      <c r="AD3629">
        <v>-9.1217300000000098E-2</v>
      </c>
      <c r="AE3629">
        <v>-0.16679999999999401</v>
      </c>
      <c r="AF3629">
        <v>0.10819940842185601</v>
      </c>
      <c r="AG3629">
        <v>-9.1217300000000098E-2</v>
      </c>
      <c r="AH3629">
        <v>0.59380370926068704</v>
      </c>
      <c r="AI3629">
        <v>98.593899391882502</v>
      </c>
      <c r="AJ3629">
        <v>79.673196527089502</v>
      </c>
      <c r="AK3629">
        <v>0.61043472454790704</v>
      </c>
      <c r="AL3629">
        <v>80.113231758365501</v>
      </c>
      <c r="AM3629">
        <v>84.967783318624598</v>
      </c>
      <c r="AN3629">
        <v>1.00000001883415</v>
      </c>
    </row>
    <row r="3630" spans="1:40" x14ac:dyDescent="0.3">
      <c r="A3630" t="str">
        <f>"20200111150429777"</f>
        <v>20200111150429777</v>
      </c>
      <c r="B3630" t="str">
        <f>"1578726269772320"</f>
        <v>1578726269772320</v>
      </c>
      <c r="C3630" t="s">
        <v>40</v>
      </c>
      <c r="D3630">
        <v>5.1984510000000004</v>
      </c>
      <c r="E3630">
        <v>0.50922990000000001</v>
      </c>
      <c r="F3630" t="s">
        <v>42</v>
      </c>
      <c r="G3630">
        <v>-155.57259999999999</v>
      </c>
      <c r="H3630">
        <v>1.001069</v>
      </c>
      <c r="I3630">
        <v>144.40530000000001</v>
      </c>
      <c r="J3630">
        <v>-156.12960000000001</v>
      </c>
      <c r="K3630">
        <v>1.0889219999999999</v>
      </c>
      <c r="L3630">
        <v>144.56389999999999</v>
      </c>
      <c r="M3630">
        <v>0.99390080000000003</v>
      </c>
      <c r="N3630">
        <v>0</v>
      </c>
      <c r="O3630">
        <v>-0.1081969</v>
      </c>
      <c r="P3630">
        <v>0.97151449999999995</v>
      </c>
      <c r="Q3630">
        <v>0.15109339999999999</v>
      </c>
      <c r="R3630">
        <v>-0.18256610000000001</v>
      </c>
      <c r="S3630">
        <v>3.013153</v>
      </c>
      <c r="T3630">
        <v>-0.2824585</v>
      </c>
      <c r="U3630">
        <v>-0.65341190000000005</v>
      </c>
      <c r="V3630">
        <v>8.2971050000000005E-2</v>
      </c>
      <c r="W3630">
        <v>0.16898299999999999</v>
      </c>
      <c r="X3630">
        <v>0.98212049999999995</v>
      </c>
      <c r="Y3630">
        <v>0.10493180000000001</v>
      </c>
      <c r="Z3630">
        <v>5.112119E-3</v>
      </c>
      <c r="AA3630">
        <v>0.99446630000000003</v>
      </c>
      <c r="AB3630">
        <v>38</v>
      </c>
      <c r="AC3630">
        <v>0.55700000000001604</v>
      </c>
      <c r="AD3630">
        <v>-8.7852999999999903E-2</v>
      </c>
      <c r="AE3630">
        <v>-0.15859999999997801</v>
      </c>
      <c r="AF3630">
        <v>9.5198467673484499E-2</v>
      </c>
      <c r="AG3630">
        <v>-8.7852999999999903E-2</v>
      </c>
      <c r="AH3630">
        <v>0.55805093170023301</v>
      </c>
      <c r="AI3630">
        <v>98.821162838602405</v>
      </c>
      <c r="AJ3630">
        <v>80.319047095919601</v>
      </c>
      <c r="AK3630">
        <v>0.57288894231594101</v>
      </c>
      <c r="AL3630">
        <v>80.271306817416203</v>
      </c>
      <c r="AM3630">
        <v>85.171030988982906</v>
      </c>
      <c r="AN3630">
        <v>1.0000000629736701</v>
      </c>
    </row>
    <row r="3631" spans="1:40" x14ac:dyDescent="0.3">
      <c r="A3631" t="str">
        <f>"20200111150429800"</f>
        <v>20200111150429800</v>
      </c>
      <c r="B3631" t="str">
        <f>"1578726269792817"</f>
        <v>1578726269792817</v>
      </c>
      <c r="C3631" t="s">
        <v>40</v>
      </c>
      <c r="D3631">
        <v>5.1676419999999998</v>
      </c>
      <c r="E3631">
        <v>0.50845359999999995</v>
      </c>
      <c r="F3631" t="s">
        <v>42</v>
      </c>
      <c r="G3631">
        <v>-155.23480000000001</v>
      </c>
      <c r="H3631">
        <v>1.003409</v>
      </c>
      <c r="I3631">
        <v>144.36160000000001</v>
      </c>
      <c r="J3631">
        <v>-155.74340000000001</v>
      </c>
      <c r="K3631">
        <v>1.0891169999999999</v>
      </c>
      <c r="L3631">
        <v>144.5127</v>
      </c>
      <c r="M3631">
        <v>0.99211700000000003</v>
      </c>
      <c r="N3631">
        <v>0</v>
      </c>
      <c r="O3631">
        <v>-0.123346</v>
      </c>
      <c r="P3631">
        <v>0.96989860000000006</v>
      </c>
      <c r="Q3631">
        <v>0.14719170000000001</v>
      </c>
      <c r="R3631">
        <v>-0.19398779999999999</v>
      </c>
      <c r="S3631">
        <v>3.0048979999999998</v>
      </c>
      <c r="T3631">
        <v>-0.28682740000000001</v>
      </c>
      <c r="U3631">
        <v>-0.67932130000000002</v>
      </c>
      <c r="V3631">
        <v>7.9301269999999993E-2</v>
      </c>
      <c r="W3631">
        <v>0.16604820000000001</v>
      </c>
      <c r="X3631">
        <v>0.98292389999999996</v>
      </c>
      <c r="Y3631">
        <v>9.8587069999999999E-2</v>
      </c>
      <c r="Z3631">
        <v>6.9061770000000003E-3</v>
      </c>
      <c r="AA3631">
        <v>0.99510449999999995</v>
      </c>
      <c r="AB3631">
        <v>38</v>
      </c>
      <c r="AC3631">
        <v>0.50860000000000105</v>
      </c>
      <c r="AD3631">
        <v>-8.5708000000000104E-2</v>
      </c>
      <c r="AE3631">
        <v>-0.151099999999985</v>
      </c>
      <c r="AF3631">
        <v>8.4978932033214799E-2</v>
      </c>
      <c r="AG3631">
        <v>-8.5708000000000104E-2</v>
      </c>
      <c r="AH3631">
        <v>0.51004678446821405</v>
      </c>
      <c r="AI3631">
        <v>99.411472276663005</v>
      </c>
      <c r="AJ3631">
        <v>80.540832757599802</v>
      </c>
      <c r="AK3631">
        <v>0.52413261919085996</v>
      </c>
      <c r="AL3631">
        <v>80.441868488024397</v>
      </c>
      <c r="AM3631">
        <v>85.387427140166494</v>
      </c>
      <c r="AN3631">
        <v>1.00000004466903</v>
      </c>
    </row>
    <row r="3632" spans="1:40" x14ac:dyDescent="0.3">
      <c r="A3632" t="str">
        <f>"20200111150429822"</f>
        <v>20200111150429822</v>
      </c>
      <c r="B3632" t="str">
        <f>"1578726269812336"</f>
        <v>1578726269812336</v>
      </c>
      <c r="C3632" t="s">
        <v>40</v>
      </c>
      <c r="D3632">
        <v>5.1829099999999997</v>
      </c>
      <c r="E3632">
        <v>0.50768939999999996</v>
      </c>
      <c r="F3632" t="s">
        <v>42</v>
      </c>
      <c r="G3632">
        <v>-154.90049999999999</v>
      </c>
      <c r="H3632">
        <v>1.0048299999999999</v>
      </c>
      <c r="I3632">
        <v>144.31309999999999</v>
      </c>
      <c r="J3632">
        <v>-155.3775</v>
      </c>
      <c r="K3632">
        <v>1.0893360000000001</v>
      </c>
      <c r="L3632">
        <v>144.45849999999999</v>
      </c>
      <c r="M3632">
        <v>0.99019590000000002</v>
      </c>
      <c r="N3632">
        <v>0</v>
      </c>
      <c r="O3632">
        <v>-0.13779549999999999</v>
      </c>
      <c r="P3632">
        <v>0.96752660000000001</v>
      </c>
      <c r="Q3632">
        <v>0.1473729</v>
      </c>
      <c r="R3632">
        <v>-0.2053623</v>
      </c>
      <c r="S3632">
        <v>2.9966279999999998</v>
      </c>
      <c r="T3632">
        <v>-0.29970370000000002</v>
      </c>
      <c r="U3632">
        <v>-0.70976260000000002</v>
      </c>
      <c r="V3632">
        <v>7.6496449999999994E-2</v>
      </c>
      <c r="W3632">
        <v>0.16712299999999999</v>
      </c>
      <c r="X3632">
        <v>0.98296399999999995</v>
      </c>
      <c r="Y3632">
        <v>9.4357099999999999E-2</v>
      </c>
      <c r="Z3632">
        <v>8.8348469999999998E-3</v>
      </c>
      <c r="AA3632">
        <v>0.99549920000000003</v>
      </c>
      <c r="AB3632">
        <v>37</v>
      </c>
      <c r="AC3632">
        <v>0.47700000000000298</v>
      </c>
      <c r="AD3632">
        <v>-8.4506000000000095E-2</v>
      </c>
      <c r="AE3632">
        <v>-0.14539999999999501</v>
      </c>
      <c r="AF3632">
        <v>7.6081658553210696E-2</v>
      </c>
      <c r="AG3632">
        <v>-8.4506000000000095E-2</v>
      </c>
      <c r="AH3632">
        <v>0.478739717579378</v>
      </c>
      <c r="AI3632">
        <v>99.888990229662198</v>
      </c>
      <c r="AJ3632">
        <v>80.970028096800505</v>
      </c>
      <c r="AK3632">
        <v>0.49205832986769898</v>
      </c>
      <c r="AL3632">
        <v>80.379414019688696</v>
      </c>
      <c r="AM3632">
        <v>85.550083576939301</v>
      </c>
      <c r="AN3632">
        <v>1.0000000146438</v>
      </c>
    </row>
    <row r="3633" spans="1:40" x14ac:dyDescent="0.3">
      <c r="A3633" t="str">
        <f>"20200111150429844"</f>
        <v>20200111150429844</v>
      </c>
      <c r="B3633" t="str">
        <f>"1578726269842593"</f>
        <v>1578726269842593</v>
      </c>
      <c r="C3633" t="s">
        <v>40</v>
      </c>
      <c r="D3633">
        <v>5.5885350000000003</v>
      </c>
      <c r="E3633">
        <v>0.50676009999999905</v>
      </c>
      <c r="F3633" t="s">
        <v>42</v>
      </c>
      <c r="G3633">
        <v>-154.56870000000001</v>
      </c>
      <c r="H3633">
        <v>1.0079560000000001</v>
      </c>
      <c r="I3633">
        <v>144.25819999999999</v>
      </c>
      <c r="J3633">
        <v>-155.00620000000001</v>
      </c>
      <c r="K3633">
        <v>1.089553</v>
      </c>
      <c r="L3633">
        <v>144.39760000000001</v>
      </c>
      <c r="M3633">
        <v>0.98800489999999996</v>
      </c>
      <c r="N3633">
        <v>0</v>
      </c>
      <c r="O3633">
        <v>-0.15259879999999901</v>
      </c>
      <c r="P3633">
        <v>0.96504239999999997</v>
      </c>
      <c r="Q3633">
        <v>0.14656079999999999</v>
      </c>
      <c r="R3633">
        <v>-0.21728610000000001</v>
      </c>
      <c r="S3633">
        <v>2.9893800000000001</v>
      </c>
      <c r="T3633">
        <v>-0.30060350000000002</v>
      </c>
      <c r="U3633">
        <v>-0.74018859999999997</v>
      </c>
      <c r="V3633">
        <v>7.3834289999999997E-2</v>
      </c>
      <c r="W3633">
        <v>0.16719539999999999</v>
      </c>
      <c r="X3633">
        <v>0.98315529999999995</v>
      </c>
      <c r="Y3633">
        <v>8.965658E-2</v>
      </c>
      <c r="Z3633">
        <v>1.054049E-2</v>
      </c>
      <c r="AA3633">
        <v>0.99591700000000005</v>
      </c>
      <c r="AB3633">
        <v>37</v>
      </c>
      <c r="AC3633">
        <v>0.4375</v>
      </c>
      <c r="AD3633">
        <v>-8.15970000000001E-2</v>
      </c>
      <c r="AE3633">
        <v>-0.13940000000002301</v>
      </c>
      <c r="AF3633">
        <v>6.8812747088979206E-2</v>
      </c>
      <c r="AG3633">
        <v>-8.15970000000001E-2</v>
      </c>
      <c r="AH3633">
        <v>0.43976413213554899</v>
      </c>
      <c r="AI3633">
        <v>100.387925894972</v>
      </c>
      <c r="AJ3633">
        <v>81.106673728569902</v>
      </c>
      <c r="AK3633">
        <v>0.45253260267506101</v>
      </c>
      <c r="AL3633">
        <v>80.375207183774506</v>
      </c>
      <c r="AM3633">
        <v>85.705188186839905</v>
      </c>
      <c r="AN3633">
        <v>1.0000000740395201</v>
      </c>
    </row>
    <row r="3634" spans="1:40" x14ac:dyDescent="0.3">
      <c r="A3634" t="str">
        <f>"20200111150429867"</f>
        <v>20200111150429867</v>
      </c>
      <c r="B3634" t="str">
        <f>"1578726269862113"</f>
        <v>1578726269862113</v>
      </c>
      <c r="C3634" t="s">
        <v>40</v>
      </c>
      <c r="D3634">
        <v>5.2764379999999997</v>
      </c>
      <c r="E3634">
        <v>0.50586769999999903</v>
      </c>
      <c r="F3634" t="s">
        <v>42</v>
      </c>
      <c r="G3634">
        <v>-154.2397</v>
      </c>
      <c r="H3634">
        <v>1.0116620000000001</v>
      </c>
      <c r="I3634">
        <v>144.1996</v>
      </c>
      <c r="J3634">
        <v>-154.63399999999999</v>
      </c>
      <c r="K3634">
        <v>1.08975</v>
      </c>
      <c r="L3634">
        <v>144.33070000000001</v>
      </c>
      <c r="M3634">
        <v>0.98555029999999999</v>
      </c>
      <c r="N3634">
        <v>0</v>
      </c>
      <c r="O3634">
        <v>-0.16761789999999999</v>
      </c>
      <c r="P3634">
        <v>0.96203660000000002</v>
      </c>
      <c r="Q3634">
        <v>0.14719969999999999</v>
      </c>
      <c r="R3634">
        <v>-0.22982240000000001</v>
      </c>
      <c r="S3634">
        <v>2.9812620000000001</v>
      </c>
      <c r="T3634">
        <v>-0.30284119999999998</v>
      </c>
      <c r="U3634">
        <v>-0.77012630000000004</v>
      </c>
      <c r="V3634">
        <v>7.1667510000000004E-2</v>
      </c>
      <c r="W3634">
        <v>0.16865260000000001</v>
      </c>
      <c r="X3634">
        <v>0.98306669999999996</v>
      </c>
      <c r="Y3634">
        <v>8.4623119999999996E-2</v>
      </c>
      <c r="Z3634">
        <v>1.235002E-2</v>
      </c>
      <c r="AA3634">
        <v>0.99633649999999996</v>
      </c>
      <c r="AB3634">
        <v>37</v>
      </c>
      <c r="AC3634">
        <v>0.39429999999998699</v>
      </c>
      <c r="AD3634">
        <v>-7.8087999999999894E-2</v>
      </c>
      <c r="AE3634">
        <v>-0.13110000000000299</v>
      </c>
      <c r="AF3634">
        <v>6.0979117451999597E-2</v>
      </c>
      <c r="AG3634">
        <v>-7.8087999999999894E-2</v>
      </c>
      <c r="AH3634">
        <v>0.39668967007193401</v>
      </c>
      <c r="AI3634">
        <v>101.010127739856</v>
      </c>
      <c r="AJ3634">
        <v>81.260901459842302</v>
      </c>
      <c r="AK3634">
        <v>0.40887514335186098</v>
      </c>
      <c r="AL3634">
        <v>80.290512719508996</v>
      </c>
      <c r="AM3634">
        <v>85.830400446038098</v>
      </c>
      <c r="AN3634">
        <v>1.0000000340626201</v>
      </c>
    </row>
    <row r="3635" spans="1:40" x14ac:dyDescent="0.3">
      <c r="A3635" t="str">
        <f>"20200111150429889"</f>
        <v>20200111150429889</v>
      </c>
      <c r="B3635" t="str">
        <f>"1578726269882609"</f>
        <v>1578726269882609</v>
      </c>
      <c r="C3635" t="s">
        <v>40</v>
      </c>
      <c r="D3635">
        <v>6.0192269999999999</v>
      </c>
      <c r="E3635">
        <v>0.47019319999999998</v>
      </c>
      <c r="F3635" t="s">
        <v>42</v>
      </c>
      <c r="G3635">
        <v>-153.91319999999999</v>
      </c>
      <c r="H3635">
        <v>1.0167139999999999</v>
      </c>
      <c r="I3635">
        <v>144.136</v>
      </c>
      <c r="J3635">
        <v>-154.2843</v>
      </c>
      <c r="K3635">
        <v>1.089923</v>
      </c>
      <c r="L3635">
        <v>144.2621</v>
      </c>
      <c r="M3635">
        <v>0.98299840000000005</v>
      </c>
      <c r="N3635">
        <v>0</v>
      </c>
      <c r="O3635">
        <v>-0.18190129999999999</v>
      </c>
      <c r="P3635">
        <v>0.95902010000000004</v>
      </c>
      <c r="Q3635">
        <v>0.1483932</v>
      </c>
      <c r="R3635">
        <v>-0.24137149999999999</v>
      </c>
      <c r="S3635">
        <v>2.9726870000000001</v>
      </c>
      <c r="T3635">
        <v>-0.30088930000000003</v>
      </c>
      <c r="U3635">
        <v>-0.8026276</v>
      </c>
      <c r="V3635">
        <v>6.9262959999999998E-2</v>
      </c>
      <c r="W3635">
        <v>0.17057269999999999</v>
      </c>
      <c r="X3635">
        <v>0.98290770000000005</v>
      </c>
      <c r="Y3635">
        <v>8.1114510000000001E-2</v>
      </c>
      <c r="Z3635">
        <v>1.384312E-2</v>
      </c>
      <c r="AA3635">
        <v>0.99660870000000001</v>
      </c>
      <c r="AB3635">
        <v>37</v>
      </c>
      <c r="AC3635">
        <v>0.37110000000001198</v>
      </c>
      <c r="AD3635">
        <v>-7.3208999999999996E-2</v>
      </c>
      <c r="AE3635">
        <v>-0.12610000000000801</v>
      </c>
      <c r="AF3635">
        <v>5.45664252885334E-2</v>
      </c>
      <c r="AG3635">
        <v>-7.3208999999999996E-2</v>
      </c>
      <c r="AH3635">
        <v>0.37477430372752701</v>
      </c>
      <c r="AI3635">
        <v>100.940532796757</v>
      </c>
      <c r="AJ3635">
        <v>81.716052869752701</v>
      </c>
      <c r="AK3635">
        <v>0.38573673818321003</v>
      </c>
      <c r="AL3635">
        <v>80.178881049571103</v>
      </c>
      <c r="AM3635">
        <v>85.969177887263598</v>
      </c>
      <c r="AN3635">
        <v>0.99999997516627004</v>
      </c>
    </row>
    <row r="3636" spans="1:40" x14ac:dyDescent="0.3">
      <c r="A3636" t="str">
        <f>"20200111150429911"</f>
        <v>20200111150429911</v>
      </c>
      <c r="B3636" t="str">
        <f>"1578726269902129"</f>
        <v>1578726269902129</v>
      </c>
      <c r="C3636" t="s">
        <v>40</v>
      </c>
      <c r="D3636">
        <v>6.0601269999999996</v>
      </c>
      <c r="E3636">
        <v>0.46908470000000002</v>
      </c>
      <c r="F3636" t="s">
        <v>44</v>
      </c>
      <c r="G3636">
        <v>0</v>
      </c>
      <c r="H3636">
        <v>0</v>
      </c>
      <c r="I3636">
        <v>0</v>
      </c>
      <c r="J3636">
        <v>-153.9222</v>
      </c>
      <c r="K3636">
        <v>1.090104</v>
      </c>
      <c r="L3636">
        <v>144.1849</v>
      </c>
      <c r="M3636">
        <v>0.98010180000000002</v>
      </c>
      <c r="N3636">
        <v>0</v>
      </c>
      <c r="O3636">
        <v>-0.19683419999999999</v>
      </c>
      <c r="P3636">
        <v>0.95602430000000005</v>
      </c>
      <c r="Q3636">
        <v>0.14801259999999999</v>
      </c>
      <c r="R3636">
        <v>-0.25319899999999901</v>
      </c>
      <c r="S3636">
        <v>2.9023279999999998</v>
      </c>
      <c r="T3636">
        <v>0.69562409999999997</v>
      </c>
      <c r="U3636">
        <v>-0.4697113</v>
      </c>
      <c r="V3636">
        <v>6.6381209999999996E-2</v>
      </c>
      <c r="W3636">
        <v>0.17091990000000001</v>
      </c>
      <c r="X3636">
        <v>0.98304619999999998</v>
      </c>
      <c r="Y3636">
        <v>-3.1534470000000002E-2</v>
      </c>
      <c r="Z3636">
        <v>-4.9537289999999998E-2</v>
      </c>
      <c r="AA3636">
        <v>0.99827429999999995</v>
      </c>
      <c r="AB3636">
        <v>36</v>
      </c>
      <c r="AC3636">
        <v>2.9023279999999998</v>
      </c>
      <c r="AD3636">
        <v>0.69562409999999997</v>
      </c>
      <c r="AE3636">
        <v>-0.4697113</v>
      </c>
      <c r="AF3636">
        <v>-0.105067359394224</v>
      </c>
      <c r="AG3636">
        <v>0.69562409999999997</v>
      </c>
      <c r="AH3636">
        <v>2.7822486909117501</v>
      </c>
      <c r="AI3636">
        <v>75.972159899375299</v>
      </c>
      <c r="AJ3636">
        <v>92.162659685009999</v>
      </c>
      <c r="AK3636">
        <v>2.86981529311401</v>
      </c>
      <c r="AL3636">
        <v>80.158691263433496</v>
      </c>
      <c r="AM3636">
        <v>86.136907785309404</v>
      </c>
      <c r="AN3636">
        <v>0.99999995429575494</v>
      </c>
    </row>
    <row r="3637" spans="1:40" x14ac:dyDescent="0.3">
      <c r="A3637" t="str">
        <f>"20200111150429934"</f>
        <v>20200111150429934</v>
      </c>
      <c r="B3637" t="str">
        <f>"1578726269922626"</f>
        <v>1578726269922626</v>
      </c>
      <c r="C3637" t="s">
        <v>40</v>
      </c>
      <c r="D3637">
        <v>6.0120170000000002</v>
      </c>
      <c r="E3637">
        <v>0.46857130000000002</v>
      </c>
      <c r="F3637" t="s">
        <v>44</v>
      </c>
      <c r="G3637">
        <v>0</v>
      </c>
      <c r="H3637">
        <v>0</v>
      </c>
      <c r="I3637">
        <v>0</v>
      </c>
      <c r="J3637">
        <v>-153.58029999999999</v>
      </c>
      <c r="K3637">
        <v>1.0902810000000001</v>
      </c>
      <c r="L3637">
        <v>144.10659999999999</v>
      </c>
      <c r="M3637">
        <v>0.97712600000000005</v>
      </c>
      <c r="N3637">
        <v>0</v>
      </c>
      <c r="O3637">
        <v>-0.21104719999999999</v>
      </c>
      <c r="P3637">
        <v>0.95280129999999996</v>
      </c>
      <c r="Q3637">
        <v>0.1472753</v>
      </c>
      <c r="R3637">
        <v>-0.2654802</v>
      </c>
      <c r="S3637">
        <v>2.9025880000000002</v>
      </c>
      <c r="T3637">
        <v>0.66655410000000004</v>
      </c>
      <c r="U3637">
        <v>-0.4991913</v>
      </c>
      <c r="V3637">
        <v>6.4660969999999998E-2</v>
      </c>
      <c r="W3637">
        <v>0.17079029999999901</v>
      </c>
      <c r="X3637">
        <v>0.98318340000000004</v>
      </c>
      <c r="Y3637">
        <v>-3.6253840000000002E-2</v>
      </c>
      <c r="Z3637">
        <v>-5.1119860000000003E-2</v>
      </c>
      <c r="AA3637">
        <v>0.99803430000000004</v>
      </c>
      <c r="AB3637">
        <v>36</v>
      </c>
      <c r="AC3637">
        <v>2.9025880000000002</v>
      </c>
      <c r="AD3637">
        <v>0.66655410000000004</v>
      </c>
      <c r="AE3637">
        <v>-0.4991913</v>
      </c>
      <c r="AF3637">
        <v>-0.118769573725859</v>
      </c>
      <c r="AG3637">
        <v>0.66655410000000004</v>
      </c>
      <c r="AH3637">
        <v>2.7991790503703098</v>
      </c>
      <c r="AI3637">
        <v>76.617503698606995</v>
      </c>
      <c r="AJ3637">
        <v>92.429610923575893</v>
      </c>
      <c r="AK3637">
        <v>2.8798965147904001</v>
      </c>
      <c r="AL3637">
        <v>80.166227893345095</v>
      </c>
      <c r="AM3637">
        <v>86.237250291028801</v>
      </c>
      <c r="AN3637">
        <v>0.99999998282549496</v>
      </c>
    </row>
    <row r="3638" spans="1:40" x14ac:dyDescent="0.3">
      <c r="A3638" t="str">
        <f>"20200111150429955"</f>
        <v>20200111150429955</v>
      </c>
      <c r="B3638" t="str">
        <f>"1578726269952881"</f>
        <v>1578726269952881</v>
      </c>
      <c r="C3638" t="s">
        <v>40</v>
      </c>
      <c r="D3638">
        <v>5.9881690000000001</v>
      </c>
      <c r="E3638">
        <v>0.47191810000000001</v>
      </c>
      <c r="F3638" t="s">
        <v>44</v>
      </c>
      <c r="G3638">
        <v>0</v>
      </c>
      <c r="H3638">
        <v>0</v>
      </c>
      <c r="I3638">
        <v>0</v>
      </c>
      <c r="J3638">
        <v>-153.23089999999999</v>
      </c>
      <c r="K3638">
        <v>1.0904560000000001</v>
      </c>
      <c r="L3638">
        <v>144.02090000000001</v>
      </c>
      <c r="M3638">
        <v>0.97383529999999996</v>
      </c>
      <c r="N3638">
        <v>0</v>
      </c>
      <c r="O3638">
        <v>-0.22568679999999999</v>
      </c>
      <c r="P3638">
        <v>0.94909270000000001</v>
      </c>
      <c r="Q3638">
        <v>0.1466623</v>
      </c>
      <c r="R3638">
        <v>-0.27877059999999998</v>
      </c>
      <c r="S3638">
        <v>2.8921969999999999</v>
      </c>
      <c r="T3638">
        <v>0.70668109999999995</v>
      </c>
      <c r="U3638">
        <v>-0.52828980000000003</v>
      </c>
      <c r="V3638">
        <v>6.3558420000000004E-2</v>
      </c>
      <c r="W3638">
        <v>0.17072399999999999</v>
      </c>
      <c r="X3638">
        <v>0.9832668</v>
      </c>
      <c r="Y3638">
        <v>-3.9647389999999998E-2</v>
      </c>
      <c r="Z3638">
        <v>-5.8046439999999998E-2</v>
      </c>
      <c r="AA3638">
        <v>0.99752629999999998</v>
      </c>
      <c r="AB3638">
        <v>35</v>
      </c>
      <c r="AC3638">
        <v>2.8921969999999999</v>
      </c>
      <c r="AD3638">
        <v>0.70668109999999995</v>
      </c>
      <c r="AE3638">
        <v>-0.52828980000000003</v>
      </c>
      <c r="AF3638">
        <v>-0.13075805425711101</v>
      </c>
      <c r="AG3638">
        <v>0.70668109999999995</v>
      </c>
      <c r="AH3638">
        <v>2.77638969811338</v>
      </c>
      <c r="AI3638">
        <v>75.734772861324402</v>
      </c>
      <c r="AJ3638">
        <v>92.696434447369896</v>
      </c>
      <c r="AK3638">
        <v>2.8678974182561698</v>
      </c>
      <c r="AL3638">
        <v>80.1700831829246</v>
      </c>
      <c r="AM3638">
        <v>86.301543068652904</v>
      </c>
      <c r="AN3638">
        <v>0.99999997845556798</v>
      </c>
    </row>
    <row r="3639" spans="1:40" x14ac:dyDescent="0.3">
      <c r="A3639" t="str">
        <f>"20200111150429979"</f>
        <v>20200111150429979</v>
      </c>
      <c r="B3639" t="str">
        <f>"1578726269972400"</f>
        <v>1578726269972400</v>
      </c>
      <c r="C3639" t="s">
        <v>40</v>
      </c>
      <c r="D3639">
        <v>5.2348429999999997</v>
      </c>
      <c r="E3639">
        <v>0.48635630000000002</v>
      </c>
      <c r="F3639" t="s">
        <v>44</v>
      </c>
      <c r="G3639">
        <v>0</v>
      </c>
      <c r="H3639">
        <v>0</v>
      </c>
      <c r="I3639">
        <v>0</v>
      </c>
      <c r="J3639">
        <v>-152.88390000000001</v>
      </c>
      <c r="K3639">
        <v>1.0906340000000001</v>
      </c>
      <c r="L3639">
        <v>143.93010000000001</v>
      </c>
      <c r="M3639">
        <v>0.97031690000000004</v>
      </c>
      <c r="N3639">
        <v>0</v>
      </c>
      <c r="O3639">
        <v>-0.2403161</v>
      </c>
      <c r="P3639">
        <v>0.94493309999999997</v>
      </c>
      <c r="Q3639">
        <v>0.14741850000000001</v>
      </c>
      <c r="R3639">
        <v>-0.29218070000000002</v>
      </c>
      <c r="S3639">
        <v>2.8802340000000002</v>
      </c>
      <c r="T3639">
        <v>0.68153819999999998</v>
      </c>
      <c r="U3639">
        <v>-0.59703059999999997</v>
      </c>
      <c r="V3639">
        <v>6.2689780000000001E-2</v>
      </c>
      <c r="W3639">
        <v>0.1719591</v>
      </c>
      <c r="X3639">
        <v>0.98310730000000002</v>
      </c>
      <c r="Y3639">
        <v>-3.1366779999999997E-2</v>
      </c>
      <c r="Z3639">
        <v>-5.8415549999999997E-2</v>
      </c>
      <c r="AA3639">
        <v>0.99779949999999995</v>
      </c>
      <c r="AB3639">
        <v>35</v>
      </c>
      <c r="AC3639">
        <v>2.8802340000000002</v>
      </c>
      <c r="AD3639">
        <v>0.68153819999999998</v>
      </c>
      <c r="AE3639">
        <v>-0.59703059999999997</v>
      </c>
      <c r="AF3639">
        <v>-0.107146923365839</v>
      </c>
      <c r="AG3639">
        <v>0.68153819999999998</v>
      </c>
      <c r="AH3639">
        <v>2.7895369456382202</v>
      </c>
      <c r="AI3639">
        <v>76.280222713346006</v>
      </c>
      <c r="AJ3639">
        <v>92.199666179223598</v>
      </c>
      <c r="AK3639">
        <v>2.8735850696171501</v>
      </c>
      <c r="AL3639">
        <v>80.098254675594902</v>
      </c>
      <c r="AM3639">
        <v>86.351361426701203</v>
      </c>
      <c r="AN3639">
        <v>0.999999951951273</v>
      </c>
    </row>
    <row r="3640" spans="1:40" x14ac:dyDescent="0.3">
      <c r="A3640" t="str">
        <f>"20200111150430001"</f>
        <v>20200111150430001</v>
      </c>
      <c r="B3640" t="str">
        <f>"1578726269992897"</f>
        <v>1578726269992897</v>
      </c>
      <c r="C3640" t="s">
        <v>40</v>
      </c>
      <c r="D3640">
        <v>5.3061910000000001</v>
      </c>
      <c r="E3640">
        <v>0.48456339999999998</v>
      </c>
      <c r="F3640" t="s">
        <v>42</v>
      </c>
      <c r="G3640">
        <v>-152.03190000000001</v>
      </c>
      <c r="H3640">
        <v>1.02173</v>
      </c>
      <c r="I3640">
        <v>143.68690000000001</v>
      </c>
      <c r="J3640">
        <v>-152.53290000000001</v>
      </c>
      <c r="K3640">
        <v>1.090819</v>
      </c>
      <c r="L3640">
        <v>143.83240000000001</v>
      </c>
      <c r="M3640">
        <v>0.96650360000000002</v>
      </c>
      <c r="N3640">
        <v>0</v>
      </c>
      <c r="O3640">
        <v>-0.25517909999999999</v>
      </c>
      <c r="P3640">
        <v>0.94047289999999995</v>
      </c>
      <c r="Q3640">
        <v>0.14796210000000001</v>
      </c>
      <c r="R3640">
        <v>-0.3059712</v>
      </c>
      <c r="S3640">
        <v>2.9515229999999999</v>
      </c>
      <c r="T3640">
        <v>-0.23856820000000001</v>
      </c>
      <c r="U3640">
        <v>-0.84251399999999999</v>
      </c>
      <c r="V3640">
        <v>6.1968059999999998E-2</v>
      </c>
      <c r="W3640">
        <v>0.1729318</v>
      </c>
      <c r="X3640">
        <v>0.98298249999999998</v>
      </c>
      <c r="Y3640">
        <v>2.0604299999999999E-2</v>
      </c>
      <c r="Z3640">
        <v>1.903618E-2</v>
      </c>
      <c r="AA3640">
        <v>0.99960649999999995</v>
      </c>
      <c r="AB3640">
        <v>35</v>
      </c>
      <c r="AC3640">
        <v>0.501000000000004</v>
      </c>
      <c r="AD3640">
        <v>-6.90889999999999E-2</v>
      </c>
      <c r="AE3640">
        <v>-0.14549999999999799</v>
      </c>
      <c r="AF3640">
        <v>1.25659887175579E-2</v>
      </c>
      <c r="AG3640">
        <v>-6.90889999999999E-2</v>
      </c>
      <c r="AH3640">
        <v>0.51255454233130504</v>
      </c>
      <c r="AI3640">
        <v>97.674546807595107</v>
      </c>
      <c r="AJ3640">
        <v>88.595595467393196</v>
      </c>
      <c r="AK3640">
        <v>0.51734258751614803</v>
      </c>
      <c r="AL3640">
        <v>80.041676157005796</v>
      </c>
      <c r="AM3640">
        <v>86.392798377493193</v>
      </c>
      <c r="AN3640">
        <v>1.0000000216088201</v>
      </c>
    </row>
    <row r="3641" spans="1:40" x14ac:dyDescent="0.3">
      <c r="A3641" t="str">
        <f>"20200111150430023"</f>
        <v>20200111150430023</v>
      </c>
      <c r="B3641" t="str">
        <f>"1578726270012417"</f>
        <v>1578726270012417</v>
      </c>
      <c r="C3641" t="s">
        <v>40</v>
      </c>
      <c r="D3641">
        <v>5.2403440000000003</v>
      </c>
      <c r="E3641">
        <v>0.4836741</v>
      </c>
      <c r="F3641" t="s">
        <v>42</v>
      </c>
      <c r="G3641">
        <v>-151.7167</v>
      </c>
      <c r="H3641">
        <v>1.0303059999999999</v>
      </c>
      <c r="I3641">
        <v>143.5909</v>
      </c>
      <c r="J3641">
        <v>-152.21809999999999</v>
      </c>
      <c r="K3641">
        <v>1.090991</v>
      </c>
      <c r="L3641">
        <v>143.7396</v>
      </c>
      <c r="M3641">
        <v>0.96286819999999895</v>
      </c>
      <c r="N3641">
        <v>0</v>
      </c>
      <c r="O3641">
        <v>-0.26853880000000002</v>
      </c>
      <c r="P3641">
        <v>0.93626730000000002</v>
      </c>
      <c r="Q3641">
        <v>0.1484559</v>
      </c>
      <c r="R3641">
        <v>-0.31837779999999999</v>
      </c>
      <c r="S3641">
        <v>2.9410400000000001</v>
      </c>
      <c r="T3641">
        <v>-0.21789149999999999</v>
      </c>
      <c r="U3641">
        <v>-0.87020869999999995</v>
      </c>
      <c r="V3641">
        <v>6.1332930000000001E-2</v>
      </c>
      <c r="W3641">
        <v>0.1737677</v>
      </c>
      <c r="X3641">
        <v>0.9828749</v>
      </c>
      <c r="Y3641">
        <v>1.6304119999999998E-2</v>
      </c>
      <c r="Z3641">
        <v>1.850197E-2</v>
      </c>
      <c r="AA3641">
        <v>0.99969589999999997</v>
      </c>
      <c r="AB3641">
        <v>35</v>
      </c>
      <c r="AC3641">
        <v>0.50139999999998897</v>
      </c>
      <c r="AD3641">
        <v>-6.06850000000001E-2</v>
      </c>
      <c r="AE3641">
        <v>-0.14869999999999001</v>
      </c>
      <c r="AF3641">
        <v>8.4230314193370296E-3</v>
      </c>
      <c r="AG3641">
        <v>-6.06850000000001E-2</v>
      </c>
      <c r="AH3641">
        <v>0.51596849855600202</v>
      </c>
      <c r="AI3641">
        <v>96.707069994518207</v>
      </c>
      <c r="AJ3641">
        <v>89.064746610367095</v>
      </c>
      <c r="AK3641">
        <v>0.51959321414489801</v>
      </c>
      <c r="AL3641">
        <v>79.993046212141394</v>
      </c>
      <c r="AM3641">
        <v>86.429283738061997</v>
      </c>
      <c r="AN3641">
        <v>1.00000000545784</v>
      </c>
    </row>
    <row r="3642" spans="1:40" x14ac:dyDescent="0.3">
      <c r="A3642" t="str">
        <f>"20200111150430046"</f>
        <v>20200111150430046</v>
      </c>
      <c r="B3642" t="str">
        <f>"1578726270042206"</f>
        <v>1578726270042206</v>
      </c>
      <c r="C3642" t="s">
        <v>40</v>
      </c>
      <c r="D3642">
        <v>4.669899</v>
      </c>
      <c r="E3642">
        <v>0.48185040000000001</v>
      </c>
      <c r="F3642" t="s">
        <v>42</v>
      </c>
      <c r="G3642">
        <v>-151.43629999999999</v>
      </c>
      <c r="H3642">
        <v>1.0218149999999999</v>
      </c>
      <c r="I3642">
        <v>143.49809999999999</v>
      </c>
      <c r="J3642">
        <v>-151.88659999999999</v>
      </c>
      <c r="K3642">
        <v>1.091194</v>
      </c>
      <c r="L3642">
        <v>143.63659999999999</v>
      </c>
      <c r="M3642">
        <v>0.95883030000000002</v>
      </c>
      <c r="N3642">
        <v>0</v>
      </c>
      <c r="O3642">
        <v>-0.2825896</v>
      </c>
      <c r="P3642">
        <v>0.93158859999999999</v>
      </c>
      <c r="Q3642">
        <v>0.1486526</v>
      </c>
      <c r="R3642">
        <v>-0.33173079999999999</v>
      </c>
      <c r="S3642">
        <v>2.9369809999999998</v>
      </c>
      <c r="T3642">
        <v>-0.25977410000000001</v>
      </c>
      <c r="U3642">
        <v>-0.90702819999999995</v>
      </c>
      <c r="V3642">
        <v>6.0959600000000003E-2</v>
      </c>
      <c r="W3642">
        <v>0.17428850000000001</v>
      </c>
      <c r="X3642">
        <v>0.98280590000000001</v>
      </c>
      <c r="Y3642">
        <v>1.384619E-2</v>
      </c>
      <c r="Z3642">
        <v>2.3285210000000001E-2</v>
      </c>
      <c r="AA3642">
        <v>0.99963299999999999</v>
      </c>
      <c r="AB3642">
        <v>34</v>
      </c>
      <c r="AC3642">
        <v>0.45029999999999798</v>
      </c>
      <c r="AD3642">
        <v>-6.9378999999999996E-2</v>
      </c>
      <c r="AE3642">
        <v>-0.13849999999999299</v>
      </c>
      <c r="AF3642">
        <v>5.4322767169407904E-3</v>
      </c>
      <c r="AG3642">
        <v>-6.9378999999999996E-2</v>
      </c>
      <c r="AH3642">
        <v>0.46108598790118699</v>
      </c>
      <c r="AI3642">
        <v>98.556441266440402</v>
      </c>
      <c r="AJ3642">
        <v>89.325001978572899</v>
      </c>
      <c r="AK3642">
        <v>0.46630809934006401</v>
      </c>
      <c r="AL3642">
        <v>79.962744081510806</v>
      </c>
      <c r="AM3642">
        <v>86.450714228514698</v>
      </c>
      <c r="AN3642">
        <v>0.99999999556960995</v>
      </c>
    </row>
    <row r="3643" spans="1:40" x14ac:dyDescent="0.3">
      <c r="A3643" t="str">
        <f>"20200111150430068"</f>
        <v>20200111150430068</v>
      </c>
      <c r="B3643" t="str">
        <f>"1578726270062701"</f>
        <v>1578726270062701</v>
      </c>
      <c r="C3643" t="s">
        <v>40</v>
      </c>
      <c r="D3643">
        <v>5.3878059999999897</v>
      </c>
      <c r="E3643">
        <v>0.480375</v>
      </c>
      <c r="F3643" t="s">
        <v>42</v>
      </c>
      <c r="G3643">
        <v>-151.14089999999999</v>
      </c>
      <c r="H3643">
        <v>1.02536</v>
      </c>
      <c r="I3643">
        <v>143.39850000000001</v>
      </c>
      <c r="J3643">
        <v>-151.5521</v>
      </c>
      <c r="K3643">
        <v>1.0914299999999999</v>
      </c>
      <c r="L3643">
        <v>143.52699999999999</v>
      </c>
      <c r="M3643">
        <v>0.95454329999999998</v>
      </c>
      <c r="N3643">
        <v>0</v>
      </c>
      <c r="O3643">
        <v>-0.29672189999999998</v>
      </c>
      <c r="P3643">
        <v>0.92647760000000001</v>
      </c>
      <c r="Q3643">
        <v>0.14849870000000001</v>
      </c>
      <c r="R3643">
        <v>-0.34581469999999997</v>
      </c>
      <c r="S3643">
        <v>2.928696</v>
      </c>
      <c r="T3643">
        <v>-0.25839109999999998</v>
      </c>
      <c r="U3643">
        <v>-0.93472290000000002</v>
      </c>
      <c r="V3643">
        <v>6.1248480000000001E-2</v>
      </c>
      <c r="W3643">
        <v>0.17441799999999999</v>
      </c>
      <c r="X3643">
        <v>0.982765</v>
      </c>
      <c r="Y3643">
        <v>8.5272769999999998E-3</v>
      </c>
      <c r="Z3643">
        <v>2.4560229999999999E-2</v>
      </c>
      <c r="AA3643">
        <v>0.99966200000000005</v>
      </c>
      <c r="AB3643">
        <v>34</v>
      </c>
      <c r="AC3643">
        <v>0.411200000000007</v>
      </c>
      <c r="AD3643">
        <v>-6.6069999999999796E-2</v>
      </c>
      <c r="AE3643">
        <v>-0.128500000000002</v>
      </c>
      <c r="AF3643">
        <v>6.3216030288408499E-4</v>
      </c>
      <c r="AG3643">
        <v>-6.6069999999999796E-2</v>
      </c>
      <c r="AH3643">
        <v>0.42091023786701698</v>
      </c>
      <c r="AI3643">
        <v>98.920877431003703</v>
      </c>
      <c r="AJ3643">
        <v>89.913948184579596</v>
      </c>
      <c r="AK3643">
        <v>0.42606463461300897</v>
      </c>
      <c r="AL3643">
        <v>79.955209213057799</v>
      </c>
      <c r="AM3643">
        <v>86.433789876922404</v>
      </c>
      <c r="AN3643">
        <v>1.00000003012565</v>
      </c>
    </row>
    <row r="3644" spans="1:40" x14ac:dyDescent="0.3">
      <c r="A3644" t="str">
        <f>"20200111150430091"</f>
        <v>20200111150430091</v>
      </c>
      <c r="B3644" t="str">
        <f>"1578726270082221"</f>
        <v>1578726270082221</v>
      </c>
      <c r="C3644" t="s">
        <v>40</v>
      </c>
      <c r="D3644">
        <v>5.134906</v>
      </c>
      <c r="E3644">
        <v>0.47889670000000001</v>
      </c>
      <c r="F3644" t="s">
        <v>42</v>
      </c>
      <c r="G3644">
        <v>-150.85290000000001</v>
      </c>
      <c r="H3644">
        <v>1.02565</v>
      </c>
      <c r="I3644">
        <v>143.29499999999999</v>
      </c>
      <c r="J3644">
        <v>-151.22819999999999</v>
      </c>
      <c r="K3644">
        <v>1.091691</v>
      </c>
      <c r="L3644">
        <v>143.4151</v>
      </c>
      <c r="M3644">
        <v>0.95019560000000003</v>
      </c>
      <c r="N3644">
        <v>0</v>
      </c>
      <c r="O3644">
        <v>-0.31034270000000003</v>
      </c>
      <c r="P3644">
        <v>0.9215314</v>
      </c>
      <c r="Q3644">
        <v>0.14888989999999999</v>
      </c>
      <c r="R3644">
        <v>-0.35862569999999999</v>
      </c>
      <c r="S3644">
        <v>2.9204560000000002</v>
      </c>
      <c r="T3644">
        <v>-0.27452789999999999</v>
      </c>
      <c r="U3644">
        <v>-0.96881099999999998</v>
      </c>
      <c r="V3644">
        <v>6.0757470000000001E-2</v>
      </c>
      <c r="W3644">
        <v>0.1750805</v>
      </c>
      <c r="X3644">
        <v>0.98267760000000004</v>
      </c>
      <c r="Y3644">
        <v>5.7720310000000004E-3</v>
      </c>
      <c r="Z3644">
        <v>2.7395800000000001E-2</v>
      </c>
      <c r="AA3644">
        <v>0.99960800000000005</v>
      </c>
      <c r="AB3644">
        <v>34</v>
      </c>
      <c r="AC3644">
        <v>0.37529999999998098</v>
      </c>
      <c r="AD3644">
        <v>-6.6041000000000002E-2</v>
      </c>
      <c r="AE3644">
        <v>-0.12010000000000701</v>
      </c>
      <c r="AF3644">
        <v>-2.2897679889965E-3</v>
      </c>
      <c r="AG3644">
        <v>-6.6041000000000002E-2</v>
      </c>
      <c r="AH3644">
        <v>0.38327568352277502</v>
      </c>
      <c r="AI3644">
        <v>99.776281596832902</v>
      </c>
      <c r="AJ3644">
        <v>90.342292732582493</v>
      </c>
      <c r="AK3644">
        <v>0.38893046460555702</v>
      </c>
      <c r="AL3644">
        <v>79.916656835282197</v>
      </c>
      <c r="AM3644">
        <v>86.461992329251103</v>
      </c>
      <c r="AN3644">
        <v>0.999999958591404</v>
      </c>
    </row>
    <row r="3645" spans="1:40" x14ac:dyDescent="0.3">
      <c r="A3645" t="str">
        <f>"20200111150430116"</f>
        <v>20200111150430116</v>
      </c>
      <c r="B3645" t="str">
        <f>"1578726270112478"</f>
        <v>1578726270112478</v>
      </c>
      <c r="C3645" t="s">
        <v>40</v>
      </c>
      <c r="D3645">
        <v>5.392684</v>
      </c>
      <c r="E3645">
        <v>0.47683730000000002</v>
      </c>
      <c r="F3645" t="s">
        <v>42</v>
      </c>
      <c r="G3645">
        <v>-150.29750000000001</v>
      </c>
      <c r="H3645">
        <v>1.0055229999999999</v>
      </c>
      <c r="I3645">
        <v>143.09620000000001</v>
      </c>
      <c r="J3645">
        <v>-150.88509999999999</v>
      </c>
      <c r="K3645">
        <v>1.0920000000000001</v>
      </c>
      <c r="L3645">
        <v>143.29040000000001</v>
      </c>
      <c r="M3645">
        <v>0.94538929999999999</v>
      </c>
      <c r="N3645">
        <v>0</v>
      </c>
      <c r="O3645">
        <v>-0.32467089999999998</v>
      </c>
      <c r="P3645">
        <v>0.91697669999999998</v>
      </c>
      <c r="Q3645">
        <v>0.1482762</v>
      </c>
      <c r="R3645">
        <v>-0.37036170000000002</v>
      </c>
      <c r="S3645">
        <v>2.9109039999999999</v>
      </c>
      <c r="T3645">
        <v>-0.26952619999999999</v>
      </c>
      <c r="U3645">
        <v>-0.99729920000000005</v>
      </c>
      <c r="V3645">
        <v>5.827703E-2</v>
      </c>
      <c r="W3645">
        <v>0.1747937</v>
      </c>
      <c r="X3645">
        <v>0.9828789</v>
      </c>
      <c r="Y3645">
        <v>4.4303350000000002E-4</v>
      </c>
      <c r="Z3645">
        <v>2.8372499999999998E-2</v>
      </c>
      <c r="AA3645">
        <v>0.99959730000000002</v>
      </c>
      <c r="AB3645">
        <v>33</v>
      </c>
      <c r="AC3645">
        <v>0.58759999999998003</v>
      </c>
      <c r="AD3645">
        <v>-8.6477000000000095E-2</v>
      </c>
      <c r="AE3645">
        <v>-0.19419999999999499</v>
      </c>
      <c r="AF3645">
        <v>-7.0473852059161303E-3</v>
      </c>
      <c r="AG3645">
        <v>-8.6477000000000095E-2</v>
      </c>
      <c r="AH3645">
        <v>0.60696632854672905</v>
      </c>
      <c r="AI3645">
        <v>98.108055875921394</v>
      </c>
      <c r="AJ3645">
        <v>90.665221885319497</v>
      </c>
      <c r="AK3645">
        <v>0.61313625007557404</v>
      </c>
      <c r="AL3645">
        <v>79.933346957598502</v>
      </c>
      <c r="AM3645">
        <v>86.606781119281905</v>
      </c>
      <c r="AN3645">
        <v>0.99999999092526004</v>
      </c>
    </row>
    <row r="3646" spans="1:40" x14ac:dyDescent="0.3">
      <c r="A3646" t="str">
        <f>"20200111150430138"</f>
        <v>20200111150430138</v>
      </c>
      <c r="B3646" t="str">
        <f>"1578726270131998"</f>
        <v>1578726270131998</v>
      </c>
      <c r="C3646" t="s">
        <v>40</v>
      </c>
      <c r="D3646">
        <v>5.4397460000000004</v>
      </c>
      <c r="E3646">
        <v>0.4755953</v>
      </c>
      <c r="F3646" t="s">
        <v>42</v>
      </c>
      <c r="G3646">
        <v>-150.0153</v>
      </c>
      <c r="H3646">
        <v>1.0131810000000001</v>
      </c>
      <c r="I3646">
        <v>142.9853</v>
      </c>
      <c r="J3646">
        <v>-150.57249999999999</v>
      </c>
      <c r="K3646">
        <v>1.092301</v>
      </c>
      <c r="L3646">
        <v>143.17160000000001</v>
      </c>
      <c r="M3646">
        <v>0.94083550000000005</v>
      </c>
      <c r="N3646">
        <v>0</v>
      </c>
      <c r="O3646">
        <v>-0.3376267</v>
      </c>
      <c r="P3646">
        <v>0.91260390000000002</v>
      </c>
      <c r="Q3646">
        <v>0.14830009999999999</v>
      </c>
      <c r="R3646">
        <v>-0.38100060000000002</v>
      </c>
      <c r="S3646">
        <v>2.902847</v>
      </c>
      <c r="T3646">
        <v>-0.26297609999999999</v>
      </c>
      <c r="U3646">
        <v>-1.0183409999999999</v>
      </c>
      <c r="V3646">
        <v>5.60931E-2</v>
      </c>
      <c r="W3646">
        <v>0.1750805</v>
      </c>
      <c r="X3646">
        <v>0.98295489999999996</v>
      </c>
      <c r="Y3646">
        <v>-5.9690619999999998E-3</v>
      </c>
      <c r="Z3646">
        <v>2.905524E-2</v>
      </c>
      <c r="AA3646">
        <v>0.99956</v>
      </c>
      <c r="AB3646">
        <v>33</v>
      </c>
      <c r="AC3646">
        <v>0.55719999999999403</v>
      </c>
      <c r="AD3646">
        <v>-7.9119999999999996E-2</v>
      </c>
      <c r="AE3646">
        <v>-0.18630000000001601</v>
      </c>
      <c r="AF3646">
        <v>-1.26243740974229E-2</v>
      </c>
      <c r="AG3646">
        <v>-7.9119999999999996E-2</v>
      </c>
      <c r="AH3646">
        <v>0.57691657573518995</v>
      </c>
      <c r="AI3646">
        <v>97.807147754810003</v>
      </c>
      <c r="AJ3646">
        <v>91.253574546886696</v>
      </c>
      <c r="AK3646">
        <v>0.58245350422103903</v>
      </c>
      <c r="AL3646">
        <v>79.916657016637203</v>
      </c>
      <c r="AM3646">
        <v>86.733913224877995</v>
      </c>
      <c r="AN3646">
        <v>0.99999997639093396</v>
      </c>
    </row>
    <row r="3647" spans="1:40" x14ac:dyDescent="0.3">
      <c r="A3647" t="str">
        <f>"20200111150430159"</f>
        <v>20200111150430159</v>
      </c>
      <c r="B3647" t="str">
        <f>"1578726270152026"</f>
        <v>1578726270152026</v>
      </c>
      <c r="C3647" t="s">
        <v>40</v>
      </c>
      <c r="D3647">
        <v>5.5140989999999999</v>
      </c>
      <c r="E3647">
        <v>0.47411160000000002</v>
      </c>
      <c r="F3647" t="s">
        <v>42</v>
      </c>
      <c r="G3647">
        <v>-149.73769999999999</v>
      </c>
      <c r="H3647">
        <v>1.0178879999999999</v>
      </c>
      <c r="I3647">
        <v>142.87119999999999</v>
      </c>
      <c r="J3647">
        <v>-150.28190000000001</v>
      </c>
      <c r="K3647">
        <v>1.0926020000000001</v>
      </c>
      <c r="L3647">
        <v>143.0565</v>
      </c>
      <c r="M3647">
        <v>0.93647009999999997</v>
      </c>
      <c r="N3647">
        <v>0</v>
      </c>
      <c r="O3647">
        <v>-0.3495415</v>
      </c>
      <c r="P3647">
        <v>0.90861689999999995</v>
      </c>
      <c r="Q3647">
        <v>0.14836460000000001</v>
      </c>
      <c r="R3647">
        <v>-0.39038840000000002</v>
      </c>
      <c r="S3647">
        <v>2.8944399999999999</v>
      </c>
      <c r="T3647">
        <v>-0.2578357</v>
      </c>
      <c r="U3647">
        <v>-1.041336</v>
      </c>
      <c r="V3647">
        <v>5.3639230000000003E-2</v>
      </c>
      <c r="W3647">
        <v>0.17538099999999901</v>
      </c>
      <c r="X3647">
        <v>0.98303830000000003</v>
      </c>
      <c r="Y3647">
        <v>-1.069964E-2</v>
      </c>
      <c r="Z3647">
        <v>2.9672810000000001E-2</v>
      </c>
      <c r="AA3647">
        <v>0.99950240000000001</v>
      </c>
      <c r="AB3647">
        <v>33</v>
      </c>
      <c r="AC3647">
        <v>0.544200000000017</v>
      </c>
      <c r="AD3647">
        <v>-7.47140000000001E-2</v>
      </c>
      <c r="AE3647">
        <v>-0.18530000000001201</v>
      </c>
      <c r="AF3647">
        <v>-1.64222454336631E-2</v>
      </c>
      <c r="AG3647">
        <v>-7.47140000000001E-2</v>
      </c>
      <c r="AH3647">
        <v>0.56509494569435104</v>
      </c>
      <c r="AI3647">
        <v>97.528532865607502</v>
      </c>
      <c r="AJ3647">
        <v>91.664606294092906</v>
      </c>
      <c r="AK3647">
        <v>0.57024921708879694</v>
      </c>
      <c r="AL3647">
        <v>79.899169094033994</v>
      </c>
      <c r="AM3647">
        <v>86.876767798055596</v>
      </c>
      <c r="AN3647">
        <v>0.99999998071144103</v>
      </c>
    </row>
    <row r="3648" spans="1:40" x14ac:dyDescent="0.3">
      <c r="A3648" t="str">
        <f>"20200111150430180"</f>
        <v>20200111150430180</v>
      </c>
      <c r="B3648" t="str">
        <f>"1578726270172522"</f>
        <v>1578726270172522</v>
      </c>
      <c r="C3648" t="s">
        <v>40</v>
      </c>
      <c r="D3648">
        <v>5.5237759999999998</v>
      </c>
      <c r="E3648">
        <v>0.47367019999999999</v>
      </c>
      <c r="F3648" t="s">
        <v>42</v>
      </c>
      <c r="G3648">
        <v>-149.46780000000001</v>
      </c>
      <c r="H3648">
        <v>1.0165090000000001</v>
      </c>
      <c r="I3648">
        <v>142.75829999999999</v>
      </c>
      <c r="J3648">
        <v>-150.0026</v>
      </c>
      <c r="K3648">
        <v>1.092905</v>
      </c>
      <c r="L3648">
        <v>142.94159999999999</v>
      </c>
      <c r="M3648">
        <v>0.9321663</v>
      </c>
      <c r="N3648">
        <v>0</v>
      </c>
      <c r="O3648">
        <v>-0.36085440000000002</v>
      </c>
      <c r="P3648">
        <v>0.90472529999999995</v>
      </c>
      <c r="Q3648">
        <v>0.1488949</v>
      </c>
      <c r="R3648">
        <v>-0.39912799999999998</v>
      </c>
      <c r="S3648">
        <v>2.890717</v>
      </c>
      <c r="T3648">
        <v>-0.27033049999999997</v>
      </c>
      <c r="U3648">
        <v>-1.0593109999999999</v>
      </c>
      <c r="V3648">
        <v>5.1136670000000002E-2</v>
      </c>
      <c r="W3648">
        <v>0.17612030000000001</v>
      </c>
      <c r="X3648">
        <v>0.98303949999999996</v>
      </c>
      <c r="Y3648">
        <v>-1.6731429999999999E-2</v>
      </c>
      <c r="Z3648">
        <v>3.2313950000000001E-2</v>
      </c>
      <c r="AA3648">
        <v>0.9993377</v>
      </c>
      <c r="AB3648">
        <v>32</v>
      </c>
      <c r="AC3648">
        <v>0.53479999999998995</v>
      </c>
      <c r="AD3648">
        <v>-7.6395999999999895E-2</v>
      </c>
      <c r="AE3648">
        <v>-0.18330000000000199</v>
      </c>
      <c r="AF3648">
        <v>-2.17314235930831E-2</v>
      </c>
      <c r="AG3648">
        <v>-7.6395999999999895E-2</v>
      </c>
      <c r="AH3648">
        <v>0.55477661884451301</v>
      </c>
      <c r="AI3648">
        <v>97.834719300135106</v>
      </c>
      <c r="AJ3648">
        <v>92.243213861475397</v>
      </c>
      <c r="AK3648">
        <v>0.56043349329240799</v>
      </c>
      <c r="AL3648">
        <v>79.856140654282996</v>
      </c>
      <c r="AM3648">
        <v>87.022218438209805</v>
      </c>
      <c r="AN3648">
        <v>0.999999988825514</v>
      </c>
    </row>
    <row r="3649" spans="1:40" x14ac:dyDescent="0.3">
      <c r="A3649" t="str">
        <f>"20200111150430204"</f>
        <v>20200111150430204</v>
      </c>
      <c r="B3649" t="str">
        <f>"1578726270192042"</f>
        <v>1578726270192042</v>
      </c>
      <c r="C3649" t="s">
        <v>40</v>
      </c>
      <c r="D3649">
        <v>5.5875500000000002</v>
      </c>
      <c r="E3649">
        <v>0.48053190000000001</v>
      </c>
      <c r="F3649" t="s">
        <v>42</v>
      </c>
      <c r="G3649">
        <v>-149.19829999999999</v>
      </c>
      <c r="H3649">
        <v>1.0166850000000001</v>
      </c>
      <c r="I3649">
        <v>142.63929999999999</v>
      </c>
      <c r="J3649">
        <v>-149.6823</v>
      </c>
      <c r="K3649">
        <v>1.0932919999999999</v>
      </c>
      <c r="L3649">
        <v>142.8049</v>
      </c>
      <c r="M3649">
        <v>0.92712969999999895</v>
      </c>
      <c r="N3649">
        <v>0</v>
      </c>
      <c r="O3649">
        <v>-0.3735964</v>
      </c>
      <c r="P3649">
        <v>0.89994069999999904</v>
      </c>
      <c r="Q3649">
        <v>0.14986079999999999</v>
      </c>
      <c r="R3649">
        <v>-0.40944970000000003</v>
      </c>
      <c r="S3649">
        <v>2.8828740000000002</v>
      </c>
      <c r="T3649">
        <v>-0.27307019999999999</v>
      </c>
      <c r="U3649">
        <v>-1.0834809999999999</v>
      </c>
      <c r="V3649">
        <v>4.883958E-2</v>
      </c>
      <c r="W3649">
        <v>0.17729510000000001</v>
      </c>
      <c r="X3649">
        <v>0.98294510000000002</v>
      </c>
      <c r="Y3649">
        <v>-2.2105240000000002E-2</v>
      </c>
      <c r="Z3649">
        <v>3.3973000000000003E-2</v>
      </c>
      <c r="AA3649">
        <v>0.99917820000000002</v>
      </c>
      <c r="AB3649">
        <v>32</v>
      </c>
      <c r="AC3649">
        <v>0.48400000000000798</v>
      </c>
      <c r="AD3649">
        <v>-7.66069999999998E-2</v>
      </c>
      <c r="AE3649">
        <v>-0.16560000000001099</v>
      </c>
      <c r="AF3649">
        <v>-2.6700854538179102E-2</v>
      </c>
      <c r="AG3649">
        <v>-7.66069999999998E-2</v>
      </c>
      <c r="AH3649">
        <v>0.49961236878609699</v>
      </c>
      <c r="AI3649">
        <v>98.705199010032402</v>
      </c>
      <c r="AJ3649">
        <v>93.059156179504797</v>
      </c>
      <c r="AK3649">
        <v>0.50615618846965005</v>
      </c>
      <c r="AL3649">
        <v>79.787753119315695</v>
      </c>
      <c r="AM3649">
        <v>87.155484676003297</v>
      </c>
      <c r="AN3649">
        <v>0.99999996333629704</v>
      </c>
    </row>
    <row r="3650" spans="1:40" x14ac:dyDescent="0.3">
      <c r="A3650" t="str">
        <f>"20200111150430225"</f>
        <v>20200111150430225</v>
      </c>
      <c r="B3650" t="str">
        <f>"1578726270222298"</f>
        <v>1578726270222298</v>
      </c>
      <c r="C3650" t="s">
        <v>40</v>
      </c>
      <c r="D3650">
        <v>5.6227489999999998</v>
      </c>
      <c r="E3650">
        <v>0.57964700000000002</v>
      </c>
      <c r="F3650" t="s">
        <v>90</v>
      </c>
      <c r="G3650">
        <v>-86.96848</v>
      </c>
      <c r="H3650">
        <v>19.663360000000001</v>
      </c>
      <c r="I3650">
        <v>118.675</v>
      </c>
      <c r="J3650">
        <v>-149.41980000000001</v>
      </c>
      <c r="K3650">
        <v>1.093658</v>
      </c>
      <c r="L3650">
        <v>142.6885</v>
      </c>
      <c r="M3650">
        <v>0.92294149999999997</v>
      </c>
      <c r="N3650">
        <v>0</v>
      </c>
      <c r="O3650">
        <v>-0.38382040000000001</v>
      </c>
      <c r="P3650">
        <v>0.89592839999999996</v>
      </c>
      <c r="Q3650">
        <v>0.15210209999999999</v>
      </c>
      <c r="R3650">
        <v>-0.41734599999999999</v>
      </c>
      <c r="S3650">
        <v>2.7226720000000002</v>
      </c>
      <c r="T3650">
        <v>0.80620480000000005</v>
      </c>
      <c r="U3650">
        <v>-1.047577</v>
      </c>
      <c r="V3650">
        <v>4.6678190000000001E-2</v>
      </c>
      <c r="W3650">
        <v>0.17970710000000001</v>
      </c>
      <c r="X3650">
        <v>0.98261209999999999</v>
      </c>
      <c r="Y3650">
        <v>-1.302494E-2</v>
      </c>
      <c r="Z3650">
        <v>-0.1055198</v>
      </c>
      <c r="AA3650">
        <v>0.99433190000000005</v>
      </c>
      <c r="AB3650">
        <v>32</v>
      </c>
      <c r="AC3650">
        <v>62.451320000000003</v>
      </c>
      <c r="AD3650">
        <v>18.569701999999999</v>
      </c>
      <c r="AE3650">
        <v>-24.013500000000001</v>
      </c>
      <c r="AF3650">
        <v>-1.67852238826665</v>
      </c>
      <c r="AG3650">
        <v>18.569701999999999</v>
      </c>
      <c r="AH3650">
        <v>62.101143161314901</v>
      </c>
      <c r="AI3650">
        <v>73.357840143048307</v>
      </c>
      <c r="AJ3650">
        <v>91.548261983741796</v>
      </c>
      <c r="AK3650">
        <v>64.839827665709095</v>
      </c>
      <c r="AL3650">
        <v>79.647300500504699</v>
      </c>
      <c r="AM3650">
        <v>87.280255120126398</v>
      </c>
      <c r="AN3650">
        <v>1.00000001713924</v>
      </c>
    </row>
    <row r="3651" spans="1:40" x14ac:dyDescent="0.3">
      <c r="A3651" t="str">
        <f>"20200111150430248"</f>
        <v>20200111150430248</v>
      </c>
      <c r="B3651" t="str">
        <f>"1578726270242324"</f>
        <v>1578726270242324</v>
      </c>
      <c r="C3651" t="s">
        <v>40</v>
      </c>
      <c r="D3651">
        <v>5.4641140000000004</v>
      </c>
      <c r="E3651">
        <v>0.58038159999999905</v>
      </c>
      <c r="F3651" t="s">
        <v>41</v>
      </c>
      <c r="G3651">
        <v>-140.75129999999999</v>
      </c>
      <c r="H3651" s="1">
        <v>-4.5766289999999997E-6</v>
      </c>
      <c r="I3651">
        <v>136.08330000000001</v>
      </c>
      <c r="J3651">
        <v>-149.12620000000001</v>
      </c>
      <c r="K3651">
        <v>1.094128</v>
      </c>
      <c r="L3651">
        <v>142.55430000000001</v>
      </c>
      <c r="M3651">
        <v>0.91821839999999999</v>
      </c>
      <c r="N3651">
        <v>0</v>
      </c>
      <c r="O3651">
        <v>-0.39498030000000001</v>
      </c>
      <c r="P3651">
        <v>0.89132019999999901</v>
      </c>
      <c r="Q3651">
        <v>0.15620249999999999</v>
      </c>
      <c r="R3651">
        <v>-0.42561599999999999</v>
      </c>
      <c r="S3651">
        <v>2.511002</v>
      </c>
      <c r="T3651">
        <v>-0.3168029</v>
      </c>
      <c r="U3651">
        <v>-1.91333</v>
      </c>
      <c r="V3651">
        <v>4.4055900000000002E-2</v>
      </c>
      <c r="W3651">
        <v>0.18398619999999999</v>
      </c>
      <c r="X3651">
        <v>0.98194099999999995</v>
      </c>
      <c r="Y3651">
        <v>0.2430804</v>
      </c>
      <c r="Z3651">
        <v>2.8197300000000002E-2</v>
      </c>
      <c r="AA3651">
        <v>0.96959620000000002</v>
      </c>
      <c r="AB3651">
        <v>32</v>
      </c>
      <c r="AC3651">
        <v>8.3749000000000198</v>
      </c>
      <c r="AD3651">
        <v>-1.094132576629</v>
      </c>
      <c r="AE3651">
        <v>-6.4710000000000001</v>
      </c>
      <c r="AF3651">
        <v>2.6071476986752802</v>
      </c>
      <c r="AG3651">
        <v>-1.094132576629</v>
      </c>
      <c r="AH3651">
        <v>10.1419506250199</v>
      </c>
      <c r="AI3651">
        <v>95.964892830160807</v>
      </c>
      <c r="AJ3651">
        <v>75.583373217277895</v>
      </c>
      <c r="AK3651">
        <v>10.5286992405658</v>
      </c>
      <c r="AL3651">
        <v>79.397968453217004</v>
      </c>
      <c r="AM3651">
        <v>87.431082467625899</v>
      </c>
      <c r="AN3651">
        <v>0.99999998579812399</v>
      </c>
    </row>
    <row r="3652" spans="1:40" x14ac:dyDescent="0.3">
      <c r="A3652" t="str">
        <f>"20200111150430271"</f>
        <v>20200111150430271</v>
      </c>
      <c r="B3652" t="str">
        <f>"1578726270262820"</f>
        <v>1578726270262820</v>
      </c>
      <c r="C3652" t="s">
        <v>40</v>
      </c>
      <c r="D3652">
        <v>5.4535489999999998</v>
      </c>
      <c r="E3652">
        <v>0.57998309999999997</v>
      </c>
      <c r="F3652" t="s">
        <v>41</v>
      </c>
      <c r="G3652">
        <v>-139.3963</v>
      </c>
      <c r="H3652" s="1">
        <v>-1.4265720000000001E-6</v>
      </c>
      <c r="I3652">
        <v>134.9743</v>
      </c>
      <c r="J3652">
        <v>-148.82660000000001</v>
      </c>
      <c r="K3652">
        <v>1.0946910000000001</v>
      </c>
      <c r="L3652">
        <v>142.4126</v>
      </c>
      <c r="M3652">
        <v>0.91341249999999996</v>
      </c>
      <c r="N3652">
        <v>0</v>
      </c>
      <c r="O3652">
        <v>-0.4059663</v>
      </c>
      <c r="P3652">
        <v>0.8868665</v>
      </c>
      <c r="Q3652">
        <v>0.15870609999999999</v>
      </c>
      <c r="R3652">
        <v>-0.43391269999999998</v>
      </c>
      <c r="S3652">
        <v>2.4889679999999998</v>
      </c>
      <c r="T3652">
        <v>-0.27988649999999998</v>
      </c>
      <c r="U3652">
        <v>-1.938995</v>
      </c>
      <c r="V3652">
        <v>4.1445120000000002E-2</v>
      </c>
      <c r="W3652">
        <v>0.18665660000000001</v>
      </c>
      <c r="X3652">
        <v>0.98155060000000005</v>
      </c>
      <c r="Y3652">
        <v>0.24172560000000001</v>
      </c>
      <c r="Z3652">
        <v>2.6023600000000001E-2</v>
      </c>
      <c r="AA3652">
        <v>0.96999559999999996</v>
      </c>
      <c r="AB3652">
        <v>31</v>
      </c>
      <c r="AC3652">
        <v>9.4303000000000097</v>
      </c>
      <c r="AD3652">
        <v>-1.0946924265719999</v>
      </c>
      <c r="AE3652">
        <v>-7.4382999999999901</v>
      </c>
      <c r="AF3652">
        <v>2.94269681374475</v>
      </c>
      <c r="AG3652">
        <v>-1.0946924265719999</v>
      </c>
      <c r="AH3652">
        <v>11.542626824114301</v>
      </c>
      <c r="AI3652">
        <v>95.250710657219699</v>
      </c>
      <c r="AJ3652">
        <v>75.697585022076794</v>
      </c>
      <c r="AK3652">
        <v>11.9620253321576</v>
      </c>
      <c r="AL3652">
        <v>79.242268674787496</v>
      </c>
      <c r="AM3652">
        <v>87.582171779702904</v>
      </c>
      <c r="AN3652">
        <v>0.99999998232786702</v>
      </c>
    </row>
    <row r="3653" spans="1:40" x14ac:dyDescent="0.3">
      <c r="A3653" t="str">
        <f>"20200111150430295"</f>
        <v>20200111150430295</v>
      </c>
      <c r="B3653" t="str">
        <f>"1578726270282344"</f>
        <v>1578726270282344</v>
      </c>
      <c r="C3653" t="s">
        <v>40</v>
      </c>
      <c r="D3653">
        <v>5.5022909999999996</v>
      </c>
      <c r="E3653">
        <v>0.57908709999999997</v>
      </c>
      <c r="F3653" t="s">
        <v>41</v>
      </c>
      <c r="G3653">
        <v>-138.59630000000001</v>
      </c>
      <c r="H3653" s="1">
        <v>-1.87548E-6</v>
      </c>
      <c r="I3653">
        <v>134.31039999999999</v>
      </c>
      <c r="J3653">
        <v>-148.5307</v>
      </c>
      <c r="K3653">
        <v>1.0953189999999999</v>
      </c>
      <c r="L3653">
        <v>142.2681</v>
      </c>
      <c r="M3653">
        <v>0.90873349999999997</v>
      </c>
      <c r="N3653">
        <v>0</v>
      </c>
      <c r="O3653">
        <v>-0.4163327</v>
      </c>
      <c r="P3653">
        <v>0.88276589999999999</v>
      </c>
      <c r="Q3653">
        <v>0.15796270000000001</v>
      </c>
      <c r="R3653">
        <v>-0.44246180000000002</v>
      </c>
      <c r="S3653">
        <v>2.4721220000000002</v>
      </c>
      <c r="T3653">
        <v>-0.26452769999999998</v>
      </c>
      <c r="U3653">
        <v>-1.95784</v>
      </c>
      <c r="V3653">
        <v>3.9411939999999999E-2</v>
      </c>
      <c r="W3653">
        <v>0.18605459999999999</v>
      </c>
      <c r="X3653">
        <v>0.98174859999999997</v>
      </c>
      <c r="Y3653">
        <v>0.23842450000000001</v>
      </c>
      <c r="Z3653">
        <v>2.5661199999999999E-2</v>
      </c>
      <c r="AA3653">
        <v>0.97082199999999996</v>
      </c>
      <c r="AB3653">
        <v>31</v>
      </c>
      <c r="AC3653">
        <v>9.9343999999999806</v>
      </c>
      <c r="AD3653">
        <v>-1.0953208754799999</v>
      </c>
      <c r="AE3653">
        <v>-7.9577000000000098</v>
      </c>
      <c r="AF3653">
        <v>3.0739984065257802</v>
      </c>
      <c r="AG3653">
        <v>-1.0953208754799999</v>
      </c>
      <c r="AH3653">
        <v>12.2553972521274</v>
      </c>
      <c r="AI3653">
        <v>94.954536181576401</v>
      </c>
      <c r="AJ3653">
        <v>75.919107828854393</v>
      </c>
      <c r="AK3653">
        <v>12.6824270481259</v>
      </c>
      <c r="AL3653">
        <v>79.277375533433002</v>
      </c>
      <c r="AM3653">
        <v>87.701116222015401</v>
      </c>
      <c r="AN3653">
        <v>0.99999996439884098</v>
      </c>
    </row>
    <row r="3654" spans="1:40" x14ac:dyDescent="0.3">
      <c r="A3654" t="str">
        <f>"20200111150430317"</f>
        <v>20200111150430317</v>
      </c>
      <c r="B3654" t="str">
        <f>"1578726270312597"</f>
        <v>1578726270312597</v>
      </c>
      <c r="C3654" t="s">
        <v>40</v>
      </c>
      <c r="D3654">
        <v>5.5318430000000003</v>
      </c>
      <c r="E3654">
        <v>0.57835769999999997</v>
      </c>
      <c r="F3654" t="s">
        <v>41</v>
      </c>
      <c r="G3654">
        <v>-138.31030000000001</v>
      </c>
      <c r="H3654" s="1">
        <v>-2.0402049999999999E-6</v>
      </c>
      <c r="I3654">
        <v>134.05719999999999</v>
      </c>
      <c r="J3654">
        <v>-148.25799999999899</v>
      </c>
      <c r="K3654">
        <v>1.0959209999999999</v>
      </c>
      <c r="L3654">
        <v>142.13159999999999</v>
      </c>
      <c r="M3654">
        <v>0.90449740000000001</v>
      </c>
      <c r="N3654">
        <v>0</v>
      </c>
      <c r="O3654">
        <v>-0.42545620000000001</v>
      </c>
      <c r="P3654">
        <v>0.87944920000000004</v>
      </c>
      <c r="Q3654">
        <v>0.15549370000000001</v>
      </c>
      <c r="R3654">
        <v>-0.44987840000000001</v>
      </c>
      <c r="S3654">
        <v>2.456375</v>
      </c>
      <c r="T3654">
        <v>-0.26324959999999997</v>
      </c>
      <c r="U3654">
        <v>-1.973419</v>
      </c>
      <c r="V3654">
        <v>3.728095E-2</v>
      </c>
      <c r="W3654">
        <v>0.1837124</v>
      </c>
      <c r="X3654">
        <v>0.98227279999999995</v>
      </c>
      <c r="Y3654">
        <v>0.2354562</v>
      </c>
      <c r="Z3654">
        <v>2.6478939999999999E-2</v>
      </c>
      <c r="AA3654">
        <v>0.97152419999999995</v>
      </c>
      <c r="AB3654">
        <v>30</v>
      </c>
      <c r="AC3654">
        <v>9.9476999999999691</v>
      </c>
      <c r="AD3654">
        <v>-1.095923040205</v>
      </c>
      <c r="AE3654">
        <v>-8.07439999999999</v>
      </c>
      <c r="AF3654">
        <v>3.04998649768295</v>
      </c>
      <c r="AG3654">
        <v>-1.095923040205</v>
      </c>
      <c r="AH3654">
        <v>12.348047070790299</v>
      </c>
      <c r="AI3654">
        <v>94.924627858464902</v>
      </c>
      <c r="AJ3654">
        <v>76.1255641669689</v>
      </c>
      <c r="AK3654">
        <v>12.7662731996676</v>
      </c>
      <c r="AL3654">
        <v>79.413928063506006</v>
      </c>
      <c r="AM3654">
        <v>87.826452763978907</v>
      </c>
      <c r="AN3654">
        <v>0.99999998438325099</v>
      </c>
    </row>
    <row r="3655" spans="1:40" x14ac:dyDescent="0.3">
      <c r="A3655" t="str">
        <f>"20200111150430340"</f>
        <v>20200111150430340</v>
      </c>
      <c r="B3655" t="str">
        <f>"1578726270332116"</f>
        <v>1578726270332116</v>
      </c>
      <c r="C3655" t="s">
        <v>40</v>
      </c>
      <c r="D3655">
        <v>5.4874499999999999</v>
      </c>
      <c r="E3655">
        <v>0.57756479999999999</v>
      </c>
      <c r="F3655" t="s">
        <v>41</v>
      </c>
      <c r="G3655">
        <v>-138.1165</v>
      </c>
      <c r="H3655" s="1">
        <v>-2.1519659999999998E-6</v>
      </c>
      <c r="I3655">
        <v>133.88489999999999</v>
      </c>
      <c r="J3655">
        <v>-147.97489999999999</v>
      </c>
      <c r="K3655">
        <v>1.0966049999999901</v>
      </c>
      <c r="L3655">
        <v>141.9864</v>
      </c>
      <c r="M3655">
        <v>0.90024699999999902</v>
      </c>
      <c r="N3655">
        <v>0</v>
      </c>
      <c r="O3655">
        <v>-0.43437779999999998</v>
      </c>
      <c r="P3655">
        <v>0.87664679999999995</v>
      </c>
      <c r="Q3655">
        <v>0.15534239999999999</v>
      </c>
      <c r="R3655">
        <v>-0.45536789999999999</v>
      </c>
      <c r="S3655">
        <v>2.442062</v>
      </c>
      <c r="T3655">
        <v>-0.26389669999999998</v>
      </c>
      <c r="U3655">
        <v>-1.985779</v>
      </c>
      <c r="V3655">
        <v>3.3383400000000001E-2</v>
      </c>
      <c r="W3655">
        <v>0.18370590000000001</v>
      </c>
      <c r="X3655">
        <v>0.98241420000000002</v>
      </c>
      <c r="Y3655">
        <v>0.231627</v>
      </c>
      <c r="Z3655">
        <v>2.7511250000000001E-2</v>
      </c>
      <c r="AA3655">
        <v>0.97241560000000005</v>
      </c>
      <c r="AB3655">
        <v>30</v>
      </c>
      <c r="AC3655">
        <v>9.8583999999999801</v>
      </c>
      <c r="AD3655">
        <v>-1.0966071519659999</v>
      </c>
      <c r="AE3655">
        <v>-8.1015000000000104</v>
      </c>
      <c r="AF3655">
        <v>2.9903082114939501</v>
      </c>
      <c r="AG3655">
        <v>-1.0966071519659999</v>
      </c>
      <c r="AH3655">
        <v>12.3086026777024</v>
      </c>
      <c r="AI3655">
        <v>94.948014056104597</v>
      </c>
      <c r="AJ3655">
        <v>76.344850623049595</v>
      </c>
      <c r="AK3655">
        <v>12.7140155074239</v>
      </c>
      <c r="AL3655">
        <v>79.414306937884106</v>
      </c>
      <c r="AM3655">
        <v>88.0537819772142</v>
      </c>
      <c r="AN3655">
        <v>0.99999998472600404</v>
      </c>
    </row>
    <row r="3656" spans="1:40" x14ac:dyDescent="0.3">
      <c r="A3656" t="str">
        <f>"20200111150430359"</f>
        <v>20200111150430359</v>
      </c>
      <c r="B3656" t="str">
        <f>"1578726270352144"</f>
        <v>1578726270352144</v>
      </c>
      <c r="C3656" t="s">
        <v>40</v>
      </c>
      <c r="D3656">
        <v>5.5122119999999999</v>
      </c>
      <c r="E3656">
        <v>0.57683660000000003</v>
      </c>
      <c r="F3656" t="s">
        <v>41</v>
      </c>
      <c r="G3656">
        <v>-137.8135</v>
      </c>
      <c r="H3656" s="1">
        <v>-2.315464E-6</v>
      </c>
      <c r="I3656">
        <v>133.65799999999999</v>
      </c>
      <c r="J3656">
        <v>-147.7525</v>
      </c>
      <c r="K3656">
        <v>1.097218</v>
      </c>
      <c r="L3656">
        <v>141.87010000000001</v>
      </c>
      <c r="M3656">
        <v>0.89707870000000001</v>
      </c>
      <c r="N3656">
        <v>0</v>
      </c>
      <c r="O3656">
        <v>-0.44088490000000002</v>
      </c>
      <c r="P3656">
        <v>0.87521700000000002</v>
      </c>
      <c r="Q3656">
        <v>0.155727</v>
      </c>
      <c r="R3656">
        <v>-0.45797850000000001</v>
      </c>
      <c r="S3656">
        <v>2.432877</v>
      </c>
      <c r="T3656">
        <v>-0.262553599999999</v>
      </c>
      <c r="U3656">
        <v>-1.994019</v>
      </c>
      <c r="V3656">
        <v>2.895505E-2</v>
      </c>
      <c r="W3656">
        <v>0.1842134</v>
      </c>
      <c r="X3656">
        <v>0.98245970000000005</v>
      </c>
      <c r="Y3656">
        <v>0.22837209999999999</v>
      </c>
      <c r="Z3656">
        <v>2.8087910000000001E-2</v>
      </c>
      <c r="AA3656">
        <v>0.9731687</v>
      </c>
      <c r="AB3656">
        <v>30</v>
      </c>
      <c r="AC3656">
        <v>9.9389999999999894</v>
      </c>
      <c r="AD3656">
        <v>-1.0972203154639999</v>
      </c>
      <c r="AE3656">
        <v>-8.2121000000000102</v>
      </c>
      <c r="AF3656">
        <v>2.9647718864176</v>
      </c>
      <c r="AG3656">
        <v>-1.0972203154639999</v>
      </c>
      <c r="AH3656">
        <v>12.451929892911499</v>
      </c>
      <c r="AI3656">
        <v>94.899430242418106</v>
      </c>
      <c r="AJ3656">
        <v>76.607386095065607</v>
      </c>
      <c r="AK3656">
        <v>12.846957726136701</v>
      </c>
      <c r="AL3656">
        <v>79.384724813918098</v>
      </c>
      <c r="AM3656">
        <v>88.31186757575</v>
      </c>
      <c r="AN3656">
        <v>1.00000001689207</v>
      </c>
    </row>
    <row r="3657" spans="1:40" x14ac:dyDescent="0.3">
      <c r="A3657" t="str">
        <f>"20200111150430383"</f>
        <v>20200111150430383</v>
      </c>
      <c r="B3657" t="str">
        <f>"1578726270372640"</f>
        <v>1578726270372640</v>
      </c>
      <c r="C3657" t="s">
        <v>40</v>
      </c>
      <c r="D3657">
        <v>5.4665759999999999</v>
      </c>
      <c r="E3657">
        <v>0.57610419999999996</v>
      </c>
      <c r="F3657" t="s">
        <v>41</v>
      </c>
      <c r="G3657">
        <v>-137.60939999999999</v>
      </c>
      <c r="H3657" s="1">
        <v>-2.4139220000000001E-6</v>
      </c>
      <c r="I3657">
        <v>133.54900000000001</v>
      </c>
      <c r="J3657">
        <v>-147.48480000000001</v>
      </c>
      <c r="K3657">
        <v>1.0980449999999999</v>
      </c>
      <c r="L3657">
        <v>141.72790000000001</v>
      </c>
      <c r="M3657">
        <v>0.893528199999999</v>
      </c>
      <c r="N3657">
        <v>0</v>
      </c>
      <c r="O3657">
        <v>-0.44804080000000002</v>
      </c>
      <c r="P3657">
        <v>0.87265749999999997</v>
      </c>
      <c r="Q3657">
        <v>0.15534419999999999</v>
      </c>
      <c r="R3657">
        <v>-0.46296589999999999</v>
      </c>
      <c r="S3657">
        <v>2.4309539999999998</v>
      </c>
      <c r="T3657">
        <v>-0.2629647</v>
      </c>
      <c r="U3657">
        <v>-1.994278</v>
      </c>
      <c r="V3657">
        <v>2.6299779999999998E-2</v>
      </c>
      <c r="W3657">
        <v>0.18387700000000001</v>
      </c>
      <c r="X3657">
        <v>0.98259739999999995</v>
      </c>
      <c r="Y3657">
        <v>0.22106719999999999</v>
      </c>
      <c r="Z3657">
        <v>2.905808E-2</v>
      </c>
      <c r="AA3657">
        <v>0.97482559999999996</v>
      </c>
      <c r="AB3657">
        <v>30</v>
      </c>
      <c r="AC3657">
        <v>9.8754000000000097</v>
      </c>
      <c r="AD3657">
        <v>-1.098047413922</v>
      </c>
      <c r="AE3657">
        <v>-8.1788999999999898</v>
      </c>
      <c r="AF3657">
        <v>2.8637457993203199</v>
      </c>
      <c r="AG3657">
        <v>-1.098047413922</v>
      </c>
      <c r="AH3657">
        <v>12.4028924929039</v>
      </c>
      <c r="AI3657">
        <v>94.930245258420797</v>
      </c>
      <c r="AJ3657">
        <v>76.998629691459499</v>
      </c>
      <c r="AK3657">
        <v>12.7764819225356</v>
      </c>
      <c r="AL3657">
        <v>79.4043343316619</v>
      </c>
      <c r="AM3657">
        <v>88.466811826342195</v>
      </c>
      <c r="AN3657">
        <v>1.0000000400219</v>
      </c>
    </row>
    <row r="3658" spans="1:40" x14ac:dyDescent="0.3">
      <c r="A3658" t="str">
        <f>"20200111150430405"</f>
        <v>20200111150430405</v>
      </c>
      <c r="B3658" t="str">
        <f>"1578726270402896"</f>
        <v>1578726270402896</v>
      </c>
      <c r="C3658" t="s">
        <v>40</v>
      </c>
      <c r="D3658">
        <v>5.4657650000000002</v>
      </c>
      <c r="E3658">
        <v>0.57548959999999905</v>
      </c>
      <c r="F3658" t="s">
        <v>41</v>
      </c>
      <c r="G3658">
        <v>-137.4254</v>
      </c>
      <c r="H3658" s="1">
        <v>-2.503582E-6</v>
      </c>
      <c r="I3658">
        <v>133.44739999999999</v>
      </c>
      <c r="J3658">
        <v>-147.22450000000001</v>
      </c>
      <c r="K3658">
        <v>1.0989420000000001</v>
      </c>
      <c r="L3658">
        <v>141.58789999999999</v>
      </c>
      <c r="M3658">
        <v>0.89042909999999997</v>
      </c>
      <c r="N3658">
        <v>0</v>
      </c>
      <c r="O3658">
        <v>-0.45417859999999999</v>
      </c>
      <c r="P3658">
        <v>0.87098679999999995</v>
      </c>
      <c r="Q3658">
        <v>0.15532009999999999</v>
      </c>
      <c r="R3658">
        <v>-0.4661092</v>
      </c>
      <c r="S3658">
        <v>2.4256289999999998</v>
      </c>
      <c r="T3658">
        <v>-0.2647718</v>
      </c>
      <c r="U3658">
        <v>-1.9966740000000001</v>
      </c>
      <c r="V3658">
        <v>2.2660590000000001E-2</v>
      </c>
      <c r="W3658">
        <v>0.18381600000000001</v>
      </c>
      <c r="X3658">
        <v>0.98269949999999995</v>
      </c>
      <c r="Y3658">
        <v>0.21601999999999999</v>
      </c>
      <c r="Z3658">
        <v>3.0022139999999999E-2</v>
      </c>
      <c r="AA3658">
        <v>0.97592730000000005</v>
      </c>
      <c r="AB3658">
        <v>29</v>
      </c>
      <c r="AC3658">
        <v>9.7991000000000099</v>
      </c>
      <c r="AD3658">
        <v>-1.098944503582</v>
      </c>
      <c r="AE3658">
        <v>-8.1404999999999994</v>
      </c>
      <c r="AF3658">
        <v>2.7785211091951401</v>
      </c>
      <c r="AG3658">
        <v>-1.098944503582</v>
      </c>
      <c r="AH3658">
        <v>12.3361768466802</v>
      </c>
      <c r="AI3658">
        <v>94.966865643502302</v>
      </c>
      <c r="AJ3658">
        <v>77.306879604002305</v>
      </c>
      <c r="AK3658">
        <v>12.6928766545951</v>
      </c>
      <c r="AL3658">
        <v>79.407890255857595</v>
      </c>
      <c r="AM3658">
        <v>88.679020278827394</v>
      </c>
      <c r="AN3658">
        <v>1.00000006574769</v>
      </c>
    </row>
    <row r="3659" spans="1:40" x14ac:dyDescent="0.3">
      <c r="A3659" t="str">
        <f>"20200111150430426"</f>
        <v>20200111150430426</v>
      </c>
      <c r="B3659" t="str">
        <f>"1578726270422417"</f>
        <v>1578726270422417</v>
      </c>
      <c r="C3659" t="s">
        <v>40</v>
      </c>
      <c r="D3659">
        <v>5.4494420000000003</v>
      </c>
      <c r="E3659">
        <v>0.57522399999999996</v>
      </c>
      <c r="F3659" t="s">
        <v>41</v>
      </c>
      <c r="G3659">
        <v>-137.21639999999999</v>
      </c>
      <c r="H3659" s="1">
        <v>-2.6038739999999999E-6</v>
      </c>
      <c r="I3659">
        <v>133.33779999999999</v>
      </c>
      <c r="J3659">
        <v>-146.9924</v>
      </c>
      <c r="K3659">
        <v>1.099804</v>
      </c>
      <c r="L3659">
        <v>141.46180000000001</v>
      </c>
      <c r="M3659">
        <v>0.88803989999999999</v>
      </c>
      <c r="N3659">
        <v>0</v>
      </c>
      <c r="O3659">
        <v>-0.45885120000000001</v>
      </c>
      <c r="P3659">
        <v>0.87052289999999999</v>
      </c>
      <c r="Q3659">
        <v>0.1576766</v>
      </c>
      <c r="R3659">
        <v>-0.4661845</v>
      </c>
      <c r="S3659">
        <v>2.4229579999999999</v>
      </c>
      <c r="T3659">
        <v>-0.26605240000000002</v>
      </c>
      <c r="U3659">
        <v>-1.997314</v>
      </c>
      <c r="V3659">
        <v>1.7384690000000001E-2</v>
      </c>
      <c r="W3659">
        <v>0.18599979999999999</v>
      </c>
      <c r="X3659">
        <v>0.98239600000000005</v>
      </c>
      <c r="Y3659">
        <v>0.21160590000000001</v>
      </c>
      <c r="Z3659">
        <v>3.077096E-2</v>
      </c>
      <c r="AA3659">
        <v>0.97687049999999997</v>
      </c>
      <c r="AB3659">
        <v>29</v>
      </c>
      <c r="AC3659">
        <v>9.7759999999999998</v>
      </c>
      <c r="AD3659">
        <v>-1.099806603874</v>
      </c>
      <c r="AE3659">
        <v>-8.1240000000000201</v>
      </c>
      <c r="AF3659">
        <v>2.7095696420669801</v>
      </c>
      <c r="AG3659">
        <v>-1.099806603874</v>
      </c>
      <c r="AH3659">
        <v>12.3221561689847</v>
      </c>
      <c r="AI3659">
        <v>94.981979524798703</v>
      </c>
      <c r="AJ3659">
        <v>77.598368216353606</v>
      </c>
      <c r="AK3659">
        <v>12.6643939793416</v>
      </c>
      <c r="AL3659">
        <v>79.280571800812893</v>
      </c>
      <c r="AM3659">
        <v>88.986187433943101</v>
      </c>
      <c r="AN3659">
        <v>1.0000000269312099</v>
      </c>
    </row>
    <row r="3660" spans="1:40" x14ac:dyDescent="0.3">
      <c r="A3660" t="str">
        <f>"20200111150430449"</f>
        <v>20200111150430449</v>
      </c>
      <c r="B3660" t="str">
        <f>"1578726270442444"</f>
        <v>1578726270442444</v>
      </c>
      <c r="C3660" t="s">
        <v>40</v>
      </c>
      <c r="D3660">
        <v>5.4002559999999997</v>
      </c>
      <c r="E3660">
        <v>0.57492549999999998</v>
      </c>
      <c r="F3660" t="s">
        <v>41</v>
      </c>
      <c r="G3660">
        <v>-136.61490000000001</v>
      </c>
      <c r="H3660" s="1">
        <v>-2.9196829999999999E-6</v>
      </c>
      <c r="I3660">
        <v>132.92019999999999</v>
      </c>
      <c r="J3660">
        <v>-146.7313</v>
      </c>
      <c r="K3660">
        <v>1.100838</v>
      </c>
      <c r="L3660">
        <v>141.3194</v>
      </c>
      <c r="M3660">
        <v>0.88582209999999995</v>
      </c>
      <c r="N3660">
        <v>0</v>
      </c>
      <c r="O3660">
        <v>-0.4631517</v>
      </c>
      <c r="P3660">
        <v>0.86931510000000001</v>
      </c>
      <c r="Q3660">
        <v>0.15893399999999999</v>
      </c>
      <c r="R3660">
        <v>-0.46800819999999999</v>
      </c>
      <c r="S3660">
        <v>2.42421</v>
      </c>
      <c r="T3660">
        <v>-0.25691619999999998</v>
      </c>
      <c r="U3660">
        <v>-1.995331</v>
      </c>
      <c r="V3660">
        <v>1.429248E-2</v>
      </c>
      <c r="W3660">
        <v>0.18679760000000001</v>
      </c>
      <c r="X3660">
        <v>0.98229440000000001</v>
      </c>
      <c r="Y3660">
        <v>0.20612510000000001</v>
      </c>
      <c r="Z3660">
        <v>3.0296529999999999E-2</v>
      </c>
      <c r="AA3660">
        <v>0.97805660000000005</v>
      </c>
      <c r="AB3660">
        <v>29</v>
      </c>
      <c r="AC3660">
        <v>10.116400000000001</v>
      </c>
      <c r="AD3660">
        <v>-1.100840919683</v>
      </c>
      <c r="AE3660">
        <v>-8.3992000000000004</v>
      </c>
      <c r="AF3660">
        <v>2.7367023034960201</v>
      </c>
      <c r="AG3660">
        <v>-1.100840919683</v>
      </c>
      <c r="AH3660">
        <v>12.7671498687384</v>
      </c>
      <c r="AI3660">
        <v>94.819171027098307</v>
      </c>
      <c r="AJ3660">
        <v>77.901447938295107</v>
      </c>
      <c r="AK3660">
        <v>13.1034921299337</v>
      </c>
      <c r="AL3660">
        <v>79.234045020061103</v>
      </c>
      <c r="AM3660">
        <v>89.166399603118506</v>
      </c>
      <c r="AN3660">
        <v>0.99999995331083402</v>
      </c>
    </row>
    <row r="3661" spans="1:40" x14ac:dyDescent="0.3">
      <c r="A3661" t="str">
        <f>"20200111150430471"</f>
        <v>20200111150430471</v>
      </c>
      <c r="B3661" t="str">
        <f>"1578726270462940"</f>
        <v>1578726270462940</v>
      </c>
      <c r="C3661" t="s">
        <v>40</v>
      </c>
      <c r="D3661">
        <v>5.4206789999999998</v>
      </c>
      <c r="E3661">
        <v>0.57459320000000003</v>
      </c>
      <c r="F3661" t="s">
        <v>41</v>
      </c>
      <c r="G3661">
        <v>-136.2603</v>
      </c>
      <c r="H3661" s="1">
        <v>-3.100064E-6</v>
      </c>
      <c r="I3661">
        <v>132.69569999999999</v>
      </c>
      <c r="J3661">
        <v>-146.4813</v>
      </c>
      <c r="K3661">
        <v>1.1019060000000001</v>
      </c>
      <c r="L3661">
        <v>141.18299999999999</v>
      </c>
      <c r="M3661">
        <v>0.88428600000000002</v>
      </c>
      <c r="N3661">
        <v>0</v>
      </c>
      <c r="O3661">
        <v>-0.46611209999999997</v>
      </c>
      <c r="P3661">
        <v>0.86897099999999905</v>
      </c>
      <c r="Q3661">
        <v>0.154583</v>
      </c>
      <c r="R3661">
        <v>-0.47009980000000001</v>
      </c>
      <c r="S3661">
        <v>2.4231720000000001</v>
      </c>
      <c r="T3661">
        <v>-0.25475229999999999</v>
      </c>
      <c r="U3661">
        <v>-1.9956510000000001</v>
      </c>
      <c r="V3661">
        <v>1.244965E-2</v>
      </c>
      <c r="W3661">
        <v>0.18196899999999999</v>
      </c>
      <c r="X3661">
        <v>0.98322549999999997</v>
      </c>
      <c r="Y3661">
        <v>0.20314570000000001</v>
      </c>
      <c r="Z3661">
        <v>3.0410469999999998E-2</v>
      </c>
      <c r="AA3661">
        <v>0.97867610000000005</v>
      </c>
      <c r="AB3661">
        <v>29</v>
      </c>
      <c r="AC3661">
        <v>10.221</v>
      </c>
      <c r="AD3661">
        <v>-1.101909100064</v>
      </c>
      <c r="AE3661">
        <v>-8.4872999999999994</v>
      </c>
      <c r="AF3661">
        <v>2.72340051954572</v>
      </c>
      <c r="AG3661">
        <v>-1.101909100064</v>
      </c>
      <c r="AH3661">
        <v>12.910562149292801</v>
      </c>
      <c r="AI3661">
        <v>94.7737869057908</v>
      </c>
      <c r="AJ3661">
        <v>78.088449690418599</v>
      </c>
      <c r="AK3661">
        <v>13.2406090896687</v>
      </c>
      <c r="AL3661">
        <v>79.515530962964903</v>
      </c>
      <c r="AM3661">
        <v>89.274556768631399</v>
      </c>
      <c r="AN3661">
        <v>1.00000004729818</v>
      </c>
    </row>
    <row r="3662" spans="1:40" x14ac:dyDescent="0.3">
      <c r="A3662" t="str">
        <f>"20200111150430493"</f>
        <v>20200111150430493</v>
      </c>
      <c r="B3662" t="str">
        <f>"1578726270482460"</f>
        <v>1578726270482460</v>
      </c>
      <c r="C3662" t="s">
        <v>40</v>
      </c>
      <c r="D3662">
        <v>5.4117930000000003</v>
      </c>
      <c r="E3662">
        <v>0.57421</v>
      </c>
      <c r="F3662" t="s">
        <v>41</v>
      </c>
      <c r="G3662">
        <v>-136.5874</v>
      </c>
      <c r="H3662" s="1">
        <v>-2.9012770000000001E-6</v>
      </c>
      <c r="I3662">
        <v>133.02449999999999</v>
      </c>
      <c r="J3662">
        <v>-146.24209999999999</v>
      </c>
      <c r="K3662">
        <v>1.10297</v>
      </c>
      <c r="L3662">
        <v>141.05289999999999</v>
      </c>
      <c r="M3662">
        <v>0.88330390000000003</v>
      </c>
      <c r="N3662">
        <v>0</v>
      </c>
      <c r="O3662">
        <v>-0.46799609999999903</v>
      </c>
      <c r="P3662">
        <v>0.8703014</v>
      </c>
      <c r="Q3662">
        <v>0.1495148</v>
      </c>
      <c r="R3662">
        <v>-0.4692771</v>
      </c>
      <c r="S3662">
        <v>2.420547</v>
      </c>
      <c r="T3662">
        <v>-0.269580599999999</v>
      </c>
      <c r="U3662">
        <v>-1.995941</v>
      </c>
      <c r="V3662">
        <v>8.4751310000000003E-3</v>
      </c>
      <c r="W3662">
        <v>0.176555399999999</v>
      </c>
      <c r="X3662">
        <v>0.98425419999999997</v>
      </c>
      <c r="Y3662">
        <v>0.20174900000000001</v>
      </c>
      <c r="Z3662">
        <v>3.2415859999999998E-2</v>
      </c>
      <c r="AA3662">
        <v>0.97890069999999996</v>
      </c>
      <c r="AB3662">
        <v>28</v>
      </c>
      <c r="AC3662">
        <v>9.6546999999999894</v>
      </c>
      <c r="AD3662">
        <v>-1.102972901277</v>
      </c>
      <c r="AE3662">
        <v>-8.0283999999999995</v>
      </c>
      <c r="AF3662">
        <v>2.5544160033079302</v>
      </c>
      <c r="AG3662">
        <v>-1.102972901277</v>
      </c>
      <c r="AH3662">
        <v>12.1958260220163</v>
      </c>
      <c r="AI3662">
        <v>95.058511391800906</v>
      </c>
      <c r="AJ3662">
        <v>78.170404788963396</v>
      </c>
      <c r="AK3662">
        <v>12.5091871317923</v>
      </c>
      <c r="AL3662">
        <v>79.830814336979103</v>
      </c>
      <c r="AM3662">
        <v>89.506654646314502</v>
      </c>
      <c r="AN3662">
        <v>0.99999998366613296</v>
      </c>
    </row>
    <row r="3663" spans="1:40" x14ac:dyDescent="0.3">
      <c r="A3663" t="str">
        <f>"20200111150430515"</f>
        <v>20200111150430515</v>
      </c>
      <c r="B3663" t="str">
        <f>"1578726270512715"</f>
        <v>1578726270512715</v>
      </c>
      <c r="C3663" t="s">
        <v>40</v>
      </c>
      <c r="D3663">
        <v>5.3494710000000003</v>
      </c>
      <c r="E3663">
        <v>0.57352819999999904</v>
      </c>
      <c r="F3663" t="s">
        <v>41</v>
      </c>
      <c r="G3663">
        <v>-136.85079999999999</v>
      </c>
      <c r="H3663" s="1">
        <v>-2.7275199999999998E-6</v>
      </c>
      <c r="I3663">
        <v>133.3407</v>
      </c>
      <c r="J3663">
        <v>-145.99719999999999</v>
      </c>
      <c r="K3663">
        <v>1.1040080000000001</v>
      </c>
      <c r="L3663">
        <v>140.9205</v>
      </c>
      <c r="M3663">
        <v>0.8827663</v>
      </c>
      <c r="N3663">
        <v>0</v>
      </c>
      <c r="O3663">
        <v>-0.46903149999999899</v>
      </c>
      <c r="P3663">
        <v>0.87306709999999998</v>
      </c>
      <c r="Q3663">
        <v>0.14798889999999901</v>
      </c>
      <c r="R3663">
        <v>-0.46460040000000002</v>
      </c>
      <c r="S3663">
        <v>2.423035</v>
      </c>
      <c r="T3663">
        <v>-0.2845742</v>
      </c>
      <c r="U3663">
        <v>-1.989792</v>
      </c>
      <c r="V3663">
        <v>1.443272E-3</v>
      </c>
      <c r="W3663">
        <v>0.17471149999999999</v>
      </c>
      <c r="X3663">
        <v>0.98461860000000001</v>
      </c>
      <c r="Y3663">
        <v>0.19873469999999999</v>
      </c>
      <c r="Z3663">
        <v>3.445401E-2</v>
      </c>
      <c r="AA3663">
        <v>0.97944750000000003</v>
      </c>
      <c r="AB3663">
        <v>28</v>
      </c>
      <c r="AC3663">
        <v>9.1463999999999999</v>
      </c>
      <c r="AD3663">
        <v>-1.10401072752</v>
      </c>
      <c r="AE3663">
        <v>-7.5797999999999996</v>
      </c>
      <c r="AF3663">
        <v>2.3815522702913201</v>
      </c>
      <c r="AG3663">
        <v>-1.10401072752</v>
      </c>
      <c r="AH3663">
        <v>11.5339392143431</v>
      </c>
      <c r="AI3663">
        <v>95.355313024268696</v>
      </c>
      <c r="AJ3663">
        <v>78.333402932334494</v>
      </c>
      <c r="AK3663">
        <v>11.8288792665565</v>
      </c>
      <c r="AL3663">
        <v>79.938130258757994</v>
      </c>
      <c r="AM3663">
        <v>89.916014855839705</v>
      </c>
      <c r="AN3663">
        <v>0.99999998936613799</v>
      </c>
    </row>
    <row r="3664" spans="1:40" x14ac:dyDescent="0.3">
      <c r="A3664" t="str">
        <f>"20200111150430538"</f>
        <v>20200111150430538</v>
      </c>
      <c r="B3664" t="str">
        <f>"1578726270532235"</f>
        <v>1578726270532235</v>
      </c>
      <c r="C3664" t="s">
        <v>40</v>
      </c>
      <c r="D3664">
        <v>5.4200970000000002</v>
      </c>
      <c r="E3664">
        <v>0.57334130000000005</v>
      </c>
      <c r="F3664" t="s">
        <v>41</v>
      </c>
      <c r="G3664">
        <v>-136.62520000000001</v>
      </c>
      <c r="H3664" s="1">
        <v>-2.8089209999999999E-6</v>
      </c>
      <c r="I3664">
        <v>133.32320000000001</v>
      </c>
      <c r="J3664">
        <v>-145.74430000000001</v>
      </c>
      <c r="K3664">
        <v>1.1049789999999999</v>
      </c>
      <c r="L3664">
        <v>140.78469999999999</v>
      </c>
      <c r="M3664">
        <v>0.88274989999999998</v>
      </c>
      <c r="N3664">
        <v>0</v>
      </c>
      <c r="O3664">
        <v>-0.46908440000000001</v>
      </c>
      <c r="P3664">
        <v>0.87527880000000002</v>
      </c>
      <c r="Q3664">
        <v>0.1508602</v>
      </c>
      <c r="R3664">
        <v>-0.45948749999999999</v>
      </c>
      <c r="S3664">
        <v>2.434555</v>
      </c>
      <c r="T3664">
        <v>-0.28678730000000002</v>
      </c>
      <c r="U3664">
        <v>-1.9735259999999999</v>
      </c>
      <c r="V3664">
        <v>-4.5603789999999998E-3</v>
      </c>
      <c r="W3664">
        <v>0.1772059</v>
      </c>
      <c r="X3664">
        <v>0.98416320000000002</v>
      </c>
      <c r="Y3664">
        <v>0.19249859999999999</v>
      </c>
      <c r="Z3664">
        <v>3.4998920000000003E-2</v>
      </c>
      <c r="AA3664">
        <v>0.98067289999999996</v>
      </c>
      <c r="AB3664">
        <v>28</v>
      </c>
      <c r="AC3664">
        <v>9.1190999999999995</v>
      </c>
      <c r="AD3664">
        <v>-1.104981808921</v>
      </c>
      <c r="AE3664">
        <v>-7.4614999999999698</v>
      </c>
      <c r="AF3664">
        <v>2.2896965989961502</v>
      </c>
      <c r="AG3664">
        <v>-1.104981808921</v>
      </c>
      <c r="AH3664">
        <v>11.453345706298</v>
      </c>
      <c r="AI3664">
        <v>95.404370994832405</v>
      </c>
      <c r="AJ3664">
        <v>78.694745658259293</v>
      </c>
      <c r="AK3664">
        <v>11.732127819857601</v>
      </c>
      <c r="AL3664">
        <v>79.7929461593356</v>
      </c>
      <c r="AM3664">
        <v>90.2654931616851</v>
      </c>
      <c r="AN3664">
        <v>0.99999996614283604</v>
      </c>
    </row>
    <row r="3665" spans="1:40" x14ac:dyDescent="0.3">
      <c r="A3665" t="str">
        <f>"20200111150430560"</f>
        <v>20200111150430560</v>
      </c>
      <c r="B3665" t="str">
        <f>"1578726270552264"</f>
        <v>1578726270552264</v>
      </c>
      <c r="C3665" t="s">
        <v>40</v>
      </c>
      <c r="D3665">
        <v>6.957891</v>
      </c>
      <c r="E3665">
        <v>0.57312769999999902</v>
      </c>
      <c r="F3665" t="s">
        <v>41</v>
      </c>
      <c r="G3665">
        <v>-135.9727</v>
      </c>
      <c r="H3665" s="1">
        <v>-3.127358E-6</v>
      </c>
      <c r="I3665">
        <v>132.96100000000001</v>
      </c>
      <c r="J3665">
        <v>-145.51390000000001</v>
      </c>
      <c r="K3665">
        <v>1.105828</v>
      </c>
      <c r="L3665">
        <v>140.66229999999999</v>
      </c>
      <c r="M3665">
        <v>0.88322109999999998</v>
      </c>
      <c r="N3665">
        <v>0</v>
      </c>
      <c r="O3665">
        <v>-0.46821600000000002</v>
      </c>
      <c r="P3665">
        <v>0.87696890000000005</v>
      </c>
      <c r="Q3665">
        <v>0.1529365</v>
      </c>
      <c r="R3665">
        <v>-0.45556140000000001</v>
      </c>
      <c r="S3665">
        <v>2.4467620000000001</v>
      </c>
      <c r="T3665">
        <v>-0.27668189999999998</v>
      </c>
      <c r="U3665">
        <v>-1.959015</v>
      </c>
      <c r="V3665">
        <v>-8.1947119999999998E-3</v>
      </c>
      <c r="W3665">
        <v>0.17892269999999999</v>
      </c>
      <c r="X3665">
        <v>0.98382899999999995</v>
      </c>
      <c r="Y3665">
        <v>0.18748049999999999</v>
      </c>
      <c r="Z3665">
        <v>3.3887269999999997E-2</v>
      </c>
      <c r="AA3665">
        <v>0.98168359999999999</v>
      </c>
      <c r="AB3665">
        <v>28</v>
      </c>
      <c r="AC3665">
        <v>9.5411999999999999</v>
      </c>
      <c r="AD3665">
        <v>-1.1058311273579999</v>
      </c>
      <c r="AE3665">
        <v>-7.7012999999999696</v>
      </c>
      <c r="AF3665">
        <v>2.3165765797453002</v>
      </c>
      <c r="AG3665">
        <v>-1.1058311273579999</v>
      </c>
      <c r="AH3665">
        <v>11.9399240401891</v>
      </c>
      <c r="AI3665">
        <v>95.195093214504894</v>
      </c>
      <c r="AJ3665">
        <v>79.019928523029904</v>
      </c>
      <c r="AK3665">
        <v>12.2127464404017</v>
      </c>
      <c r="AL3665">
        <v>79.692983511374507</v>
      </c>
      <c r="AM3665">
        <v>90.477228821311897</v>
      </c>
      <c r="AN3665">
        <v>0.99999999356052605</v>
      </c>
    </row>
    <row r="3666" spans="1:40" x14ac:dyDescent="0.3">
      <c r="A3666" t="str">
        <f>"20200111150430582"</f>
        <v>20200111150430582</v>
      </c>
      <c r="B3666" t="str">
        <f>"1578726270572760"</f>
        <v>1578726270572760</v>
      </c>
      <c r="C3666" t="s">
        <v>40</v>
      </c>
      <c r="D3666">
        <v>5.027234</v>
      </c>
      <c r="E3666">
        <v>0.47498980000000002</v>
      </c>
      <c r="F3666" t="s">
        <v>41</v>
      </c>
      <c r="G3666">
        <v>-135.6301</v>
      </c>
      <c r="H3666" s="1">
        <v>-3.2720319999999998E-6</v>
      </c>
      <c r="I3666">
        <v>132.85550000000001</v>
      </c>
      <c r="J3666">
        <v>-145.2698</v>
      </c>
      <c r="K3666">
        <v>1.106732</v>
      </c>
      <c r="L3666">
        <v>140.5342</v>
      </c>
      <c r="M3666">
        <v>0.88418890000000006</v>
      </c>
      <c r="N3666">
        <v>0</v>
      </c>
      <c r="O3666">
        <v>-0.46640549999999997</v>
      </c>
      <c r="P3666">
        <v>0.87971599999999905</v>
      </c>
      <c r="Q3666">
        <v>0.15481839999999999</v>
      </c>
      <c r="R3666">
        <v>-0.44958959999999998</v>
      </c>
      <c r="S3666">
        <v>2.4596559999999998</v>
      </c>
      <c r="T3666">
        <v>-0.27519359999999998</v>
      </c>
      <c r="U3666">
        <v>-1.94278</v>
      </c>
      <c r="V3666">
        <v>-1.3106899999999999E-2</v>
      </c>
      <c r="W3666">
        <v>0.18042849999999999</v>
      </c>
      <c r="X3666">
        <v>0.98350079999999995</v>
      </c>
      <c r="Y3666">
        <v>0.1830003</v>
      </c>
      <c r="Z3666">
        <v>3.3717289999999997E-2</v>
      </c>
      <c r="AA3666">
        <v>0.98253449999999998</v>
      </c>
      <c r="AB3666">
        <v>28</v>
      </c>
      <c r="AC3666">
        <v>9.6396999999999995</v>
      </c>
      <c r="AD3666">
        <v>-1.1067352720320001</v>
      </c>
      <c r="AE3666">
        <v>-7.6786999999999903</v>
      </c>
      <c r="AF3666">
        <v>2.27583454575299</v>
      </c>
      <c r="AG3666">
        <v>-1.1067352720320001</v>
      </c>
      <c r="AH3666">
        <v>12.0119281831139</v>
      </c>
      <c r="AI3666">
        <v>95.172651997375397</v>
      </c>
      <c r="AJ3666">
        <v>79.271646018940103</v>
      </c>
      <c r="AK3666">
        <v>12.2756142216302</v>
      </c>
      <c r="AL3666">
        <v>79.605280598847301</v>
      </c>
      <c r="AM3666">
        <v>90.763523119690703</v>
      </c>
      <c r="AN3666">
        <v>1.00000002902024</v>
      </c>
    </row>
    <row r="3667" spans="1:40" x14ac:dyDescent="0.3">
      <c r="A3667" t="str">
        <f>"20200111150430603"</f>
        <v>20200111150430603</v>
      </c>
      <c r="B3667" t="str">
        <f>"1578726270592280"</f>
        <v>1578726270592280</v>
      </c>
      <c r="C3667" t="s">
        <v>40</v>
      </c>
      <c r="D3667">
        <v>5.4897030000000004</v>
      </c>
      <c r="E3667">
        <v>0.46022839999999998</v>
      </c>
      <c r="F3667" t="s">
        <v>90</v>
      </c>
      <c r="G3667">
        <v>-94.509060000000005</v>
      </c>
      <c r="H3667">
        <v>5.6257020000000004</v>
      </c>
      <c r="I3667">
        <v>118.675</v>
      </c>
      <c r="J3667">
        <v>-145.041</v>
      </c>
      <c r="K3667">
        <v>1.1075809999999999</v>
      </c>
      <c r="L3667">
        <v>140.4161</v>
      </c>
      <c r="M3667">
        <v>0.88549549999999999</v>
      </c>
      <c r="N3667">
        <v>0</v>
      </c>
      <c r="O3667">
        <v>-0.46393699999999999</v>
      </c>
      <c r="P3667">
        <v>0.883499699999999</v>
      </c>
      <c r="Q3667">
        <v>0.1592586</v>
      </c>
      <c r="R3667">
        <v>-0.44052839999999999</v>
      </c>
      <c r="S3667">
        <v>2.7596280000000002</v>
      </c>
      <c r="T3667">
        <v>0.2456757</v>
      </c>
      <c r="U3667">
        <v>-1.188385</v>
      </c>
      <c r="V3667">
        <v>-2.0502780000000002E-2</v>
      </c>
      <c r="W3667">
        <v>0.18449560000000001</v>
      </c>
      <c r="X3667">
        <v>0.98261949999999998</v>
      </c>
      <c r="Y3667">
        <v>-7.4280879999999994E-2</v>
      </c>
      <c r="Z3667">
        <v>-4.0559379999999999E-2</v>
      </c>
      <c r="AA3667">
        <v>0.99641219999999997</v>
      </c>
      <c r="AB3667">
        <v>27</v>
      </c>
      <c r="AC3667">
        <v>50.531939999999999</v>
      </c>
      <c r="AD3667">
        <v>4.5181209999999998</v>
      </c>
      <c r="AE3667">
        <v>-21.741099999999999</v>
      </c>
      <c r="AF3667">
        <v>-4.1652772764085402</v>
      </c>
      <c r="AG3667">
        <v>4.5181209999999998</v>
      </c>
      <c r="AH3667">
        <v>54.4828912753322</v>
      </c>
      <c r="AI3667">
        <v>85.273191283850693</v>
      </c>
      <c r="AJ3667">
        <v>94.371821494417503</v>
      </c>
      <c r="AK3667">
        <v>54.828353922762197</v>
      </c>
      <c r="AL3667">
        <v>79.368274181275893</v>
      </c>
      <c r="AM3667">
        <v>91.195327722067404</v>
      </c>
      <c r="AN3667">
        <v>1.0000000360936601</v>
      </c>
    </row>
    <row r="3668" spans="1:40" x14ac:dyDescent="0.3">
      <c r="A3668" t="str">
        <f>"20200111150430626"</f>
        <v>20200111150430626</v>
      </c>
      <c r="B3668" t="str">
        <f>"1578726270622536"</f>
        <v>1578726270622536</v>
      </c>
      <c r="C3668" t="s">
        <v>40</v>
      </c>
      <c r="D3668">
        <v>5.416633</v>
      </c>
      <c r="E3668">
        <v>0.46304149999999999</v>
      </c>
      <c r="F3668" t="s">
        <v>41</v>
      </c>
      <c r="G3668">
        <v>-134.25239999999999</v>
      </c>
      <c r="H3668" s="1">
        <v>-3.0337950000000001E-6</v>
      </c>
      <c r="I3668">
        <v>136.31389999999999</v>
      </c>
      <c r="J3668">
        <v>-144.79949999999999</v>
      </c>
      <c r="K3668">
        <v>1.10843799999999</v>
      </c>
      <c r="L3668">
        <v>140.29349999999999</v>
      </c>
      <c r="M3668">
        <v>0.88726740000000004</v>
      </c>
      <c r="N3668">
        <v>0</v>
      </c>
      <c r="O3668">
        <v>-0.46055620000000003</v>
      </c>
      <c r="P3668">
        <v>0.88726939999999999</v>
      </c>
      <c r="Q3668">
        <v>0.16274649999999999</v>
      </c>
      <c r="R3668">
        <v>-0.43158619999999998</v>
      </c>
      <c r="S3668">
        <v>2.8995359999999999</v>
      </c>
      <c r="T3668">
        <v>-0.29767080000000001</v>
      </c>
      <c r="U3668">
        <v>-1.102463</v>
      </c>
      <c r="V3668">
        <v>-2.679863E-2</v>
      </c>
      <c r="W3668">
        <v>0.18758920000000001</v>
      </c>
      <c r="X3668">
        <v>0.98188189999999997</v>
      </c>
      <c r="Y3668">
        <v>-0.1127905</v>
      </c>
      <c r="Z3668">
        <v>4.8894800000000002E-2</v>
      </c>
      <c r="AA3668">
        <v>0.99241500000000005</v>
      </c>
      <c r="AB3668">
        <v>27</v>
      </c>
      <c r="AC3668">
        <v>10.5471</v>
      </c>
      <c r="AD3668">
        <v>-1.1084410337949999</v>
      </c>
      <c r="AE3668">
        <v>-3.9796</v>
      </c>
      <c r="AF3668">
        <v>-1.31428370200495</v>
      </c>
      <c r="AG3668">
        <v>-1.1084410337949999</v>
      </c>
      <c r="AH3668">
        <v>11.087339302934801</v>
      </c>
      <c r="AI3668">
        <v>95.669661099343401</v>
      </c>
      <c r="AJ3668">
        <v>96.760246465680694</v>
      </c>
      <c r="AK3668">
        <v>11.2198518703751</v>
      </c>
      <c r="AL3668">
        <v>79.187873690269697</v>
      </c>
      <c r="AM3668">
        <v>91.563393017601598</v>
      </c>
      <c r="AN3668">
        <v>0.99999997003706298</v>
      </c>
    </row>
    <row r="3669" spans="1:40" x14ac:dyDescent="0.3">
      <c r="A3669" t="str">
        <f>"20200111150430649"</f>
        <v>20200111150430649</v>
      </c>
      <c r="B3669" t="str">
        <f>"1578726270642564"</f>
        <v>1578726270642564</v>
      </c>
      <c r="C3669" t="s">
        <v>40</v>
      </c>
      <c r="D3669">
        <v>5.3949069999999999</v>
      </c>
      <c r="E3669">
        <v>0.4631729</v>
      </c>
      <c r="F3669" t="s">
        <v>41</v>
      </c>
      <c r="G3669">
        <v>-134.64529999999999</v>
      </c>
      <c r="H3669" s="1">
        <v>-2.839075E-6</v>
      </c>
      <c r="I3669">
        <v>136.46129999999999</v>
      </c>
      <c r="J3669">
        <v>-144.56209999999999</v>
      </c>
      <c r="K3669">
        <v>1.1091979999999999</v>
      </c>
      <c r="L3669">
        <v>140.1755</v>
      </c>
      <c r="M3669">
        <v>0.88940350000000001</v>
      </c>
      <c r="N3669">
        <v>0</v>
      </c>
      <c r="O3669">
        <v>-0.45643270000000002</v>
      </c>
      <c r="P3669">
        <v>0.89038130000000004</v>
      </c>
      <c r="Q3669">
        <v>0.16393579999999999</v>
      </c>
      <c r="R3669">
        <v>-0.4246723</v>
      </c>
      <c r="S3669">
        <v>2.9058989999999998</v>
      </c>
      <c r="T3669">
        <v>-0.31720859999999901</v>
      </c>
      <c r="U3669">
        <v>-1.0966800000000001</v>
      </c>
      <c r="V3669">
        <v>-3.0131789999999999E-2</v>
      </c>
      <c r="W3669">
        <v>0.18842890000000001</v>
      </c>
      <c r="X3669">
        <v>0.98162450000000001</v>
      </c>
      <c r="Y3669">
        <v>-0.1103368</v>
      </c>
      <c r="Z3669">
        <v>5.1500150000000001E-2</v>
      </c>
      <c r="AA3669">
        <v>0.99255910000000003</v>
      </c>
      <c r="AB3669">
        <v>27</v>
      </c>
      <c r="AC3669">
        <v>9.9167999999999896</v>
      </c>
      <c r="AD3669">
        <v>-1.1092008390749999</v>
      </c>
      <c r="AE3669">
        <v>-3.7141999999999999</v>
      </c>
      <c r="AF3669">
        <v>-1.21003912653543</v>
      </c>
      <c r="AG3669">
        <v>-1.1092008390749999</v>
      </c>
      <c r="AH3669">
        <v>10.404483046442101</v>
      </c>
      <c r="AI3669">
        <v>96.044765342116193</v>
      </c>
      <c r="AJ3669">
        <v>96.633685593611702</v>
      </c>
      <c r="AK3669">
        <v>10.5331756205264</v>
      </c>
      <c r="AL3669">
        <v>79.138889406586699</v>
      </c>
      <c r="AM3669">
        <v>91.758190092240696</v>
      </c>
      <c r="AN3669">
        <v>1.00000001706203</v>
      </c>
    </row>
    <row r="3670" spans="1:40" x14ac:dyDescent="0.3">
      <c r="A3670" t="str">
        <f>"20200111150430671"</f>
        <v>20200111150430671</v>
      </c>
      <c r="B3670" t="str">
        <f>"1578726270662085"</f>
        <v>1578726270662085</v>
      </c>
      <c r="C3670" t="s">
        <v>40</v>
      </c>
      <c r="D3670">
        <v>5.3886450000000004</v>
      </c>
      <c r="E3670">
        <v>0.46359289999999997</v>
      </c>
      <c r="F3670" t="s">
        <v>41</v>
      </c>
      <c r="G3670">
        <v>-134.17420000000001</v>
      </c>
      <c r="H3670" s="1">
        <v>-3.0613959999999999E-6</v>
      </c>
      <c r="I3670">
        <v>136.3475</v>
      </c>
      <c r="J3670">
        <v>-144.32740000000001</v>
      </c>
      <c r="K3670">
        <v>1.109836</v>
      </c>
      <c r="L3670">
        <v>140.0616</v>
      </c>
      <c r="M3670">
        <v>0.89190999999999998</v>
      </c>
      <c r="N3670">
        <v>0</v>
      </c>
      <c r="O3670">
        <v>-0.45152819999999999</v>
      </c>
      <c r="P3670">
        <v>0.89304079999999997</v>
      </c>
      <c r="Q3670">
        <v>0.16519220000000001</v>
      </c>
      <c r="R3670">
        <v>-0.41855690000000001</v>
      </c>
      <c r="S3670">
        <v>2.9144130000000001</v>
      </c>
      <c r="T3670">
        <v>-0.3111932</v>
      </c>
      <c r="U3670">
        <v>-1.0739749999999999</v>
      </c>
      <c r="V3670">
        <v>-3.1650329999999997E-2</v>
      </c>
      <c r="W3670">
        <v>0.18938740000000001</v>
      </c>
      <c r="X3670">
        <v>0.98139219999999905</v>
      </c>
      <c r="Y3670">
        <v>-0.1127244</v>
      </c>
      <c r="Z3670">
        <v>5.0160110000000001E-2</v>
      </c>
      <c r="AA3670">
        <v>0.9923594</v>
      </c>
      <c r="AB3670">
        <v>27</v>
      </c>
      <c r="AC3670">
        <v>10.153199999999901</v>
      </c>
      <c r="AD3670">
        <v>-1.1098390613959901</v>
      </c>
      <c r="AE3670">
        <v>-3.7141000000000002</v>
      </c>
      <c r="AF3670">
        <v>-1.25893975480645</v>
      </c>
      <c r="AG3670">
        <v>-1.1098390613959901</v>
      </c>
      <c r="AH3670">
        <v>10.624123295027401</v>
      </c>
      <c r="AI3670">
        <v>95.922579699291504</v>
      </c>
      <c r="AJ3670">
        <v>96.757934509051907</v>
      </c>
      <c r="AK3670">
        <v>10.755866670630301</v>
      </c>
      <c r="AL3670">
        <v>79.082964164267295</v>
      </c>
      <c r="AM3670">
        <v>91.847173852087707</v>
      </c>
      <c r="AN3670">
        <v>0.99999999044435395</v>
      </c>
    </row>
    <row r="3671" spans="1:40" x14ac:dyDescent="0.3">
      <c r="A3671" t="str">
        <f>"20200111150430693"</f>
        <v>20200111150430693</v>
      </c>
      <c r="B3671" t="str">
        <f>"1578726270682580"</f>
        <v>1578726270682580</v>
      </c>
      <c r="C3671" t="s">
        <v>40</v>
      </c>
      <c r="D3671">
        <v>5.3436529999999998</v>
      </c>
      <c r="E3671">
        <v>0.46387479999999998</v>
      </c>
      <c r="F3671" t="s">
        <v>41</v>
      </c>
      <c r="G3671">
        <v>-133.86680000000001</v>
      </c>
      <c r="H3671" s="1">
        <v>-3.2049040000000001E-6</v>
      </c>
      <c r="I3671">
        <v>136.2818</v>
      </c>
      <c r="J3671">
        <v>-144.0951</v>
      </c>
      <c r="K3671">
        <v>1.1103540000000001</v>
      </c>
      <c r="L3671">
        <v>139.95140000000001</v>
      </c>
      <c r="M3671">
        <v>0.8946655</v>
      </c>
      <c r="N3671">
        <v>0</v>
      </c>
      <c r="O3671">
        <v>-0.44605509999999898</v>
      </c>
      <c r="P3671">
        <v>0.89519749999999998</v>
      </c>
      <c r="Q3671">
        <v>0.1678306</v>
      </c>
      <c r="R3671">
        <v>-0.4128618</v>
      </c>
      <c r="S3671">
        <v>2.9218440000000001</v>
      </c>
      <c r="T3671">
        <v>-0.30999650000000001</v>
      </c>
      <c r="U3671">
        <v>-1.0557399999999999</v>
      </c>
      <c r="V3671">
        <v>-3.192354E-2</v>
      </c>
      <c r="W3671">
        <v>0.19177140000000001</v>
      </c>
      <c r="X3671">
        <v>0.98092029999999997</v>
      </c>
      <c r="Y3671">
        <v>-0.11296589999999999</v>
      </c>
      <c r="Z3671">
        <v>4.9438660000000002E-2</v>
      </c>
      <c r="AA3671">
        <v>0.99236820000000003</v>
      </c>
      <c r="AB3671">
        <v>26</v>
      </c>
      <c r="AC3671">
        <v>10.2282999999999</v>
      </c>
      <c r="AD3671">
        <v>-1.110357204904</v>
      </c>
      <c r="AE3671">
        <v>-3.6696</v>
      </c>
      <c r="AF3671">
        <v>-1.26648711842081</v>
      </c>
      <c r="AG3671">
        <v>-1.110357204904</v>
      </c>
      <c r="AH3671">
        <v>10.679531624425</v>
      </c>
      <c r="AI3671">
        <v>95.894737009069502</v>
      </c>
      <c r="AJ3671">
        <v>96.763127688664099</v>
      </c>
      <c r="AK3671">
        <v>10.811534509989899</v>
      </c>
      <c r="AL3671">
        <v>78.943820939800602</v>
      </c>
      <c r="AM3671">
        <v>91.864003390726594</v>
      </c>
      <c r="AN3671">
        <v>1.00000000860809</v>
      </c>
    </row>
    <row r="3672" spans="1:40" x14ac:dyDescent="0.3">
      <c r="A3672" t="str">
        <f>"20200111150430716"</f>
        <v>20200111150430716</v>
      </c>
      <c r="B3672" t="str">
        <f>"1578726270712836"</f>
        <v>1578726270712836</v>
      </c>
      <c r="C3672" t="s">
        <v>40</v>
      </c>
      <c r="D3672">
        <v>5.2595239999999999</v>
      </c>
      <c r="E3672">
        <v>0.4643293</v>
      </c>
      <c r="F3672" t="s">
        <v>41</v>
      </c>
      <c r="G3672">
        <v>-133.4162</v>
      </c>
      <c r="H3672" s="1">
        <v>-3.4187290000000001E-6</v>
      </c>
      <c r="I3672">
        <v>136.1661</v>
      </c>
      <c r="J3672">
        <v>-143.85319999999999</v>
      </c>
      <c r="K3672">
        <v>1.1108020000000001</v>
      </c>
      <c r="L3672">
        <v>139.83940000000001</v>
      </c>
      <c r="M3672">
        <v>0.89777680000000004</v>
      </c>
      <c r="N3672">
        <v>0</v>
      </c>
      <c r="O3672">
        <v>-0.4397702</v>
      </c>
      <c r="P3672">
        <v>0.89784599999999903</v>
      </c>
      <c r="Q3672">
        <v>0.1720016</v>
      </c>
      <c r="R3672">
        <v>-0.4053254</v>
      </c>
      <c r="S3672">
        <v>2.9294280000000001</v>
      </c>
      <c r="T3672">
        <v>-0.30459059999999999</v>
      </c>
      <c r="U3672">
        <v>-1.0383610000000001</v>
      </c>
      <c r="V3672">
        <v>-3.3192039999999999E-2</v>
      </c>
      <c r="W3672">
        <v>0.1956869</v>
      </c>
      <c r="X3672">
        <v>0.98010459999999999</v>
      </c>
      <c r="Y3672">
        <v>-0.11215990000000001</v>
      </c>
      <c r="Z3672">
        <v>4.792888E-2</v>
      </c>
      <c r="AA3672">
        <v>0.99253360000000002</v>
      </c>
      <c r="AB3672">
        <v>26</v>
      </c>
      <c r="AC3672">
        <v>10.4369999999999</v>
      </c>
      <c r="AD3672">
        <v>-1.110805418729</v>
      </c>
      <c r="AE3672">
        <v>-3.67330000000001</v>
      </c>
      <c r="AF3672">
        <v>-1.2795686783996401</v>
      </c>
      <c r="AG3672">
        <v>-1.110805418729</v>
      </c>
      <c r="AH3672">
        <v>10.8791471070834</v>
      </c>
      <c r="AI3672">
        <v>95.790291033209499</v>
      </c>
      <c r="AJ3672">
        <v>96.708117463113695</v>
      </c>
      <c r="AK3672">
        <v>11.010314548575799</v>
      </c>
      <c r="AL3672">
        <v>78.715147414440096</v>
      </c>
      <c r="AM3672">
        <v>91.939626918630694</v>
      </c>
      <c r="AN3672">
        <v>1.00000005064606</v>
      </c>
    </row>
    <row r="3673" spans="1:40" x14ac:dyDescent="0.3">
      <c r="A3673" t="str">
        <f>"20200111150430739"</f>
        <v>20200111150430739</v>
      </c>
      <c r="B3673" t="str">
        <f>"1578726270732356"</f>
        <v>1578726270732356</v>
      </c>
      <c r="C3673" t="s">
        <v>40</v>
      </c>
      <c r="D3673">
        <v>5.4387819999999998</v>
      </c>
      <c r="E3673">
        <v>0.47045100000000001</v>
      </c>
      <c r="F3673" t="s">
        <v>41</v>
      </c>
      <c r="G3673">
        <v>-132.5847</v>
      </c>
      <c r="H3673" s="1">
        <v>-3.8159789999999996E-6</v>
      </c>
      <c r="I3673">
        <v>135.93770000000001</v>
      </c>
      <c r="J3673">
        <v>-143.61760000000001</v>
      </c>
      <c r="K3673">
        <v>1.1111869999999999</v>
      </c>
      <c r="L3673">
        <v>139.733</v>
      </c>
      <c r="M3673">
        <v>0.90100570000000002</v>
      </c>
      <c r="N3673">
        <v>0</v>
      </c>
      <c r="O3673">
        <v>-0.4331256</v>
      </c>
      <c r="P3673">
        <v>0.90115650000000003</v>
      </c>
      <c r="Q3673">
        <v>0.17402690000000001</v>
      </c>
      <c r="R3673">
        <v>-0.39702929999999997</v>
      </c>
      <c r="S3673">
        <v>2.9376370000000001</v>
      </c>
      <c r="T3673">
        <v>-0.28957870000000002</v>
      </c>
      <c r="U3673">
        <v>-1.017136</v>
      </c>
      <c r="V3673">
        <v>-3.5026939999999999E-2</v>
      </c>
      <c r="W3673">
        <v>0.19749439999999999</v>
      </c>
      <c r="X3673">
        <v>0.97967800000000005</v>
      </c>
      <c r="Y3673">
        <v>-0.112341899999999</v>
      </c>
      <c r="Z3673">
        <v>4.4975550000000003E-2</v>
      </c>
      <c r="AA3673">
        <v>0.99265119999999896</v>
      </c>
      <c r="AB3673">
        <v>26</v>
      </c>
      <c r="AC3673">
        <v>11.0329</v>
      </c>
      <c r="AD3673">
        <v>-1.111190815979</v>
      </c>
      <c r="AE3673">
        <v>-3.7952999999999899</v>
      </c>
      <c r="AF3673">
        <v>-1.3472263652549199</v>
      </c>
      <c r="AG3673">
        <v>-1.111190815979</v>
      </c>
      <c r="AH3673">
        <v>11.4838091521368</v>
      </c>
      <c r="AI3673">
        <v>95.489407058035795</v>
      </c>
      <c r="AJ3673">
        <v>96.691086465241895</v>
      </c>
      <c r="AK3673">
        <v>11.615835594198799</v>
      </c>
      <c r="AL3673">
        <v>78.609522998066296</v>
      </c>
      <c r="AM3673">
        <v>92.047653758267899</v>
      </c>
      <c r="AN3673">
        <v>0.99999995412055998</v>
      </c>
    </row>
    <row r="3674" spans="1:40" x14ac:dyDescent="0.3">
      <c r="A3674" t="str">
        <f>"20200111150430761"</f>
        <v>20200111150430761</v>
      </c>
      <c r="B3674" t="str">
        <f>"1578726270752384"</f>
        <v>1578726270752384</v>
      </c>
      <c r="C3674" t="s">
        <v>40</v>
      </c>
      <c r="D3674">
        <v>5.3273250000000001</v>
      </c>
      <c r="E3674">
        <v>0.46811140000000001</v>
      </c>
      <c r="F3674" t="s">
        <v>90</v>
      </c>
      <c r="G3674">
        <v>-82.936689999999999</v>
      </c>
      <c r="H3674">
        <v>17.503810000000001</v>
      </c>
      <c r="I3674">
        <v>118.68380000000001</v>
      </c>
      <c r="J3674">
        <v>-143.3946</v>
      </c>
      <c r="K3674">
        <v>1.1115360000000001</v>
      </c>
      <c r="L3674">
        <v>139.63499999999999</v>
      </c>
      <c r="M3674">
        <v>0.90421989999999997</v>
      </c>
      <c r="N3674">
        <v>0</v>
      </c>
      <c r="O3674">
        <v>-0.42638090000000001</v>
      </c>
      <c r="P3674">
        <v>0.90444389999999997</v>
      </c>
      <c r="Q3674">
        <v>0.17336979999999999</v>
      </c>
      <c r="R3674">
        <v>-0.38977469999999997</v>
      </c>
      <c r="S3674">
        <v>2.7627259999999998</v>
      </c>
      <c r="T3674">
        <v>0.74633499999999997</v>
      </c>
      <c r="U3674">
        <v>-0.95834350000000001</v>
      </c>
      <c r="V3674">
        <v>-3.5780720000000002E-2</v>
      </c>
      <c r="W3674">
        <v>0.19669130000000001</v>
      </c>
      <c r="X3674">
        <v>0.97981240000000003</v>
      </c>
      <c r="Y3674">
        <v>-9.1203430000000002E-2</v>
      </c>
      <c r="Z3674">
        <v>-0.1172328</v>
      </c>
      <c r="AA3674">
        <v>0.98890769999999995</v>
      </c>
      <c r="AB3674">
        <v>26</v>
      </c>
      <c r="AC3674">
        <v>60.457909999999998</v>
      </c>
      <c r="AD3674">
        <v>16.392274</v>
      </c>
      <c r="AE3674">
        <v>-20.951199999999901</v>
      </c>
      <c r="AF3674">
        <v>-6.4146020569021296</v>
      </c>
      <c r="AG3674">
        <v>16.392274</v>
      </c>
      <c r="AH3674">
        <v>59.700762160658698</v>
      </c>
      <c r="AI3674">
        <v>74.730198565300995</v>
      </c>
      <c r="AJ3674">
        <v>96.132668971751698</v>
      </c>
      <c r="AK3674">
        <v>62.241744585149803</v>
      </c>
      <c r="AL3674">
        <v>78.656458788208496</v>
      </c>
      <c r="AM3674">
        <v>92.091393892886401</v>
      </c>
      <c r="AN3674">
        <v>1.0000000333065799</v>
      </c>
    </row>
    <row r="3675" spans="1:40" x14ac:dyDescent="0.3">
      <c r="A3675" t="str">
        <f>"20200111150430784"</f>
        <v>20200111150430784</v>
      </c>
      <c r="B3675" t="str">
        <f>"1578726270772879"</f>
        <v>1578726270772879</v>
      </c>
      <c r="C3675" t="s">
        <v>40</v>
      </c>
      <c r="D3675">
        <v>5.3304429999999998</v>
      </c>
      <c r="E3675">
        <v>0.46945569999999998</v>
      </c>
      <c r="F3675" t="s">
        <v>41</v>
      </c>
      <c r="G3675">
        <v>-134.79730000000001</v>
      </c>
      <c r="H3675" s="1">
        <v>-2.7275280000000001E-6</v>
      </c>
      <c r="I3675">
        <v>136.7227</v>
      </c>
      <c r="J3675">
        <v>-143.15790000000001</v>
      </c>
      <c r="K3675">
        <v>1.111893</v>
      </c>
      <c r="L3675">
        <v>139.53380000000001</v>
      </c>
      <c r="M3675">
        <v>0.90778510000000001</v>
      </c>
      <c r="N3675">
        <v>0</v>
      </c>
      <c r="O3675">
        <v>-0.41874299999999998</v>
      </c>
      <c r="P3675">
        <v>0.90715310000000005</v>
      </c>
      <c r="Q3675">
        <v>0.17353869999999999</v>
      </c>
      <c r="R3675">
        <v>-0.38335059999999999</v>
      </c>
      <c r="S3675">
        <v>2.9584199999999998</v>
      </c>
      <c r="T3675">
        <v>-0.38248769999999999</v>
      </c>
      <c r="U3675">
        <v>-1.00212099999999</v>
      </c>
      <c r="V3675">
        <v>-3.4609479999999998E-2</v>
      </c>
      <c r="W3675">
        <v>0.19674549999999999</v>
      </c>
      <c r="X3675">
        <v>0.97984360000000004</v>
      </c>
      <c r="Y3675">
        <v>-0.1017849</v>
      </c>
      <c r="Z3675">
        <v>5.6721679999999997E-2</v>
      </c>
      <c r="AA3675">
        <v>0.99318799999999996</v>
      </c>
      <c r="AB3675">
        <v>26</v>
      </c>
      <c r="AC3675">
        <v>8.3605999999999998</v>
      </c>
      <c r="AD3675">
        <v>-1.1118957275279999</v>
      </c>
      <c r="AE3675">
        <v>-2.8111000000000099</v>
      </c>
      <c r="AF3675">
        <v>-0.93449403721384505</v>
      </c>
      <c r="AG3675">
        <v>-1.1118957275279999</v>
      </c>
      <c r="AH3675">
        <v>8.6321332681310992</v>
      </c>
      <c r="AI3675">
        <v>97.297617215478994</v>
      </c>
      <c r="AJ3675">
        <v>96.178641309538506</v>
      </c>
      <c r="AK3675">
        <v>8.7534745086313599</v>
      </c>
      <c r="AL3675">
        <v>78.653291592604106</v>
      </c>
      <c r="AM3675">
        <v>92.022928042202395</v>
      </c>
      <c r="AN3675">
        <v>1.0000000441685299</v>
      </c>
    </row>
    <row r="3676" spans="1:40" x14ac:dyDescent="0.3">
      <c r="A3676" t="str">
        <f>"20200111150430807"</f>
        <v>20200111150430807</v>
      </c>
      <c r="B3676" t="str">
        <f>"1578726270802159"</f>
        <v>1578726270802159</v>
      </c>
      <c r="C3676" t="s">
        <v>40</v>
      </c>
      <c r="D3676">
        <v>5.305212</v>
      </c>
      <c r="E3676">
        <v>0.47055370000000002</v>
      </c>
      <c r="F3676" t="s">
        <v>41</v>
      </c>
      <c r="G3676">
        <v>-134.09829999999999</v>
      </c>
      <c r="H3676" s="1">
        <v>-3.0633430000000001E-6</v>
      </c>
      <c r="I3676">
        <v>136.51990000000001</v>
      </c>
      <c r="J3676">
        <v>-142.9289</v>
      </c>
      <c r="K3676">
        <v>1.1122129999999999</v>
      </c>
      <c r="L3676">
        <v>139.43889999999999</v>
      </c>
      <c r="M3676">
        <v>0.91136470000000003</v>
      </c>
      <c r="N3676">
        <v>0</v>
      </c>
      <c r="O3676">
        <v>-0.41089999999999999</v>
      </c>
      <c r="P3676">
        <v>0.91015049999999997</v>
      </c>
      <c r="Q3676">
        <v>0.176485999999999</v>
      </c>
      <c r="R3676">
        <v>-0.37480550000000001</v>
      </c>
      <c r="S3676">
        <v>2.9603730000000001</v>
      </c>
      <c r="T3676">
        <v>-0.36332979999999998</v>
      </c>
      <c r="U3676">
        <v>-0.98481750000000001</v>
      </c>
      <c r="V3676">
        <v>-3.5330550000000002E-2</v>
      </c>
      <c r="W3676">
        <v>0.19954559999999999</v>
      </c>
      <c r="X3676">
        <v>0.97925139999999999</v>
      </c>
      <c r="Y3676">
        <v>-9.9033270000000007E-2</v>
      </c>
      <c r="Z3676">
        <v>5.2931029999999997E-2</v>
      </c>
      <c r="AA3676">
        <v>0.99367539999999999</v>
      </c>
      <c r="AB3676">
        <v>25</v>
      </c>
      <c r="AC3676">
        <v>8.8306000000000004</v>
      </c>
      <c r="AD3676">
        <v>-1.1122160633429901</v>
      </c>
      <c r="AE3676">
        <v>-2.9189999999999801</v>
      </c>
      <c r="AF3676">
        <v>-0.95484366346620198</v>
      </c>
      <c r="AG3676">
        <v>-1.1122160633429901</v>
      </c>
      <c r="AH3676">
        <v>9.1195591527580095</v>
      </c>
      <c r="AI3676">
        <v>96.915983518065801</v>
      </c>
      <c r="AJ3676">
        <v>95.977251587577697</v>
      </c>
      <c r="AK3676">
        <v>9.2366178947638602</v>
      </c>
      <c r="AL3676">
        <v>78.489611769590297</v>
      </c>
      <c r="AM3676">
        <v>92.066286292970801</v>
      </c>
      <c r="AN3676">
        <v>0.99999999932231098</v>
      </c>
    </row>
    <row r="3677" spans="1:40" x14ac:dyDescent="0.3">
      <c r="A3677" t="str">
        <f>"20200111150430828"</f>
        <v>20200111150430828</v>
      </c>
      <c r="B3677" t="str">
        <f>"1578726270822655"</f>
        <v>1578726270822655</v>
      </c>
      <c r="C3677" t="s">
        <v>40</v>
      </c>
      <c r="D3677">
        <v>5.2756610000000004</v>
      </c>
      <c r="E3677">
        <v>0.47098309999999999</v>
      </c>
      <c r="F3677" t="s">
        <v>41</v>
      </c>
      <c r="G3677">
        <v>-133.63299999999899</v>
      </c>
      <c r="H3677" s="1">
        <v>-3.2821470000000001E-6</v>
      </c>
      <c r="I3677">
        <v>136.4118</v>
      </c>
      <c r="J3677">
        <v>-142.70840000000001</v>
      </c>
      <c r="K3677">
        <v>1.1124849999999999</v>
      </c>
      <c r="L3677">
        <v>139.3503</v>
      </c>
      <c r="M3677">
        <v>0.91491440000000002</v>
      </c>
      <c r="N3677">
        <v>0</v>
      </c>
      <c r="O3677">
        <v>-0.4029392</v>
      </c>
      <c r="P3677">
        <v>0.91382770000000002</v>
      </c>
      <c r="Q3677">
        <v>0.18063170000000001</v>
      </c>
      <c r="R3677">
        <v>-0.36371829999999999</v>
      </c>
      <c r="S3677">
        <v>2.967117</v>
      </c>
      <c r="T3677">
        <v>-0.35500199999999998</v>
      </c>
      <c r="U3677">
        <v>-0.96618649999999995</v>
      </c>
      <c r="V3677">
        <v>-3.8570500000000001E-2</v>
      </c>
      <c r="W3677">
        <v>0.203517</v>
      </c>
      <c r="X3677">
        <v>0.97831140000000005</v>
      </c>
      <c r="Y3677">
        <v>-9.6872079999999999E-2</v>
      </c>
      <c r="Z3677">
        <v>5.0722499999999997E-2</v>
      </c>
      <c r="AA3677">
        <v>0.99400350000000004</v>
      </c>
      <c r="AB3677">
        <v>25</v>
      </c>
      <c r="AC3677">
        <v>9.0754000000000303</v>
      </c>
      <c r="AD3677">
        <v>-1.1124882821469999</v>
      </c>
      <c r="AE3677">
        <v>-2.9384999999999999</v>
      </c>
      <c r="AF3677">
        <v>-0.95563801992848496</v>
      </c>
      <c r="AG3677">
        <v>-1.1124882821469999</v>
      </c>
      <c r="AH3677">
        <v>9.3626257238190291</v>
      </c>
      <c r="AI3677">
        <v>96.741540754400404</v>
      </c>
      <c r="AJ3677">
        <v>95.827965475480397</v>
      </c>
      <c r="AK3677">
        <v>9.4767945344069293</v>
      </c>
      <c r="AL3677">
        <v>78.257300886348901</v>
      </c>
      <c r="AM3677">
        <v>92.257750355059699</v>
      </c>
      <c r="AN3677">
        <v>1.0000000240646001</v>
      </c>
    </row>
    <row r="3678" spans="1:40" x14ac:dyDescent="0.3">
      <c r="A3678" t="str">
        <f>"20200111150430851"</f>
        <v>20200111150430851</v>
      </c>
      <c r="B3678" t="str">
        <f>"1578726270842175"</f>
        <v>1578726270842175</v>
      </c>
      <c r="C3678" t="s">
        <v>40</v>
      </c>
      <c r="D3678">
        <v>5.2982079999999998</v>
      </c>
      <c r="E3678">
        <v>0.4712906</v>
      </c>
      <c r="F3678" t="s">
        <v>41</v>
      </c>
      <c r="G3678">
        <v>-133.30760000000001</v>
      </c>
      <c r="H3678" s="1">
        <v>-3.4262380000000001E-6</v>
      </c>
      <c r="I3678">
        <v>136.38640000000001</v>
      </c>
      <c r="J3678">
        <v>-142.46719999999999</v>
      </c>
      <c r="K3678">
        <v>1.112733</v>
      </c>
      <c r="L3678">
        <v>139.2569</v>
      </c>
      <c r="M3678">
        <v>0.91890539999999998</v>
      </c>
      <c r="N3678">
        <v>0</v>
      </c>
      <c r="O3678">
        <v>-0.39375700000000002</v>
      </c>
      <c r="P3678">
        <v>0.91760929999999996</v>
      </c>
      <c r="Q3678">
        <v>0.18248919999999999</v>
      </c>
      <c r="R3678">
        <v>-0.35311629999999999</v>
      </c>
      <c r="S3678">
        <v>2.97879</v>
      </c>
      <c r="T3678">
        <v>-0.35250880000000001</v>
      </c>
      <c r="U3678">
        <v>-0.93916319999999998</v>
      </c>
      <c r="V3678">
        <v>-4.0107669999999998E-2</v>
      </c>
      <c r="W3678">
        <v>0.20524870000000001</v>
      </c>
      <c r="X3678">
        <v>0.97788770000000003</v>
      </c>
      <c r="Y3678">
        <v>-9.6338850000000004E-2</v>
      </c>
      <c r="Z3678">
        <v>4.9285019999999999E-2</v>
      </c>
      <c r="AA3678">
        <v>0.99412769999999995</v>
      </c>
      <c r="AB3678">
        <v>25</v>
      </c>
      <c r="AC3678">
        <v>9.1595999999999798</v>
      </c>
      <c r="AD3678">
        <v>-1.112736426238</v>
      </c>
      <c r="AE3678">
        <v>-2.8704999999999901</v>
      </c>
      <c r="AF3678">
        <v>-0.95636218304917198</v>
      </c>
      <c r="AG3678">
        <v>-1.112736426238</v>
      </c>
      <c r="AH3678">
        <v>9.4231675566382709</v>
      </c>
      <c r="AI3678">
        <v>96.700490429803807</v>
      </c>
      <c r="AJ3678">
        <v>95.795135601618696</v>
      </c>
      <c r="AK3678">
        <v>9.5367131539080905</v>
      </c>
      <c r="AL3678">
        <v>78.155941953408401</v>
      </c>
      <c r="AM3678">
        <v>92.348646938658405</v>
      </c>
      <c r="AN3678">
        <v>1.0000000039279</v>
      </c>
    </row>
    <row r="3679" spans="1:40" x14ac:dyDescent="0.3">
      <c r="A3679" t="str">
        <f>"20200111150430872"</f>
        <v>20200111150430872</v>
      </c>
      <c r="B3679" t="str">
        <f>"1578726270862671"</f>
        <v>1578726270862671</v>
      </c>
      <c r="C3679" t="s">
        <v>40</v>
      </c>
      <c r="D3679">
        <v>5.1555339999999896</v>
      </c>
      <c r="E3679">
        <v>0.47051120000000002</v>
      </c>
      <c r="F3679" t="s">
        <v>41</v>
      </c>
      <c r="G3679">
        <v>-132.726</v>
      </c>
      <c r="H3679" s="1">
        <v>-3.691938E-6</v>
      </c>
      <c r="I3679">
        <v>136.29499999999999</v>
      </c>
      <c r="J3679">
        <v>-142.25229999999999</v>
      </c>
      <c r="K3679">
        <v>1.1129009999999999</v>
      </c>
      <c r="L3679">
        <v>139.1765</v>
      </c>
      <c r="M3679">
        <v>0.92252140000000005</v>
      </c>
      <c r="N3679">
        <v>0</v>
      </c>
      <c r="O3679">
        <v>-0.3852121</v>
      </c>
      <c r="P3679">
        <v>0.92065379999999997</v>
      </c>
      <c r="Q3679">
        <v>0.1826603</v>
      </c>
      <c r="R3679">
        <v>-0.34500989999999998</v>
      </c>
      <c r="S3679">
        <v>2.9876710000000002</v>
      </c>
      <c r="T3679">
        <v>-0.34128309999999901</v>
      </c>
      <c r="U3679">
        <v>-0.90840149999999997</v>
      </c>
      <c r="V3679">
        <v>-3.9729510000000003E-2</v>
      </c>
      <c r="W3679">
        <v>0.20535700000000001</v>
      </c>
      <c r="X3679">
        <v>0.97788039999999998</v>
      </c>
      <c r="Y3679">
        <v>-9.7515809999999994E-2</v>
      </c>
      <c r="Z3679">
        <v>4.6884019999999998E-2</v>
      </c>
      <c r="AA3679">
        <v>0.99412909999999999</v>
      </c>
      <c r="AB3679">
        <v>25</v>
      </c>
      <c r="AC3679">
        <v>9.5262999999999902</v>
      </c>
      <c r="AD3679">
        <v>-1.1129046919379999</v>
      </c>
      <c r="AE3679">
        <v>-2.8815000000000102</v>
      </c>
      <c r="AF3679">
        <v>-0.99919307700535398</v>
      </c>
      <c r="AG3679">
        <v>-1.1129046919379999</v>
      </c>
      <c r="AH3679">
        <v>9.7787336216315097</v>
      </c>
      <c r="AI3679">
        <v>96.459473221222098</v>
      </c>
      <c r="AJ3679">
        <v>95.8342464122058</v>
      </c>
      <c r="AK3679">
        <v>9.89245039923372</v>
      </c>
      <c r="AL3679">
        <v>78.149601766514706</v>
      </c>
      <c r="AM3679">
        <v>92.326544235664798</v>
      </c>
      <c r="AN3679">
        <v>1.000000004059</v>
      </c>
    </row>
    <row r="3680" spans="1:40" x14ac:dyDescent="0.3">
      <c r="A3680" t="str">
        <f>"20200111150430894"</f>
        <v>20200111150430894</v>
      </c>
      <c r="B3680" t="str">
        <f>"1578726270892927"</f>
        <v>1578726270892927</v>
      </c>
      <c r="C3680" t="s">
        <v>40</v>
      </c>
      <c r="D3680">
        <v>5.2168590000000004</v>
      </c>
      <c r="E3680">
        <v>0.4108463</v>
      </c>
      <c r="F3680" t="s">
        <v>41</v>
      </c>
      <c r="G3680">
        <v>-131.8426</v>
      </c>
      <c r="H3680" s="1">
        <v>-4.0989270000000004E-6</v>
      </c>
      <c r="I3680">
        <v>136.13730000000001</v>
      </c>
      <c r="J3680">
        <v>-142.02850000000001</v>
      </c>
      <c r="K3680">
        <v>1.1130119999999999</v>
      </c>
      <c r="L3680">
        <v>139.09559999999999</v>
      </c>
      <c r="M3680">
        <v>0.92631229999999998</v>
      </c>
      <c r="N3680">
        <v>0</v>
      </c>
      <c r="O3680">
        <v>-0.37600810000000001</v>
      </c>
      <c r="P3680">
        <v>0.92440719999999998</v>
      </c>
      <c r="Q3680">
        <v>0.18249460000000001</v>
      </c>
      <c r="R3680">
        <v>-0.33491379999999998</v>
      </c>
      <c r="S3680">
        <v>2.9944459999999999</v>
      </c>
      <c r="T3680">
        <v>-0.3201349</v>
      </c>
      <c r="U3680">
        <v>-0.87423709999999899</v>
      </c>
      <c r="V3680">
        <v>-4.0773749999999997E-2</v>
      </c>
      <c r="W3680">
        <v>0.20511470000000001</v>
      </c>
      <c r="X3680">
        <v>0.97788830000000004</v>
      </c>
      <c r="Y3680">
        <v>-9.9011459999999996E-2</v>
      </c>
      <c r="Z3680">
        <v>4.3191189999999997E-2</v>
      </c>
      <c r="AA3680">
        <v>0.99414849999999999</v>
      </c>
      <c r="AB3680">
        <v>25</v>
      </c>
      <c r="AC3680">
        <v>10.1859</v>
      </c>
      <c r="AD3680">
        <v>-1.1130160989269999</v>
      </c>
      <c r="AE3680">
        <v>-2.9582999999999799</v>
      </c>
      <c r="AF3680">
        <v>-1.0781070860619</v>
      </c>
      <c r="AG3680">
        <v>-1.1130160989269999</v>
      </c>
      <c r="AH3680">
        <v>10.4357320141337</v>
      </c>
      <c r="AI3680">
        <v>96.055840583110594</v>
      </c>
      <c r="AJ3680">
        <v>95.898256697747698</v>
      </c>
      <c r="AK3680">
        <v>10.5501479798296</v>
      </c>
      <c r="AL3680">
        <v>78.163786838787601</v>
      </c>
      <c r="AM3680">
        <v>92.387605382088495</v>
      </c>
      <c r="AN3680">
        <v>1.0000000330610199</v>
      </c>
    </row>
    <row r="3681" spans="1:40" x14ac:dyDescent="0.3">
      <c r="A3681" t="str">
        <f>"20200111150430917"</f>
        <v>20200111150430917</v>
      </c>
      <c r="B3681" t="str">
        <f>"1578726270912447"</f>
        <v>1578726270912447</v>
      </c>
      <c r="C3681" t="s">
        <v>40</v>
      </c>
      <c r="D3681">
        <v>5.2227620000000003</v>
      </c>
      <c r="E3681">
        <v>0.40616020000000003</v>
      </c>
      <c r="F3681" t="s">
        <v>49</v>
      </c>
      <c r="G3681">
        <v>191.85939999999999</v>
      </c>
      <c r="H3681">
        <v>-0.1</v>
      </c>
      <c r="I3681">
        <v>98.888369999999995</v>
      </c>
      <c r="J3681">
        <v>-141.81</v>
      </c>
      <c r="K3681">
        <v>1.1130960000000001</v>
      </c>
      <c r="L3681">
        <v>139.01939999999999</v>
      </c>
      <c r="M3681">
        <v>0.93000769999999999</v>
      </c>
      <c r="N3681">
        <v>0</v>
      </c>
      <c r="O3681">
        <v>-0.36677559999999998</v>
      </c>
      <c r="P3681">
        <v>0.92821719999999996</v>
      </c>
      <c r="Q3681">
        <v>0.1832309</v>
      </c>
      <c r="R3681">
        <v>-0.3237893</v>
      </c>
      <c r="S3681">
        <v>3.1117859999999999</v>
      </c>
      <c r="T3681">
        <v>-1.130509E-2</v>
      </c>
      <c r="U3681">
        <v>-0.37472529999999998</v>
      </c>
      <c r="V3681">
        <v>-4.2798900000000001E-2</v>
      </c>
      <c r="W3681">
        <v>0.20576150000000001</v>
      </c>
      <c r="X3681">
        <v>0.97766580000000003</v>
      </c>
      <c r="Y3681">
        <v>-0.25302239999999998</v>
      </c>
      <c r="Z3681">
        <v>1.7548189999999999E-3</v>
      </c>
      <c r="AA3681">
        <v>0.96745879999999995</v>
      </c>
      <c r="AB3681">
        <v>24</v>
      </c>
      <c r="AC3681">
        <v>333.6694</v>
      </c>
      <c r="AD3681">
        <v>-1.213096</v>
      </c>
      <c r="AE3681">
        <v>-40.131030000000003</v>
      </c>
      <c r="AF3681">
        <v>-85.082402536844199</v>
      </c>
      <c r="AG3681">
        <v>-1.213096</v>
      </c>
      <c r="AH3681">
        <v>325.12122308069797</v>
      </c>
      <c r="AI3681">
        <v>90.206817171300301</v>
      </c>
      <c r="AJ3681">
        <v>104.66511324835599</v>
      </c>
      <c r="AK3681">
        <v>336.07186213790101</v>
      </c>
      <c r="AL3681">
        <v>78.125919582740593</v>
      </c>
      <c r="AM3681">
        <v>92.506614918880999</v>
      </c>
      <c r="AN3681">
        <v>0.99999997860654899</v>
      </c>
    </row>
    <row r="3682" spans="1:40" x14ac:dyDescent="0.3">
      <c r="A3682" t="str">
        <f>"20200111150430940"</f>
        <v>20200111150430940</v>
      </c>
      <c r="B3682" t="str">
        <f>"1578726270932944"</f>
        <v>1578726270932944</v>
      </c>
      <c r="C3682" t="s">
        <v>40</v>
      </c>
      <c r="D3682">
        <v>5.1915149999999999</v>
      </c>
      <c r="E3682">
        <v>0.4051534</v>
      </c>
      <c r="F3682" t="s">
        <v>41</v>
      </c>
      <c r="G3682">
        <v>-52.752890000000001</v>
      </c>
      <c r="H3682" s="1">
        <v>-4.9297119999999999E-6</v>
      </c>
      <c r="I3682">
        <v>130.30539999999999</v>
      </c>
      <c r="J3682">
        <v>-141.56880000000001</v>
      </c>
      <c r="K3682">
        <v>1.113162</v>
      </c>
      <c r="L3682">
        <v>138.9385</v>
      </c>
      <c r="M3682">
        <v>0.93405959999999999</v>
      </c>
      <c r="N3682">
        <v>0</v>
      </c>
      <c r="O3682">
        <v>-0.35633330000000002</v>
      </c>
      <c r="P3682">
        <v>0.93179509999999999</v>
      </c>
      <c r="Q3682">
        <v>0.18385670000000001</v>
      </c>
      <c r="R3682">
        <v>-0.3129767</v>
      </c>
      <c r="S3682">
        <v>3.1327970000000001</v>
      </c>
      <c r="T3682">
        <v>-3.9155959999999997E-2</v>
      </c>
      <c r="U3682">
        <v>-0.30653380000000002</v>
      </c>
      <c r="V3682">
        <v>-4.3206649999999999E-2</v>
      </c>
      <c r="W3682">
        <v>0.20633029999999999</v>
      </c>
      <c r="X3682">
        <v>0.97752799999999995</v>
      </c>
      <c r="Y3682">
        <v>-0.26370660000000001</v>
      </c>
      <c r="Z3682">
        <v>5.9935960000000003E-3</v>
      </c>
      <c r="AA3682">
        <v>0.96458429999999995</v>
      </c>
      <c r="AB3682">
        <v>24</v>
      </c>
      <c r="AC3682">
        <v>88.815910000000002</v>
      </c>
      <c r="AD3682">
        <v>-1.1131669297119999</v>
      </c>
      <c r="AE3682">
        <v>-8.6331000000000095</v>
      </c>
      <c r="AF3682">
        <v>-23.587163250174299</v>
      </c>
      <c r="AG3682">
        <v>-1.1131669297119999</v>
      </c>
      <c r="AH3682">
        <v>86.046291678910805</v>
      </c>
      <c r="AI3682">
        <v>90.714817490211402</v>
      </c>
      <c r="AJ3682">
        <v>105.329460610246</v>
      </c>
      <c r="AK3682">
        <v>89.227561451022396</v>
      </c>
      <c r="AL3682">
        <v>78.092615352459305</v>
      </c>
      <c r="AM3682">
        <v>92.530821079966501</v>
      </c>
      <c r="AN3682">
        <v>0.99999999904315595</v>
      </c>
    </row>
    <row r="3683" spans="1:40" x14ac:dyDescent="0.3">
      <c r="A3683" t="str">
        <f>"20200111150430961"</f>
        <v>20200111150430961</v>
      </c>
      <c r="B3683" t="str">
        <f>"1578726270952464"</f>
        <v>1578726270952464</v>
      </c>
      <c r="C3683" t="s">
        <v>40</v>
      </c>
      <c r="D3683">
        <v>5.2251130000000003</v>
      </c>
      <c r="E3683">
        <v>0.40524009999999999</v>
      </c>
      <c r="F3683" t="s">
        <v>41</v>
      </c>
      <c r="G3683">
        <v>-80.054670000000002</v>
      </c>
      <c r="H3683" s="1">
        <v>-5.2893589999999899E-6</v>
      </c>
      <c r="I3683">
        <v>133.75030000000001</v>
      </c>
      <c r="J3683">
        <v>-141.36529999999999</v>
      </c>
      <c r="K3683">
        <v>1.1131930000000001</v>
      </c>
      <c r="L3683">
        <v>138.87289999999999</v>
      </c>
      <c r="M3683">
        <v>0.93743960000000004</v>
      </c>
      <c r="N3683">
        <v>0</v>
      </c>
      <c r="O3683">
        <v>-0.34734589999999999</v>
      </c>
      <c r="P3683">
        <v>0.93416659999999996</v>
      </c>
      <c r="Q3683">
        <v>0.18575990000000001</v>
      </c>
      <c r="R3683">
        <v>-0.30467379999999999</v>
      </c>
      <c r="S3683">
        <v>3.1418149999999998</v>
      </c>
      <c r="T3683">
        <v>-5.685461E-2</v>
      </c>
      <c r="U3683">
        <v>-0.2649841</v>
      </c>
      <c r="V3683">
        <v>-4.2424480000000001E-2</v>
      </c>
      <c r="W3683">
        <v>0.20820649999999999</v>
      </c>
      <c r="X3683">
        <v>0.97716440000000004</v>
      </c>
      <c r="Y3683">
        <v>-0.26730939999999997</v>
      </c>
      <c r="Z3683">
        <v>8.5662140000000008E-3</v>
      </c>
      <c r="AA3683">
        <v>0.96357269999999995</v>
      </c>
      <c r="AB3683">
        <v>24</v>
      </c>
      <c r="AC3683">
        <v>61.310629999999897</v>
      </c>
      <c r="AD3683">
        <v>-1.113198289359</v>
      </c>
      <c r="AE3683">
        <v>-5.1225999999999701</v>
      </c>
      <c r="AF3683">
        <v>-16.493070606322501</v>
      </c>
      <c r="AG3683">
        <v>-1.113198289359</v>
      </c>
      <c r="AH3683">
        <v>59.251462424284199</v>
      </c>
      <c r="AI3683">
        <v>91.036915850589693</v>
      </c>
      <c r="AJ3683">
        <v>105.55492621328</v>
      </c>
      <c r="AK3683">
        <v>61.5141966368166</v>
      </c>
      <c r="AL3683">
        <v>77.9827310538072</v>
      </c>
      <c r="AM3683">
        <v>92.485987114828603</v>
      </c>
      <c r="AN3683">
        <v>1.0000000238864399</v>
      </c>
    </row>
    <row r="3684" spans="1:40" x14ac:dyDescent="0.3">
      <c r="A3684" t="str">
        <f>"20200111150430983"</f>
        <v>20200111150430983</v>
      </c>
      <c r="B3684" t="str">
        <f>"1578726270972959"</f>
        <v>1578726270972959</v>
      </c>
      <c r="C3684" t="s">
        <v>40</v>
      </c>
      <c r="D3684">
        <v>5.2118630000000001</v>
      </c>
      <c r="E3684">
        <v>0.40493370000000001</v>
      </c>
      <c r="F3684" t="s">
        <v>41</v>
      </c>
      <c r="G3684">
        <v>-90.057500000000005</v>
      </c>
      <c r="H3684" s="1">
        <v>-5.0716650000000002E-6</v>
      </c>
      <c r="I3684">
        <v>134.97069999999999</v>
      </c>
      <c r="J3684">
        <v>-141.1456</v>
      </c>
      <c r="K3684">
        <v>1.1132120000000001</v>
      </c>
      <c r="L3684">
        <v>138.80459999999999</v>
      </c>
      <c r="M3684">
        <v>0.94103369999999997</v>
      </c>
      <c r="N3684">
        <v>0</v>
      </c>
      <c r="O3684">
        <v>-0.33748939999999999</v>
      </c>
      <c r="P3684">
        <v>0.93701500000000004</v>
      </c>
      <c r="Q3684">
        <v>0.18793360000000001</v>
      </c>
      <c r="R3684">
        <v>-0.2944214</v>
      </c>
      <c r="S3684">
        <v>3.1469269999999998</v>
      </c>
      <c r="T3684">
        <v>-6.8277119999999997E-2</v>
      </c>
      <c r="U3684">
        <v>-0.23933409999999999</v>
      </c>
      <c r="V3684">
        <v>-4.276986E-2</v>
      </c>
      <c r="W3684">
        <v>0.2103351</v>
      </c>
      <c r="X3684">
        <v>0.97669329999999999</v>
      </c>
      <c r="Y3684">
        <v>-0.26509100000000002</v>
      </c>
      <c r="Z3684">
        <v>1.0050379999999999E-2</v>
      </c>
      <c r="AA3684">
        <v>0.964171</v>
      </c>
      <c r="AB3684">
        <v>24</v>
      </c>
      <c r="AC3684">
        <v>51.088099999999997</v>
      </c>
      <c r="AD3684">
        <v>-1.1132170716650001</v>
      </c>
      <c r="AE3684">
        <v>-3.8338999999999999</v>
      </c>
      <c r="AF3684">
        <v>-13.631222186091</v>
      </c>
      <c r="AG3684">
        <v>-1.1132170716650001</v>
      </c>
      <c r="AH3684">
        <v>49.359961327736301</v>
      </c>
      <c r="AI3684">
        <v>91.245374179530202</v>
      </c>
      <c r="AJ3684">
        <v>105.43799644767201</v>
      </c>
      <c r="AK3684">
        <v>51.219676422356002</v>
      </c>
      <c r="AL3684">
        <v>77.858008813907205</v>
      </c>
      <c r="AM3684">
        <v>92.507407272450706</v>
      </c>
      <c r="AN3684">
        <v>0.99999995874065895</v>
      </c>
    </row>
    <row r="3685" spans="1:40" x14ac:dyDescent="0.3">
      <c r="A3685" t="str">
        <f>"20200111150431006"</f>
        <v>20200111150431006</v>
      </c>
      <c r="B3685" t="str">
        <f>"1578726271002240"</f>
        <v>1578726271002240</v>
      </c>
      <c r="C3685" t="s">
        <v>40</v>
      </c>
      <c r="D3685">
        <v>5.2774199999999896</v>
      </c>
      <c r="E3685">
        <v>0.4056999</v>
      </c>
      <c r="F3685" t="s">
        <v>41</v>
      </c>
      <c r="G3685">
        <v>-91.231170000000006</v>
      </c>
      <c r="H3685" s="1">
        <v>-4.462942E-6</v>
      </c>
      <c r="I3685">
        <v>135.56389999999999</v>
      </c>
      <c r="J3685">
        <v>-140.92310000000001</v>
      </c>
      <c r="K3685">
        <v>1.1132010000000001</v>
      </c>
      <c r="L3685">
        <v>138.73820000000001</v>
      </c>
      <c r="M3685">
        <v>0.94460120000000003</v>
      </c>
      <c r="N3685">
        <v>0</v>
      </c>
      <c r="O3685">
        <v>-0.32737379999999999</v>
      </c>
      <c r="P3685">
        <v>0.94016619999999995</v>
      </c>
      <c r="Q3685">
        <v>0.1901369</v>
      </c>
      <c r="R3685">
        <v>-0.28272890000000001</v>
      </c>
      <c r="S3685">
        <v>3.151459</v>
      </c>
      <c r="T3685">
        <v>-7.0285319999999998E-2</v>
      </c>
      <c r="U3685">
        <v>-0.20460510000000001</v>
      </c>
      <c r="V3685">
        <v>-4.4348079999999998E-2</v>
      </c>
      <c r="W3685">
        <v>0.2124752</v>
      </c>
      <c r="X3685">
        <v>0.97615960000000002</v>
      </c>
      <c r="Y3685">
        <v>-0.26541759999999998</v>
      </c>
      <c r="Z3685">
        <v>1.012829E-2</v>
      </c>
      <c r="AA3685">
        <v>0.9640803</v>
      </c>
      <c r="AB3685">
        <v>24</v>
      </c>
      <c r="AC3685">
        <v>49.691929999999999</v>
      </c>
      <c r="AD3685">
        <v>-1.1132054629420001</v>
      </c>
      <c r="AE3685">
        <v>-3.1743000000000099</v>
      </c>
      <c r="AF3685">
        <v>-13.266441158158701</v>
      </c>
      <c r="AG3685">
        <v>-1.1132054629420001</v>
      </c>
      <c r="AH3685">
        <v>47.967583123661903</v>
      </c>
      <c r="AI3685">
        <v>91.281363677196097</v>
      </c>
      <c r="AJ3685">
        <v>105.459899310693</v>
      </c>
      <c r="AK3685">
        <v>49.780786636322098</v>
      </c>
      <c r="AL3685">
        <v>77.7325553177388</v>
      </c>
      <c r="AM3685">
        <v>92.601226073224396</v>
      </c>
      <c r="AN3685">
        <v>1.0000000137434399</v>
      </c>
    </row>
    <row r="3686" spans="1:40" x14ac:dyDescent="0.3">
      <c r="A3686" t="str">
        <f>"20200111150431030"</f>
        <v>20200111150431030</v>
      </c>
      <c r="B3686" t="str">
        <f>"1578726271022735"</f>
        <v>1578726271022735</v>
      </c>
      <c r="C3686" t="s">
        <v>40</v>
      </c>
      <c r="D3686">
        <v>5.251881</v>
      </c>
      <c r="E3686">
        <v>0.40585389999999999</v>
      </c>
      <c r="F3686" t="s">
        <v>41</v>
      </c>
      <c r="G3686">
        <v>-96.866290000000006</v>
      </c>
      <c r="H3686" s="1">
        <v>-1.934398E-6</v>
      </c>
      <c r="I3686">
        <v>136.30179999999999</v>
      </c>
      <c r="J3686">
        <v>-140.69749999999999</v>
      </c>
      <c r="K3686">
        <v>1.1131660000000001</v>
      </c>
      <c r="L3686">
        <v>138.6738</v>
      </c>
      <c r="M3686">
        <v>0.94813309999999995</v>
      </c>
      <c r="N3686">
        <v>0</v>
      </c>
      <c r="O3686">
        <v>-0.31700070000000002</v>
      </c>
      <c r="P3686">
        <v>0.94344510000000004</v>
      </c>
      <c r="Q3686">
        <v>0.19043199999999999</v>
      </c>
      <c r="R3686">
        <v>-0.27137939999999999</v>
      </c>
      <c r="S3686">
        <v>3.1546020000000001</v>
      </c>
      <c r="T3686">
        <v>-7.9708580000000001E-2</v>
      </c>
      <c r="U3686">
        <v>-0.17445369999999999</v>
      </c>
      <c r="V3686">
        <v>-4.5383960000000001E-2</v>
      </c>
      <c r="W3686">
        <v>0.21272969999999999</v>
      </c>
      <c r="X3686">
        <v>0.97605660000000005</v>
      </c>
      <c r="Y3686">
        <v>-0.26405580000000001</v>
      </c>
      <c r="Z3686">
        <v>1.121408E-2</v>
      </c>
      <c r="AA3686">
        <v>0.96444220000000003</v>
      </c>
      <c r="AB3686">
        <v>24</v>
      </c>
      <c r="AC3686">
        <v>43.831209999999899</v>
      </c>
      <c r="AD3686">
        <v>-1.1131679343980001</v>
      </c>
      <c r="AE3686">
        <v>-2.3720000000000101</v>
      </c>
      <c r="AF3686">
        <v>-11.641294133409801</v>
      </c>
      <c r="AG3686">
        <v>-1.1131679343980001</v>
      </c>
      <c r="AH3686">
        <v>42.294275356432799</v>
      </c>
      <c r="AI3686">
        <v>91.453619914577999</v>
      </c>
      <c r="AJ3686">
        <v>105.38930890137701</v>
      </c>
      <c r="AK3686">
        <v>43.881255677982701</v>
      </c>
      <c r="AL3686">
        <v>77.717632934485394</v>
      </c>
      <c r="AM3686">
        <v>92.662179468292194</v>
      </c>
      <c r="AN3686">
        <v>1.00000005774546</v>
      </c>
    </row>
    <row r="3687" spans="1:40" x14ac:dyDescent="0.3">
      <c r="A3687" t="str">
        <f>"20200111150431051"</f>
        <v>20200111150431051</v>
      </c>
      <c r="B3687" t="str">
        <f>"1578726271042256"</f>
        <v>1578726271042256</v>
      </c>
      <c r="C3687" t="s">
        <v>40</v>
      </c>
      <c r="D3687">
        <v>5.2858660000000004</v>
      </c>
      <c r="E3687">
        <v>0.40624759999999999</v>
      </c>
      <c r="F3687" t="s">
        <v>41</v>
      </c>
      <c r="G3687">
        <v>-97.572749999999999</v>
      </c>
      <c r="H3687" s="1">
        <v>-1.562092E-6</v>
      </c>
      <c r="I3687">
        <v>136.79750000000001</v>
      </c>
      <c r="J3687">
        <v>-140.48240000000001</v>
      </c>
      <c r="K3687">
        <v>1.113092</v>
      </c>
      <c r="L3687">
        <v>138.61519999999999</v>
      </c>
      <c r="M3687">
        <v>0.95140950000000002</v>
      </c>
      <c r="N3687">
        <v>0</v>
      </c>
      <c r="O3687">
        <v>-0.30702940000000001</v>
      </c>
      <c r="P3687">
        <v>0.94686099999999995</v>
      </c>
      <c r="Q3687">
        <v>0.1894969</v>
      </c>
      <c r="R3687">
        <v>-0.25989509999999999</v>
      </c>
      <c r="S3687">
        <v>3.1567989999999999</v>
      </c>
      <c r="T3687">
        <v>-8.1485509999999997E-2</v>
      </c>
      <c r="U3687">
        <v>-0.13734440000000001</v>
      </c>
      <c r="V3687">
        <v>-4.7016549999999997E-2</v>
      </c>
      <c r="W3687">
        <v>0.21175250000000001</v>
      </c>
      <c r="X3687">
        <v>0.97619180000000005</v>
      </c>
      <c r="Y3687">
        <v>-0.26527119999999998</v>
      </c>
      <c r="Z3687">
        <v>1.1232610000000001E-2</v>
      </c>
      <c r="AA3687">
        <v>0.96410839999999998</v>
      </c>
      <c r="AB3687">
        <v>23</v>
      </c>
      <c r="AC3687">
        <v>42.909649999999999</v>
      </c>
      <c r="AD3687">
        <v>-1.1130935620919999</v>
      </c>
      <c r="AE3687">
        <v>-1.8176999999999699</v>
      </c>
      <c r="AF3687">
        <v>-11.4406277717653</v>
      </c>
      <c r="AG3687">
        <v>-1.1130935620919999</v>
      </c>
      <c r="AH3687">
        <v>41.3663954493273</v>
      </c>
      <c r="AI3687">
        <v>91.485608221845197</v>
      </c>
      <c r="AJ3687">
        <v>105.45974943325101</v>
      </c>
      <c r="AK3687">
        <v>42.933735145689198</v>
      </c>
      <c r="AL3687">
        <v>77.774927648140206</v>
      </c>
      <c r="AM3687">
        <v>92.757418987766997</v>
      </c>
      <c r="AN3687">
        <v>1.0000000538086899</v>
      </c>
    </row>
    <row r="3688" spans="1:40" x14ac:dyDescent="0.3">
      <c r="A3688" t="str">
        <f>"20200111150431073"</f>
        <v>20200111150431073</v>
      </c>
      <c r="B3688" t="str">
        <f>"1578726271062752"</f>
        <v>1578726271062752</v>
      </c>
      <c r="C3688" t="s">
        <v>40</v>
      </c>
      <c r="D3688">
        <v>5.2754890000000003</v>
      </c>
      <c r="E3688">
        <v>0.40679070000000001</v>
      </c>
      <c r="F3688" t="s">
        <v>41</v>
      </c>
      <c r="G3688">
        <v>-100.96080000000001</v>
      </c>
      <c r="H3688" s="1">
        <v>-4.6585879999999901E-6</v>
      </c>
      <c r="I3688">
        <v>137.33179999999999</v>
      </c>
      <c r="J3688">
        <v>-140.27459999999999</v>
      </c>
      <c r="K3688">
        <v>1.1129899999999999</v>
      </c>
      <c r="L3688">
        <v>138.56100000000001</v>
      </c>
      <c r="M3688">
        <v>0.9544821</v>
      </c>
      <c r="N3688">
        <v>0</v>
      </c>
      <c r="O3688">
        <v>-0.29734179999999999</v>
      </c>
      <c r="P3688">
        <v>0.95069159999999997</v>
      </c>
      <c r="Q3688">
        <v>0.1872568</v>
      </c>
      <c r="R3688">
        <v>-0.24722549999999999</v>
      </c>
      <c r="S3688">
        <v>3.1580509999999999</v>
      </c>
      <c r="T3688">
        <v>-8.8944200000000001E-2</v>
      </c>
      <c r="U3688">
        <v>-0.1025543</v>
      </c>
      <c r="V3688">
        <v>-5.019821E-2</v>
      </c>
      <c r="W3688">
        <v>0.20945159999999999</v>
      </c>
      <c r="X3688">
        <v>0.97652969999999895</v>
      </c>
      <c r="Y3688">
        <v>-0.2660592</v>
      </c>
      <c r="Z3688">
        <v>1.20108E-2</v>
      </c>
      <c r="AA3688">
        <v>0.96388189999999996</v>
      </c>
      <c r="AB3688">
        <v>23</v>
      </c>
      <c r="AC3688">
        <v>39.313799999999901</v>
      </c>
      <c r="AD3688">
        <v>-1.112994658588</v>
      </c>
      <c r="AE3688">
        <v>-1.2292000000000201</v>
      </c>
      <c r="AF3688">
        <v>-10.510873105544899</v>
      </c>
      <c r="AG3688">
        <v>-1.112994658588</v>
      </c>
      <c r="AH3688">
        <v>37.869945971404498</v>
      </c>
      <c r="AI3688">
        <v>91.622146429679304</v>
      </c>
      <c r="AJ3688">
        <v>105.512092216262</v>
      </c>
      <c r="AK3688">
        <v>39.317299226015201</v>
      </c>
      <c r="AL3688">
        <v>77.909783991383094</v>
      </c>
      <c r="AM3688">
        <v>92.942681857293394</v>
      </c>
      <c r="AN3688">
        <v>1.00000004400592</v>
      </c>
    </row>
    <row r="3689" spans="1:40" x14ac:dyDescent="0.3">
      <c r="A3689" t="str">
        <f>"20200111150431095"</f>
        <v>20200111150431095</v>
      </c>
      <c r="B3689" t="str">
        <f>"1578726271093009"</f>
        <v>1578726271093009</v>
      </c>
      <c r="C3689" t="s">
        <v>40</v>
      </c>
      <c r="D3689">
        <v>5.1607719999999997</v>
      </c>
      <c r="E3689">
        <v>0.40814660000000003</v>
      </c>
      <c r="F3689" t="s">
        <v>41</v>
      </c>
      <c r="G3689">
        <v>-106.0788</v>
      </c>
      <c r="H3689" s="1">
        <v>-2.1491579999999998E-6</v>
      </c>
      <c r="I3689">
        <v>137.8399</v>
      </c>
      <c r="J3689">
        <v>-140.05170000000001</v>
      </c>
      <c r="K3689">
        <v>1.1128629999999999</v>
      </c>
      <c r="L3689">
        <v>138.50540000000001</v>
      </c>
      <c r="M3689">
        <v>0.95766739999999995</v>
      </c>
      <c r="N3689">
        <v>0</v>
      </c>
      <c r="O3689">
        <v>-0.2869196</v>
      </c>
      <c r="P3689">
        <v>0.95472009999999996</v>
      </c>
      <c r="Q3689">
        <v>0.1839683</v>
      </c>
      <c r="R3689">
        <v>-0.2338074</v>
      </c>
      <c r="S3689">
        <v>3.1585079999999999</v>
      </c>
      <c r="T3689">
        <v>-0.1028022</v>
      </c>
      <c r="U3689">
        <v>-6.6604609999999995E-2</v>
      </c>
      <c r="V3689">
        <v>-5.3400299999999998E-2</v>
      </c>
      <c r="W3689">
        <v>0.20610780000000001</v>
      </c>
      <c r="X3689">
        <v>0.97707109999999997</v>
      </c>
      <c r="Y3689">
        <v>-0.26644970000000001</v>
      </c>
      <c r="Z3689">
        <v>1.356477E-2</v>
      </c>
      <c r="AA3689">
        <v>0.96375330000000003</v>
      </c>
      <c r="AB3689">
        <v>23</v>
      </c>
      <c r="AC3689">
        <v>33.972900000000003</v>
      </c>
      <c r="AD3689">
        <v>-1.1128651491579999</v>
      </c>
      <c r="AE3689">
        <v>-0.66550000000000797</v>
      </c>
      <c r="AF3689">
        <v>-9.1029067690862995</v>
      </c>
      <c r="AG3689">
        <v>-1.1128651491579999</v>
      </c>
      <c r="AH3689">
        <v>32.699617045577902</v>
      </c>
      <c r="AI3689">
        <v>91.877843057482593</v>
      </c>
      <c r="AJ3689">
        <v>105.556118592332</v>
      </c>
      <c r="AK3689">
        <v>33.961247553856602</v>
      </c>
      <c r="AL3689">
        <v>78.105643416792304</v>
      </c>
      <c r="AM3689">
        <v>93.128299373953894</v>
      </c>
      <c r="AN3689">
        <v>0.99999997585806899</v>
      </c>
    </row>
    <row r="3690" spans="1:40" x14ac:dyDescent="0.3">
      <c r="A3690" t="str">
        <f>"20200111150431119"</f>
        <v>20200111150431119</v>
      </c>
      <c r="B3690" t="str">
        <f>"1578726271112527"</f>
        <v>1578726271112527</v>
      </c>
      <c r="C3690" t="s">
        <v>40</v>
      </c>
      <c r="D3690">
        <v>5.2065190000000001</v>
      </c>
      <c r="E3690">
        <v>0.45326650000000002</v>
      </c>
      <c r="F3690" t="s">
        <v>41</v>
      </c>
      <c r="G3690">
        <v>-111.1833</v>
      </c>
      <c r="H3690" s="1">
        <v>-4.0170400000000001E-6</v>
      </c>
      <c r="I3690">
        <v>138.1934</v>
      </c>
      <c r="J3690">
        <v>-139.8365</v>
      </c>
      <c r="K3690">
        <v>1.1127290000000001</v>
      </c>
      <c r="L3690">
        <v>138.45419999999999</v>
      </c>
      <c r="M3690">
        <v>0.96063089999999995</v>
      </c>
      <c r="N3690">
        <v>0</v>
      </c>
      <c r="O3690">
        <v>-0.27683819999999998</v>
      </c>
      <c r="P3690">
        <v>0.95824120000000002</v>
      </c>
      <c r="Q3690">
        <v>0.18039050000000001</v>
      </c>
      <c r="R3690">
        <v>-0.22188630000000001</v>
      </c>
      <c r="S3690">
        <v>3.157394</v>
      </c>
      <c r="T3690">
        <v>-0.1217163</v>
      </c>
      <c r="U3690">
        <v>-3.411865E-2</v>
      </c>
      <c r="V3690">
        <v>-5.5391650000000001E-2</v>
      </c>
      <c r="W3690">
        <v>0.2024996</v>
      </c>
      <c r="X3690">
        <v>0.97771450000000004</v>
      </c>
      <c r="Y3690">
        <v>-0.26611639999999998</v>
      </c>
      <c r="Z3690">
        <v>1.5687530000000002E-2</v>
      </c>
      <c r="AA3690">
        <v>0.96381320000000004</v>
      </c>
      <c r="AB3690">
        <v>23</v>
      </c>
      <c r="AC3690">
        <v>28.653199999999998</v>
      </c>
      <c r="AD3690">
        <v>-1.11273301704</v>
      </c>
      <c r="AE3690">
        <v>-0.26079999999998899</v>
      </c>
      <c r="AF3690">
        <v>-7.6723070497452799</v>
      </c>
      <c r="AG3690">
        <v>-1.11273301704</v>
      </c>
      <c r="AH3690">
        <v>27.563360319817999</v>
      </c>
      <c r="AI3690">
        <v>92.227194201220797</v>
      </c>
      <c r="AJ3690">
        <v>105.55463203431</v>
      </c>
      <c r="AK3690">
        <v>28.6328710113551</v>
      </c>
      <c r="AL3690">
        <v>78.316832771291203</v>
      </c>
      <c r="AM3690">
        <v>93.242581284417</v>
      </c>
      <c r="AN3690">
        <v>0.999999983200066</v>
      </c>
    </row>
    <row r="3691" spans="1:40" x14ac:dyDescent="0.3">
      <c r="A3691" t="str">
        <f>"20200111150431143"</f>
        <v>20200111150431143</v>
      </c>
      <c r="B3691" t="str">
        <f>"1578726271132048"</f>
        <v>1578726271132048</v>
      </c>
      <c r="C3691" t="s">
        <v>40</v>
      </c>
      <c r="D3691">
        <v>5.202051</v>
      </c>
      <c r="E3691">
        <v>0.46773799999999999</v>
      </c>
      <c r="F3691" t="s">
        <v>41</v>
      </c>
      <c r="G3691">
        <v>-131.8296</v>
      </c>
      <c r="H3691" s="1">
        <v>-3.8588350000000001E-6</v>
      </c>
      <c r="I3691">
        <v>137.5222</v>
      </c>
      <c r="J3691">
        <v>-139.59690000000001</v>
      </c>
      <c r="K3691">
        <v>1.112571</v>
      </c>
      <c r="L3691">
        <v>138.3999</v>
      </c>
      <c r="M3691">
        <v>0.96379769999999998</v>
      </c>
      <c r="N3691">
        <v>0</v>
      </c>
      <c r="O3691">
        <v>-0.2656057</v>
      </c>
      <c r="P3691">
        <v>0.96165540000000005</v>
      </c>
      <c r="Q3691">
        <v>0.17665420000000001</v>
      </c>
      <c r="R3691">
        <v>-0.20979220000000001</v>
      </c>
      <c r="S3691">
        <v>3.12825</v>
      </c>
      <c r="T3691">
        <v>-0.43473430000000002</v>
      </c>
      <c r="U3691">
        <v>-0.36410520000000002</v>
      </c>
      <c r="V3691">
        <v>-5.6360729999999998E-2</v>
      </c>
      <c r="W3691">
        <v>0.19875119999999999</v>
      </c>
      <c r="X3691">
        <v>0.97842799999999996</v>
      </c>
      <c r="Y3691">
        <v>-0.14858779999999999</v>
      </c>
      <c r="Z3691">
        <v>4.6388369999999998E-2</v>
      </c>
      <c r="AA3691">
        <v>0.98781059999999998</v>
      </c>
      <c r="AB3691">
        <v>22</v>
      </c>
      <c r="AC3691">
        <v>7.7672999999999996</v>
      </c>
      <c r="AD3691">
        <v>-1.112574858835</v>
      </c>
      <c r="AE3691">
        <v>-0.87770000000000403</v>
      </c>
      <c r="AF3691">
        <v>-1.1932733316550601</v>
      </c>
      <c r="AG3691">
        <v>-1.112574858835</v>
      </c>
      <c r="AH3691">
        <v>7.5680253243839797</v>
      </c>
      <c r="AI3691">
        <v>98.2625033774803</v>
      </c>
      <c r="AJ3691">
        <v>98.960231188581602</v>
      </c>
      <c r="AK3691">
        <v>7.7418816427964199</v>
      </c>
      <c r="AL3691">
        <v>78.536057442464497</v>
      </c>
      <c r="AM3691">
        <v>93.296785625241</v>
      </c>
      <c r="AN3691">
        <v>0.99999996128578506</v>
      </c>
    </row>
    <row r="3692" spans="1:40" x14ac:dyDescent="0.3">
      <c r="A3692" t="str">
        <f>"20200111150431166"</f>
        <v>20200111150431166</v>
      </c>
      <c r="B3692" t="str">
        <f>"1578726271162304"</f>
        <v>1578726271162304</v>
      </c>
      <c r="C3692" t="s">
        <v>40</v>
      </c>
      <c r="D3692">
        <v>5.3657690000000002</v>
      </c>
      <c r="E3692">
        <v>0.4751013</v>
      </c>
      <c r="F3692" t="s">
        <v>41</v>
      </c>
      <c r="G3692">
        <v>-134.06020000000001</v>
      </c>
      <c r="H3692" s="1">
        <v>-2.886536E-6</v>
      </c>
      <c r="I3692">
        <v>137.6088</v>
      </c>
      <c r="J3692">
        <v>-139.38499999999999</v>
      </c>
      <c r="K3692">
        <v>1.1124289999999999</v>
      </c>
      <c r="L3692">
        <v>138.3544</v>
      </c>
      <c r="M3692">
        <v>0.96647760000000005</v>
      </c>
      <c r="N3692">
        <v>0</v>
      </c>
      <c r="O3692">
        <v>-0.2556851</v>
      </c>
      <c r="P3692">
        <v>0.96434900000000001</v>
      </c>
      <c r="Q3692">
        <v>0.17328959999999999</v>
      </c>
      <c r="R3692">
        <v>-0.2000044</v>
      </c>
      <c r="S3692">
        <v>3.1376189999999999</v>
      </c>
      <c r="T3692">
        <v>-0.63049529999999998</v>
      </c>
      <c r="U3692">
        <v>-0.4483337</v>
      </c>
      <c r="V3692">
        <v>-5.6293599999999999E-2</v>
      </c>
      <c r="W3692">
        <v>0.19539139999999999</v>
      </c>
      <c r="X3692">
        <v>0.97910839999999999</v>
      </c>
      <c r="Y3692">
        <v>-0.1094297</v>
      </c>
      <c r="Z3692">
        <v>6.0809599999999998E-2</v>
      </c>
      <c r="AA3692">
        <v>0.99213269999999998</v>
      </c>
      <c r="AB3692">
        <v>22</v>
      </c>
      <c r="AC3692">
        <v>5.3247999999999802</v>
      </c>
      <c r="AD3692">
        <v>-1.1124318865359999</v>
      </c>
      <c r="AE3692">
        <v>-0.74559999999999504</v>
      </c>
      <c r="AF3692">
        <v>-0.614727217339605</v>
      </c>
      <c r="AG3692">
        <v>-1.1124318865359999</v>
      </c>
      <c r="AH3692">
        <v>5.1192602661255497</v>
      </c>
      <c r="AI3692">
        <v>102.175127060875</v>
      </c>
      <c r="AJ3692">
        <v>96.847363068245201</v>
      </c>
      <c r="AK3692">
        <v>5.2746772343198396</v>
      </c>
      <c r="AL3692">
        <v>78.732411164909095</v>
      </c>
      <c r="AM3692">
        <v>93.290584301276994</v>
      </c>
      <c r="AN3692">
        <v>1.0000000137727301</v>
      </c>
    </row>
    <row r="3693" spans="1:40" x14ac:dyDescent="0.3">
      <c r="A3693" t="str">
        <f>"20200111150431185"</f>
        <v>20200111150431185</v>
      </c>
      <c r="B3693" t="str">
        <f>"1578726271182799"</f>
        <v>1578726271182799</v>
      </c>
      <c r="C3693" t="s">
        <v>40</v>
      </c>
      <c r="D3693">
        <v>5.2667080000000004</v>
      </c>
      <c r="E3693">
        <v>0.4779274</v>
      </c>
      <c r="F3693" t="s">
        <v>42</v>
      </c>
      <c r="G3693">
        <v>-138.6832</v>
      </c>
      <c r="H3693">
        <v>0.94464559999999997</v>
      </c>
      <c r="I3693">
        <v>138.2474</v>
      </c>
      <c r="J3693">
        <v>-139.20930000000001</v>
      </c>
      <c r="K3693">
        <v>1.112304</v>
      </c>
      <c r="L3693">
        <v>138.3185</v>
      </c>
      <c r="M3693">
        <v>0.96861569999999997</v>
      </c>
      <c r="N3693">
        <v>0</v>
      </c>
      <c r="O3693">
        <v>-0.24746370000000001</v>
      </c>
      <c r="P3693">
        <v>0.96621230000000002</v>
      </c>
      <c r="Q3693">
        <v>0.17034540000000001</v>
      </c>
      <c r="R3693">
        <v>-0.19343260000000001</v>
      </c>
      <c r="S3693">
        <v>3.1465450000000001</v>
      </c>
      <c r="T3693">
        <v>-0.75207349999999995</v>
      </c>
      <c r="U3693">
        <v>-0.47981259999999998</v>
      </c>
      <c r="V3693">
        <v>-5.4670080000000003E-2</v>
      </c>
      <c r="W3693">
        <v>0.19247619999999999</v>
      </c>
      <c r="X3693">
        <v>0.97977760000000003</v>
      </c>
      <c r="Y3693">
        <v>-8.9561630000000003E-2</v>
      </c>
      <c r="Z3693">
        <v>6.7786429999999995E-2</v>
      </c>
      <c r="AA3693">
        <v>0.99367179999999999</v>
      </c>
      <c r="AB3693">
        <v>22</v>
      </c>
      <c r="AC3693">
        <v>0.526100000000013</v>
      </c>
      <c r="AD3693">
        <v>-0.16765840000000001</v>
      </c>
      <c r="AE3693">
        <v>-7.1100000000001204E-2</v>
      </c>
      <c r="AF3693">
        <v>-5.5775916905603302E-2</v>
      </c>
      <c r="AG3693">
        <v>-0.16765840000000001</v>
      </c>
      <c r="AH3693">
        <v>0.47950328273463699</v>
      </c>
      <c r="AI3693">
        <v>109.15254608535599</v>
      </c>
      <c r="AJ3693">
        <v>96.634839655595897</v>
      </c>
      <c r="AK3693">
        <v>0.51102220123054798</v>
      </c>
      <c r="AL3693">
        <v>78.902672491399599</v>
      </c>
      <c r="AM3693">
        <v>93.193704438394803</v>
      </c>
      <c r="AN3693">
        <v>1.0000000253376999</v>
      </c>
    </row>
    <row r="3694" spans="1:40" x14ac:dyDescent="0.3">
      <c r="A3694" t="str">
        <f>"20200111150431208"</f>
        <v>20200111150431208</v>
      </c>
      <c r="B3694" t="str">
        <f>"1578726271202319"</f>
        <v>1578726271202319</v>
      </c>
      <c r="C3694" t="s">
        <v>40</v>
      </c>
      <c r="D3694">
        <v>5.2416219999999996</v>
      </c>
      <c r="E3694">
        <v>0.47911890000000001</v>
      </c>
      <c r="F3694" t="s">
        <v>42</v>
      </c>
      <c r="G3694">
        <v>-138.50120000000001</v>
      </c>
      <c r="H3694">
        <v>0.93505899999999997</v>
      </c>
      <c r="I3694">
        <v>138.21029999999999</v>
      </c>
      <c r="J3694">
        <v>-138.99459999999999</v>
      </c>
      <c r="K3694">
        <v>1.1121639999999999</v>
      </c>
      <c r="L3694">
        <v>138.2766</v>
      </c>
      <c r="M3694">
        <v>0.97112670000000001</v>
      </c>
      <c r="N3694">
        <v>0</v>
      </c>
      <c r="O3694">
        <v>-0.23742160000000001</v>
      </c>
      <c r="P3694">
        <v>0.96805330000000001</v>
      </c>
      <c r="Q3694">
        <v>0.16846079999999999</v>
      </c>
      <c r="R3694">
        <v>-0.18572530000000001</v>
      </c>
      <c r="S3694">
        <v>3.1476139999999999</v>
      </c>
      <c r="T3694">
        <v>-0.78814830000000002</v>
      </c>
      <c r="U3694">
        <v>-0.4807129</v>
      </c>
      <c r="V3694">
        <v>-5.2315840000000002E-2</v>
      </c>
      <c r="W3694">
        <v>0.1906243</v>
      </c>
      <c r="X3694">
        <v>0.98026809999999998</v>
      </c>
      <c r="Y3694">
        <v>-7.8758599999999998E-2</v>
      </c>
      <c r="Z3694">
        <v>6.7210969999999995E-2</v>
      </c>
      <c r="AA3694">
        <v>0.99462539999999999</v>
      </c>
      <c r="AB3694">
        <v>22</v>
      </c>
      <c r="AC3694">
        <v>0.49339999999997902</v>
      </c>
      <c r="AD3694">
        <v>-0.17710499999999901</v>
      </c>
      <c r="AE3694">
        <v>-6.6300000000012405E-2</v>
      </c>
      <c r="AF3694">
        <v>-4.6843965775179797E-2</v>
      </c>
      <c r="AG3694">
        <v>-0.17710499999999901</v>
      </c>
      <c r="AH3694">
        <v>0.43941755430724</v>
      </c>
      <c r="AI3694">
        <v>111.83963010966499</v>
      </c>
      <c r="AJ3694">
        <v>96.085016254968096</v>
      </c>
      <c r="AK3694">
        <v>0.47607596577426797</v>
      </c>
      <c r="AL3694">
        <v>79.010780794110303</v>
      </c>
      <c r="AM3694">
        <v>93.054915121867197</v>
      </c>
      <c r="AN3694">
        <v>1.0000000593714999</v>
      </c>
    </row>
    <row r="3695" spans="1:40" x14ac:dyDescent="0.3">
      <c r="A3695" t="str">
        <f>"20200111150431230"</f>
        <v>20200111150431230</v>
      </c>
      <c r="B3695" t="str">
        <f>"1578726271222815"</f>
        <v>1578726271222815</v>
      </c>
      <c r="C3695" t="s">
        <v>40</v>
      </c>
      <c r="D3695">
        <v>5.2642509999999998</v>
      </c>
      <c r="E3695">
        <v>0.48015439999999998</v>
      </c>
      <c r="F3695" t="s">
        <v>42</v>
      </c>
      <c r="G3695">
        <v>-138.31489999999999</v>
      </c>
      <c r="H3695">
        <v>0.93617550000000005</v>
      </c>
      <c r="I3695">
        <v>138.17580000000001</v>
      </c>
      <c r="J3695">
        <v>-138.78909999999999</v>
      </c>
      <c r="K3695">
        <v>1.112036</v>
      </c>
      <c r="L3695">
        <v>138.23869999999999</v>
      </c>
      <c r="M3695">
        <v>0.9734273</v>
      </c>
      <c r="N3695">
        <v>0</v>
      </c>
      <c r="O3695">
        <v>-0.2278085</v>
      </c>
      <c r="P3695">
        <v>0.96952930000000004</v>
      </c>
      <c r="Q3695">
        <v>0.16720570000000001</v>
      </c>
      <c r="R3695">
        <v>-0.17903939999999999</v>
      </c>
      <c r="S3695">
        <v>3.151443</v>
      </c>
      <c r="T3695">
        <v>-0.8163589</v>
      </c>
      <c r="U3695">
        <v>-0.46710210000000002</v>
      </c>
      <c r="V3695">
        <v>-4.9353670000000002E-2</v>
      </c>
      <c r="W3695">
        <v>0.18940709999999999</v>
      </c>
      <c r="X3695">
        <v>0.98065749999999996</v>
      </c>
      <c r="Y3695">
        <v>-7.310593E-2</v>
      </c>
      <c r="Z3695">
        <v>6.6408419999999996E-2</v>
      </c>
      <c r="AA3695">
        <v>0.99511079999999996</v>
      </c>
      <c r="AB3695">
        <v>22</v>
      </c>
      <c r="AC3695">
        <v>0.47419999999999601</v>
      </c>
      <c r="AD3695">
        <v>-0.1758605</v>
      </c>
      <c r="AE3695">
        <v>-6.2899999999984801E-2</v>
      </c>
      <c r="AF3695">
        <v>-4.1237390159841202E-2</v>
      </c>
      <c r="AG3695">
        <v>-0.1758605</v>
      </c>
      <c r="AH3695">
        <v>0.41937592969007997</v>
      </c>
      <c r="AI3695">
        <v>112.652040450195</v>
      </c>
      <c r="AJ3695">
        <v>95.615861943648994</v>
      </c>
      <c r="AK3695">
        <v>0.45662195327301502</v>
      </c>
      <c r="AL3695">
        <v>79.081814552406797</v>
      </c>
      <c r="AM3695">
        <v>92.881100911305296</v>
      </c>
      <c r="AN3695">
        <v>0.99999998328956397</v>
      </c>
    </row>
    <row r="3696" spans="1:40" x14ac:dyDescent="0.3">
      <c r="A3696" t="str">
        <f>"20200111150431253"</f>
        <v>20200111150431253</v>
      </c>
      <c r="B3696" t="str">
        <f>"1578726271242319"</f>
        <v>1578726271242319</v>
      </c>
      <c r="C3696" t="s">
        <v>40</v>
      </c>
      <c r="D3696">
        <v>5.2051590000000001</v>
      </c>
      <c r="E3696">
        <v>0.48120790000000002</v>
      </c>
      <c r="F3696" t="s">
        <v>42</v>
      </c>
      <c r="G3696">
        <v>-137.96510000000001</v>
      </c>
      <c r="H3696">
        <v>0.89291350000000003</v>
      </c>
      <c r="I3696">
        <v>138.11969999999999</v>
      </c>
      <c r="J3696">
        <v>-138.5829</v>
      </c>
      <c r="K3696">
        <v>1.111917</v>
      </c>
      <c r="L3696">
        <v>138.203</v>
      </c>
      <c r="M3696">
        <v>0.97563569999999999</v>
      </c>
      <c r="N3696">
        <v>0</v>
      </c>
      <c r="O3696">
        <v>-0.21815960000000001</v>
      </c>
      <c r="P3696">
        <v>0.97087120000000005</v>
      </c>
      <c r="Q3696">
        <v>0.16626359999999901</v>
      </c>
      <c r="R3696">
        <v>-0.17252690000000001</v>
      </c>
      <c r="S3696">
        <v>3.1547999999999998</v>
      </c>
      <c r="T3696">
        <v>-0.83915379999999995</v>
      </c>
      <c r="U3696">
        <v>-0.45585629999999999</v>
      </c>
      <c r="V3696">
        <v>-4.6182769999999998E-2</v>
      </c>
      <c r="W3696">
        <v>0.18850149999999999</v>
      </c>
      <c r="X3696">
        <v>0.98098640000000004</v>
      </c>
      <c r="Y3696">
        <v>-6.6866670000000003E-2</v>
      </c>
      <c r="Z3696">
        <v>6.490166E-2</v>
      </c>
      <c r="AA3696">
        <v>0.99564889999999995</v>
      </c>
      <c r="AB3696">
        <v>21</v>
      </c>
      <c r="AC3696">
        <v>0.61779999999998803</v>
      </c>
      <c r="AD3696">
        <v>-0.21900349999999999</v>
      </c>
      <c r="AE3696">
        <v>-8.3300000000008298E-2</v>
      </c>
      <c r="AF3696">
        <v>-4.7642990553232997E-2</v>
      </c>
      <c r="AG3696">
        <v>-0.21900349999999999</v>
      </c>
      <c r="AH3696">
        <v>0.55285571758797702</v>
      </c>
      <c r="AI3696">
        <v>111.537594124658</v>
      </c>
      <c r="AJ3696">
        <v>94.925362659553002</v>
      </c>
      <c r="AK3696">
        <v>0.59655832240512896</v>
      </c>
      <c r="AL3696">
        <v>79.134653537406606</v>
      </c>
      <c r="AM3696">
        <v>92.695374313168799</v>
      </c>
      <c r="AN3696">
        <v>0.99999999036604104</v>
      </c>
    </row>
    <row r="3697" spans="1:40" x14ac:dyDescent="0.3">
      <c r="A3697" t="str">
        <f>"20200111150431275"</f>
        <v>20200111150431275</v>
      </c>
      <c r="B3697" t="str">
        <f>"1578726271272576"</f>
        <v>1578726271272576</v>
      </c>
      <c r="C3697" t="s">
        <v>40</v>
      </c>
      <c r="D3697">
        <v>5.1381880000000004</v>
      </c>
      <c r="E3697">
        <v>0.4821858</v>
      </c>
      <c r="F3697" t="s">
        <v>42</v>
      </c>
      <c r="G3697">
        <v>-137.7826</v>
      </c>
      <c r="H3697">
        <v>0.89382320000000004</v>
      </c>
      <c r="I3697">
        <v>138.09049999999999</v>
      </c>
      <c r="J3697">
        <v>-138.37520000000001</v>
      </c>
      <c r="K3697">
        <v>1.111801</v>
      </c>
      <c r="L3697">
        <v>138.16909999999999</v>
      </c>
      <c r="M3697">
        <v>0.97775789999999996</v>
      </c>
      <c r="N3697">
        <v>0</v>
      </c>
      <c r="O3697">
        <v>-0.20844389999999999</v>
      </c>
      <c r="P3697">
        <v>0.97200010000000003</v>
      </c>
      <c r="Q3697">
        <v>0.1661523</v>
      </c>
      <c r="R3697">
        <v>-0.16616069999999999</v>
      </c>
      <c r="S3697">
        <v>3.1586150000000002</v>
      </c>
      <c r="T3697">
        <v>-0.86105669999999901</v>
      </c>
      <c r="U3697">
        <v>-0.44375609999999999</v>
      </c>
      <c r="V3697">
        <v>-4.2788409999999999E-2</v>
      </c>
      <c r="W3697">
        <v>0.18843869999999999</v>
      </c>
      <c r="X3697">
        <v>0.98115240000000004</v>
      </c>
      <c r="Y3697">
        <v>-6.0916560000000002E-2</v>
      </c>
      <c r="Z3697">
        <v>6.3166479999999997E-2</v>
      </c>
      <c r="AA3697">
        <v>0.99614210000000003</v>
      </c>
      <c r="AB3697">
        <v>21</v>
      </c>
      <c r="AC3697">
        <v>0.59260000000000401</v>
      </c>
      <c r="AD3697">
        <v>-0.217977799999999</v>
      </c>
      <c r="AE3697">
        <v>-7.8599999999994397E-2</v>
      </c>
      <c r="AF3697">
        <v>-4.12058892948561E-2</v>
      </c>
      <c r="AG3697">
        <v>-0.217977799999999</v>
      </c>
      <c r="AH3697">
        <v>0.52602307761019096</v>
      </c>
      <c r="AI3697">
        <v>112.446630420791</v>
      </c>
      <c r="AJ3697">
        <v>94.479104077146502</v>
      </c>
      <c r="AK3697">
        <v>0.57088748872603301</v>
      </c>
      <c r="AL3697">
        <v>79.138317608507293</v>
      </c>
      <c r="AM3697">
        <v>92.497107356894702</v>
      </c>
      <c r="AN3697">
        <v>1.0000000118568799</v>
      </c>
    </row>
    <row r="3698" spans="1:40" x14ac:dyDescent="0.3">
      <c r="A3698" t="str">
        <f>"20200111150431298"</f>
        <v>20200111150431298</v>
      </c>
      <c r="B3698" t="str">
        <f>"1578726271292095"</f>
        <v>1578726271292095</v>
      </c>
      <c r="C3698" t="s">
        <v>40</v>
      </c>
      <c r="D3698">
        <v>5.1808779999999999</v>
      </c>
      <c r="E3698">
        <v>0.51222440000000002</v>
      </c>
      <c r="F3698" t="s">
        <v>42</v>
      </c>
      <c r="G3698">
        <v>-137.59790000000001</v>
      </c>
      <c r="H3698">
        <v>0.90209870000000003</v>
      </c>
      <c r="I3698">
        <v>138.0635</v>
      </c>
      <c r="J3698">
        <v>-138.1729</v>
      </c>
      <c r="K3698">
        <v>1.111694</v>
      </c>
      <c r="L3698">
        <v>138.13800000000001</v>
      </c>
      <c r="M3698">
        <v>0.97972709999999996</v>
      </c>
      <c r="N3698">
        <v>0</v>
      </c>
      <c r="O3698">
        <v>-0.19898150000000001</v>
      </c>
      <c r="P3698">
        <v>0.97326979999999996</v>
      </c>
      <c r="Q3698">
        <v>0.16567109999999999</v>
      </c>
      <c r="R3698">
        <v>-0.15905710000000001</v>
      </c>
      <c r="S3698">
        <v>3.1588440000000002</v>
      </c>
      <c r="T3698">
        <v>-0.85263279999999997</v>
      </c>
      <c r="U3698">
        <v>-0.42892459999999999</v>
      </c>
      <c r="V3698">
        <v>-4.0415430000000002E-2</v>
      </c>
      <c r="W3698">
        <v>0.1880135</v>
      </c>
      <c r="X3698">
        <v>0.98133459999999995</v>
      </c>
      <c r="Y3698">
        <v>-5.6516829999999997E-2</v>
      </c>
      <c r="Z3698">
        <v>5.956873E-2</v>
      </c>
      <c r="AA3698">
        <v>0.99662300000000004</v>
      </c>
      <c r="AB3698">
        <v>21</v>
      </c>
      <c r="AC3698">
        <v>0.57499999999998797</v>
      </c>
      <c r="AD3698">
        <v>-0.20959530000000001</v>
      </c>
      <c r="AE3698">
        <v>-7.4500000000000399E-2</v>
      </c>
      <c r="AF3698">
        <v>-3.6647006206067798E-2</v>
      </c>
      <c r="AG3698">
        <v>-0.20959530000000001</v>
      </c>
      <c r="AH3698">
        <v>0.51148470408649804</v>
      </c>
      <c r="AI3698">
        <v>112.231330703547</v>
      </c>
      <c r="AJ3698">
        <v>94.098141828028005</v>
      </c>
      <c r="AK3698">
        <v>0.55397634909841598</v>
      </c>
      <c r="AL3698">
        <v>79.163123465520997</v>
      </c>
      <c r="AM3698">
        <v>92.358345144053004</v>
      </c>
      <c r="AN3698">
        <v>1.0000000401607401</v>
      </c>
    </row>
    <row r="3699" spans="1:40" x14ac:dyDescent="0.3">
      <c r="A3699" t="str">
        <f>"20200111150431320"</f>
        <v>20200111150431320</v>
      </c>
      <c r="B3699" t="str">
        <f>"1578726271312591"</f>
        <v>1578726271312591</v>
      </c>
      <c r="C3699" t="s">
        <v>40</v>
      </c>
      <c r="D3699">
        <v>5.295744</v>
      </c>
      <c r="E3699">
        <v>0.5536565</v>
      </c>
      <c r="F3699" t="s">
        <v>42</v>
      </c>
      <c r="G3699">
        <v>-137.4076</v>
      </c>
      <c r="H3699">
        <v>0.95300459999999998</v>
      </c>
      <c r="I3699">
        <v>137.9821</v>
      </c>
      <c r="J3699">
        <v>-137.97309999999999</v>
      </c>
      <c r="K3699">
        <v>1.1115820000000001</v>
      </c>
      <c r="L3699">
        <v>138.10939999999999</v>
      </c>
      <c r="M3699">
        <v>0.98159439999999998</v>
      </c>
      <c r="N3699">
        <v>0</v>
      </c>
      <c r="O3699">
        <v>-0.1895683</v>
      </c>
      <c r="P3699">
        <v>0.97470219999999996</v>
      </c>
      <c r="Q3699">
        <v>0.16478280000000001</v>
      </c>
      <c r="R3699">
        <v>-0.1510029</v>
      </c>
      <c r="S3699">
        <v>3.0887150000000001</v>
      </c>
      <c r="T3699">
        <v>-0.64098140000000003</v>
      </c>
      <c r="U3699">
        <v>-0.62901309999999999</v>
      </c>
      <c r="V3699">
        <v>-3.9083470000000002E-2</v>
      </c>
      <c r="W3699">
        <v>0.18705189999999999</v>
      </c>
      <c r="X3699">
        <v>0.98157220000000001</v>
      </c>
      <c r="Y3699">
        <v>1.365808E-2</v>
      </c>
      <c r="Z3699">
        <v>3.6804980000000001E-2</v>
      </c>
      <c r="AA3699">
        <v>0.99922909999999998</v>
      </c>
      <c r="AB3699">
        <v>21</v>
      </c>
      <c r="AC3699">
        <v>0.56549999999998501</v>
      </c>
      <c r="AD3699">
        <v>-0.15857740000000001</v>
      </c>
      <c r="AE3699">
        <v>-0.127299999999991</v>
      </c>
      <c r="AF3699">
        <v>1.65241459868458E-2</v>
      </c>
      <c r="AG3699">
        <v>-0.15857740000000001</v>
      </c>
      <c r="AH3699">
        <v>0.53903616958391198</v>
      </c>
      <c r="AI3699">
        <v>106.385910059137</v>
      </c>
      <c r="AJ3699">
        <v>88.244148577137196</v>
      </c>
      <c r="AK3699">
        <v>0.56212083337219498</v>
      </c>
      <c r="AL3699">
        <v>79.219213326100899</v>
      </c>
      <c r="AM3699">
        <v>92.280153809851797</v>
      </c>
      <c r="AN3699">
        <v>0.99999995736684399</v>
      </c>
    </row>
    <row r="3700" spans="1:40" x14ac:dyDescent="0.3">
      <c r="A3700" t="str">
        <f>"20200111150431342"</f>
        <v>20200111150431342</v>
      </c>
      <c r="B3700" t="str">
        <f>"1578726271332112"</f>
        <v>1578726271332112</v>
      </c>
      <c r="C3700" t="s">
        <v>40</v>
      </c>
      <c r="D3700">
        <v>5.3371729999999999</v>
      </c>
      <c r="E3700">
        <v>0.55145440000000001</v>
      </c>
      <c r="F3700" t="s">
        <v>42</v>
      </c>
      <c r="G3700">
        <v>-137.24959999999999</v>
      </c>
      <c r="H3700">
        <v>0.93823489999999998</v>
      </c>
      <c r="I3700">
        <v>137.8888</v>
      </c>
      <c r="J3700">
        <v>-137.7715</v>
      </c>
      <c r="K3700">
        <v>1.1114649999999999</v>
      </c>
      <c r="L3700">
        <v>138.08250000000001</v>
      </c>
      <c r="M3700">
        <v>0.98338939999999997</v>
      </c>
      <c r="N3700">
        <v>0</v>
      </c>
      <c r="O3700">
        <v>-0.18005270000000001</v>
      </c>
      <c r="P3700">
        <v>0.97636350000000005</v>
      </c>
      <c r="Q3700">
        <v>0.16325909999999999</v>
      </c>
      <c r="R3700">
        <v>-0.1416365</v>
      </c>
      <c r="S3700">
        <v>3.0572509999999999</v>
      </c>
      <c r="T3700">
        <v>-0.73240909999999904</v>
      </c>
      <c r="U3700">
        <v>-0.93215939999999997</v>
      </c>
      <c r="V3700">
        <v>-3.8998600000000001E-2</v>
      </c>
      <c r="W3700">
        <v>0.1853283</v>
      </c>
      <c r="X3700">
        <v>0.98190250000000001</v>
      </c>
      <c r="Y3700">
        <v>0.1162014</v>
      </c>
      <c r="Z3700">
        <v>2.7757779999999999E-2</v>
      </c>
      <c r="AA3700">
        <v>0.99283770000000005</v>
      </c>
      <c r="AB3700">
        <v>21</v>
      </c>
      <c r="AC3700">
        <v>0.52190000000001602</v>
      </c>
      <c r="AD3700">
        <v>-0.173230099999999</v>
      </c>
      <c r="AE3700">
        <v>-0.19370000000000601</v>
      </c>
      <c r="AF3700">
        <v>8.8015565856537706E-2</v>
      </c>
      <c r="AG3700">
        <v>-0.173230099999999</v>
      </c>
      <c r="AH3700">
        <v>0.49984922642813501</v>
      </c>
      <c r="AI3700">
        <v>108.84547964263599</v>
      </c>
      <c r="AJ3700">
        <v>80.013489788294507</v>
      </c>
      <c r="AK3700">
        <v>0.53628784858493805</v>
      </c>
      <c r="AL3700">
        <v>79.319726341622896</v>
      </c>
      <c r="AM3700">
        <v>92.274443102568796</v>
      </c>
      <c r="AN3700">
        <v>0.99999999454454902</v>
      </c>
    </row>
    <row r="3701" spans="1:40" x14ac:dyDescent="0.3">
      <c r="A3701" t="str">
        <f>"20200111150431363"</f>
        <v>20200111150431363</v>
      </c>
      <c r="B3701" t="str">
        <f>"1578726271352233"</f>
        <v>1578726271352233</v>
      </c>
      <c r="C3701" t="s">
        <v>40</v>
      </c>
      <c r="D3701">
        <v>5.2749069999999998</v>
      </c>
      <c r="E3701">
        <v>0.55051359999999905</v>
      </c>
      <c r="F3701" t="s">
        <v>42</v>
      </c>
      <c r="G3701">
        <v>-137.07210000000001</v>
      </c>
      <c r="H3701">
        <v>0.93065540000000002</v>
      </c>
      <c r="I3701">
        <v>137.88079999999999</v>
      </c>
      <c r="J3701">
        <v>-137.58869999999999</v>
      </c>
      <c r="K3701">
        <v>1.111335</v>
      </c>
      <c r="L3701">
        <v>138.0599</v>
      </c>
      <c r="M3701">
        <v>0.98493580000000003</v>
      </c>
      <c r="N3701">
        <v>0</v>
      </c>
      <c r="O3701">
        <v>-0.1714195</v>
      </c>
      <c r="P3701">
        <v>0.97792979999999996</v>
      </c>
      <c r="Q3701">
        <v>0.16076219999999999</v>
      </c>
      <c r="R3701">
        <v>-0.13344990000000001</v>
      </c>
      <c r="S3701">
        <v>3.0770420000000001</v>
      </c>
      <c r="T3701">
        <v>-0.79593510000000001</v>
      </c>
      <c r="U3701">
        <v>-0.88697809999999899</v>
      </c>
      <c r="V3701">
        <v>-3.8611390000000002E-2</v>
      </c>
      <c r="W3701">
        <v>0.18265300000000001</v>
      </c>
      <c r="X3701">
        <v>0.98241900000000004</v>
      </c>
      <c r="Y3701">
        <v>0.1099315</v>
      </c>
      <c r="Z3701">
        <v>2.8667729999999999E-2</v>
      </c>
      <c r="AA3701">
        <v>0.99352569999999996</v>
      </c>
      <c r="AB3701">
        <v>21</v>
      </c>
      <c r="AC3701">
        <v>0.51659999999998196</v>
      </c>
      <c r="AD3701">
        <v>-0.180679599999999</v>
      </c>
      <c r="AE3701">
        <v>-0.17910000000000501</v>
      </c>
      <c r="AF3701">
        <v>7.9218828891346599E-2</v>
      </c>
      <c r="AG3701">
        <v>-0.180679599999999</v>
      </c>
      <c r="AH3701">
        <v>0.48653022174239702</v>
      </c>
      <c r="AI3701">
        <v>110.129734232101</v>
      </c>
      <c r="AJ3701">
        <v>80.752024763116296</v>
      </c>
      <c r="AK3701">
        <v>0.52500704507252305</v>
      </c>
      <c r="AL3701">
        <v>79.475672421720105</v>
      </c>
      <c r="AM3701">
        <v>92.250701241320002</v>
      </c>
      <c r="AN3701">
        <v>1.0000000247038601</v>
      </c>
    </row>
    <row r="3702" spans="1:40" x14ac:dyDescent="0.3">
      <c r="A3702" t="str">
        <f>"20200111150431386"</f>
        <v>20200111150431386</v>
      </c>
      <c r="B3702" t="str">
        <f>"1578726271382489"</f>
        <v>1578726271382489</v>
      </c>
      <c r="C3702" t="s">
        <v>40</v>
      </c>
      <c r="D3702">
        <v>5.4899659999999999</v>
      </c>
      <c r="E3702">
        <v>0.55140449999999996</v>
      </c>
      <c r="F3702" t="s">
        <v>42</v>
      </c>
      <c r="G3702">
        <v>-136.8956</v>
      </c>
      <c r="H3702">
        <v>0.92524870000000004</v>
      </c>
      <c r="I3702">
        <v>137.8682</v>
      </c>
      <c r="J3702">
        <v>-137.38630000000001</v>
      </c>
      <c r="K3702">
        <v>1.111181</v>
      </c>
      <c r="L3702">
        <v>138.03659999999999</v>
      </c>
      <c r="M3702">
        <v>0.98656109999999997</v>
      </c>
      <c r="N3702">
        <v>0</v>
      </c>
      <c r="O3702">
        <v>-0.16182949999999999</v>
      </c>
      <c r="P3702">
        <v>0.97934219999999905</v>
      </c>
      <c r="Q3702">
        <v>0.1589904</v>
      </c>
      <c r="R3702">
        <v>-0.1249436</v>
      </c>
      <c r="S3702">
        <v>3.0874790000000001</v>
      </c>
      <c r="T3702">
        <v>-0.82917070000000004</v>
      </c>
      <c r="U3702">
        <v>-0.85389709999999996</v>
      </c>
      <c r="V3702">
        <v>-3.7554520000000001E-2</v>
      </c>
      <c r="W3702">
        <v>0.18073049999999999</v>
      </c>
      <c r="X3702">
        <v>0.98281540000000001</v>
      </c>
      <c r="Y3702">
        <v>0.1087277</v>
      </c>
      <c r="Z3702">
        <v>2.750644E-2</v>
      </c>
      <c r="AA3702">
        <v>0.99369090000000004</v>
      </c>
      <c r="AB3702">
        <v>20</v>
      </c>
      <c r="AC3702">
        <v>0.49070000000000302</v>
      </c>
      <c r="AD3702">
        <v>-0.18593229999999999</v>
      </c>
      <c r="AE3702">
        <v>-0.168399999999991</v>
      </c>
      <c r="AF3702">
        <v>7.6874876593661795E-2</v>
      </c>
      <c r="AG3702">
        <v>-0.18593229999999999</v>
      </c>
      <c r="AH3702">
        <v>0.45326696740811101</v>
      </c>
      <c r="AI3702">
        <v>112.019856344899</v>
      </c>
      <c r="AJ3702">
        <v>80.374132566566999</v>
      </c>
      <c r="AK3702">
        <v>0.49591482189780001</v>
      </c>
      <c r="AL3702">
        <v>79.587687575319407</v>
      </c>
      <c r="AM3702">
        <v>92.188273788946802</v>
      </c>
      <c r="AN3702">
        <v>0.99999998303991999</v>
      </c>
    </row>
    <row r="3703" spans="1:40" x14ac:dyDescent="0.3">
      <c r="A3703" t="str">
        <f>"20200111150431409"</f>
        <v>20200111150431409</v>
      </c>
      <c r="B3703" t="str">
        <f>"1578726271402989"</f>
        <v>1578726271402989</v>
      </c>
      <c r="C3703" t="s">
        <v>40</v>
      </c>
      <c r="D3703">
        <v>5.5707940000000002</v>
      </c>
      <c r="E3703">
        <v>0.55070609999999998</v>
      </c>
      <c r="F3703" t="s">
        <v>42</v>
      </c>
      <c r="G3703">
        <v>-136.71729999999999</v>
      </c>
      <c r="H3703">
        <v>0.92565850000000005</v>
      </c>
      <c r="I3703">
        <v>137.85720000000001</v>
      </c>
      <c r="J3703">
        <v>-137.18809999999999</v>
      </c>
      <c r="K3703">
        <v>1.111029</v>
      </c>
      <c r="L3703">
        <v>138.01580000000001</v>
      </c>
      <c r="M3703">
        <v>0.98806660000000002</v>
      </c>
      <c r="N3703">
        <v>0</v>
      </c>
      <c r="O3703">
        <v>-0.15239159999999999</v>
      </c>
      <c r="P3703">
        <v>0.98043049999999998</v>
      </c>
      <c r="Q3703">
        <v>0.15777579999999999</v>
      </c>
      <c r="R3703">
        <v>-0.11774220000000001</v>
      </c>
      <c r="S3703">
        <v>3.0968170000000002</v>
      </c>
      <c r="T3703">
        <v>-0.85915229999999998</v>
      </c>
      <c r="U3703">
        <v>-0.83038330000000005</v>
      </c>
      <c r="V3703">
        <v>-3.5326299999999998E-2</v>
      </c>
      <c r="W3703">
        <v>0.17940500000000001</v>
      </c>
      <c r="X3703">
        <v>0.98314080000000004</v>
      </c>
      <c r="Y3703">
        <v>0.11017979999999999</v>
      </c>
      <c r="Z3703">
        <v>2.5747180000000001E-2</v>
      </c>
      <c r="AA3703">
        <v>0.99357810000000002</v>
      </c>
      <c r="AB3703">
        <v>20</v>
      </c>
      <c r="AC3703">
        <v>0.470799999999997</v>
      </c>
      <c r="AD3703">
        <v>-0.18537049999999999</v>
      </c>
      <c r="AE3703">
        <v>-0.15860000000000599</v>
      </c>
      <c r="AF3703">
        <v>7.4596785764424994E-2</v>
      </c>
      <c r="AG3703">
        <v>-0.18537049999999999</v>
      </c>
      <c r="AH3703">
        <v>0.42965414289210901</v>
      </c>
      <c r="AI3703">
        <v>113.02946727030999</v>
      </c>
      <c r="AJ3703">
        <v>80.150460871600103</v>
      </c>
      <c r="AK3703">
        <v>0.47384552886039399</v>
      </c>
      <c r="AL3703">
        <v>79.664894990661594</v>
      </c>
      <c r="AM3703">
        <v>92.057871545209295</v>
      </c>
      <c r="AN3703">
        <v>0.99999996706066396</v>
      </c>
    </row>
    <row r="3704" spans="1:40" x14ac:dyDescent="0.3">
      <c r="A3704" t="str">
        <f>"20200111150431431"</f>
        <v>20200111150431431</v>
      </c>
      <c r="B3704" t="str">
        <f>"1578726271422505"</f>
        <v>1578726271422505</v>
      </c>
      <c r="C3704" t="s">
        <v>40</v>
      </c>
      <c r="D3704">
        <v>5.1815170000000004</v>
      </c>
      <c r="E3704">
        <v>0.55046890000000004</v>
      </c>
      <c r="F3704" t="s">
        <v>42</v>
      </c>
      <c r="G3704">
        <v>-136.38560000000001</v>
      </c>
      <c r="H3704">
        <v>0.88937980000000005</v>
      </c>
      <c r="I3704">
        <v>137.8091</v>
      </c>
      <c r="J3704">
        <v>-136.99469999999999</v>
      </c>
      <c r="K3704">
        <v>1.110903</v>
      </c>
      <c r="L3704">
        <v>137.9973</v>
      </c>
      <c r="M3704">
        <v>0.9894444</v>
      </c>
      <c r="N3704">
        <v>0</v>
      </c>
      <c r="O3704">
        <v>-0.14319860000000001</v>
      </c>
      <c r="P3704">
        <v>0.98142169999999895</v>
      </c>
      <c r="Q3704">
        <v>0.15681010000000001</v>
      </c>
      <c r="R3704">
        <v>-0.1105539</v>
      </c>
      <c r="S3704">
        <v>3.1018979999999998</v>
      </c>
      <c r="T3704">
        <v>-0.85704829999999999</v>
      </c>
      <c r="U3704">
        <v>-0.79862979999999995</v>
      </c>
      <c r="V3704">
        <v>-3.3342400000000001E-2</v>
      </c>
      <c r="W3704">
        <v>0.17831939999999999</v>
      </c>
      <c r="X3704">
        <v>0.98340760000000005</v>
      </c>
      <c r="Y3704">
        <v>0.10921160000000001</v>
      </c>
      <c r="Z3704">
        <v>2.3402059999999999E-2</v>
      </c>
      <c r="AA3704">
        <v>0.99374300000000004</v>
      </c>
      <c r="AB3704">
        <v>20</v>
      </c>
      <c r="AC3704">
        <v>0.60909999999998299</v>
      </c>
      <c r="AD3704">
        <v>-0.221523199999999</v>
      </c>
      <c r="AE3704">
        <v>-0.18819999999999401</v>
      </c>
      <c r="AF3704">
        <v>8.8348216483443001E-2</v>
      </c>
      <c r="AG3704">
        <v>-0.221523199999999</v>
      </c>
      <c r="AH3704">
        <v>0.56192743504149001</v>
      </c>
      <c r="AI3704">
        <v>111.27774923396299</v>
      </c>
      <c r="AJ3704">
        <v>81.064898977436698</v>
      </c>
      <c r="AK3704">
        <v>0.61044277188476304</v>
      </c>
      <c r="AL3704">
        <v>79.728115275159894</v>
      </c>
      <c r="AM3704">
        <v>91.941867522832993</v>
      </c>
      <c r="AN3704">
        <v>1.0000000158959399</v>
      </c>
    </row>
    <row r="3705" spans="1:40" x14ac:dyDescent="0.3">
      <c r="A3705" t="str">
        <f>"20200111150431452"</f>
        <v>20200111150431452</v>
      </c>
      <c r="B3705" t="str">
        <f>"1578726271442787"</f>
        <v>1578726271442787</v>
      </c>
      <c r="C3705" t="s">
        <v>40</v>
      </c>
      <c r="D3705">
        <v>5.163729</v>
      </c>
      <c r="E3705">
        <v>0.5505409</v>
      </c>
      <c r="F3705" t="s">
        <v>42</v>
      </c>
      <c r="G3705">
        <v>-136.20750000000001</v>
      </c>
      <c r="H3705">
        <v>0.89775680000000002</v>
      </c>
      <c r="I3705">
        <v>137.80119999999999</v>
      </c>
      <c r="J3705">
        <v>-136.80940000000001</v>
      </c>
      <c r="K3705">
        <v>1.1108009999999999</v>
      </c>
      <c r="L3705">
        <v>137.9812</v>
      </c>
      <c r="M3705">
        <v>0.99067229999999995</v>
      </c>
      <c r="N3705">
        <v>0</v>
      </c>
      <c r="O3705">
        <v>-0.13446649999999999</v>
      </c>
      <c r="P3705">
        <v>0.98228009999999999</v>
      </c>
      <c r="Q3705">
        <v>0.15562409999999999</v>
      </c>
      <c r="R3705">
        <v>-0.1044351</v>
      </c>
      <c r="S3705">
        <v>3.10405</v>
      </c>
      <c r="T3705">
        <v>-0.84067979999999998</v>
      </c>
      <c r="U3705">
        <v>-0.77297969999999905</v>
      </c>
      <c r="V3705">
        <v>-3.0762060000000001E-2</v>
      </c>
      <c r="W3705">
        <v>0.1770243</v>
      </c>
      <c r="X3705">
        <v>0.98372559999999998</v>
      </c>
      <c r="Y3705">
        <v>0.1097465</v>
      </c>
      <c r="Z3705">
        <v>2.065751E-2</v>
      </c>
      <c r="AA3705">
        <v>0.99374490000000004</v>
      </c>
      <c r="AB3705">
        <v>20</v>
      </c>
      <c r="AC3705">
        <v>0.60189999999999999</v>
      </c>
      <c r="AD3705">
        <v>-0.21304419999999899</v>
      </c>
      <c r="AE3705">
        <v>-0.18000000000000599</v>
      </c>
      <c r="AF3705">
        <v>8.7362807870097495E-2</v>
      </c>
      <c r="AG3705">
        <v>-0.21304419999999899</v>
      </c>
      <c r="AH3705">
        <v>0.55662952952493605</v>
      </c>
      <c r="AI3705">
        <v>110.712154516434</v>
      </c>
      <c r="AJ3705">
        <v>81.0802135987269</v>
      </c>
      <c r="AK3705">
        <v>0.60237573365113195</v>
      </c>
      <c r="AL3705">
        <v>79.803518375361804</v>
      </c>
      <c r="AM3705">
        <v>91.791111292842103</v>
      </c>
      <c r="AN3705">
        <v>0.99999998161064596</v>
      </c>
    </row>
    <row r="3706" spans="1:40" x14ac:dyDescent="0.3">
      <c r="A3706" t="str">
        <f>"20200111150431474"</f>
        <v>20200111150431474</v>
      </c>
      <c r="B3706" t="str">
        <f>"1578726271473043"</f>
        <v>1578726271473043</v>
      </c>
      <c r="C3706" t="s">
        <v>40</v>
      </c>
      <c r="D3706">
        <v>5.0942559999999997</v>
      </c>
      <c r="E3706">
        <v>0.54966749999999998</v>
      </c>
      <c r="F3706" t="s">
        <v>42</v>
      </c>
      <c r="G3706">
        <v>-136.03200000000001</v>
      </c>
      <c r="H3706">
        <v>0.90350319999999995</v>
      </c>
      <c r="I3706">
        <v>137.79300000000001</v>
      </c>
      <c r="J3706">
        <v>-136.6181</v>
      </c>
      <c r="K3706">
        <v>1.1107070000000001</v>
      </c>
      <c r="L3706">
        <v>137.96639999999999</v>
      </c>
      <c r="M3706">
        <v>0.99184819999999996</v>
      </c>
      <c r="N3706">
        <v>0</v>
      </c>
      <c r="O3706">
        <v>-0.12552629999999901</v>
      </c>
      <c r="P3706">
        <v>0.98306610000000005</v>
      </c>
      <c r="Q3706">
        <v>0.15513489999999999</v>
      </c>
      <c r="R3706">
        <v>-9.7542000000000004E-2</v>
      </c>
      <c r="S3706">
        <v>3.1054379999999999</v>
      </c>
      <c r="T3706">
        <v>-0.82828659999999998</v>
      </c>
      <c r="U3706">
        <v>-0.75164790000000004</v>
      </c>
      <c r="V3706">
        <v>-2.8751889999999999E-2</v>
      </c>
      <c r="W3706">
        <v>0.1764212</v>
      </c>
      <c r="X3706">
        <v>0.98389479999999996</v>
      </c>
      <c r="Y3706">
        <v>0.11179</v>
      </c>
      <c r="Z3706">
        <v>1.7829569999999999E-2</v>
      </c>
      <c r="AA3706">
        <v>0.99357189999999995</v>
      </c>
      <c r="AB3706">
        <v>20</v>
      </c>
      <c r="AC3706">
        <v>0.58609999999998696</v>
      </c>
      <c r="AD3706">
        <v>-0.20720379999999899</v>
      </c>
      <c r="AE3706">
        <v>-0.17339999999998601</v>
      </c>
      <c r="AF3706">
        <v>8.8292253044497296E-2</v>
      </c>
      <c r="AG3706">
        <v>-0.20720379999999899</v>
      </c>
      <c r="AH3706">
        <v>0.54105333335694195</v>
      </c>
      <c r="AI3706">
        <v>110.704800703548</v>
      </c>
      <c r="AJ3706">
        <v>80.731832070390894</v>
      </c>
      <c r="AK3706">
        <v>0.58606112839768798</v>
      </c>
      <c r="AL3706">
        <v>79.838626675204694</v>
      </c>
      <c r="AM3706">
        <v>91.673850969940503</v>
      </c>
      <c r="AN3706">
        <v>1.0000000442275201</v>
      </c>
    </row>
    <row r="3707" spans="1:40" x14ac:dyDescent="0.3">
      <c r="A3707" t="str">
        <f>"20200111150431498"</f>
        <v>20200111150431498</v>
      </c>
      <c r="B3707" t="str">
        <f>"1578726271492562"</f>
        <v>1578726271492562</v>
      </c>
      <c r="C3707" t="s">
        <v>40</v>
      </c>
      <c r="D3707">
        <v>5.0399900000000004</v>
      </c>
      <c r="E3707">
        <v>0.54897079999999998</v>
      </c>
      <c r="F3707" t="s">
        <v>42</v>
      </c>
      <c r="G3707">
        <v>-135.85820000000001</v>
      </c>
      <c r="H3707">
        <v>0.90716540000000001</v>
      </c>
      <c r="I3707">
        <v>137.7902</v>
      </c>
      <c r="J3707">
        <v>-136.4247</v>
      </c>
      <c r="K3707">
        <v>1.1106100000000001</v>
      </c>
      <c r="L3707">
        <v>137.95310000000001</v>
      </c>
      <c r="M3707">
        <v>0.99294760000000004</v>
      </c>
      <c r="N3707">
        <v>0</v>
      </c>
      <c r="O3707">
        <v>-0.1165342</v>
      </c>
      <c r="P3707">
        <v>0.98380020000000001</v>
      </c>
      <c r="Q3707">
        <v>0.15515779999999901</v>
      </c>
      <c r="R3707">
        <v>-8.9795379999999994E-2</v>
      </c>
      <c r="S3707">
        <v>3.1116030000000001</v>
      </c>
      <c r="T3707">
        <v>-0.83333639999999998</v>
      </c>
      <c r="U3707">
        <v>-0.72155760000000002</v>
      </c>
      <c r="V3707">
        <v>-2.7543290000000002E-2</v>
      </c>
      <c r="W3707">
        <v>0.17633299999999999</v>
      </c>
      <c r="X3707">
        <v>0.98394510000000002</v>
      </c>
      <c r="Y3707">
        <v>0.1109816</v>
      </c>
      <c r="Z3707">
        <v>1.572117E-2</v>
      </c>
      <c r="AA3707">
        <v>0.99369810000000003</v>
      </c>
      <c r="AB3707">
        <v>20</v>
      </c>
      <c r="AC3707">
        <v>0.56649999999999001</v>
      </c>
      <c r="AD3707">
        <v>-0.2034446</v>
      </c>
      <c r="AE3707">
        <v>-0.16290000000000701</v>
      </c>
      <c r="AF3707">
        <v>8.5564703966889505E-2</v>
      </c>
      <c r="AG3707">
        <v>-0.2034446</v>
      </c>
      <c r="AH3707">
        <v>0.51971701079168997</v>
      </c>
      <c r="AI3707">
        <v>111.11919745756801</v>
      </c>
      <c r="AJ3707">
        <v>80.650857377306295</v>
      </c>
      <c r="AK3707">
        <v>0.564638641203692</v>
      </c>
      <c r="AL3707">
        <v>79.843759782806302</v>
      </c>
      <c r="AM3707">
        <v>91.603445421343395</v>
      </c>
      <c r="AN3707">
        <v>0.99999995976351597</v>
      </c>
    </row>
    <row r="3708" spans="1:40" x14ac:dyDescent="0.3">
      <c r="A3708" t="str">
        <f>"20200111150431519"</f>
        <v>20200111150431519</v>
      </c>
      <c r="B3708" t="str">
        <f>"1578726271512084"</f>
        <v>1578726271512084</v>
      </c>
      <c r="C3708" t="s">
        <v>40</v>
      </c>
      <c r="D3708">
        <v>5.8021190000000002</v>
      </c>
      <c r="E3708">
        <v>0.54852990000000001</v>
      </c>
      <c r="F3708" t="s">
        <v>42</v>
      </c>
      <c r="G3708">
        <v>-135.68539999999999</v>
      </c>
      <c r="H3708">
        <v>0.91152509999999998</v>
      </c>
      <c r="I3708">
        <v>137.78880000000001</v>
      </c>
      <c r="J3708">
        <v>-136.2381</v>
      </c>
      <c r="K3708">
        <v>1.1105100000000001</v>
      </c>
      <c r="L3708">
        <v>137.9419</v>
      </c>
      <c r="M3708">
        <v>0.99392809999999998</v>
      </c>
      <c r="N3708">
        <v>0</v>
      </c>
      <c r="O3708">
        <v>-0.1078755</v>
      </c>
      <c r="P3708">
        <v>0.98449129999999996</v>
      </c>
      <c r="Q3708">
        <v>0.15482470000000001</v>
      </c>
      <c r="R3708">
        <v>-8.2497500000000001E-2</v>
      </c>
      <c r="S3708">
        <v>3.118668</v>
      </c>
      <c r="T3708">
        <v>-0.84008159999999898</v>
      </c>
      <c r="U3708">
        <v>-0.69264219999999999</v>
      </c>
      <c r="V3708">
        <v>-2.6217029999999999E-2</v>
      </c>
      <c r="W3708">
        <v>0.17590910000000001</v>
      </c>
      <c r="X3708">
        <v>0.98405719999999997</v>
      </c>
      <c r="Y3708">
        <v>0.1101265</v>
      </c>
      <c r="Z3708">
        <v>1.3700159999999999E-2</v>
      </c>
      <c r="AA3708">
        <v>0.99382320000000002</v>
      </c>
      <c r="AB3708">
        <v>19</v>
      </c>
      <c r="AC3708">
        <v>0.55270000000001496</v>
      </c>
      <c r="AD3708">
        <v>-0.19898489999999999</v>
      </c>
      <c r="AE3708">
        <v>-0.15309999999999399</v>
      </c>
      <c r="AF3708">
        <v>8.2623178992413296E-2</v>
      </c>
      <c r="AG3708">
        <v>-0.19898489999999999</v>
      </c>
      <c r="AH3708">
        <v>0.50517932271092303</v>
      </c>
      <c r="AI3708">
        <v>111.24234275388601</v>
      </c>
      <c r="AJ3708">
        <v>80.711389102539599</v>
      </c>
      <c r="AK3708">
        <v>0.54920645319359496</v>
      </c>
      <c r="AL3708">
        <v>79.868433133282593</v>
      </c>
      <c r="AM3708">
        <v>91.526100237633997</v>
      </c>
      <c r="AN3708">
        <v>0.99999995849833401</v>
      </c>
    </row>
    <row r="3709" spans="1:40" x14ac:dyDescent="0.3">
      <c r="A3709" t="str">
        <f>"20200111150431542"</f>
        <v>20200111150431542</v>
      </c>
      <c r="B3709" t="str">
        <f>"1578726271532579"</f>
        <v>1578726271532579</v>
      </c>
      <c r="C3709" t="s">
        <v>40</v>
      </c>
      <c r="D3709">
        <v>4.8528900000000004</v>
      </c>
      <c r="E3709">
        <v>0.5199899</v>
      </c>
      <c r="F3709" t="s">
        <v>42</v>
      </c>
      <c r="G3709">
        <v>-135.51419999999999</v>
      </c>
      <c r="H3709">
        <v>0.91485609999999995</v>
      </c>
      <c r="I3709">
        <v>137.78809999999999</v>
      </c>
      <c r="J3709">
        <v>-136.0531</v>
      </c>
      <c r="K3709">
        <v>1.1103970000000001</v>
      </c>
      <c r="L3709">
        <v>137.9324</v>
      </c>
      <c r="M3709">
        <v>0.99482139999999997</v>
      </c>
      <c r="N3709">
        <v>0</v>
      </c>
      <c r="O3709">
        <v>-9.9324430000000005E-2</v>
      </c>
      <c r="P3709">
        <v>0.98517339999999998</v>
      </c>
      <c r="Q3709">
        <v>0.15381420000000001</v>
      </c>
      <c r="R3709">
        <v>-7.5992149999999994E-2</v>
      </c>
      <c r="S3709">
        <v>3.1243590000000001</v>
      </c>
      <c r="T3709">
        <v>-0.84429390000000004</v>
      </c>
      <c r="U3709">
        <v>-0.66432190000000002</v>
      </c>
      <c r="V3709">
        <v>-2.4204940000000001E-2</v>
      </c>
      <c r="W3709">
        <v>0.17482890000000001</v>
      </c>
      <c r="X3709">
        <v>0.98430130000000005</v>
      </c>
      <c r="Y3709">
        <v>0.1094205</v>
      </c>
      <c r="Z3709">
        <v>1.162586E-2</v>
      </c>
      <c r="AA3709">
        <v>0.99392749999999996</v>
      </c>
      <c r="AB3709">
        <v>19</v>
      </c>
      <c r="AC3709">
        <v>0.53890000000001204</v>
      </c>
      <c r="AD3709">
        <v>-0.19554089999999899</v>
      </c>
      <c r="AE3709">
        <v>-0.144300000000015</v>
      </c>
      <c r="AF3709">
        <v>8.0195477014124494E-2</v>
      </c>
      <c r="AG3709">
        <v>-0.19554089999999899</v>
      </c>
      <c r="AH3709">
        <v>0.49033114264602301</v>
      </c>
      <c r="AI3709">
        <v>111.482833111253</v>
      </c>
      <c r="AJ3709">
        <v>80.711303721769397</v>
      </c>
      <c r="AK3709">
        <v>0.53394024717648703</v>
      </c>
      <c r="AL3709">
        <v>79.931299067033805</v>
      </c>
      <c r="AM3709">
        <v>91.408675837542305</v>
      </c>
      <c r="AN3709">
        <v>1.0000000362886501</v>
      </c>
    </row>
    <row r="3710" spans="1:40" x14ac:dyDescent="0.3">
      <c r="A3710" t="str">
        <f>"20200111150431564"</f>
        <v>20200111150431564</v>
      </c>
      <c r="B3710" t="str">
        <f>"1578726271552099"</f>
        <v>1578726271552099</v>
      </c>
      <c r="C3710" t="s">
        <v>40</v>
      </c>
      <c r="D3710">
        <v>4.8916339999999998</v>
      </c>
      <c r="E3710">
        <v>0.52021569999999995</v>
      </c>
      <c r="F3710" t="s">
        <v>42</v>
      </c>
      <c r="G3710">
        <v>-135.32599999999999</v>
      </c>
      <c r="H3710">
        <v>0.94418040000000003</v>
      </c>
      <c r="I3710">
        <v>137.8364</v>
      </c>
      <c r="J3710">
        <v>-135.86689999999999</v>
      </c>
      <c r="K3710">
        <v>1.1102829999999999</v>
      </c>
      <c r="L3710">
        <v>137.92439999999999</v>
      </c>
      <c r="M3710">
        <v>0.99564059999999999</v>
      </c>
      <c r="N3710">
        <v>0</v>
      </c>
      <c r="O3710">
        <v>-9.0765979999999996E-2</v>
      </c>
      <c r="P3710">
        <v>0.98586339999999995</v>
      </c>
      <c r="Q3710">
        <v>0.1524394</v>
      </c>
      <c r="R3710">
        <v>-6.9537950000000001E-2</v>
      </c>
      <c r="S3710">
        <v>3.1249539999999998</v>
      </c>
      <c r="T3710">
        <v>-0.71478350000000002</v>
      </c>
      <c r="U3710">
        <v>-0.41256710000000002</v>
      </c>
      <c r="V3710">
        <v>-2.213321E-2</v>
      </c>
      <c r="W3710">
        <v>0.1733991</v>
      </c>
      <c r="X3710">
        <v>0.98460289999999995</v>
      </c>
      <c r="Y3710">
        <v>4.158191E-2</v>
      </c>
      <c r="Z3710">
        <v>1.5689249999999998E-2</v>
      </c>
      <c r="AA3710">
        <v>0.99901189999999995</v>
      </c>
      <c r="AB3710">
        <v>19</v>
      </c>
      <c r="AC3710">
        <v>0.54089999999999305</v>
      </c>
      <c r="AD3710">
        <v>-0.16610259999999899</v>
      </c>
      <c r="AE3710">
        <v>-8.7999999999993805E-2</v>
      </c>
      <c r="AF3710">
        <v>3.5288034761297903E-2</v>
      </c>
      <c r="AG3710">
        <v>-0.16610259999999899</v>
      </c>
      <c r="AH3710">
        <v>0.50065994028571603</v>
      </c>
      <c r="AI3710">
        <v>108.311769424502</v>
      </c>
      <c r="AJ3710">
        <v>85.968286767989696</v>
      </c>
      <c r="AK3710">
        <v>0.52867352395497402</v>
      </c>
      <c r="AL3710">
        <v>80.014490918494303</v>
      </c>
      <c r="AM3710">
        <v>91.287753651087797</v>
      </c>
      <c r="AN3710">
        <v>0.99999999877706103</v>
      </c>
    </row>
    <row r="3711" spans="1:40" x14ac:dyDescent="0.3">
      <c r="A3711" t="str">
        <f>"20200111150431587"</f>
        <v>20200111150431587</v>
      </c>
      <c r="B3711" t="str">
        <f>"1578726271582359"</f>
        <v>1578726271582359</v>
      </c>
      <c r="C3711" t="s">
        <v>40</v>
      </c>
      <c r="D3711">
        <v>5.1499499999999996</v>
      </c>
      <c r="E3711">
        <v>0.51996819999999999</v>
      </c>
      <c r="F3711" t="s">
        <v>42</v>
      </c>
      <c r="G3711">
        <v>-135.15809999999999</v>
      </c>
      <c r="H3711">
        <v>0.94703570000000004</v>
      </c>
      <c r="I3711">
        <v>137.83519999999999</v>
      </c>
      <c r="J3711">
        <v>-135.6823</v>
      </c>
      <c r="K3711">
        <v>1.1101650000000001</v>
      </c>
      <c r="L3711">
        <v>137.91800000000001</v>
      </c>
      <c r="M3711">
        <v>0.99637399999999998</v>
      </c>
      <c r="N3711">
        <v>0</v>
      </c>
      <c r="O3711">
        <v>-8.2345080000000001E-2</v>
      </c>
      <c r="P3711">
        <v>0.98630989999999996</v>
      </c>
      <c r="Q3711">
        <v>0.1522365</v>
      </c>
      <c r="R3711">
        <v>-6.3381480000000004E-2</v>
      </c>
      <c r="S3711">
        <v>3.1265559999999999</v>
      </c>
      <c r="T3711">
        <v>-0.71986779999999995</v>
      </c>
      <c r="U3711">
        <v>-0.39378360000000001</v>
      </c>
      <c r="V3711">
        <v>-1.989498E-2</v>
      </c>
      <c r="W3711">
        <v>0.17316239999999999</v>
      </c>
      <c r="X3711">
        <v>0.98469229999999996</v>
      </c>
      <c r="Y3711">
        <v>4.3804900000000001E-2</v>
      </c>
      <c r="Z3711">
        <v>1.364927E-2</v>
      </c>
      <c r="AA3711">
        <v>0.99894680000000002</v>
      </c>
      <c r="AB3711">
        <v>19</v>
      </c>
      <c r="AC3711">
        <v>0.52420000000000699</v>
      </c>
      <c r="AD3711">
        <v>-0.1631293</v>
      </c>
      <c r="AE3711">
        <v>-8.2800000000020094E-2</v>
      </c>
      <c r="AF3711">
        <v>3.5947002314603502E-2</v>
      </c>
      <c r="AG3711">
        <v>-0.1631293</v>
      </c>
      <c r="AH3711">
        <v>0.48354998085784301</v>
      </c>
      <c r="AI3711">
        <v>108.594449530592</v>
      </c>
      <c r="AJ3711">
        <v>85.748464378843394</v>
      </c>
      <c r="AK3711">
        <v>0.51158962018547305</v>
      </c>
      <c r="AL3711">
        <v>80.028260912972897</v>
      </c>
      <c r="AM3711">
        <v>91.157461390410305</v>
      </c>
      <c r="AN3711">
        <v>0.99999997634112403</v>
      </c>
    </row>
    <row r="3712" spans="1:40" x14ac:dyDescent="0.3">
      <c r="A3712" t="str">
        <f>"20200111150431609"</f>
        <v>20200111150431609</v>
      </c>
      <c r="B3712" t="str">
        <f>"1578726271602850"</f>
        <v>1578726271602850</v>
      </c>
      <c r="C3712" t="s">
        <v>40</v>
      </c>
      <c r="D3712">
        <v>4.8751889999999998</v>
      </c>
      <c r="E3712">
        <v>0.51913849999999995</v>
      </c>
      <c r="F3712" t="s">
        <v>42</v>
      </c>
      <c r="G3712">
        <v>-134.9905</v>
      </c>
      <c r="H3712">
        <v>0.95183059999999997</v>
      </c>
      <c r="I3712">
        <v>137.8356</v>
      </c>
      <c r="J3712">
        <v>-135.50049999999999</v>
      </c>
      <c r="K3712">
        <v>1.109996</v>
      </c>
      <c r="L3712">
        <v>137.91290000000001</v>
      </c>
      <c r="M3712">
        <v>0.99695659999999997</v>
      </c>
      <c r="N3712">
        <v>0</v>
      </c>
      <c r="O3712">
        <v>-7.4727849999999998E-2</v>
      </c>
      <c r="P3712">
        <v>0.98667700000000003</v>
      </c>
      <c r="Q3712">
        <v>0.15200539999999901</v>
      </c>
      <c r="R3712">
        <v>-5.7993530000000001E-2</v>
      </c>
      <c r="S3712">
        <v>3.12825</v>
      </c>
      <c r="T3712">
        <v>-0.71607049999999905</v>
      </c>
      <c r="U3712">
        <v>-0.37248229999999999</v>
      </c>
      <c r="V3712">
        <v>-1.7577269999999999E-2</v>
      </c>
      <c r="W3712">
        <v>0.173763</v>
      </c>
      <c r="X3712">
        <v>0.98463060000000002</v>
      </c>
      <c r="Y3712">
        <v>4.4450860000000002E-2</v>
      </c>
      <c r="Z3712">
        <v>1.179824E-2</v>
      </c>
      <c r="AA3712">
        <v>0.99894190000000005</v>
      </c>
      <c r="AB3712">
        <v>19</v>
      </c>
      <c r="AC3712">
        <v>0.50999999999999002</v>
      </c>
      <c r="AD3712">
        <v>-0.15816539999999901</v>
      </c>
      <c r="AE3712">
        <v>-7.7300000000008098E-2</v>
      </c>
      <c r="AF3712">
        <v>3.5614675154815402E-2</v>
      </c>
      <c r="AG3712">
        <v>-0.15816539999999901</v>
      </c>
      <c r="AH3712">
        <v>0.470148069655284</v>
      </c>
      <c r="AI3712">
        <v>108.54428726917401</v>
      </c>
      <c r="AJ3712">
        <v>85.668001409637199</v>
      </c>
      <c r="AK3712">
        <v>0.49731670617840001</v>
      </c>
      <c r="AL3712">
        <v>79.993319400084303</v>
      </c>
      <c r="AM3712">
        <v>91.022714940239297</v>
      </c>
      <c r="AN3712">
        <v>0.99999997952300601</v>
      </c>
    </row>
    <row r="3713" spans="1:40" x14ac:dyDescent="0.3">
      <c r="A3713" t="str">
        <f>"20200111150431632"</f>
        <v>20200111150431632</v>
      </c>
      <c r="B3713" t="str">
        <f>"1578726271622371"</f>
        <v>1578726271622371</v>
      </c>
      <c r="C3713" t="s">
        <v>40</v>
      </c>
      <c r="D3713">
        <v>5.0487510000000002</v>
      </c>
      <c r="E3713">
        <v>0.51886829999999995</v>
      </c>
      <c r="F3713" t="s">
        <v>42</v>
      </c>
      <c r="G3713">
        <v>-134.68729999999999</v>
      </c>
      <c r="H3713">
        <v>0.92340599999999995</v>
      </c>
      <c r="I3713">
        <v>137.82169999999999</v>
      </c>
      <c r="J3713">
        <v>-135.32820000000001</v>
      </c>
      <c r="K3713">
        <v>1.1097859999999999</v>
      </c>
      <c r="L3713">
        <v>137.90899999999999</v>
      </c>
      <c r="M3713">
        <v>0.99740309999999999</v>
      </c>
      <c r="N3713">
        <v>0</v>
      </c>
      <c r="O3713">
        <v>-6.8064310000000003E-2</v>
      </c>
      <c r="P3713">
        <v>0.98711590000000005</v>
      </c>
      <c r="Q3713">
        <v>0.1510147</v>
      </c>
      <c r="R3713">
        <v>-5.2883769999999997E-2</v>
      </c>
      <c r="S3713">
        <v>3.130646</v>
      </c>
      <c r="T3713">
        <v>-0.7189816</v>
      </c>
      <c r="U3713">
        <v>-0.350769</v>
      </c>
      <c r="V3713">
        <v>-1.5877079999999998E-2</v>
      </c>
      <c r="W3713">
        <v>0.17411940000000001</v>
      </c>
      <c r="X3713">
        <v>0.98459660000000004</v>
      </c>
      <c r="Y3713">
        <v>4.4043659999999998E-2</v>
      </c>
      <c r="Z3713">
        <v>1.038768E-2</v>
      </c>
      <c r="AA3713">
        <v>0.99897559999999996</v>
      </c>
      <c r="AB3713">
        <v>18</v>
      </c>
      <c r="AC3713">
        <v>0.64090000000001601</v>
      </c>
      <c r="AD3713">
        <v>-0.18637999999999999</v>
      </c>
      <c r="AE3713">
        <v>-8.7299999999999003E-2</v>
      </c>
      <c r="AF3713">
        <v>4.0130865453436297E-2</v>
      </c>
      <c r="AG3713">
        <v>-0.18637999999999999</v>
      </c>
      <c r="AH3713">
        <v>0.59588071117115904</v>
      </c>
      <c r="AI3713">
        <v>107.331774887752</v>
      </c>
      <c r="AJ3713">
        <v>86.147110827628794</v>
      </c>
      <c r="AK3713">
        <v>0.62563712542326599</v>
      </c>
      <c r="AL3713">
        <v>79.972583854156895</v>
      </c>
      <c r="AM3713">
        <v>90.923841132717996</v>
      </c>
      <c r="AN3713">
        <v>1.00000005592862</v>
      </c>
    </row>
    <row r="3714" spans="1:40" x14ac:dyDescent="0.3">
      <c r="A3714" t="str">
        <f>"20200111150431654"</f>
        <v>20200111150431654</v>
      </c>
      <c r="B3714" t="str">
        <f>"1578726271642867"</f>
        <v>1578726271642867</v>
      </c>
      <c r="C3714" t="s">
        <v>40</v>
      </c>
      <c r="D3714">
        <v>4.971292</v>
      </c>
      <c r="E3714">
        <v>0.51870509999999903</v>
      </c>
      <c r="F3714" t="s">
        <v>42</v>
      </c>
      <c r="G3714">
        <v>-134.53210000000001</v>
      </c>
      <c r="H3714">
        <v>0.92609909999999995</v>
      </c>
      <c r="I3714">
        <v>137.8246</v>
      </c>
      <c r="J3714">
        <v>-135.1568</v>
      </c>
      <c r="K3714">
        <v>1.109677</v>
      </c>
      <c r="L3714">
        <v>137.9059</v>
      </c>
      <c r="M3714">
        <v>0.99777530000000003</v>
      </c>
      <c r="N3714">
        <v>0</v>
      </c>
      <c r="O3714">
        <v>-6.1806630000000001E-2</v>
      </c>
      <c r="P3714">
        <v>0.9875062</v>
      </c>
      <c r="Q3714">
        <v>0.15013109999999999</v>
      </c>
      <c r="R3714">
        <v>-4.7881550000000002E-2</v>
      </c>
      <c r="S3714">
        <v>3.1319430000000001</v>
      </c>
      <c r="T3714">
        <v>-0.72270540000000005</v>
      </c>
      <c r="U3714">
        <v>-0.33190920000000002</v>
      </c>
      <c r="V3714">
        <v>-1.4527669999999999E-2</v>
      </c>
      <c r="W3714">
        <v>0.17468710000000001</v>
      </c>
      <c r="X3714">
        <v>0.98451679999999997</v>
      </c>
      <c r="Y3714">
        <v>4.4158950000000002E-2</v>
      </c>
      <c r="Z3714">
        <v>9.0102459999999995E-3</v>
      </c>
      <c r="AA3714">
        <v>0.99898390000000004</v>
      </c>
      <c r="AB3714">
        <v>18</v>
      </c>
      <c r="AC3714">
        <v>0.62469999999999004</v>
      </c>
      <c r="AD3714">
        <v>-0.18357789999999999</v>
      </c>
      <c r="AE3714">
        <v>-8.1299999999998804E-2</v>
      </c>
      <c r="AF3714">
        <v>3.91935400153164E-2</v>
      </c>
      <c r="AG3714">
        <v>-0.18357789999999999</v>
      </c>
      <c r="AH3714">
        <v>0.57933495136394297</v>
      </c>
      <c r="AI3714">
        <v>107.54457332660201</v>
      </c>
      <c r="AJ3714">
        <v>86.129686609030998</v>
      </c>
      <c r="AK3714">
        <v>0.608987655719887</v>
      </c>
      <c r="AL3714">
        <v>79.939550043684903</v>
      </c>
      <c r="AM3714">
        <v>90.845403318964401</v>
      </c>
      <c r="AN3714">
        <v>0.99999998279213898</v>
      </c>
    </row>
    <row r="3715" spans="1:40" x14ac:dyDescent="0.3">
      <c r="A3715" t="str">
        <f>"20200111150431678"</f>
        <v>20200111150431678</v>
      </c>
      <c r="B3715" t="str">
        <f>"1578726271672147"</f>
        <v>1578726271672147</v>
      </c>
      <c r="C3715" t="s">
        <v>40</v>
      </c>
      <c r="D3715">
        <v>4.9180809999999999</v>
      </c>
      <c r="E3715">
        <v>0.51787810000000001</v>
      </c>
      <c r="F3715" t="s">
        <v>42</v>
      </c>
      <c r="G3715">
        <v>-134.37979999999999</v>
      </c>
      <c r="H3715">
        <v>0.92955949999999998</v>
      </c>
      <c r="I3715">
        <v>137.8279</v>
      </c>
      <c r="J3715">
        <v>-134.9836</v>
      </c>
      <c r="K3715">
        <v>1.109613</v>
      </c>
      <c r="L3715">
        <v>137.90369999999999</v>
      </c>
      <c r="M3715">
        <v>0.99815949999999998</v>
      </c>
      <c r="N3715">
        <v>0</v>
      </c>
      <c r="O3715">
        <v>-5.4856160000000001E-2</v>
      </c>
      <c r="P3715">
        <v>0.9878905</v>
      </c>
      <c r="Q3715">
        <v>0.14937990000000001</v>
      </c>
      <c r="R3715">
        <v>-4.1929790000000002E-2</v>
      </c>
      <c r="S3715">
        <v>3.1332550000000001</v>
      </c>
      <c r="T3715">
        <v>-0.72698249999999998</v>
      </c>
      <c r="U3715">
        <v>-0.31387330000000002</v>
      </c>
      <c r="V3715">
        <v>-1.354527E-2</v>
      </c>
      <c r="W3715">
        <v>0.17480770000000001</v>
      </c>
      <c r="X3715">
        <v>0.98450939999999998</v>
      </c>
      <c r="Y3715">
        <v>4.517815E-2</v>
      </c>
      <c r="Z3715">
        <v>7.3617200000000004E-3</v>
      </c>
      <c r="AA3715">
        <v>0.99895179999999995</v>
      </c>
      <c r="AB3715">
        <v>17</v>
      </c>
      <c r="AC3715">
        <v>0.603800000000006</v>
      </c>
      <c r="AD3715">
        <v>-0.18005349999999901</v>
      </c>
      <c r="AE3715">
        <v>-7.5799999999986697E-2</v>
      </c>
      <c r="AF3715">
        <v>3.9127215522538297E-2</v>
      </c>
      <c r="AG3715">
        <v>-0.18005349999999901</v>
      </c>
      <c r="AH3715">
        <v>0.55818410556181297</v>
      </c>
      <c r="AI3715">
        <v>107.83716327175399</v>
      </c>
      <c r="AJ3715">
        <v>85.990277683221095</v>
      </c>
      <c r="AK3715">
        <v>0.58780923568674703</v>
      </c>
      <c r="AL3715">
        <v>79.9325321880019</v>
      </c>
      <c r="AM3715">
        <v>90.788248278322101</v>
      </c>
      <c r="AN3715">
        <v>0.99999998250351096</v>
      </c>
    </row>
    <row r="3716" spans="1:40" x14ac:dyDescent="0.3">
      <c r="A3716" t="str">
        <f>"20200111150431700"</f>
        <v>20200111150431700</v>
      </c>
      <c r="B3716" t="str">
        <f>"1578726271692643"</f>
        <v>1578726271692643</v>
      </c>
      <c r="C3716" t="s">
        <v>40</v>
      </c>
      <c r="D3716">
        <v>4.934196</v>
      </c>
      <c r="E3716">
        <v>0.51743530000000004</v>
      </c>
      <c r="F3716" t="s">
        <v>42</v>
      </c>
      <c r="G3716">
        <v>-134.22720000000001</v>
      </c>
      <c r="H3716">
        <v>0.93415429999999999</v>
      </c>
      <c r="I3716">
        <v>137.83439999999999</v>
      </c>
      <c r="J3716">
        <v>-134.81620000000001</v>
      </c>
      <c r="K3716">
        <v>1.1096250000000001</v>
      </c>
      <c r="L3716">
        <v>137.90299999999999</v>
      </c>
      <c r="M3716">
        <v>0.99854900000000002</v>
      </c>
      <c r="N3716">
        <v>0</v>
      </c>
      <c r="O3716">
        <v>-4.7459269999999998E-2</v>
      </c>
      <c r="P3716">
        <v>0.98819360000000001</v>
      </c>
      <c r="Q3716">
        <v>0.1492696</v>
      </c>
      <c r="R3716">
        <v>-3.4530640000000001E-2</v>
      </c>
      <c r="S3716">
        <v>3.1345670000000001</v>
      </c>
      <c r="T3716">
        <v>-0.72732379999999996</v>
      </c>
      <c r="U3716">
        <v>-0.28701779999999999</v>
      </c>
      <c r="V3716">
        <v>-1.373858E-2</v>
      </c>
      <c r="W3716">
        <v>0.174282399999999</v>
      </c>
      <c r="X3716">
        <v>0.98459989999999997</v>
      </c>
      <c r="Y3716">
        <v>4.3897680000000001E-2</v>
      </c>
      <c r="Z3716">
        <v>5.8245619999999897E-3</v>
      </c>
      <c r="AA3716">
        <v>0.99901899999999999</v>
      </c>
      <c r="AB3716">
        <v>17</v>
      </c>
      <c r="AC3716">
        <v>0.58899999999999797</v>
      </c>
      <c r="AD3716">
        <v>-0.17547070000000001</v>
      </c>
      <c r="AE3716">
        <v>-6.8600000000003505E-2</v>
      </c>
      <c r="AF3716">
        <v>3.7294425066319602E-2</v>
      </c>
      <c r="AG3716">
        <v>-0.17547070000000001</v>
      </c>
      <c r="AH3716">
        <v>0.54396106314372195</v>
      </c>
      <c r="AI3716">
        <v>107.839422817162</v>
      </c>
      <c r="AJ3716">
        <v>86.077891197474202</v>
      </c>
      <c r="AK3716">
        <v>0.57277786175442003</v>
      </c>
      <c r="AL3716">
        <v>79.963099400679098</v>
      </c>
      <c r="AM3716">
        <v>90.799422760279995</v>
      </c>
      <c r="AN3716">
        <v>1.00000003330509</v>
      </c>
    </row>
    <row r="3717" spans="1:40" x14ac:dyDescent="0.3">
      <c r="A3717" t="str">
        <f>"20200111150431721"</f>
        <v>20200111150431721</v>
      </c>
      <c r="B3717" t="str">
        <f>"1578726271712163"</f>
        <v>1578726271712163</v>
      </c>
      <c r="C3717" t="s">
        <v>40</v>
      </c>
      <c r="D3717">
        <v>5.1654200000000001</v>
      </c>
      <c r="E3717">
        <v>0.51705610000000002</v>
      </c>
      <c r="F3717" t="s">
        <v>42</v>
      </c>
      <c r="G3717">
        <v>-134.0745</v>
      </c>
      <c r="H3717">
        <v>0.93772290000000003</v>
      </c>
      <c r="I3717">
        <v>137.84190000000001</v>
      </c>
      <c r="J3717">
        <v>-134.65289999999999</v>
      </c>
      <c r="K3717">
        <v>1.1096839999999999</v>
      </c>
      <c r="L3717">
        <v>137.904</v>
      </c>
      <c r="M3717">
        <v>0.99887369999999998</v>
      </c>
      <c r="N3717">
        <v>0</v>
      </c>
      <c r="O3717">
        <v>-4.0530150000000001E-2</v>
      </c>
      <c r="P3717">
        <v>0.98864379999999996</v>
      </c>
      <c r="Q3717">
        <v>0.1477841</v>
      </c>
      <c r="R3717">
        <v>-2.7271380000000001E-2</v>
      </c>
      <c r="S3717">
        <v>3.1366879999999999</v>
      </c>
      <c r="T3717">
        <v>-0.7274041</v>
      </c>
      <c r="U3717">
        <v>-0.25799559999999999</v>
      </c>
      <c r="V3717">
        <v>-1.427908E-2</v>
      </c>
      <c r="W3717">
        <v>0.17202770000000001</v>
      </c>
      <c r="X3717">
        <v>0.98498859999999999</v>
      </c>
      <c r="Y3717">
        <v>4.1475669999999999E-2</v>
      </c>
      <c r="Z3717">
        <v>4.5195219999999998E-3</v>
      </c>
      <c r="AA3717">
        <v>0.9991293</v>
      </c>
      <c r="AB3717">
        <v>17</v>
      </c>
      <c r="AC3717">
        <v>0.57839999999998704</v>
      </c>
      <c r="AD3717">
        <v>-0.17196110000000001</v>
      </c>
      <c r="AE3717">
        <v>-6.2099999999986701E-2</v>
      </c>
      <c r="AF3717">
        <v>3.5497309757205997E-2</v>
      </c>
      <c r="AG3717">
        <v>-0.17196110000000001</v>
      </c>
      <c r="AH3717">
        <v>0.533797393199269</v>
      </c>
      <c r="AI3717">
        <v>107.81931697420799</v>
      </c>
      <c r="AJ3717">
        <v>86.195455491558903</v>
      </c>
      <c r="AK3717">
        <v>0.56193445872231795</v>
      </c>
      <c r="AL3717">
        <v>80.094265026889403</v>
      </c>
      <c r="AM3717">
        <v>90.8305413030522</v>
      </c>
      <c r="AN3717">
        <v>0.99999998191144801</v>
      </c>
    </row>
    <row r="3718" spans="1:40" x14ac:dyDescent="0.3">
      <c r="A3718" t="str">
        <f>"20200111150431743"</f>
        <v>20200111150431743</v>
      </c>
      <c r="B3718" t="str">
        <f>"1578726271732659"</f>
        <v>1578726271732659</v>
      </c>
      <c r="C3718" t="s">
        <v>40</v>
      </c>
      <c r="D3718">
        <v>5.2014909999999999</v>
      </c>
      <c r="E3718">
        <v>0.51655299999999904</v>
      </c>
      <c r="F3718" t="s">
        <v>42</v>
      </c>
      <c r="G3718">
        <v>-133.9239</v>
      </c>
      <c r="H3718">
        <v>0.93951059999999997</v>
      </c>
      <c r="I3718">
        <v>137.85040000000001</v>
      </c>
      <c r="J3718">
        <v>-134.48939999999999</v>
      </c>
      <c r="K3718">
        <v>1.109605</v>
      </c>
      <c r="L3718">
        <v>137.90639999999999</v>
      </c>
      <c r="M3718">
        <v>0.99912310000000004</v>
      </c>
      <c r="N3718">
        <v>0</v>
      </c>
      <c r="O3718">
        <v>-3.4038150000000003E-2</v>
      </c>
      <c r="P3718">
        <v>0.98912109999999998</v>
      </c>
      <c r="Q3718">
        <v>0.1457444</v>
      </c>
      <c r="R3718">
        <v>-1.9959190000000002E-2</v>
      </c>
      <c r="S3718">
        <v>3.1376339999999998</v>
      </c>
      <c r="T3718">
        <v>-0.73261200000000004</v>
      </c>
      <c r="U3718">
        <v>-0.2301483</v>
      </c>
      <c r="V3718">
        <v>-1.516781E-2</v>
      </c>
      <c r="W3718">
        <v>0.16970109999999999</v>
      </c>
      <c r="X3718">
        <v>0.98537889999999995</v>
      </c>
      <c r="Y3718">
        <v>3.902166E-2</v>
      </c>
      <c r="Z3718">
        <v>3.3414529999999999E-3</v>
      </c>
      <c r="AA3718">
        <v>0.99923280000000003</v>
      </c>
      <c r="AB3718">
        <v>17</v>
      </c>
      <c r="AC3718">
        <v>0.56549999999998501</v>
      </c>
      <c r="AD3718">
        <v>-0.17009439999999901</v>
      </c>
      <c r="AE3718">
        <v>-5.5999999999983098E-2</v>
      </c>
      <c r="AF3718">
        <v>3.3694430055461702E-2</v>
      </c>
      <c r="AG3718">
        <v>-0.17009439999999901</v>
      </c>
      <c r="AH3718">
        <v>0.52044987523749398</v>
      </c>
      <c r="AI3718">
        <v>108.063172001149</v>
      </c>
      <c r="AJ3718">
        <v>86.2957851268079</v>
      </c>
      <c r="AK3718">
        <v>0.54857587639527605</v>
      </c>
      <c r="AL3718">
        <v>80.2295596652462</v>
      </c>
      <c r="AM3718">
        <v>90.881876879431402</v>
      </c>
      <c r="AN3718">
        <v>1.0000000511833</v>
      </c>
    </row>
    <row r="3719" spans="1:40" x14ac:dyDescent="0.3">
      <c r="A3719" t="str">
        <f>"20200111150431765"</f>
        <v>20200111150431765</v>
      </c>
      <c r="B3719" t="str">
        <f>"1578726271762916"</f>
        <v>1578726271762916</v>
      </c>
      <c r="C3719" t="s">
        <v>40</v>
      </c>
      <c r="D3719">
        <v>5.169111</v>
      </c>
      <c r="E3719">
        <v>0.5160399</v>
      </c>
      <c r="F3719" t="s">
        <v>42</v>
      </c>
      <c r="G3719">
        <v>-133.77590000000001</v>
      </c>
      <c r="H3719">
        <v>0.94127570000000005</v>
      </c>
      <c r="I3719">
        <v>137.86019999999999</v>
      </c>
      <c r="J3719">
        <v>-134.32980000000001</v>
      </c>
      <c r="K3719">
        <v>1.1092919999999999</v>
      </c>
      <c r="L3719">
        <v>137.90960000000001</v>
      </c>
      <c r="M3719">
        <v>0.99931550000000002</v>
      </c>
      <c r="N3719">
        <v>0</v>
      </c>
      <c r="O3719">
        <v>-2.7738680000000002E-2</v>
      </c>
      <c r="P3719">
        <v>0.98944929999999998</v>
      </c>
      <c r="Q3719">
        <v>0.14433570000000001</v>
      </c>
      <c r="R3719">
        <v>-1.255005E-2</v>
      </c>
      <c r="S3719">
        <v>3.1380309999999998</v>
      </c>
      <c r="T3719">
        <v>-0.74056080000000002</v>
      </c>
      <c r="U3719">
        <v>-0.20278930000000001</v>
      </c>
      <c r="V3719">
        <v>-1.619814E-2</v>
      </c>
      <c r="W3719">
        <v>0.16839409999999999</v>
      </c>
      <c r="X3719">
        <v>0.98558659999999998</v>
      </c>
      <c r="Y3719">
        <v>3.65341E-2</v>
      </c>
      <c r="Z3719">
        <v>2.2026480000000002E-3</v>
      </c>
      <c r="AA3719">
        <v>0.99933000000000005</v>
      </c>
      <c r="AB3719">
        <v>17</v>
      </c>
      <c r="AC3719">
        <v>0.55389999999999795</v>
      </c>
      <c r="AD3719">
        <v>-0.16801629999999901</v>
      </c>
      <c r="AE3719">
        <v>-4.9400000000019803E-2</v>
      </c>
      <c r="AF3719">
        <v>3.11668547434404E-2</v>
      </c>
      <c r="AG3719">
        <v>-0.16801629999999901</v>
      </c>
      <c r="AH3719">
        <v>0.50862739401846402</v>
      </c>
      <c r="AI3719">
        <v>108.248129569806</v>
      </c>
      <c r="AJ3719">
        <v>86.493505337481196</v>
      </c>
      <c r="AK3719">
        <v>0.53656563051159201</v>
      </c>
      <c r="AL3719">
        <v>80.3055377541138</v>
      </c>
      <c r="AM3719">
        <v>90.9415727748395</v>
      </c>
      <c r="AN3719">
        <v>0.99999994937691306</v>
      </c>
    </row>
    <row r="3720" spans="1:40" x14ac:dyDescent="0.3">
      <c r="A3720" t="str">
        <f>"20200111150431788"</f>
        <v>20200111150431788</v>
      </c>
      <c r="B3720" t="str">
        <f>"1578726271782435"</f>
        <v>1578726271782435</v>
      </c>
      <c r="C3720" t="s">
        <v>40</v>
      </c>
      <c r="D3720">
        <v>5.0289199999999896</v>
      </c>
      <c r="E3720">
        <v>0.51578579999999996</v>
      </c>
      <c r="F3720" t="s">
        <v>42</v>
      </c>
      <c r="G3720">
        <v>-133.6301</v>
      </c>
      <c r="H3720">
        <v>0.94329430000000003</v>
      </c>
      <c r="I3720">
        <v>137.87029999999999</v>
      </c>
      <c r="J3720">
        <v>-134.1696</v>
      </c>
      <c r="K3720">
        <v>1.1087800000000001</v>
      </c>
      <c r="L3720">
        <v>137.91329999999999</v>
      </c>
      <c r="M3720">
        <v>0.99947870000000005</v>
      </c>
      <c r="N3720">
        <v>0</v>
      </c>
      <c r="O3720">
        <v>-2.108558E-2</v>
      </c>
      <c r="P3720">
        <v>0.98961060000000001</v>
      </c>
      <c r="Q3720">
        <v>0.143692299999999</v>
      </c>
      <c r="R3720">
        <v>-4.8219609999999996E-3</v>
      </c>
      <c r="S3720">
        <v>3.1383969999999999</v>
      </c>
      <c r="T3720">
        <v>-0.74476600000000004</v>
      </c>
      <c r="U3720">
        <v>-0.1761017</v>
      </c>
      <c r="V3720">
        <v>-1.712638E-2</v>
      </c>
      <c r="W3720">
        <v>0.1677341</v>
      </c>
      <c r="X3720">
        <v>0.98568350000000005</v>
      </c>
      <c r="Y3720">
        <v>3.4579270000000002E-2</v>
      </c>
      <c r="Z3720">
        <v>8.8827589999999998E-4</v>
      </c>
      <c r="AA3720">
        <v>0.9994016</v>
      </c>
      <c r="AB3720">
        <v>17</v>
      </c>
      <c r="AC3720">
        <v>0.53950000000000298</v>
      </c>
      <c r="AD3720">
        <v>-0.16548569999999899</v>
      </c>
      <c r="AE3720">
        <v>-4.3000000000006297E-2</v>
      </c>
      <c r="AF3720">
        <v>2.8908560054245101E-2</v>
      </c>
      <c r="AG3720">
        <v>-0.16548569999999899</v>
      </c>
      <c r="AH3720">
        <v>0.49409187150721201</v>
      </c>
      <c r="AI3720">
        <v>108.48772969013299</v>
      </c>
      <c r="AJ3720">
        <v>86.651528925178098</v>
      </c>
      <c r="AK3720">
        <v>0.52186971481242295</v>
      </c>
      <c r="AL3720">
        <v>80.343899123460801</v>
      </c>
      <c r="AM3720">
        <v>90.995421515524001</v>
      </c>
      <c r="AN3720">
        <v>1.00000000168348</v>
      </c>
    </row>
    <row r="3721" spans="1:40" x14ac:dyDescent="0.3">
      <c r="A3721" t="str">
        <f>"20200111150431810"</f>
        <v>20200111150431810</v>
      </c>
      <c r="B3721" t="str">
        <f>"1578726271802931"</f>
        <v>1578726271802931</v>
      </c>
      <c r="C3721" t="s">
        <v>40</v>
      </c>
      <c r="D3721">
        <v>5.0720109999999998</v>
      </c>
      <c r="E3721">
        <v>0.50966559999999905</v>
      </c>
      <c r="F3721" t="s">
        <v>42</v>
      </c>
      <c r="G3721">
        <v>-133.4854</v>
      </c>
      <c r="H3721">
        <v>0.94629920000000001</v>
      </c>
      <c r="I3721">
        <v>137.88030000000001</v>
      </c>
      <c r="J3721">
        <v>-134.0095</v>
      </c>
      <c r="K3721">
        <v>1.1083270000000001</v>
      </c>
      <c r="L3721">
        <v>137.91739999999999</v>
      </c>
      <c r="M3721">
        <v>0.99960349999999998</v>
      </c>
      <c r="N3721">
        <v>0</v>
      </c>
      <c r="O3721">
        <v>-1.4564300000000001E-2</v>
      </c>
      <c r="P3721">
        <v>0.98954169999999997</v>
      </c>
      <c r="Q3721">
        <v>0.14423529999999901</v>
      </c>
      <c r="R3721">
        <v>1.920433E-3</v>
      </c>
      <c r="S3721">
        <v>3.1390530000000001</v>
      </c>
      <c r="T3721">
        <v>-0.74571869999999996</v>
      </c>
      <c r="U3721">
        <v>-0.15109249999999999</v>
      </c>
      <c r="V3721">
        <v>-1.725925E-2</v>
      </c>
      <c r="W3721">
        <v>0.16794189999999901</v>
      </c>
      <c r="X3721">
        <v>0.98564580000000002</v>
      </c>
      <c r="Y3721">
        <v>3.3008740000000002E-2</v>
      </c>
      <c r="Z3721">
        <v>-4.537031E-4</v>
      </c>
      <c r="AA3721">
        <v>0.99945499999999998</v>
      </c>
      <c r="AB3721">
        <v>16</v>
      </c>
      <c r="AC3721">
        <v>0.52410000000000401</v>
      </c>
      <c r="AD3721">
        <v>-0.1620278</v>
      </c>
      <c r="AE3721">
        <v>-3.7099999999981002E-2</v>
      </c>
      <c r="AF3721">
        <v>2.6902291121611199E-2</v>
      </c>
      <c r="AG3721">
        <v>-0.1620278</v>
      </c>
      <c r="AH3721">
        <v>0.47902924837032601</v>
      </c>
      <c r="AI3721">
        <v>108.660331395841</v>
      </c>
      <c r="AJ3721">
        <v>86.785644467400701</v>
      </c>
      <c r="AK3721">
        <v>0.50640474132325297</v>
      </c>
      <c r="AL3721">
        <v>80.331821753311402</v>
      </c>
      <c r="AM3721">
        <v>91.003180991006502</v>
      </c>
      <c r="AN3721">
        <v>1.0000000032719001</v>
      </c>
    </row>
    <row r="3722" spans="1:40" x14ac:dyDescent="0.3">
      <c r="A3722" t="str">
        <f>"20200111150431833"</f>
        <v>20200111150431833</v>
      </c>
      <c r="B3722" t="str">
        <f>"1578726271822451"</f>
        <v>1578726271822451</v>
      </c>
      <c r="C3722" t="s">
        <v>40</v>
      </c>
      <c r="D3722">
        <v>5.2874460000000001</v>
      </c>
      <c r="E3722">
        <v>0.51205610000000001</v>
      </c>
      <c r="F3722" t="s">
        <v>42</v>
      </c>
      <c r="G3722">
        <v>-133.22989999999999</v>
      </c>
      <c r="H3722">
        <v>0.88588149999999999</v>
      </c>
      <c r="I3722">
        <v>137.89689999999999</v>
      </c>
      <c r="J3722">
        <v>-133.85329999999999</v>
      </c>
      <c r="K3722">
        <v>1.108044</v>
      </c>
      <c r="L3722">
        <v>137.922</v>
      </c>
      <c r="M3722">
        <v>0.99967989999999995</v>
      </c>
      <c r="N3722">
        <v>0</v>
      </c>
      <c r="O3722">
        <v>-8.83664199999999E-3</v>
      </c>
      <c r="P3722">
        <v>0.98929889999999998</v>
      </c>
      <c r="Q3722">
        <v>0.1457552</v>
      </c>
      <c r="R3722">
        <v>6.5820109999999996E-3</v>
      </c>
      <c r="S3722">
        <v>3.1634519999999999</v>
      </c>
      <c r="T3722">
        <v>-0.90285839999999995</v>
      </c>
      <c r="U3722">
        <v>-8.2901000000000002E-2</v>
      </c>
      <c r="V3722">
        <v>-1.6170339999999998E-2</v>
      </c>
      <c r="W3722">
        <v>0.1690892</v>
      </c>
      <c r="X3722">
        <v>0.98546809999999996</v>
      </c>
      <c r="Y3722">
        <v>1.7032820000000001E-2</v>
      </c>
      <c r="Z3722" s="1">
        <v>9.0192540000000004E-5</v>
      </c>
      <c r="AA3722">
        <v>0.99985489999999999</v>
      </c>
      <c r="AB3722">
        <v>16</v>
      </c>
      <c r="AC3722">
        <v>0.62340000000000295</v>
      </c>
      <c r="AD3722">
        <v>-0.22216250000000001</v>
      </c>
      <c r="AE3722">
        <v>-2.5100000000009001E-2</v>
      </c>
      <c r="AF3722">
        <v>1.7384436779413599E-2</v>
      </c>
      <c r="AG3722">
        <v>-0.22216250000000001</v>
      </c>
      <c r="AH3722">
        <v>0.553425543033775</v>
      </c>
      <c r="AI3722">
        <v>111.8623190894</v>
      </c>
      <c r="AJ3722">
        <v>88.200792415128603</v>
      </c>
      <c r="AK3722">
        <v>0.59660558724388102</v>
      </c>
      <c r="AL3722">
        <v>80.265132614007598</v>
      </c>
      <c r="AM3722">
        <v>90.940070101236401</v>
      </c>
      <c r="AN3722">
        <v>1.0000000067849799</v>
      </c>
    </row>
    <row r="3723" spans="1:40" x14ac:dyDescent="0.3">
      <c r="A3723" t="str">
        <f>"20200111150431854"</f>
        <v>20200111150431854</v>
      </c>
      <c r="B3723" t="str">
        <f>"1578726271842946"</f>
        <v>1578726271842946</v>
      </c>
      <c r="C3723" t="s">
        <v>40</v>
      </c>
      <c r="D3723">
        <v>5.9332089999999997</v>
      </c>
      <c r="E3723">
        <v>0.51233830000000002</v>
      </c>
      <c r="F3723" t="s">
        <v>42</v>
      </c>
      <c r="G3723">
        <v>-133.07329999999999</v>
      </c>
      <c r="H3723">
        <v>0.92331459999999999</v>
      </c>
      <c r="I3723">
        <v>137.9008</v>
      </c>
      <c r="J3723">
        <v>-133.7012</v>
      </c>
      <c r="K3723">
        <v>1.10788</v>
      </c>
      <c r="L3723">
        <v>137.92699999999999</v>
      </c>
      <c r="M3723">
        <v>0.99971750000000004</v>
      </c>
      <c r="N3723">
        <v>0</v>
      </c>
      <c r="O3723">
        <v>-3.8570409999999999E-3</v>
      </c>
      <c r="P3723">
        <v>0.98894820000000005</v>
      </c>
      <c r="Q3723">
        <v>0.1479396</v>
      </c>
      <c r="R3723">
        <v>9.7708699999999992E-3</v>
      </c>
      <c r="S3723">
        <v>3.1426850000000002</v>
      </c>
      <c r="T3723">
        <v>-0.74435839999999998</v>
      </c>
      <c r="U3723">
        <v>-8.5296629999999998E-2</v>
      </c>
      <c r="V3723">
        <v>-1.437883E-2</v>
      </c>
      <c r="W3723">
        <v>0.17103309999999999</v>
      </c>
      <c r="X3723">
        <v>0.98516040000000005</v>
      </c>
      <c r="Y3723">
        <v>2.2752100000000001E-2</v>
      </c>
      <c r="Z3723">
        <v>-1.7560640000000001E-3</v>
      </c>
      <c r="AA3723">
        <v>0.99973959999999995</v>
      </c>
      <c r="AB3723">
        <v>16</v>
      </c>
      <c r="AC3723">
        <v>0.627900000000011</v>
      </c>
      <c r="AD3723">
        <v>-0.18456539999999899</v>
      </c>
      <c r="AE3723">
        <v>-2.6200000000017099E-2</v>
      </c>
      <c r="AF3723">
        <v>2.1889326414070299E-2</v>
      </c>
      <c r="AG3723">
        <v>-0.18456539999999899</v>
      </c>
      <c r="AH3723">
        <v>0.57813195214544999</v>
      </c>
      <c r="AI3723">
        <v>107.693506651422</v>
      </c>
      <c r="AJ3723">
        <v>87.831693561087803</v>
      </c>
      <c r="AK3723">
        <v>0.60727265999675195</v>
      </c>
      <c r="AL3723">
        <v>80.152109330795298</v>
      </c>
      <c r="AM3723">
        <v>90.836196603626107</v>
      </c>
      <c r="AN3723">
        <v>1.0000000428879601</v>
      </c>
    </row>
    <row r="3724" spans="1:40" x14ac:dyDescent="0.3">
      <c r="A3724" t="str">
        <f>"20200111150431900"</f>
        <v>20200111150431900</v>
      </c>
      <c r="B3724" t="str">
        <f>"1578726271892722"</f>
        <v>1578726271892722</v>
      </c>
      <c r="C3724" t="s">
        <v>40</v>
      </c>
      <c r="D3724">
        <v>5.3477980000000001</v>
      </c>
      <c r="E3724">
        <v>0.51190440000000004</v>
      </c>
      <c r="F3724" t="s">
        <v>42</v>
      </c>
      <c r="G3724">
        <v>-132.9331</v>
      </c>
      <c r="H3724">
        <v>0.92727300000000001</v>
      </c>
      <c r="I3724">
        <v>137.9084</v>
      </c>
      <c r="J3724">
        <v>-133.39080000000001</v>
      </c>
      <c r="K3724">
        <v>1.1075759999999999</v>
      </c>
      <c r="L3724">
        <v>137.93860000000001</v>
      </c>
      <c r="M3724">
        <v>0.99971909999999997</v>
      </c>
      <c r="N3724">
        <v>0</v>
      </c>
      <c r="O3724">
        <v>5.3026180000000003E-3</v>
      </c>
      <c r="P3724">
        <v>0.98878310000000003</v>
      </c>
      <c r="Q3724">
        <v>0.1485918</v>
      </c>
      <c r="R3724">
        <v>1.512354E-2</v>
      </c>
      <c r="S3724">
        <v>3.1449280000000002</v>
      </c>
      <c r="T3724">
        <v>-0.73974130000000005</v>
      </c>
      <c r="U3724">
        <v>-7.5653079999999998E-2</v>
      </c>
      <c r="V3724">
        <v>-1.054252E-2</v>
      </c>
      <c r="W3724">
        <v>0.1713587</v>
      </c>
      <c r="X3724">
        <v>0.98515229999999998</v>
      </c>
      <c r="Y3724">
        <v>2.8430629999999998E-2</v>
      </c>
      <c r="Z3724">
        <v>-4.528865E-3</v>
      </c>
      <c r="AA3724">
        <v>0.99958550000000002</v>
      </c>
      <c r="AB3724">
        <v>16</v>
      </c>
      <c r="AC3724">
        <v>0.45770000000001598</v>
      </c>
      <c r="AD3724">
        <v>-0.18030299999999999</v>
      </c>
      <c r="AE3724">
        <v>-3.02000000000077E-2</v>
      </c>
      <c r="AF3724">
        <v>2.8260667183888699E-2</v>
      </c>
      <c r="AG3724">
        <v>-0.18030299999999999</v>
      </c>
      <c r="AH3724">
        <v>0.39630082251279503</v>
      </c>
      <c r="AI3724">
        <v>114.409144343324</v>
      </c>
      <c r="AJ3724">
        <v>85.921076908096396</v>
      </c>
      <c r="AK3724">
        <v>0.43630514441500301</v>
      </c>
      <c r="AL3724">
        <v>80.133173875339807</v>
      </c>
      <c r="AM3724">
        <v>90.613122300666006</v>
      </c>
      <c r="AN3724">
        <v>1.0000000014944599</v>
      </c>
    </row>
    <row r="3725" spans="1:40" x14ac:dyDescent="0.3">
      <c r="A3725" t="str">
        <f>"20200111150431922"</f>
        <v>20200111150431922</v>
      </c>
      <c r="B3725" t="str">
        <f>"1578726271912243"</f>
        <v>1578726271912243</v>
      </c>
      <c r="C3725" t="s">
        <v>40</v>
      </c>
      <c r="D3725">
        <v>5.2348189999999999</v>
      </c>
      <c r="E3725">
        <v>0.51182470000000002</v>
      </c>
      <c r="F3725" t="s">
        <v>42</v>
      </c>
      <c r="G3725">
        <v>-132.6567</v>
      </c>
      <c r="H3725">
        <v>0.93565180000000003</v>
      </c>
      <c r="I3725">
        <v>137.9265</v>
      </c>
      <c r="J3725">
        <v>-133.24420000000001</v>
      </c>
      <c r="K3725">
        <v>1.107432</v>
      </c>
      <c r="L3725">
        <v>137.94470000000001</v>
      </c>
      <c r="M3725">
        <v>0.99968900000000005</v>
      </c>
      <c r="N3725">
        <v>0</v>
      </c>
      <c r="O3725">
        <v>9.3931009999999992E-3</v>
      </c>
      <c r="P3725">
        <v>0.98891640000000003</v>
      </c>
      <c r="Q3725">
        <v>0.1474615</v>
      </c>
      <c r="R3725">
        <v>1.73064E-2</v>
      </c>
      <c r="S3725">
        <v>3.1456149999999998</v>
      </c>
      <c r="T3725">
        <v>-0.73712679999999997</v>
      </c>
      <c r="U3725">
        <v>-5.1361080000000003E-2</v>
      </c>
      <c r="V3725">
        <v>-8.5970479999999995E-3</v>
      </c>
      <c r="W3725">
        <v>0.17024239999999999</v>
      </c>
      <c r="X3725">
        <v>0.98536469999999998</v>
      </c>
      <c r="Y3725">
        <v>2.4793349999999999E-2</v>
      </c>
      <c r="Z3725">
        <v>-5.0381389999999996E-3</v>
      </c>
      <c r="AA3725">
        <v>0.99967989999999995</v>
      </c>
      <c r="AB3725">
        <v>15</v>
      </c>
      <c r="AC3725">
        <v>0.58750000000000502</v>
      </c>
      <c r="AD3725">
        <v>-0.17178019999999899</v>
      </c>
      <c r="AE3725">
        <v>-1.8200000000007301E-2</v>
      </c>
      <c r="AF3725">
        <v>2.18526588403825E-2</v>
      </c>
      <c r="AG3725">
        <v>-0.17178019999999899</v>
      </c>
      <c r="AH3725">
        <v>0.54108817752724503</v>
      </c>
      <c r="AI3725">
        <v>107.59971117676599</v>
      </c>
      <c r="AJ3725">
        <v>87.687280733554999</v>
      </c>
      <c r="AK3725">
        <v>0.56812181059187405</v>
      </c>
      <c r="AL3725">
        <v>80.198086882165697</v>
      </c>
      <c r="AM3725">
        <v>90.499877932315798</v>
      </c>
      <c r="AN3725">
        <v>0.99999998799908196</v>
      </c>
    </row>
    <row r="3726" spans="1:40" x14ac:dyDescent="0.3">
      <c r="A3726" t="str">
        <f>"20200111150431944"</f>
        <v>20200111150431944</v>
      </c>
      <c r="B3726" t="str">
        <f>"1578726271932738"</f>
        <v>1578726271932738</v>
      </c>
      <c r="C3726" t="s">
        <v>40</v>
      </c>
      <c r="D3726">
        <v>5.2302819999999999</v>
      </c>
      <c r="E3726">
        <v>0.511928299999999</v>
      </c>
      <c r="F3726" t="s">
        <v>42</v>
      </c>
      <c r="G3726">
        <v>-132.52269999999999</v>
      </c>
      <c r="H3726">
        <v>0.93738940000000004</v>
      </c>
      <c r="I3726">
        <v>137.93459999999999</v>
      </c>
      <c r="J3726">
        <v>-133.09649999999999</v>
      </c>
      <c r="K3726">
        <v>1.107327</v>
      </c>
      <c r="L3726">
        <v>137.9511</v>
      </c>
      <c r="M3726">
        <v>0.99964019999999998</v>
      </c>
      <c r="N3726">
        <v>0</v>
      </c>
      <c r="O3726">
        <v>1.333437E-2</v>
      </c>
      <c r="P3726">
        <v>0.98892469999999999</v>
      </c>
      <c r="Q3726">
        <v>0.14717920000000001</v>
      </c>
      <c r="R3726">
        <v>1.9147239999999999E-2</v>
      </c>
      <c r="S3726">
        <v>3.144943</v>
      </c>
      <c r="T3726">
        <v>-0.74142379999999997</v>
      </c>
      <c r="U3726">
        <v>-4.3472289999999997E-2</v>
      </c>
      <c r="V3726">
        <v>-6.4597530000000004E-3</v>
      </c>
      <c r="W3726">
        <v>0.17014470000000001</v>
      </c>
      <c r="X3726">
        <v>0.98539790000000005</v>
      </c>
      <c r="Y3726">
        <v>2.6076749999999999E-2</v>
      </c>
      <c r="Z3726">
        <v>-6.133894E-3</v>
      </c>
      <c r="AA3726">
        <v>0.99964109999999995</v>
      </c>
      <c r="AB3726">
        <v>15</v>
      </c>
      <c r="AC3726">
        <v>0.57380000000000497</v>
      </c>
      <c r="AD3726">
        <v>-0.169937599999999</v>
      </c>
      <c r="AE3726">
        <v>-1.6500000000007699E-2</v>
      </c>
      <c r="AF3726">
        <v>2.2205768737717801E-2</v>
      </c>
      <c r="AG3726">
        <v>-0.169937599999999</v>
      </c>
      <c r="AH3726">
        <v>0.52731533338826797</v>
      </c>
      <c r="AI3726">
        <v>107.847730064999</v>
      </c>
      <c r="AJ3726">
        <v>87.588642926486301</v>
      </c>
      <c r="AK3726">
        <v>0.55446672117032703</v>
      </c>
      <c r="AL3726">
        <v>80.203767520992599</v>
      </c>
      <c r="AM3726">
        <v>90.375595768879805</v>
      </c>
      <c r="AN3726">
        <v>0.99999998433565995</v>
      </c>
    </row>
    <row r="3727" spans="1:40" x14ac:dyDescent="0.3">
      <c r="A3727" t="str">
        <f>"20200111150431966"</f>
        <v>20200111150431966</v>
      </c>
      <c r="B3727" t="str">
        <f>"1578726271962994"</f>
        <v>1578726271962994</v>
      </c>
      <c r="C3727" t="s">
        <v>40</v>
      </c>
      <c r="D3727">
        <v>5.2983029999999998</v>
      </c>
      <c r="E3727">
        <v>0.50708390000000003</v>
      </c>
      <c r="F3727" t="s">
        <v>42</v>
      </c>
      <c r="G3727">
        <v>-132.4042</v>
      </c>
      <c r="H3727">
        <v>0.91098800000000002</v>
      </c>
      <c r="I3727">
        <v>137.9427</v>
      </c>
      <c r="J3727">
        <v>-132.95099999999999</v>
      </c>
      <c r="K3727">
        <v>1.1072329999999999</v>
      </c>
      <c r="L3727">
        <v>137.95769999999999</v>
      </c>
      <c r="M3727">
        <v>0.99958550000000002</v>
      </c>
      <c r="N3727">
        <v>0</v>
      </c>
      <c r="O3727">
        <v>1.701283E-2</v>
      </c>
      <c r="P3727">
        <v>0.98869680000000004</v>
      </c>
      <c r="Q3727">
        <v>0.14845799999999901</v>
      </c>
      <c r="R3727">
        <v>2.0952800000000001E-2</v>
      </c>
      <c r="S3727">
        <v>3.1681059999999999</v>
      </c>
      <c r="T3727">
        <v>-0.89891299999999996</v>
      </c>
      <c r="U3727">
        <v>-3.7612920000000001E-2</v>
      </c>
      <c r="V3727">
        <v>-4.5858309999999899E-3</v>
      </c>
      <c r="W3727">
        <v>0.17137379999999999</v>
      </c>
      <c r="X3727">
        <v>0.98519540000000005</v>
      </c>
      <c r="Y3727">
        <v>2.7143009999999999E-2</v>
      </c>
      <c r="Z3727">
        <v>-8.5109199999999999E-3</v>
      </c>
      <c r="AA3727">
        <v>0.99959529999999996</v>
      </c>
      <c r="AB3727">
        <v>15</v>
      </c>
      <c r="AC3727">
        <v>0.54679999999998996</v>
      </c>
      <c r="AD3727">
        <v>-0.196245</v>
      </c>
      <c r="AE3727">
        <v>-1.49999999999863E-2</v>
      </c>
      <c r="AF3727">
        <v>2.1531611815540998E-2</v>
      </c>
      <c r="AG3727">
        <v>-0.196245</v>
      </c>
      <c r="AH3727">
        <v>0.48415038942856198</v>
      </c>
      <c r="AI3727">
        <v>112.04492875103401</v>
      </c>
      <c r="AJ3727">
        <v>87.453563733336196</v>
      </c>
      <c r="AK3727">
        <v>0.52285496068814696</v>
      </c>
      <c r="AL3727">
        <v>80.132295630966198</v>
      </c>
      <c r="AM3727">
        <v>90.266695179715896</v>
      </c>
      <c r="AN3727">
        <v>0.99999999267677997</v>
      </c>
    </row>
    <row r="3728" spans="1:40" x14ac:dyDescent="0.3">
      <c r="A3728" t="str">
        <f>"20200111150431990"</f>
        <v>20200111150431990</v>
      </c>
      <c r="B3728" t="str">
        <f>"1578726271982514"</f>
        <v>1578726271982514</v>
      </c>
      <c r="C3728" t="s">
        <v>40</v>
      </c>
      <c r="D3728">
        <v>5.4738670000000003</v>
      </c>
      <c r="E3728">
        <v>0.50666699999999998</v>
      </c>
      <c r="F3728" t="s">
        <v>42</v>
      </c>
      <c r="G3728">
        <v>-132.2611</v>
      </c>
      <c r="H3728">
        <v>0.93778680000000003</v>
      </c>
      <c r="I3728">
        <v>137.95949999999999</v>
      </c>
      <c r="J3728">
        <v>-132.80350000000001</v>
      </c>
      <c r="K3728">
        <v>1.1071040000000001</v>
      </c>
      <c r="L3728">
        <v>137.96469999999999</v>
      </c>
      <c r="M3728">
        <v>0.99952819999999998</v>
      </c>
      <c r="N3728">
        <v>0</v>
      </c>
      <c r="O3728">
        <v>2.0544420000000001E-2</v>
      </c>
      <c r="P3728">
        <v>0.98822750000000004</v>
      </c>
      <c r="Q3728">
        <v>0.15121560000000001</v>
      </c>
      <c r="R3728">
        <v>2.3251910000000001E-2</v>
      </c>
      <c r="S3728">
        <v>3.1502690000000002</v>
      </c>
      <c r="T3728">
        <v>-0.77367810000000004</v>
      </c>
      <c r="U3728">
        <v>8.3160400000000002E-3</v>
      </c>
      <c r="V3728">
        <v>-3.3883469999999999E-3</v>
      </c>
      <c r="W3728">
        <v>0.17374189999999901</v>
      </c>
      <c r="X3728">
        <v>0.98478540000000003</v>
      </c>
      <c r="Y3728">
        <v>1.6800659999999999E-2</v>
      </c>
      <c r="Z3728">
        <v>-7.0054879999999998E-3</v>
      </c>
      <c r="AA3728">
        <v>0.99983429999999995</v>
      </c>
      <c r="AB3728">
        <v>15</v>
      </c>
      <c r="AC3728">
        <v>0.54240000000001398</v>
      </c>
      <c r="AD3728">
        <v>-0.1693172</v>
      </c>
      <c r="AE3728">
        <v>-5.2000000000020901E-3</v>
      </c>
      <c r="AF3728">
        <v>1.4893888588998601E-2</v>
      </c>
      <c r="AG3728">
        <v>-0.1693172</v>
      </c>
      <c r="AH3728">
        <v>0.494040857615206</v>
      </c>
      <c r="AI3728">
        <v>108.90958260444999</v>
      </c>
      <c r="AJ3728">
        <v>88.273222627300299</v>
      </c>
      <c r="AK3728">
        <v>0.52246197098574498</v>
      </c>
      <c r="AL3728">
        <v>79.994547285349697</v>
      </c>
      <c r="AM3728">
        <v>90.197136570604798</v>
      </c>
      <c r="AN3728">
        <v>1.00000000638208</v>
      </c>
    </row>
    <row r="3729" spans="1:40" x14ac:dyDescent="0.3">
      <c r="A3729" t="str">
        <f>"20200111150432011"</f>
        <v>20200111150432011</v>
      </c>
      <c r="B3729" t="str">
        <f>"1578726272003011"</f>
        <v>1578726272003011</v>
      </c>
      <c r="C3729" t="s">
        <v>40</v>
      </c>
      <c r="D3729">
        <v>5.8290069999999998</v>
      </c>
      <c r="E3729">
        <v>0.50659339999999997</v>
      </c>
      <c r="F3729" t="s">
        <v>42</v>
      </c>
      <c r="G3729">
        <v>-132.0127</v>
      </c>
      <c r="H3729">
        <v>0.91820900000000005</v>
      </c>
      <c r="I3729">
        <v>137.96969999999999</v>
      </c>
      <c r="J3729">
        <v>-132.66120000000001</v>
      </c>
      <c r="K3729">
        <v>1.1069789999999999</v>
      </c>
      <c r="L3729">
        <v>137.97190000000001</v>
      </c>
      <c r="M3729">
        <v>0.99946330000000005</v>
      </c>
      <c r="N3729">
        <v>0</v>
      </c>
      <c r="O3729">
        <v>2.3850070000000001E-2</v>
      </c>
      <c r="P3729">
        <v>0.9880736</v>
      </c>
      <c r="Q3729">
        <v>0.15181939999999999</v>
      </c>
      <c r="R3729">
        <v>2.5714219999999999E-2</v>
      </c>
      <c r="S3729">
        <v>3.150436</v>
      </c>
      <c r="T3729">
        <v>-0.75261400000000001</v>
      </c>
      <c r="U3729">
        <v>2.005005E-2</v>
      </c>
      <c r="V3729">
        <v>-2.5603650000000002E-3</v>
      </c>
      <c r="W3729">
        <v>0.17397670000000001</v>
      </c>
      <c r="X3729">
        <v>0.98474649999999997</v>
      </c>
      <c r="Y3729">
        <v>1.6361830000000001E-2</v>
      </c>
      <c r="Z3729">
        <v>-7.5466159999999999E-3</v>
      </c>
      <c r="AA3729">
        <v>0.99983759999999999</v>
      </c>
      <c r="AB3729">
        <v>15</v>
      </c>
      <c r="AC3729">
        <v>0.64850000000001196</v>
      </c>
      <c r="AD3729">
        <v>-0.18876999999999999</v>
      </c>
      <c r="AE3729">
        <v>-2.2000000000161799E-3</v>
      </c>
      <c r="AF3729">
        <v>1.6289798901977799E-2</v>
      </c>
      <c r="AG3729">
        <v>-0.18876999999999999</v>
      </c>
      <c r="AH3729">
        <v>0.59762568938560801</v>
      </c>
      <c r="AI3729">
        <v>107.52347707801</v>
      </c>
      <c r="AJ3729">
        <v>88.438645296180695</v>
      </c>
      <c r="AK3729">
        <v>0.62694173179163104</v>
      </c>
      <c r="AL3729">
        <v>79.980886711609898</v>
      </c>
      <c r="AM3729">
        <v>90.148970093266001</v>
      </c>
      <c r="AN3729">
        <v>1.0000000584370301</v>
      </c>
    </row>
    <row r="3730" spans="1:40" x14ac:dyDescent="0.3">
      <c r="A3730" t="str">
        <f>"20200111150432034"</f>
        <v>20200111150432034</v>
      </c>
      <c r="B3730" t="str">
        <f>"1578726272022531"</f>
        <v>1578726272022531</v>
      </c>
      <c r="C3730" t="s">
        <v>40</v>
      </c>
      <c r="D3730">
        <v>5.3533010000000001</v>
      </c>
      <c r="E3730">
        <v>0.50718869999999905</v>
      </c>
      <c r="F3730" t="s">
        <v>42</v>
      </c>
      <c r="G3730">
        <v>-131.88499999999999</v>
      </c>
      <c r="H3730">
        <v>0.92016399999999998</v>
      </c>
      <c r="I3730">
        <v>137.9794</v>
      </c>
      <c r="J3730">
        <v>-132.52199999999999</v>
      </c>
      <c r="K3730">
        <v>1.106889</v>
      </c>
      <c r="L3730">
        <v>137.97919999999999</v>
      </c>
      <c r="M3730">
        <v>0.999386</v>
      </c>
      <c r="N3730">
        <v>0</v>
      </c>
      <c r="O3730">
        <v>2.7061709999999999E-2</v>
      </c>
      <c r="P3730">
        <v>0.98807060000000002</v>
      </c>
      <c r="Q3730">
        <v>0.1515445</v>
      </c>
      <c r="R3730">
        <v>2.739923E-2</v>
      </c>
      <c r="S3730">
        <v>3.1520079999999999</v>
      </c>
      <c r="T3730">
        <v>-0.75883540000000005</v>
      </c>
      <c r="U3730">
        <v>3.0776979999999999E-2</v>
      </c>
      <c r="V3730">
        <v>-1.034367E-3</v>
      </c>
      <c r="W3730">
        <v>0.1735062</v>
      </c>
      <c r="X3730">
        <v>0.98483220000000005</v>
      </c>
      <c r="Y3730">
        <v>1.6074620000000001E-2</v>
      </c>
      <c r="Z3730">
        <v>-8.3315560000000004E-3</v>
      </c>
      <c r="AA3730">
        <v>0.99983610000000001</v>
      </c>
      <c r="AB3730">
        <v>15</v>
      </c>
      <c r="AC3730">
        <v>0.63700000000002799</v>
      </c>
      <c r="AD3730">
        <v>-0.186725</v>
      </c>
      <c r="AE3730">
        <v>2.0000000000663901E-4</v>
      </c>
      <c r="AF3730">
        <v>1.5694116028352301E-2</v>
      </c>
      <c r="AG3730">
        <v>-0.186725</v>
      </c>
      <c r="AH3730">
        <v>0.58638603362491803</v>
      </c>
      <c r="AI3730">
        <v>107.657291700286</v>
      </c>
      <c r="AJ3730">
        <v>88.466893912835005</v>
      </c>
      <c r="AK3730">
        <v>0.61559817359481805</v>
      </c>
      <c r="AL3730">
        <v>80.008259771744207</v>
      </c>
      <c r="AM3730">
        <v>90.0601776036318</v>
      </c>
      <c r="AN3730">
        <v>0.99999996675518399</v>
      </c>
    </row>
    <row r="3731" spans="1:40" x14ac:dyDescent="0.3">
      <c r="A3731" t="str">
        <f>"20200111150432057"</f>
        <v>20200111150432057</v>
      </c>
      <c r="B3731" t="str">
        <f>"1578726272052787"</f>
        <v>1578726272052787</v>
      </c>
      <c r="C3731" t="s">
        <v>40</v>
      </c>
      <c r="D3731">
        <v>5.4232639999999996</v>
      </c>
      <c r="E3731">
        <v>0.50566319999999998</v>
      </c>
      <c r="F3731" t="s">
        <v>42</v>
      </c>
      <c r="G3731">
        <v>-131.7698</v>
      </c>
      <c r="H3731">
        <v>0.89800329999999995</v>
      </c>
      <c r="I3731">
        <v>137.98759999999999</v>
      </c>
      <c r="J3731">
        <v>-132.38339999999999</v>
      </c>
      <c r="K3731">
        <v>1.106835</v>
      </c>
      <c r="L3731">
        <v>137.98679999999999</v>
      </c>
      <c r="M3731">
        <v>0.99929800000000002</v>
      </c>
      <c r="N3731">
        <v>0</v>
      </c>
      <c r="O3731">
        <v>3.0233860000000001E-2</v>
      </c>
      <c r="P3731">
        <v>0.98796989999999996</v>
      </c>
      <c r="Q3731">
        <v>0.15181249999999999</v>
      </c>
      <c r="R3731">
        <v>2.9467420000000001E-2</v>
      </c>
      <c r="S3731">
        <v>3.1702880000000002</v>
      </c>
      <c r="T3731">
        <v>-0.88051349999999995</v>
      </c>
      <c r="U3731">
        <v>3.5446169999999999E-2</v>
      </c>
      <c r="V3731" s="1">
        <v>6.0393329999999999E-5</v>
      </c>
      <c r="W3731">
        <v>0.17364189999999999</v>
      </c>
      <c r="X3731">
        <v>0.98480889999999999</v>
      </c>
      <c r="Y3731">
        <v>1.7266759999999999E-2</v>
      </c>
      <c r="Z3731">
        <v>-1.0594849999999999E-2</v>
      </c>
      <c r="AA3731">
        <v>0.99979479999999998</v>
      </c>
      <c r="AB3731">
        <v>14</v>
      </c>
      <c r="AC3731">
        <v>0.61359999999999004</v>
      </c>
      <c r="AD3731">
        <v>-0.20883169999999901</v>
      </c>
      <c r="AE3731">
        <v>7.9999999999813499E-4</v>
      </c>
      <c r="AF3731">
        <v>1.5913178812549899E-2</v>
      </c>
      <c r="AG3731">
        <v>-0.20883169999999901</v>
      </c>
      <c r="AH3731">
        <v>0.549674680132893</v>
      </c>
      <c r="AI3731">
        <v>110.794754685657</v>
      </c>
      <c r="AJ3731">
        <v>88.341740256726993</v>
      </c>
      <c r="AK3731">
        <v>0.58822288476733797</v>
      </c>
      <c r="AL3731">
        <v>80.000365649558404</v>
      </c>
      <c r="AM3731">
        <v>89.996486340735302</v>
      </c>
      <c r="AN3731">
        <v>1.0000000413010799</v>
      </c>
    </row>
    <row r="3732" spans="1:40" x14ac:dyDescent="0.3">
      <c r="A3732" t="str">
        <f>"20200111150432078"</f>
        <v>20200111150432078</v>
      </c>
      <c r="B3732" t="str">
        <f>"1578726272072306"</f>
        <v>1578726272072306</v>
      </c>
      <c r="C3732" t="s">
        <v>40</v>
      </c>
      <c r="D3732">
        <v>5.3687969999999998</v>
      </c>
      <c r="E3732">
        <v>0.50555249999999996</v>
      </c>
      <c r="F3732" t="s">
        <v>42</v>
      </c>
      <c r="G3732">
        <v>-131.64420000000001</v>
      </c>
      <c r="H3732">
        <v>0.90188900000000005</v>
      </c>
      <c r="I3732">
        <v>137.9991</v>
      </c>
      <c r="J3732">
        <v>-132.2465</v>
      </c>
      <c r="K3732">
        <v>1.106792</v>
      </c>
      <c r="L3732">
        <v>137.99449999999999</v>
      </c>
      <c r="M3732">
        <v>0.99920520000000002</v>
      </c>
      <c r="N3732">
        <v>0</v>
      </c>
      <c r="O3732">
        <v>3.3279639999999999E-2</v>
      </c>
      <c r="P3732">
        <v>0.98780270000000003</v>
      </c>
      <c r="Q3732">
        <v>0.1523321</v>
      </c>
      <c r="R3732">
        <v>3.2258660000000001E-2</v>
      </c>
      <c r="S3732">
        <v>3.170013</v>
      </c>
      <c r="T3732">
        <v>-0.87900840000000002</v>
      </c>
      <c r="U3732">
        <v>5.3192139999999999E-2</v>
      </c>
      <c r="V3732">
        <v>2.897447E-4</v>
      </c>
      <c r="W3732">
        <v>0.17398369999999999</v>
      </c>
      <c r="X3732">
        <v>0.98474850000000003</v>
      </c>
      <c r="Y3732">
        <v>1.4705060000000001E-2</v>
      </c>
      <c r="Z3732">
        <v>-1.105775E-2</v>
      </c>
      <c r="AA3732">
        <v>0.99983069999999996</v>
      </c>
      <c r="AB3732">
        <v>14</v>
      </c>
      <c r="AC3732">
        <v>0.60229999999998496</v>
      </c>
      <c r="AD3732">
        <v>-0.204903</v>
      </c>
      <c r="AE3732">
        <v>4.6000000000105904E-3</v>
      </c>
      <c r="AF3732">
        <v>1.38489639766772E-2</v>
      </c>
      <c r="AG3732">
        <v>-0.204903</v>
      </c>
      <c r="AH3732">
        <v>0.53966406773138198</v>
      </c>
      <c r="AI3732">
        <v>110.78482088204299</v>
      </c>
      <c r="AJ3732">
        <v>88.529987228102996</v>
      </c>
      <c r="AK3732">
        <v>0.57742041807733901</v>
      </c>
      <c r="AL3732">
        <v>79.980478939813494</v>
      </c>
      <c r="AM3732">
        <v>89.983141738253707</v>
      </c>
      <c r="AN3732">
        <v>1.00000001003496</v>
      </c>
    </row>
    <row r="3733" spans="1:40" x14ac:dyDescent="0.3">
      <c r="A3733" t="str">
        <f>"20200111150432101"</f>
        <v>20200111150432101</v>
      </c>
      <c r="B3733" t="str">
        <f>"1578726272092803"</f>
        <v>1578726272092803</v>
      </c>
      <c r="C3733" t="s">
        <v>40</v>
      </c>
      <c r="D3733">
        <v>6.8681950000000001</v>
      </c>
      <c r="E3733">
        <v>0.50361060000000002</v>
      </c>
      <c r="F3733" t="s">
        <v>42</v>
      </c>
      <c r="G3733">
        <v>-131.51779999999999</v>
      </c>
      <c r="H3733">
        <v>0.90974999999999995</v>
      </c>
      <c r="I3733">
        <v>138.00880000000001</v>
      </c>
      <c r="J3733">
        <v>-132.1052</v>
      </c>
      <c r="K3733">
        <v>1.10677</v>
      </c>
      <c r="L3733">
        <v>138.00290000000001</v>
      </c>
      <c r="M3733">
        <v>0.99910520000000003</v>
      </c>
      <c r="N3733">
        <v>0</v>
      </c>
      <c r="O3733">
        <v>3.6294979999999998E-2</v>
      </c>
      <c r="P3733">
        <v>0.98771100000000001</v>
      </c>
      <c r="Q3733">
        <v>0.15230859999999999</v>
      </c>
      <c r="R3733">
        <v>3.5063820000000002E-2</v>
      </c>
      <c r="S3733">
        <v>3.1670989999999999</v>
      </c>
      <c r="T3733">
        <v>-0.85662000000000005</v>
      </c>
      <c r="U3733">
        <v>6.2454219999999998E-2</v>
      </c>
      <c r="V3733">
        <v>4.6833889999999998E-4</v>
      </c>
      <c r="W3733">
        <v>0.17373529999999901</v>
      </c>
      <c r="X3733">
        <v>0.98479229999999995</v>
      </c>
      <c r="Y3733">
        <v>1.4760240000000001E-2</v>
      </c>
      <c r="Z3733">
        <v>-1.1603260000000001E-2</v>
      </c>
      <c r="AA3733">
        <v>0.99982369999999998</v>
      </c>
      <c r="AB3733">
        <v>14</v>
      </c>
      <c r="AC3733">
        <v>0.58740000000000203</v>
      </c>
      <c r="AD3733">
        <v>-0.19702</v>
      </c>
      <c r="AE3733">
        <v>5.8999999999968999E-3</v>
      </c>
      <c r="AF3733">
        <v>1.3868534541676501E-2</v>
      </c>
      <c r="AG3733">
        <v>-0.19702</v>
      </c>
      <c r="AH3733">
        <v>0.52784983567688304</v>
      </c>
      <c r="AI3733">
        <v>110.46161784685199</v>
      </c>
      <c r="AJ3733">
        <v>88.494977778142001</v>
      </c>
      <c r="AK3733">
        <v>0.56359086727381102</v>
      </c>
      <c r="AL3733">
        <v>79.994931455129603</v>
      </c>
      <c r="AM3733">
        <v>89.972751776868193</v>
      </c>
      <c r="AN3733">
        <v>1.00000002397335</v>
      </c>
    </row>
    <row r="3734" spans="1:40" x14ac:dyDescent="0.3">
      <c r="A3734" t="str">
        <f>"20200111150432123"</f>
        <v>20200111150432123</v>
      </c>
      <c r="B3734" t="str">
        <f>"1578726272112323"</f>
        <v>1578726272112323</v>
      </c>
      <c r="C3734" t="s">
        <v>40</v>
      </c>
      <c r="D3734">
        <v>5.3875510000000002</v>
      </c>
      <c r="E3734">
        <v>0.48078949999999998</v>
      </c>
      <c r="F3734" t="s">
        <v>42</v>
      </c>
      <c r="G3734">
        <v>-131.39400000000001</v>
      </c>
      <c r="H3734">
        <v>0.91434660000000001</v>
      </c>
      <c r="I3734">
        <v>138.02250000000001</v>
      </c>
      <c r="J3734">
        <v>-131.9727</v>
      </c>
      <c r="K3734">
        <v>1.106746</v>
      </c>
      <c r="L3734">
        <v>138.0111</v>
      </c>
      <c r="M3734">
        <v>0.99900679999999997</v>
      </c>
      <c r="N3734">
        <v>0</v>
      </c>
      <c r="O3734">
        <v>3.9020249999999999E-2</v>
      </c>
      <c r="P3734">
        <v>0.98753760000000002</v>
      </c>
      <c r="Q3734">
        <v>0.1527802</v>
      </c>
      <c r="R3734">
        <v>3.779014E-2</v>
      </c>
      <c r="S3734">
        <v>3.1663510000000001</v>
      </c>
      <c r="T3734">
        <v>-0.85696479999999997</v>
      </c>
      <c r="U3734">
        <v>8.7661740000000002E-2</v>
      </c>
      <c r="V3734">
        <v>4.3763629999999998E-4</v>
      </c>
      <c r="W3734">
        <v>0.1740138</v>
      </c>
      <c r="X3734">
        <v>0.98474309999999998</v>
      </c>
      <c r="Y3734">
        <v>9.6129189999999993E-3</v>
      </c>
      <c r="Z3734">
        <v>-1.164888E-2</v>
      </c>
      <c r="AA3734">
        <v>0.99988589999999999</v>
      </c>
      <c r="AB3734">
        <v>14</v>
      </c>
      <c r="AC3734">
        <v>0.57869999999999699</v>
      </c>
      <c r="AD3734">
        <v>-0.1923994</v>
      </c>
      <c r="AE3734">
        <v>1.14000000000089E-2</v>
      </c>
      <c r="AF3734">
        <v>1.00810534990025E-2</v>
      </c>
      <c r="AG3734">
        <v>-0.1923994</v>
      </c>
      <c r="AH3734">
        <v>0.52112383884646796</v>
      </c>
      <c r="AI3734">
        <v>110.260709951517</v>
      </c>
      <c r="AJ3734">
        <v>88.891760957534103</v>
      </c>
      <c r="AK3734">
        <v>0.55559806710794901</v>
      </c>
      <c r="AL3734">
        <v>79.978727353960494</v>
      </c>
      <c r="AM3734">
        <v>89.974536799190602</v>
      </c>
      <c r="AN3734">
        <v>0.99999998355678998</v>
      </c>
    </row>
    <row r="3735" spans="1:40" x14ac:dyDescent="0.3">
      <c r="A3735" t="str">
        <f>"20200111150432145"</f>
        <v>20200111150432145</v>
      </c>
      <c r="B3735" t="str">
        <f>"1578726272142579"</f>
        <v>1578726272142579</v>
      </c>
      <c r="C3735" t="s">
        <v>40</v>
      </c>
      <c r="D3735">
        <v>5.4870190000000001</v>
      </c>
      <c r="E3735">
        <v>0.48452020000000001</v>
      </c>
      <c r="F3735" t="s">
        <v>44</v>
      </c>
      <c r="G3735">
        <v>0</v>
      </c>
      <c r="H3735">
        <v>0</v>
      </c>
      <c r="I3735">
        <v>0</v>
      </c>
      <c r="J3735">
        <v>-131.83840000000001</v>
      </c>
      <c r="K3735">
        <v>1.106714</v>
      </c>
      <c r="L3735">
        <v>138.0197</v>
      </c>
      <c r="M3735">
        <v>0.99890080000000003</v>
      </c>
      <c r="N3735">
        <v>0</v>
      </c>
      <c r="O3735">
        <v>4.1720319999999998E-2</v>
      </c>
      <c r="P3735">
        <v>0.98743950000000003</v>
      </c>
      <c r="Q3735">
        <v>0.15272179999999999</v>
      </c>
      <c r="R3735">
        <v>4.0489369999999997E-2</v>
      </c>
      <c r="S3735">
        <v>2.995117</v>
      </c>
      <c r="T3735">
        <v>0.2098613</v>
      </c>
      <c r="U3735">
        <v>0.2686615</v>
      </c>
      <c r="V3735">
        <v>4.2103360000000001E-4</v>
      </c>
      <c r="W3735">
        <v>0.17380570000000001</v>
      </c>
      <c r="X3735">
        <v>0.98477990000000004</v>
      </c>
      <c r="Y3735">
        <v>-4.7685819999999997E-2</v>
      </c>
      <c r="Z3735">
        <v>1.247272E-3</v>
      </c>
      <c r="AA3735">
        <v>0.99886160000000002</v>
      </c>
      <c r="AB3735">
        <v>14</v>
      </c>
      <c r="AC3735">
        <v>2.995117</v>
      </c>
      <c r="AD3735">
        <v>0.2098613</v>
      </c>
      <c r="AE3735">
        <v>0.2686615</v>
      </c>
      <c r="AF3735">
        <v>-0.14274647970868601</v>
      </c>
      <c r="AG3735">
        <v>0.2098613</v>
      </c>
      <c r="AH3735">
        <v>2.9891611022692901</v>
      </c>
      <c r="AI3735">
        <v>85.988557193275</v>
      </c>
      <c r="AJ3735">
        <v>92.734065439236204</v>
      </c>
      <c r="AK3735">
        <v>2.99991706852484</v>
      </c>
      <c r="AL3735">
        <v>79.990835528192306</v>
      </c>
      <c r="AM3735">
        <v>89.975503717284099</v>
      </c>
      <c r="AN3735">
        <v>1.00000002503289</v>
      </c>
    </row>
    <row r="3736" spans="1:40" x14ac:dyDescent="0.3">
      <c r="A3736" t="str">
        <f>"20200111150432167"</f>
        <v>20200111150432167</v>
      </c>
      <c r="B3736" t="str">
        <f>"1578726272163074"</f>
        <v>1578726272163074</v>
      </c>
      <c r="C3736" t="s">
        <v>40</v>
      </c>
      <c r="D3736">
        <v>5.3683059999999996</v>
      </c>
      <c r="E3736">
        <v>0.4843306</v>
      </c>
      <c r="F3736" t="s">
        <v>41</v>
      </c>
      <c r="G3736">
        <v>-65.386600000000001</v>
      </c>
      <c r="H3736" s="1">
        <v>-2.9926500000000001E-6</v>
      </c>
      <c r="I3736">
        <v>143.49209999999999</v>
      </c>
      <c r="J3736">
        <v>-131.7062</v>
      </c>
      <c r="K3736">
        <v>1.106665</v>
      </c>
      <c r="L3736">
        <v>138.0284</v>
      </c>
      <c r="M3736">
        <v>0.99879130000000005</v>
      </c>
      <c r="N3736">
        <v>0</v>
      </c>
      <c r="O3736">
        <v>4.4327709999999999E-2</v>
      </c>
      <c r="P3736">
        <v>0.987344</v>
      </c>
      <c r="Q3736">
        <v>0.15258099999999999</v>
      </c>
      <c r="R3736">
        <v>4.3257619999999997E-2</v>
      </c>
      <c r="S3736">
        <v>3.0357509999999999</v>
      </c>
      <c r="T3736">
        <v>-5.0558690000000003E-2</v>
      </c>
      <c r="U3736">
        <v>0.25</v>
      </c>
      <c r="V3736">
        <v>2.4896800000000002E-4</v>
      </c>
      <c r="W3736">
        <v>0.1735418</v>
      </c>
      <c r="X3736">
        <v>0.98482639999999999</v>
      </c>
      <c r="Y3736">
        <v>-3.7806149999999997E-2</v>
      </c>
      <c r="Z3736">
        <v>-4.223373E-4</v>
      </c>
      <c r="AA3736">
        <v>0.99928499999999998</v>
      </c>
      <c r="AB3736">
        <v>14</v>
      </c>
      <c r="AC3736">
        <v>66.319599999999994</v>
      </c>
      <c r="AD3736">
        <v>-1.10666799265</v>
      </c>
      <c r="AE3736">
        <v>5.4636999999999798</v>
      </c>
      <c r="AF3736">
        <v>-2.5171716770899701</v>
      </c>
      <c r="AG3736">
        <v>-1.10666799265</v>
      </c>
      <c r="AH3736">
        <v>66.478243029641703</v>
      </c>
      <c r="AI3736">
        <v>90.953035956563795</v>
      </c>
      <c r="AJ3736">
        <v>92.168445500768001</v>
      </c>
      <c r="AK3736">
        <v>66.535085959259106</v>
      </c>
      <c r="AL3736">
        <v>80.006188232916102</v>
      </c>
      <c r="AM3736">
        <v>89.985515401161095</v>
      </c>
      <c r="AN3736">
        <v>0.99999992823462902</v>
      </c>
    </row>
    <row r="3737" spans="1:40" x14ac:dyDescent="0.3">
      <c r="A3737" t="str">
        <f>"20200111150432191"</f>
        <v>20200111150432191</v>
      </c>
      <c r="B3737" t="str">
        <f>"1578726272182594"</f>
        <v>1578726272182594</v>
      </c>
      <c r="C3737" t="s">
        <v>40</v>
      </c>
      <c r="D3737">
        <v>5.6210610000000001</v>
      </c>
      <c r="E3737">
        <v>0.4846337</v>
      </c>
      <c r="F3737" t="s">
        <v>41</v>
      </c>
      <c r="G3737">
        <v>-104.1131</v>
      </c>
      <c r="H3737" s="1">
        <v>-2.9698220000000001E-6</v>
      </c>
      <c r="I3737">
        <v>140.39269999999999</v>
      </c>
      <c r="J3737">
        <v>-131.57409999999999</v>
      </c>
      <c r="K3737">
        <v>1.1066180000000001</v>
      </c>
      <c r="L3737">
        <v>138.03729999999999</v>
      </c>
      <c r="M3737">
        <v>0.99867799999999995</v>
      </c>
      <c r="N3737">
        <v>0</v>
      </c>
      <c r="O3737">
        <v>4.686626E-2</v>
      </c>
      <c r="P3737">
        <v>0.98720330000000001</v>
      </c>
      <c r="Q3737">
        <v>0.15292639999999999</v>
      </c>
      <c r="R3737">
        <v>4.5205679999999998E-2</v>
      </c>
      <c r="S3737">
        <v>3.0458980000000002</v>
      </c>
      <c r="T3737">
        <v>-0.1221609</v>
      </c>
      <c r="U3737">
        <v>0.2609863</v>
      </c>
      <c r="V3737">
        <v>8.2507390000000004E-4</v>
      </c>
      <c r="W3737">
        <v>0.1737677</v>
      </c>
      <c r="X3737">
        <v>0.9847863</v>
      </c>
      <c r="Y3737">
        <v>-3.8578870000000001E-2</v>
      </c>
      <c r="Z3737">
        <v>-1.1025150000000001E-3</v>
      </c>
      <c r="AA3737">
        <v>0.99925489999999995</v>
      </c>
      <c r="AB3737">
        <v>13</v>
      </c>
      <c r="AC3737">
        <v>27.460999999999899</v>
      </c>
      <c r="AD3737">
        <v>-1.106620969822</v>
      </c>
      <c r="AE3737">
        <v>2.3553999999999999</v>
      </c>
      <c r="AF3737">
        <v>-1.0638143968284</v>
      </c>
      <c r="AG3737">
        <v>-1.106620969822</v>
      </c>
      <c r="AH3737">
        <v>27.496898350258899</v>
      </c>
      <c r="AI3737">
        <v>92.302921198258502</v>
      </c>
      <c r="AJ3737">
        <v>92.215584120448</v>
      </c>
      <c r="AK3737">
        <v>27.539711870791599</v>
      </c>
      <c r="AL3737">
        <v>79.993045909157104</v>
      </c>
      <c r="AM3737">
        <v>89.951996447152695</v>
      </c>
      <c r="AN3737">
        <v>0.99999997548895903</v>
      </c>
    </row>
    <row r="3738" spans="1:40" x14ac:dyDescent="0.3">
      <c r="A3738" t="str">
        <f>"20200111150432212"</f>
        <v>20200111150432212</v>
      </c>
      <c r="B3738" t="str">
        <f>"1578726272202115"</f>
        <v>1578726272202115</v>
      </c>
      <c r="C3738" t="s">
        <v>40</v>
      </c>
      <c r="D3738">
        <v>5.369548</v>
      </c>
      <c r="E3738">
        <v>0.4844387</v>
      </c>
      <c r="F3738" t="s">
        <v>41</v>
      </c>
      <c r="G3738">
        <v>-108.1527</v>
      </c>
      <c r="H3738" s="1">
        <v>-9.7614120000000002E-7</v>
      </c>
      <c r="I3738">
        <v>140.07640000000001</v>
      </c>
      <c r="J3738">
        <v>-131.44929999999999</v>
      </c>
      <c r="K3738">
        <v>1.106589</v>
      </c>
      <c r="L3738">
        <v>138.0461</v>
      </c>
      <c r="M3738">
        <v>0.99856780000000001</v>
      </c>
      <c r="N3738">
        <v>0</v>
      </c>
      <c r="O3738">
        <v>4.9201620000000001E-2</v>
      </c>
      <c r="P3738">
        <v>0.98692360000000001</v>
      </c>
      <c r="Q3738">
        <v>0.154173</v>
      </c>
      <c r="R3738">
        <v>4.7040289999999998E-2</v>
      </c>
      <c r="S3738">
        <v>3.0490569999999999</v>
      </c>
      <c r="T3738">
        <v>-0.1440622</v>
      </c>
      <c r="U3738">
        <v>0.2654572</v>
      </c>
      <c r="V3738">
        <v>1.300856E-3</v>
      </c>
      <c r="W3738">
        <v>0.17490629999999999</v>
      </c>
      <c r="X3738">
        <v>0.98458420000000002</v>
      </c>
      <c r="Y3738">
        <v>-3.7614639999999998E-2</v>
      </c>
      <c r="Z3738">
        <v>-1.431138E-3</v>
      </c>
      <c r="AA3738">
        <v>0.99929129999999999</v>
      </c>
      <c r="AB3738">
        <v>13</v>
      </c>
      <c r="AC3738">
        <v>23.296600000000002</v>
      </c>
      <c r="AD3738">
        <v>-1.1065899761411999</v>
      </c>
      <c r="AE3738">
        <v>2.0303000000000102</v>
      </c>
      <c r="AF3738">
        <v>-0.87938717997386395</v>
      </c>
      <c r="AG3738">
        <v>-1.1065899761411999</v>
      </c>
      <c r="AH3738">
        <v>23.3160778595566</v>
      </c>
      <c r="AI3738">
        <v>92.7153129833478</v>
      </c>
      <c r="AJ3738">
        <v>92.159938898782698</v>
      </c>
      <c r="AK3738">
        <v>23.358881607228199</v>
      </c>
      <c r="AL3738">
        <v>79.926794365538896</v>
      </c>
      <c r="AM3738">
        <v>89.924299501063501</v>
      </c>
      <c r="AN3738">
        <v>0.99999997644783101</v>
      </c>
    </row>
    <row r="3739" spans="1:40" x14ac:dyDescent="0.3">
      <c r="A3739" t="str">
        <f>"20200111150432235"</f>
        <v>20200111150432235</v>
      </c>
      <c r="B3739" t="str">
        <f>"1578726272232371"</f>
        <v>1578726272232371</v>
      </c>
      <c r="C3739" t="s">
        <v>40</v>
      </c>
      <c r="D3739">
        <v>5.29556</v>
      </c>
      <c r="E3739">
        <v>0.48497990000000002</v>
      </c>
      <c r="F3739" t="s">
        <v>41</v>
      </c>
      <c r="G3739">
        <v>-111.5532</v>
      </c>
      <c r="H3739" s="1">
        <v>-3.6623180000000001E-6</v>
      </c>
      <c r="I3739">
        <v>139.82820000000001</v>
      </c>
      <c r="J3739">
        <v>-131.3237</v>
      </c>
      <c r="K3739">
        <v>1.1066199999999999</v>
      </c>
      <c r="L3739">
        <v>138.05510000000001</v>
      </c>
      <c r="M3739">
        <v>0.99845050000000002</v>
      </c>
      <c r="N3739">
        <v>0</v>
      </c>
      <c r="O3739">
        <v>5.1469920000000002E-2</v>
      </c>
      <c r="P3739">
        <v>0.98681129999999995</v>
      </c>
      <c r="Q3739">
        <v>0.1544769</v>
      </c>
      <c r="R3739">
        <v>4.8377419999999997E-2</v>
      </c>
      <c r="S3739">
        <v>3.053223</v>
      </c>
      <c r="T3739">
        <v>-0.16981579999999999</v>
      </c>
      <c r="U3739">
        <v>0.27348329999999998</v>
      </c>
      <c r="V3739">
        <v>2.2220540000000002E-3</v>
      </c>
      <c r="W3739">
        <v>0.1753519</v>
      </c>
      <c r="X3739">
        <v>0.98450329999999997</v>
      </c>
      <c r="Y3739">
        <v>-3.7841220000000002E-2</v>
      </c>
      <c r="Z3739">
        <v>-1.803394E-3</v>
      </c>
      <c r="AA3739">
        <v>0.99928209999999995</v>
      </c>
      <c r="AB3739">
        <v>13</v>
      </c>
      <c r="AC3739">
        <v>19.770499999999998</v>
      </c>
      <c r="AD3739">
        <v>-1.1066236623179999</v>
      </c>
      <c r="AE3739">
        <v>1.7730999999999899</v>
      </c>
      <c r="AF3739">
        <v>-0.75060210095290203</v>
      </c>
      <c r="AG3739">
        <v>-1.1066236623179999</v>
      </c>
      <c r="AH3739">
        <v>19.774106548363001</v>
      </c>
      <c r="AI3739">
        <v>93.200817669375496</v>
      </c>
      <c r="AJ3739">
        <v>92.173837520922206</v>
      </c>
      <c r="AK3739">
        <v>19.8192661122951</v>
      </c>
      <c r="AL3739">
        <v>79.900862710359704</v>
      </c>
      <c r="AM3739">
        <v>89.870681896278796</v>
      </c>
      <c r="AN3739">
        <v>0.99999998703423898</v>
      </c>
    </row>
    <row r="3740" spans="1:40" x14ac:dyDescent="0.3">
      <c r="A3740" t="str">
        <f>"20200111150432257"</f>
        <v>20200111150432257</v>
      </c>
      <c r="B3740" t="str">
        <f>"1578726272252866"</f>
        <v>1578726272252866</v>
      </c>
      <c r="C3740" t="s">
        <v>40</v>
      </c>
      <c r="D3740">
        <v>5.2286769999999896</v>
      </c>
      <c r="E3740">
        <v>0.48594969999999998</v>
      </c>
      <c r="F3740" t="s">
        <v>41</v>
      </c>
      <c r="G3740">
        <v>-113.2933</v>
      </c>
      <c r="H3740" s="1">
        <v>-2.8738260000000002E-6</v>
      </c>
      <c r="I3740">
        <v>139.6703</v>
      </c>
      <c r="J3740">
        <v>-131.20150000000001</v>
      </c>
      <c r="K3740">
        <v>1.1067910000000001</v>
      </c>
      <c r="L3740">
        <v>138.06399999999999</v>
      </c>
      <c r="M3740">
        <v>0.99832140000000003</v>
      </c>
      <c r="N3740">
        <v>0</v>
      </c>
      <c r="O3740">
        <v>5.3511639999999999E-2</v>
      </c>
      <c r="P3740">
        <v>0.98676090000000005</v>
      </c>
      <c r="Q3740">
        <v>0.15439700000000001</v>
      </c>
      <c r="R3740">
        <v>4.9644819999999999E-2</v>
      </c>
      <c r="S3740">
        <v>3.0560299999999998</v>
      </c>
      <c r="T3740">
        <v>-0.1875646</v>
      </c>
      <c r="U3740">
        <v>0.27377319999999999</v>
      </c>
      <c r="V3740">
        <v>3.021592E-3</v>
      </c>
      <c r="W3740">
        <v>0.17625589999999999</v>
      </c>
      <c r="X3740">
        <v>0.98433970000000004</v>
      </c>
      <c r="Y3740">
        <v>-3.5820999999999999E-2</v>
      </c>
      <c r="Z3740">
        <v>-2.1762980000000001E-3</v>
      </c>
      <c r="AA3740">
        <v>0.99935589999999996</v>
      </c>
      <c r="AB3740">
        <v>13</v>
      </c>
      <c r="AC3740">
        <v>17.908200000000001</v>
      </c>
      <c r="AD3740">
        <v>-1.1067938738259999</v>
      </c>
      <c r="AE3740">
        <v>1.6063000000000001</v>
      </c>
      <c r="AF3740">
        <v>-0.64302838360211501</v>
      </c>
      <c r="AG3740">
        <v>-1.1067938738259999</v>
      </c>
      <c r="AH3740">
        <v>17.900676281559601</v>
      </c>
      <c r="AI3740">
        <v>93.535803471698301</v>
      </c>
      <c r="AJ3740">
        <v>92.057295319582494</v>
      </c>
      <c r="AK3740">
        <v>17.946383744878698</v>
      </c>
      <c r="AL3740">
        <v>79.848247566359007</v>
      </c>
      <c r="AM3740">
        <v>89.824121768898394</v>
      </c>
      <c r="AN3740">
        <v>0.99999995864955604</v>
      </c>
    </row>
    <row r="3741" spans="1:40" x14ac:dyDescent="0.3">
      <c r="A3741" t="str">
        <f>"20200111150432280"</f>
        <v>20200111150432280</v>
      </c>
      <c r="B3741" t="str">
        <f>"1578726272272387"</f>
        <v>1578726272272387</v>
      </c>
      <c r="C3741" t="s">
        <v>40</v>
      </c>
      <c r="D3741">
        <v>5.2943179999999996</v>
      </c>
      <c r="E3741">
        <v>0.48677369999999998</v>
      </c>
      <c r="F3741" t="s">
        <v>41</v>
      </c>
      <c r="G3741">
        <v>-113.55889999999999</v>
      </c>
      <c r="H3741" s="1">
        <v>-2.747086E-6</v>
      </c>
      <c r="I3741">
        <v>139.62219999999999</v>
      </c>
      <c r="J3741">
        <v>-131.08240000000001</v>
      </c>
      <c r="K3741">
        <v>1.107005</v>
      </c>
      <c r="L3741">
        <v>138.0728</v>
      </c>
      <c r="M3741">
        <v>0.99818799999999996</v>
      </c>
      <c r="N3741">
        <v>0</v>
      </c>
      <c r="O3741">
        <v>5.5363709999999997E-2</v>
      </c>
      <c r="P3741">
        <v>0.98684400000000005</v>
      </c>
      <c r="Q3741">
        <v>0.153832</v>
      </c>
      <c r="R3741">
        <v>4.9742620000000001E-2</v>
      </c>
      <c r="S3741">
        <v>3.0566559999999998</v>
      </c>
      <c r="T3741">
        <v>-0.19175619999999999</v>
      </c>
      <c r="U3741">
        <v>0.26995849999999999</v>
      </c>
      <c r="V3741">
        <v>4.813777E-3</v>
      </c>
      <c r="W3741">
        <v>0.177083399999999</v>
      </c>
      <c r="X3741">
        <v>0.98418410000000001</v>
      </c>
      <c r="Y3741">
        <v>-3.2720489999999998E-2</v>
      </c>
      <c r="Z3741">
        <v>-2.437229E-3</v>
      </c>
      <c r="AA3741">
        <v>0.99946159999999995</v>
      </c>
      <c r="AB3741">
        <v>12</v>
      </c>
      <c r="AC3741">
        <v>17.523499999999999</v>
      </c>
      <c r="AD3741">
        <v>-1.107007747086</v>
      </c>
      <c r="AE3741">
        <v>1.5493999999999899</v>
      </c>
      <c r="AF3741">
        <v>-0.57431252080871398</v>
      </c>
      <c r="AG3741">
        <v>-1.107007747086</v>
      </c>
      <c r="AH3741">
        <v>17.513063892359199</v>
      </c>
      <c r="AI3741">
        <v>93.614938948959093</v>
      </c>
      <c r="AJ3741">
        <v>91.878249044189303</v>
      </c>
      <c r="AK3741">
        <v>17.557411766018401</v>
      </c>
      <c r="AL3741">
        <v>79.800078263376705</v>
      </c>
      <c r="AM3741">
        <v>89.719760859541694</v>
      </c>
      <c r="AN3741">
        <v>1.0000000228486801</v>
      </c>
    </row>
    <row r="3742" spans="1:40" x14ac:dyDescent="0.3">
      <c r="A3742" t="str">
        <f>"20200111150432302"</f>
        <v>20200111150432302</v>
      </c>
      <c r="B3742" t="str">
        <f>"1578726272292883"</f>
        <v>1578726272292883</v>
      </c>
      <c r="C3742" t="s">
        <v>40</v>
      </c>
      <c r="D3742">
        <v>5.3029190000000002</v>
      </c>
      <c r="E3742">
        <v>0.48725000000000002</v>
      </c>
      <c r="F3742" t="s">
        <v>41</v>
      </c>
      <c r="G3742">
        <v>-114.291</v>
      </c>
      <c r="H3742" s="1">
        <v>-2.447343E-6</v>
      </c>
      <c r="I3742">
        <v>139.52680000000001</v>
      </c>
      <c r="J3742">
        <v>-130.96979999999999</v>
      </c>
      <c r="K3742">
        <v>1.1071959999999901</v>
      </c>
      <c r="L3742">
        <v>138.0813</v>
      </c>
      <c r="M3742">
        <v>0.99805889999999997</v>
      </c>
      <c r="N3742">
        <v>0</v>
      </c>
      <c r="O3742">
        <v>5.704977E-2</v>
      </c>
      <c r="P3742">
        <v>0.98694789999999999</v>
      </c>
      <c r="Q3742">
        <v>0.1530464</v>
      </c>
      <c r="R3742">
        <v>5.0107220000000001E-2</v>
      </c>
      <c r="S3742">
        <v>3.0580750000000001</v>
      </c>
      <c r="T3742">
        <v>-0.20160929999999999</v>
      </c>
      <c r="U3742">
        <v>0.26480100000000001</v>
      </c>
      <c r="V3742">
        <v>6.1618549999999999E-3</v>
      </c>
      <c r="W3742">
        <v>0.17768779999999901</v>
      </c>
      <c r="X3742">
        <v>0.98406760000000004</v>
      </c>
      <c r="Y3742">
        <v>-2.933212E-2</v>
      </c>
      <c r="Z3742">
        <v>-2.783331E-3</v>
      </c>
      <c r="AA3742">
        <v>0.99956579999999995</v>
      </c>
      <c r="AB3742">
        <v>12</v>
      </c>
      <c r="AC3742">
        <v>16.678799999999899</v>
      </c>
      <c r="AD3742">
        <v>-1.1071984473430001</v>
      </c>
      <c r="AE3742">
        <v>1.4455</v>
      </c>
      <c r="AF3742">
        <v>-0.48918602992418098</v>
      </c>
      <c r="AG3742">
        <v>-1.1071984473430001</v>
      </c>
      <c r="AH3742">
        <v>16.6612350217714</v>
      </c>
      <c r="AI3742">
        <v>93.800285935333505</v>
      </c>
      <c r="AJ3742">
        <v>91.681762791544699</v>
      </c>
      <c r="AK3742">
        <v>16.705147225462401</v>
      </c>
      <c r="AL3742">
        <v>79.764890247341</v>
      </c>
      <c r="AM3742">
        <v>89.641240427495504</v>
      </c>
      <c r="AN3742">
        <v>0.99999998204782004</v>
      </c>
    </row>
    <row r="3743" spans="1:40" x14ac:dyDescent="0.3">
      <c r="A3743" t="str">
        <f>"20200111150432325"</f>
        <v>20200111150432325</v>
      </c>
      <c r="B3743" t="str">
        <f>"1578726272312404"</f>
        <v>1578726272312404</v>
      </c>
      <c r="C3743" t="s">
        <v>40</v>
      </c>
      <c r="D3743">
        <v>5.2953199999999896</v>
      </c>
      <c r="E3743">
        <v>0.4874637</v>
      </c>
      <c r="F3743" t="s">
        <v>41</v>
      </c>
      <c r="G3743">
        <v>-115.354</v>
      </c>
      <c r="H3743" s="1">
        <v>-2.010445E-6</v>
      </c>
      <c r="I3743">
        <v>139.41890000000001</v>
      </c>
      <c r="J3743">
        <v>-130.86410000000001</v>
      </c>
      <c r="K3743">
        <v>1.107297</v>
      </c>
      <c r="L3743">
        <v>138.08940000000001</v>
      </c>
      <c r="M3743">
        <v>0.9979344</v>
      </c>
      <c r="N3743">
        <v>0</v>
      </c>
      <c r="O3743">
        <v>5.8766449999999998E-2</v>
      </c>
      <c r="P3743">
        <v>0.98689910000000003</v>
      </c>
      <c r="Q3743">
        <v>0.1531006</v>
      </c>
      <c r="R3743">
        <v>5.0897850000000001E-2</v>
      </c>
      <c r="S3743">
        <v>3.0600130000000001</v>
      </c>
      <c r="T3743">
        <v>-0.21696170000000001</v>
      </c>
      <c r="U3743">
        <v>0.2621155</v>
      </c>
      <c r="V3743">
        <v>7.0765610000000003E-3</v>
      </c>
      <c r="W3743">
        <v>0.17869760000000001</v>
      </c>
      <c r="X3743">
        <v>0.98387860000000005</v>
      </c>
      <c r="Y3743">
        <v>-2.6706130000000002E-2</v>
      </c>
      <c r="Z3743">
        <v>-3.2070129999999999E-3</v>
      </c>
      <c r="AA3743">
        <v>0.99963820000000003</v>
      </c>
      <c r="AB3743">
        <v>11</v>
      </c>
      <c r="AC3743">
        <v>15.5101</v>
      </c>
      <c r="AD3743">
        <v>-1.107299010445</v>
      </c>
      <c r="AE3743">
        <v>1.3294999999999899</v>
      </c>
      <c r="AF3743">
        <v>-0.41332886883046699</v>
      </c>
      <c r="AG3743">
        <v>-1.107299010445</v>
      </c>
      <c r="AH3743">
        <v>15.4830938657767</v>
      </c>
      <c r="AI3743">
        <v>94.089185808385594</v>
      </c>
      <c r="AJ3743">
        <v>91.529176060631002</v>
      </c>
      <c r="AK3743">
        <v>15.5281405038978</v>
      </c>
      <c r="AL3743">
        <v>79.706092170465794</v>
      </c>
      <c r="AM3743">
        <v>89.587906386777306</v>
      </c>
      <c r="AN3743">
        <v>1.00000000474965</v>
      </c>
    </row>
    <row r="3744" spans="1:40" x14ac:dyDescent="0.3">
      <c r="A3744" t="str">
        <f>"20200111150432347"</f>
        <v>20200111150432347</v>
      </c>
      <c r="B3744" t="str">
        <f>"1578726272342659"</f>
        <v>1578726272342659</v>
      </c>
      <c r="C3744" t="s">
        <v>40</v>
      </c>
      <c r="D3744">
        <v>5.3180059999999996</v>
      </c>
      <c r="E3744">
        <v>0.48742269999999999</v>
      </c>
      <c r="F3744" t="s">
        <v>41</v>
      </c>
      <c r="G3744">
        <v>-115.7728</v>
      </c>
      <c r="H3744" s="1">
        <v>-1.836878E-6</v>
      </c>
      <c r="I3744">
        <v>139.38460000000001</v>
      </c>
      <c r="J3744">
        <v>-130.756</v>
      </c>
      <c r="K3744">
        <v>1.1072630000000001</v>
      </c>
      <c r="L3744">
        <v>138.09799999999899</v>
      </c>
      <c r="M3744">
        <v>0.99781330000000001</v>
      </c>
      <c r="N3744">
        <v>0</v>
      </c>
      <c r="O3744">
        <v>6.0762259999999998E-2</v>
      </c>
      <c r="P3744">
        <v>0.98687990000000003</v>
      </c>
      <c r="Q3744">
        <v>0.15291569999999999</v>
      </c>
      <c r="R3744">
        <v>5.1817759999999997E-2</v>
      </c>
      <c r="S3744">
        <v>3.0611419999999998</v>
      </c>
      <c r="T3744">
        <v>-0.224606</v>
      </c>
      <c r="U3744">
        <v>0.26271060000000002</v>
      </c>
      <c r="V3744">
        <v>8.0888279999999993E-3</v>
      </c>
      <c r="W3744">
        <v>0.17857979999999901</v>
      </c>
      <c r="X3744">
        <v>0.98389219999999999</v>
      </c>
      <c r="Y3744">
        <v>-2.4884010000000002E-2</v>
      </c>
      <c r="Z3744">
        <v>-3.5307450000000001E-3</v>
      </c>
      <c r="AA3744">
        <v>0.99968409999999996</v>
      </c>
      <c r="AB3744">
        <v>11</v>
      </c>
      <c r="AC3744">
        <v>14.983199999999901</v>
      </c>
      <c r="AD3744">
        <v>-1.10726483687799</v>
      </c>
      <c r="AE3744">
        <v>1.2866000000000199</v>
      </c>
      <c r="AF3744">
        <v>-0.37148593172432998</v>
      </c>
      <c r="AG3744">
        <v>-1.10726483687799</v>
      </c>
      <c r="AH3744">
        <v>14.952636761166699</v>
      </c>
      <c r="AI3744">
        <v>94.233805475831403</v>
      </c>
      <c r="AJ3744">
        <v>91.423173639268995</v>
      </c>
      <c r="AK3744">
        <v>14.998179333767499</v>
      </c>
      <c r="AL3744">
        <v>79.712952088971804</v>
      </c>
      <c r="AM3744">
        <v>89.528967437159594</v>
      </c>
      <c r="AN3744">
        <v>1.0000000176636401</v>
      </c>
    </row>
    <row r="3745" spans="1:40" x14ac:dyDescent="0.3">
      <c r="A3745" t="str">
        <f>"20200111150432369"</f>
        <v>20200111150432369</v>
      </c>
      <c r="B3745" t="str">
        <f>"1578726272363156"</f>
        <v>1578726272363156</v>
      </c>
      <c r="C3745" t="s">
        <v>40</v>
      </c>
      <c r="D3745">
        <v>4.738245</v>
      </c>
      <c r="E3745">
        <v>0.4878477</v>
      </c>
      <c r="F3745" t="s">
        <v>41</v>
      </c>
      <c r="G3745">
        <v>-116.6661</v>
      </c>
      <c r="H3745" s="1">
        <v>-1.4644149999999999E-6</v>
      </c>
      <c r="I3745">
        <v>139.32390000000001</v>
      </c>
      <c r="J3745">
        <v>-130.64830000000001</v>
      </c>
      <c r="K3745">
        <v>1.107137</v>
      </c>
      <c r="L3745">
        <v>138.1069</v>
      </c>
      <c r="M3745">
        <v>0.99770320000000001</v>
      </c>
      <c r="N3745">
        <v>0</v>
      </c>
      <c r="O3745">
        <v>6.2829759999999998E-2</v>
      </c>
      <c r="P3745">
        <v>0.98669419999999997</v>
      </c>
      <c r="Q3745">
        <v>0.15382899999999999</v>
      </c>
      <c r="R3745">
        <v>5.2646539999999999E-2</v>
      </c>
      <c r="S3745">
        <v>3.0631870000000001</v>
      </c>
      <c r="T3745">
        <v>-0.2407212</v>
      </c>
      <c r="U3745">
        <v>0.26652530000000002</v>
      </c>
      <c r="V3745">
        <v>9.2204049999999992E-3</v>
      </c>
      <c r="W3745">
        <v>0.178808299999999</v>
      </c>
      <c r="X3745">
        <v>0.98384070000000001</v>
      </c>
      <c r="Y3745">
        <v>-2.4015419999999999E-2</v>
      </c>
      <c r="Z3745">
        <v>-3.9760200000000002E-3</v>
      </c>
      <c r="AA3745">
        <v>0.99970369999999997</v>
      </c>
      <c r="AB3745">
        <v>11</v>
      </c>
      <c r="AC3745">
        <v>13.982200000000001</v>
      </c>
      <c r="AD3745">
        <v>-1.107138464415</v>
      </c>
      <c r="AE3745">
        <v>1.2170000000000101</v>
      </c>
      <c r="AF3745">
        <v>-0.33373739734878999</v>
      </c>
      <c r="AG3745">
        <v>-1.107138464415</v>
      </c>
      <c r="AH3745">
        <v>13.944275096808401</v>
      </c>
      <c r="AI3745">
        <v>94.538315594518906</v>
      </c>
      <c r="AJ3745">
        <v>91.371035378469003</v>
      </c>
      <c r="AK3745">
        <v>13.992138657304899</v>
      </c>
      <c r="AL3745">
        <v>79.699645375365705</v>
      </c>
      <c r="AM3745">
        <v>89.463048412340598</v>
      </c>
      <c r="AN3745">
        <v>0.99999997349687098</v>
      </c>
    </row>
    <row r="3746" spans="1:40" x14ac:dyDescent="0.3">
      <c r="A3746" t="str">
        <f>"20200111150432391"</f>
        <v>20200111150432391</v>
      </c>
      <c r="B3746" t="str">
        <f>"1578726272382675"</f>
        <v>1578726272382675</v>
      </c>
      <c r="C3746" t="s">
        <v>40</v>
      </c>
      <c r="D3746">
        <v>5.2801780000000003</v>
      </c>
      <c r="E3746">
        <v>0.48794290000000001</v>
      </c>
      <c r="F3746" t="s">
        <v>41</v>
      </c>
      <c r="G3746">
        <v>-116.23990000000001</v>
      </c>
      <c r="H3746" s="1">
        <v>-1.6407550000000001E-6</v>
      </c>
      <c r="I3746">
        <v>139.3605</v>
      </c>
      <c r="J3746">
        <v>-130.54390000000001</v>
      </c>
      <c r="K3746">
        <v>1.107003</v>
      </c>
      <c r="L3746">
        <v>138.11609999999999</v>
      </c>
      <c r="M3746">
        <v>0.99759260000000005</v>
      </c>
      <c r="N3746">
        <v>0</v>
      </c>
      <c r="O3746">
        <v>6.4831829999999993E-2</v>
      </c>
      <c r="P3746">
        <v>0.98642640000000004</v>
      </c>
      <c r="Q3746">
        <v>0.1552154</v>
      </c>
      <c r="R3746">
        <v>5.3588950000000003E-2</v>
      </c>
      <c r="S3746">
        <v>3.0629430000000002</v>
      </c>
      <c r="T3746">
        <v>-0.23535500000000001</v>
      </c>
      <c r="U3746">
        <v>0.26647949999999998</v>
      </c>
      <c r="V3746">
        <v>1.020095E-2</v>
      </c>
      <c r="W3746">
        <v>0.17950439999999901</v>
      </c>
      <c r="X3746">
        <v>0.98370429999999998</v>
      </c>
      <c r="Y3746">
        <v>-2.2008819999999998E-2</v>
      </c>
      <c r="Z3746">
        <v>-4.1176329999999999E-3</v>
      </c>
      <c r="AA3746">
        <v>0.99974929999999995</v>
      </c>
      <c r="AB3746">
        <v>11</v>
      </c>
      <c r="AC3746">
        <v>14.304</v>
      </c>
      <c r="AD3746">
        <v>-1.107004640755</v>
      </c>
      <c r="AE3746">
        <v>1.2444000000000099</v>
      </c>
      <c r="AF3746">
        <v>-0.31228853646515797</v>
      </c>
      <c r="AG3746">
        <v>-1.107004640755</v>
      </c>
      <c r="AH3746">
        <v>14.269764772868999</v>
      </c>
      <c r="AI3746">
        <v>94.434888877858597</v>
      </c>
      <c r="AJ3746">
        <v>91.253696870569101</v>
      </c>
      <c r="AK3746">
        <v>14.316045895346701</v>
      </c>
      <c r="AL3746">
        <v>79.659106357188506</v>
      </c>
      <c r="AM3746">
        <v>89.405867766472099</v>
      </c>
      <c r="AN3746">
        <v>1.0000000194193699</v>
      </c>
    </row>
    <row r="3747" spans="1:40" x14ac:dyDescent="0.3">
      <c r="A3747" t="str">
        <f>"20200111150432413"</f>
        <v>20200111150432413</v>
      </c>
      <c r="B3747" t="str">
        <f>"1578726272402195"</f>
        <v>1578726272402195</v>
      </c>
      <c r="C3747" t="s">
        <v>40</v>
      </c>
      <c r="D3747">
        <v>5.3713220000000002</v>
      </c>
      <c r="E3747">
        <v>0.4881606</v>
      </c>
      <c r="F3747" t="s">
        <v>41</v>
      </c>
      <c r="G3747">
        <v>-116.2435</v>
      </c>
      <c r="H3747" s="1">
        <v>-1.6369489999999901E-6</v>
      </c>
      <c r="I3747">
        <v>139.3733</v>
      </c>
      <c r="J3747">
        <v>-130.4418</v>
      </c>
      <c r="K3747">
        <v>1.106887</v>
      </c>
      <c r="L3747">
        <v>138.12530000000001</v>
      </c>
      <c r="M3747">
        <v>0.99747419999999998</v>
      </c>
      <c r="N3747">
        <v>0</v>
      </c>
      <c r="O3747">
        <v>6.6785430000000007E-2</v>
      </c>
      <c r="P3747">
        <v>0.98613390000000001</v>
      </c>
      <c r="Q3747">
        <v>0.15667439999999999</v>
      </c>
      <c r="R3747">
        <v>5.4710309999999998E-2</v>
      </c>
      <c r="S3747">
        <v>3.063965</v>
      </c>
      <c r="T3747">
        <v>-0.237182</v>
      </c>
      <c r="U3747">
        <v>0.26937870000000003</v>
      </c>
      <c r="V3747">
        <v>1.0998930000000001E-2</v>
      </c>
      <c r="W3747">
        <v>0.18053350000000001</v>
      </c>
      <c r="X3747">
        <v>0.98350729999999997</v>
      </c>
      <c r="Y3747">
        <v>-2.0972210000000002E-2</v>
      </c>
      <c r="Z3747">
        <v>-4.338148E-3</v>
      </c>
      <c r="AA3747">
        <v>0.99977059999999995</v>
      </c>
      <c r="AB3747">
        <v>11</v>
      </c>
      <c r="AC3747">
        <v>14.1983</v>
      </c>
      <c r="AD3747">
        <v>-1.1068886369490001</v>
      </c>
      <c r="AE3747">
        <v>1.24799999999999</v>
      </c>
      <c r="AF3747">
        <v>-0.294916361617308</v>
      </c>
      <c r="AG3747">
        <v>-1.1068886369490001</v>
      </c>
      <c r="AH3747">
        <v>14.164527424317001</v>
      </c>
      <c r="AI3747">
        <v>94.467340342075801</v>
      </c>
      <c r="AJ3747">
        <v>91.192769885672305</v>
      </c>
      <c r="AK3747">
        <v>14.2107711004429</v>
      </c>
      <c r="AL3747">
        <v>79.599163427879901</v>
      </c>
      <c r="AM3747">
        <v>89.359266578025199</v>
      </c>
      <c r="AN3747">
        <v>0.99999996511834099</v>
      </c>
    </row>
    <row r="3748" spans="1:40" x14ac:dyDescent="0.3">
      <c r="A3748" t="str">
        <f>"20200111150432437"</f>
        <v>20200111150432437</v>
      </c>
      <c r="B3748" t="str">
        <f>"1578726272432451"</f>
        <v>1578726272432451</v>
      </c>
      <c r="C3748" t="s">
        <v>40</v>
      </c>
      <c r="D3748">
        <v>5.2216019999999999</v>
      </c>
      <c r="E3748">
        <v>0.48855340000000003</v>
      </c>
      <c r="F3748" t="s">
        <v>41</v>
      </c>
      <c r="G3748">
        <v>-116.1127</v>
      </c>
      <c r="H3748" s="1">
        <v>-1.6887930000000001E-6</v>
      </c>
      <c r="I3748">
        <v>139.3974</v>
      </c>
      <c r="J3748">
        <v>-130.33519999999999</v>
      </c>
      <c r="K3748">
        <v>1.1067469999999999</v>
      </c>
      <c r="L3748">
        <v>138.13509999999999</v>
      </c>
      <c r="M3748">
        <v>0.99733939999999999</v>
      </c>
      <c r="N3748">
        <v>0</v>
      </c>
      <c r="O3748">
        <v>6.887857E-2</v>
      </c>
      <c r="P3748">
        <v>0.98590250000000001</v>
      </c>
      <c r="Q3748">
        <v>0.1577703</v>
      </c>
      <c r="R3748">
        <v>5.5722460000000001E-2</v>
      </c>
      <c r="S3748">
        <v>3.0646969999999998</v>
      </c>
      <c r="T3748">
        <v>-0.2367389</v>
      </c>
      <c r="U3748">
        <v>0.27207949999999997</v>
      </c>
      <c r="V3748">
        <v>1.208555E-2</v>
      </c>
      <c r="W3748">
        <v>0.1813158</v>
      </c>
      <c r="X3748">
        <v>0.98335059999999996</v>
      </c>
      <c r="Y3748">
        <v>-1.97372E-2</v>
      </c>
      <c r="Z3748">
        <v>-4.5369920000000001E-3</v>
      </c>
      <c r="AA3748">
        <v>0.99979490000000004</v>
      </c>
      <c r="AB3748">
        <v>11</v>
      </c>
      <c r="AC3748">
        <v>14.222499999999901</v>
      </c>
      <c r="AD3748">
        <v>-1.106748688793</v>
      </c>
      <c r="AE3748">
        <v>1.26230000000001</v>
      </c>
      <c r="AF3748">
        <v>-0.27772706566268801</v>
      </c>
      <c r="AG3748">
        <v>-1.106748688793</v>
      </c>
      <c r="AH3748">
        <v>14.190415506788799</v>
      </c>
      <c r="AI3748">
        <v>94.458773790757604</v>
      </c>
      <c r="AJ3748">
        <v>91.121218575260897</v>
      </c>
      <c r="AK3748">
        <v>14.236218502062201</v>
      </c>
      <c r="AL3748">
        <v>79.553588564207601</v>
      </c>
      <c r="AM3748">
        <v>89.295860350601302</v>
      </c>
      <c r="AN3748">
        <v>0.99999994118439905</v>
      </c>
    </row>
    <row r="3749" spans="1:40" x14ac:dyDescent="0.3">
      <c r="A3749" t="str">
        <f>"20200111150432458"</f>
        <v>20200111150432458</v>
      </c>
      <c r="B3749" t="str">
        <f>"1578726272452949"</f>
        <v>1578726272452949</v>
      </c>
      <c r="C3749" t="s">
        <v>40</v>
      </c>
      <c r="D3749">
        <v>5.2779790000000002</v>
      </c>
      <c r="E3749">
        <v>0.4888979</v>
      </c>
      <c r="F3749" t="s">
        <v>41</v>
      </c>
      <c r="G3749">
        <v>-116.0234</v>
      </c>
      <c r="H3749" s="1">
        <v>-1.7250119999999999E-6</v>
      </c>
      <c r="I3749">
        <v>139.40899999999999</v>
      </c>
      <c r="J3749">
        <v>-130.23840000000001</v>
      </c>
      <c r="K3749">
        <v>1.106603</v>
      </c>
      <c r="L3749">
        <v>138.14410000000001</v>
      </c>
      <c r="M3749">
        <v>0.99721099999999996</v>
      </c>
      <c r="N3749">
        <v>0</v>
      </c>
      <c r="O3749">
        <v>7.0825340000000001E-2</v>
      </c>
      <c r="P3749">
        <v>0.98568089999999997</v>
      </c>
      <c r="Q3749">
        <v>0.1587073</v>
      </c>
      <c r="R3749">
        <v>5.696499E-2</v>
      </c>
      <c r="S3749">
        <v>3.0654140000000001</v>
      </c>
      <c r="T3749">
        <v>-0.23705190000000001</v>
      </c>
      <c r="U3749">
        <v>0.27285769999999998</v>
      </c>
      <c r="V3749">
        <v>1.2803520000000001E-2</v>
      </c>
      <c r="W3749">
        <v>0.18191789999999999</v>
      </c>
      <c r="X3749">
        <v>0.98323039999999995</v>
      </c>
      <c r="Y3749">
        <v>-1.802834E-2</v>
      </c>
      <c r="Z3749">
        <v>-4.7572200000000004E-3</v>
      </c>
      <c r="AA3749">
        <v>0.99982610000000005</v>
      </c>
      <c r="AB3749">
        <v>10</v>
      </c>
      <c r="AC3749">
        <v>14.215</v>
      </c>
      <c r="AD3749">
        <v>-1.1066047250119999</v>
      </c>
      <c r="AE3749">
        <v>1.2648999999999799</v>
      </c>
      <c r="AF3749">
        <v>-0.25313850182807401</v>
      </c>
      <c r="AG3749">
        <v>-1.1066047250119999</v>
      </c>
      <c r="AH3749">
        <v>14.1836131830174</v>
      </c>
      <c r="AI3749">
        <v>94.460468878075204</v>
      </c>
      <c r="AJ3749">
        <v>91.022463596522499</v>
      </c>
      <c r="AK3749">
        <v>14.228968200259301</v>
      </c>
      <c r="AL3749">
        <v>79.518508354787002</v>
      </c>
      <c r="AM3749">
        <v>89.253942719437205</v>
      </c>
      <c r="AN3749">
        <v>1.0000000359744701</v>
      </c>
    </row>
    <row r="3750" spans="1:40" x14ac:dyDescent="0.3">
      <c r="A3750" t="str">
        <f>"20200111150432481"</f>
        <v>20200111150432481</v>
      </c>
      <c r="B3750" t="str">
        <f>"1578726272472467"</f>
        <v>1578726272472467</v>
      </c>
      <c r="C3750" t="s">
        <v>40</v>
      </c>
      <c r="D3750">
        <v>5.2310749999999997</v>
      </c>
      <c r="E3750">
        <v>0.4891297</v>
      </c>
      <c r="F3750" t="s">
        <v>41</v>
      </c>
      <c r="G3750">
        <v>-115.9706</v>
      </c>
      <c r="H3750" s="1">
        <v>-1.7457080000000001E-6</v>
      </c>
      <c r="I3750">
        <v>139.42019999999999</v>
      </c>
      <c r="J3750">
        <v>-130.14060000000001</v>
      </c>
      <c r="K3750">
        <v>1.1064750000000001</v>
      </c>
      <c r="L3750">
        <v>138.1532</v>
      </c>
      <c r="M3750">
        <v>0.99708229999999998</v>
      </c>
      <c r="N3750">
        <v>0</v>
      </c>
      <c r="O3750">
        <v>7.2747329999999999E-2</v>
      </c>
      <c r="P3750">
        <v>0.98547499999999999</v>
      </c>
      <c r="Q3750">
        <v>0.1595859</v>
      </c>
      <c r="R3750">
        <v>5.8066420000000001E-2</v>
      </c>
      <c r="S3750">
        <v>3.0660249999999998</v>
      </c>
      <c r="T3750">
        <v>-0.23779890000000001</v>
      </c>
      <c r="U3750">
        <v>0.2742462</v>
      </c>
      <c r="V3750">
        <v>1.362525E-2</v>
      </c>
      <c r="W3750">
        <v>0.1823862</v>
      </c>
      <c r="X3750">
        <v>0.98313249999999996</v>
      </c>
      <c r="Y3750">
        <v>-1.6544489999999999E-2</v>
      </c>
      <c r="Z3750">
        <v>-4.9764600000000003E-3</v>
      </c>
      <c r="AA3750">
        <v>0.99985069999999998</v>
      </c>
      <c r="AB3750">
        <v>10</v>
      </c>
      <c r="AC3750">
        <v>14.17</v>
      </c>
      <c r="AD3750">
        <v>-1.106476745708</v>
      </c>
      <c r="AE3750">
        <v>1.2669999999999899</v>
      </c>
      <c r="AF3750">
        <v>-0.231137625248447</v>
      </c>
      <c r="AG3750">
        <v>-1.106476745708</v>
      </c>
      <c r="AH3750">
        <v>14.139102599897999</v>
      </c>
      <c r="AI3750">
        <v>94.474052576563906</v>
      </c>
      <c r="AJ3750">
        <v>90.936553845215798</v>
      </c>
      <c r="AK3750">
        <v>14.1842143850493</v>
      </c>
      <c r="AL3750">
        <v>79.4912192332811</v>
      </c>
      <c r="AM3750">
        <v>89.205987652828099</v>
      </c>
      <c r="AN3750">
        <v>0.99999994297212402</v>
      </c>
    </row>
    <row r="3751" spans="1:40" x14ac:dyDescent="0.3">
      <c r="A3751" t="str">
        <f>"20200111150432502"</f>
        <v>20200111150432502</v>
      </c>
      <c r="B3751" t="str">
        <f>"1578726272492963"</f>
        <v>1578726272492963</v>
      </c>
      <c r="C3751" t="s">
        <v>40</v>
      </c>
      <c r="D3751">
        <v>5.3245740000000001</v>
      </c>
      <c r="E3751">
        <v>0.48948199999999997</v>
      </c>
      <c r="F3751" t="s">
        <v>41</v>
      </c>
      <c r="G3751">
        <v>-116.1574</v>
      </c>
      <c r="H3751" s="1">
        <v>-1.6669709999999999E-6</v>
      </c>
      <c r="I3751">
        <v>139.41210000000001</v>
      </c>
      <c r="J3751">
        <v>-130.0438</v>
      </c>
      <c r="K3751">
        <v>1.1064020000000001</v>
      </c>
      <c r="L3751">
        <v>138.16239999999999</v>
      </c>
      <c r="M3751">
        <v>0.99695919999999905</v>
      </c>
      <c r="N3751">
        <v>0</v>
      </c>
      <c r="O3751">
        <v>7.4538339999999995E-2</v>
      </c>
      <c r="P3751">
        <v>0.98514279999999999</v>
      </c>
      <c r="Q3751">
        <v>0.16105630000000001</v>
      </c>
      <c r="R3751">
        <v>5.9621510000000003E-2</v>
      </c>
      <c r="S3751">
        <v>3.0672609999999998</v>
      </c>
      <c r="T3751">
        <v>-0.2427098</v>
      </c>
      <c r="U3751">
        <v>0.276153599999999</v>
      </c>
      <c r="V3751">
        <v>1.383739E-2</v>
      </c>
      <c r="W3751">
        <v>0.18345790000000001</v>
      </c>
      <c r="X3751">
        <v>0.98293019999999998</v>
      </c>
      <c r="Y3751">
        <v>-1.534609E-2</v>
      </c>
      <c r="Z3751">
        <v>-5.2646339999999998E-3</v>
      </c>
      <c r="AA3751">
        <v>0.99986839999999999</v>
      </c>
      <c r="AB3751">
        <v>10</v>
      </c>
      <c r="AC3751">
        <v>13.8864</v>
      </c>
      <c r="AD3751">
        <v>-1.106403666971</v>
      </c>
      <c r="AE3751">
        <v>1.24970000000001</v>
      </c>
      <c r="AF3751">
        <v>-0.209565496807924</v>
      </c>
      <c r="AG3751">
        <v>-1.106403666971</v>
      </c>
      <c r="AH3751">
        <v>13.8536858691385</v>
      </c>
      <c r="AI3751">
        <v>94.565629187179894</v>
      </c>
      <c r="AJ3751">
        <v>90.866650426158799</v>
      </c>
      <c r="AK3751">
        <v>13.8993762065968</v>
      </c>
      <c r="AL3751">
        <v>79.428762407077699</v>
      </c>
      <c r="AM3751">
        <v>89.193460859821698</v>
      </c>
      <c r="AN3751">
        <v>1.00000002625323</v>
      </c>
    </row>
    <row r="3752" spans="1:40" x14ac:dyDescent="0.3">
      <c r="A3752" t="str">
        <f>"20200111150432525"</f>
        <v>20200111150432525</v>
      </c>
      <c r="B3752" t="str">
        <f>"1578726272522243"</f>
        <v>1578726272522243</v>
      </c>
      <c r="C3752" t="s">
        <v>40</v>
      </c>
      <c r="D3752">
        <v>5.3464689999999999</v>
      </c>
      <c r="E3752">
        <v>0.52315690000000004</v>
      </c>
      <c r="F3752" t="s">
        <v>41</v>
      </c>
      <c r="G3752">
        <v>-116.3197</v>
      </c>
      <c r="H3752" s="1">
        <v>-1.5982159999999901E-6</v>
      </c>
      <c r="I3752">
        <v>139.40719999999999</v>
      </c>
      <c r="J3752">
        <v>-129.9494</v>
      </c>
      <c r="K3752">
        <v>1.106376</v>
      </c>
      <c r="L3752">
        <v>138.17150000000001</v>
      </c>
      <c r="M3752">
        <v>0.99684209999999995</v>
      </c>
      <c r="N3752">
        <v>0</v>
      </c>
      <c r="O3752">
        <v>7.6180700000000004E-2</v>
      </c>
      <c r="P3752">
        <v>0.98479289999999997</v>
      </c>
      <c r="Q3752">
        <v>0.16254449999999901</v>
      </c>
      <c r="R3752">
        <v>6.1336790000000002E-2</v>
      </c>
      <c r="S3752">
        <v>3.068848</v>
      </c>
      <c r="T3752">
        <v>-0.2474027</v>
      </c>
      <c r="U3752">
        <v>0.27836609999999901</v>
      </c>
      <c r="V3752">
        <v>1.373284E-2</v>
      </c>
      <c r="W3752">
        <v>0.1846254</v>
      </c>
      <c r="X3752">
        <v>0.98271299999999995</v>
      </c>
      <c r="Y3752">
        <v>-1.4383450000000001E-2</v>
      </c>
      <c r="Z3752">
        <v>-5.5332050000000002E-3</v>
      </c>
      <c r="AA3752">
        <v>0.99988129999999997</v>
      </c>
      <c r="AB3752">
        <v>10</v>
      </c>
      <c r="AC3752">
        <v>13.6297</v>
      </c>
      <c r="AD3752">
        <v>-1.106377598216</v>
      </c>
      <c r="AE3752">
        <v>1.23569999999998</v>
      </c>
      <c r="AF3752">
        <v>-0.192269729858913</v>
      </c>
      <c r="AG3752">
        <v>-1.106377598216</v>
      </c>
      <c r="AH3752">
        <v>13.5953800416865</v>
      </c>
      <c r="AI3752">
        <v>94.651954399311705</v>
      </c>
      <c r="AJ3752">
        <v>90.810239189464895</v>
      </c>
      <c r="AK3752">
        <v>13.641678691302699</v>
      </c>
      <c r="AL3752">
        <v>79.3607066451695</v>
      </c>
      <c r="AM3752">
        <v>89.199377071464895</v>
      </c>
      <c r="AN3752">
        <v>0.99999998479431196</v>
      </c>
    </row>
    <row r="3753" spans="1:40" x14ac:dyDescent="0.3">
      <c r="A3753" t="str">
        <f>"20200111150432548"</f>
        <v>20200111150432548</v>
      </c>
      <c r="B3753" t="str">
        <f>"1578726272542738"</f>
        <v>1578726272542738</v>
      </c>
      <c r="C3753" t="s">
        <v>40</v>
      </c>
      <c r="D3753">
        <v>5.2814009999999998</v>
      </c>
      <c r="E3753">
        <v>0.53315970000000001</v>
      </c>
      <c r="F3753" t="s">
        <v>42</v>
      </c>
      <c r="G3753">
        <v>-129.21610000000001</v>
      </c>
      <c r="H3753">
        <v>1.0167740000000001</v>
      </c>
      <c r="I3753">
        <v>138.17599999999999</v>
      </c>
      <c r="J3753">
        <v>-129.8526</v>
      </c>
      <c r="K3753">
        <v>1.106371</v>
      </c>
      <c r="L3753">
        <v>138.18090000000001</v>
      </c>
      <c r="M3753">
        <v>0.99672349999999998</v>
      </c>
      <c r="N3753">
        <v>0</v>
      </c>
      <c r="O3753">
        <v>7.7795310000000006E-2</v>
      </c>
      <c r="P3753">
        <v>0.98434540000000004</v>
      </c>
      <c r="Q3753">
        <v>0.16441500000000001</v>
      </c>
      <c r="R3753">
        <v>6.3501719999999998E-2</v>
      </c>
      <c r="S3753">
        <v>3.1078030000000001</v>
      </c>
      <c r="T3753">
        <v>-0.37976110000000002</v>
      </c>
      <c r="U3753">
        <v>1.9241330000000001E-2</v>
      </c>
      <c r="V3753">
        <v>1.314533E-2</v>
      </c>
      <c r="W3753">
        <v>0.1862289</v>
      </c>
      <c r="X3753">
        <v>0.98241849999999997</v>
      </c>
      <c r="Y3753">
        <v>7.053806E-2</v>
      </c>
      <c r="Z3753">
        <v>-1.3759220000000001E-2</v>
      </c>
      <c r="AA3753">
        <v>0.99741420000000003</v>
      </c>
      <c r="AB3753">
        <v>10</v>
      </c>
      <c r="AC3753">
        <v>0.63649999999998297</v>
      </c>
      <c r="AD3753">
        <v>-8.9596999999999899E-2</v>
      </c>
      <c r="AE3753">
        <v>-4.8999999999921303E-3</v>
      </c>
      <c r="AF3753">
        <v>5.3356804431585803E-2</v>
      </c>
      <c r="AG3753">
        <v>-8.9596999999999899E-2</v>
      </c>
      <c r="AH3753">
        <v>0.62186729693270204</v>
      </c>
      <c r="AI3753">
        <v>98.168998945105599</v>
      </c>
      <c r="AJ3753">
        <v>85.095978338243796</v>
      </c>
      <c r="AK3753">
        <v>0.63055016135319197</v>
      </c>
      <c r="AL3753">
        <v>79.267212231248706</v>
      </c>
      <c r="AM3753">
        <v>89.233394948436697</v>
      </c>
      <c r="AN3753">
        <v>1.00000005601913</v>
      </c>
    </row>
    <row r="3754" spans="1:40" x14ac:dyDescent="0.3">
      <c r="A3754" t="str">
        <f>"20200111150432571"</f>
        <v>20200111150432571</v>
      </c>
      <c r="B3754" t="str">
        <f>"1578726272562258"</f>
        <v>1578726272562258</v>
      </c>
      <c r="C3754" t="s">
        <v>40</v>
      </c>
      <c r="D3754">
        <v>5.3123310000000004</v>
      </c>
      <c r="E3754">
        <v>0.53892280000000004</v>
      </c>
      <c r="F3754" t="s">
        <v>42</v>
      </c>
      <c r="G3754">
        <v>-129.13589999999999</v>
      </c>
      <c r="H3754">
        <v>1.0066090000000001</v>
      </c>
      <c r="I3754">
        <v>138.16909999999999</v>
      </c>
      <c r="J3754">
        <v>-129.7593</v>
      </c>
      <c r="K3754">
        <v>1.10636</v>
      </c>
      <c r="L3754">
        <v>138.1901</v>
      </c>
      <c r="M3754">
        <v>0.99660850000000001</v>
      </c>
      <c r="N3754">
        <v>0</v>
      </c>
      <c r="O3754">
        <v>7.9318550000000002E-2</v>
      </c>
      <c r="P3754">
        <v>0.98398140000000001</v>
      </c>
      <c r="Q3754">
        <v>0.1656204</v>
      </c>
      <c r="R3754">
        <v>6.5958920000000004E-2</v>
      </c>
      <c r="S3754">
        <v>3.1236570000000001</v>
      </c>
      <c r="T3754">
        <v>-0.43494769999999999</v>
      </c>
      <c r="U3754">
        <v>-5.104065E-2</v>
      </c>
      <c r="V3754">
        <v>1.218837E-2</v>
      </c>
      <c r="W3754">
        <v>0.18719949999999999</v>
      </c>
      <c r="X3754">
        <v>0.98224630000000002</v>
      </c>
      <c r="Y3754">
        <v>9.3942700000000004E-2</v>
      </c>
      <c r="Z3754">
        <v>-1.7495119999999999E-2</v>
      </c>
      <c r="AA3754">
        <v>0.99542390000000003</v>
      </c>
      <c r="AB3754">
        <v>10</v>
      </c>
      <c r="AC3754">
        <v>0.62340000000000295</v>
      </c>
      <c r="AD3754">
        <v>-9.9750999999999895E-2</v>
      </c>
      <c r="AE3754">
        <v>-2.1000000000015E-2</v>
      </c>
      <c r="AF3754">
        <v>6.8637486819014201E-2</v>
      </c>
      <c r="AG3754">
        <v>-9.9750999999999895E-2</v>
      </c>
      <c r="AH3754">
        <v>0.604313765907593</v>
      </c>
      <c r="AI3754">
        <v>99.314180149584402</v>
      </c>
      <c r="AJ3754">
        <v>83.520158615938698</v>
      </c>
      <c r="AK3754">
        <v>0.61632499078266101</v>
      </c>
      <c r="AL3754">
        <v>79.210604882431895</v>
      </c>
      <c r="AM3754">
        <v>89.289072077926505</v>
      </c>
      <c r="AN3754">
        <v>1.0000000015135899</v>
      </c>
    </row>
    <row r="3755" spans="1:40" x14ac:dyDescent="0.3">
      <c r="A3755" t="str">
        <f>"20200111150432591"</f>
        <v>20200111150432591</v>
      </c>
      <c r="B3755" t="str">
        <f>"1578726272582755"</f>
        <v>1578726272582755</v>
      </c>
      <c r="C3755" t="s">
        <v>40</v>
      </c>
      <c r="D3755">
        <v>6.4095269999999998</v>
      </c>
      <c r="E3755">
        <v>0.56238659999999996</v>
      </c>
      <c r="F3755" t="s">
        <v>42</v>
      </c>
      <c r="G3755">
        <v>-128.97929999999999</v>
      </c>
      <c r="H3755">
        <v>0.98764070000000004</v>
      </c>
      <c r="I3755">
        <v>138.16800000000001</v>
      </c>
      <c r="J3755">
        <v>-129.67189999999999</v>
      </c>
      <c r="K3755">
        <v>1.1063419999999999</v>
      </c>
      <c r="L3755">
        <v>138.19880000000001</v>
      </c>
      <c r="M3755">
        <v>0.99650079999999996</v>
      </c>
      <c r="N3755">
        <v>0</v>
      </c>
      <c r="O3755">
        <v>8.0717819999999996E-2</v>
      </c>
      <c r="P3755">
        <v>0.98366019999999998</v>
      </c>
      <c r="Q3755">
        <v>0.166546</v>
      </c>
      <c r="R3755">
        <v>6.83777E-2</v>
      </c>
      <c r="S3755">
        <v>3.1351170000000002</v>
      </c>
      <c r="T3755">
        <v>-0.4774891</v>
      </c>
      <c r="U3755">
        <v>-8.8180540000000002E-2</v>
      </c>
      <c r="V3755">
        <v>1.11532E-2</v>
      </c>
      <c r="W3755">
        <v>0.18790670000000001</v>
      </c>
      <c r="X3755">
        <v>0.98212359999999999</v>
      </c>
      <c r="Y3755">
        <v>0.10657079999999999</v>
      </c>
      <c r="Z3755">
        <v>-2.0284489999999999E-2</v>
      </c>
      <c r="AA3755">
        <v>0.99409820000000004</v>
      </c>
      <c r="AB3755">
        <v>9</v>
      </c>
      <c r="AC3755">
        <v>0.692599999999998</v>
      </c>
      <c r="AD3755">
        <v>-0.1187013</v>
      </c>
      <c r="AE3755">
        <v>-3.07999999999992E-2</v>
      </c>
      <c r="AF3755">
        <v>8.4150905694972994E-2</v>
      </c>
      <c r="AG3755">
        <v>-0.1187013</v>
      </c>
      <c r="AH3755">
        <v>0.66826225992999699</v>
      </c>
      <c r="AI3755">
        <v>99.994890250762893</v>
      </c>
      <c r="AJ3755">
        <v>82.822808008913398</v>
      </c>
      <c r="AK3755">
        <v>0.683919455489987</v>
      </c>
      <c r="AL3755">
        <v>79.169353737125505</v>
      </c>
      <c r="AM3755">
        <v>89.349365171931296</v>
      </c>
      <c r="AN3755">
        <v>1.0000000437260399</v>
      </c>
    </row>
    <row r="3756" spans="1:40" x14ac:dyDescent="0.3">
      <c r="A3756" t="str">
        <f>"20200111150432614"</f>
        <v>20200111150432614</v>
      </c>
      <c r="B3756" t="str">
        <f>"1578726272602276"</f>
        <v>1578726272602276</v>
      </c>
      <c r="C3756" t="s">
        <v>40</v>
      </c>
      <c r="D3756">
        <v>5.2729540000000004</v>
      </c>
      <c r="E3756">
        <v>0.56461070000000002</v>
      </c>
      <c r="F3756" t="s">
        <v>42</v>
      </c>
      <c r="G3756">
        <v>-128.94309999999999</v>
      </c>
      <c r="H3756">
        <v>0.88828719999999906</v>
      </c>
      <c r="I3756">
        <v>138.14089999999999</v>
      </c>
      <c r="J3756">
        <v>-129.5814</v>
      </c>
      <c r="K3756">
        <v>1.1063160000000001</v>
      </c>
      <c r="L3756">
        <v>138.20779999999999</v>
      </c>
      <c r="M3756">
        <v>0.99639069999999996</v>
      </c>
      <c r="N3756">
        <v>0</v>
      </c>
      <c r="O3756">
        <v>8.2121990000000006E-2</v>
      </c>
      <c r="P3756">
        <v>0.98359920000000001</v>
      </c>
      <c r="Q3756">
        <v>0.16625609999999999</v>
      </c>
      <c r="R3756">
        <v>6.9937940000000004E-2</v>
      </c>
      <c r="S3756">
        <v>3.2313689999999999</v>
      </c>
      <c r="T3756">
        <v>-0.96700640000000004</v>
      </c>
      <c r="U3756">
        <v>-0.25584410000000002</v>
      </c>
      <c r="V3756">
        <v>1.100049E-2</v>
      </c>
      <c r="W3756">
        <v>0.18740889999999999</v>
      </c>
      <c r="X3756">
        <v>0.98222039999999999</v>
      </c>
      <c r="Y3756">
        <v>0.15040799999999999</v>
      </c>
      <c r="Z3756">
        <v>-4.6007770000000003E-2</v>
      </c>
      <c r="AA3756">
        <v>0.98755289999999996</v>
      </c>
      <c r="AB3756">
        <v>9</v>
      </c>
      <c r="AC3756">
        <v>0.63830000000001497</v>
      </c>
      <c r="AD3756">
        <v>-0.21802879999999999</v>
      </c>
      <c r="AE3756">
        <v>-6.6900000000003901E-2</v>
      </c>
      <c r="AF3756">
        <v>0.10678116691527099</v>
      </c>
      <c r="AG3756">
        <v>-0.21802879999999999</v>
      </c>
      <c r="AH3756">
        <v>0.56539685071150403</v>
      </c>
      <c r="AI3756">
        <v>110.75281405795</v>
      </c>
      <c r="AJ3756">
        <v>79.305056377143103</v>
      </c>
      <c r="AK3756">
        <v>0.61531485763933402</v>
      </c>
      <c r="AL3756">
        <v>79.198391081008197</v>
      </c>
      <c r="AM3756">
        <v>89.358336174655193</v>
      </c>
      <c r="AN3756">
        <v>1.0000000103778</v>
      </c>
    </row>
    <row r="3757" spans="1:40" x14ac:dyDescent="0.3">
      <c r="A3757" t="str">
        <f>"20200111150432637"</f>
        <v>20200111150432637</v>
      </c>
      <c r="B3757" t="str">
        <f>"1578726272632530"</f>
        <v>1578726272632530</v>
      </c>
      <c r="C3757" t="s">
        <v>40</v>
      </c>
      <c r="D3757">
        <v>5.25969</v>
      </c>
      <c r="E3757">
        <v>0.56547159999999996</v>
      </c>
      <c r="F3757" t="s">
        <v>42</v>
      </c>
      <c r="G3757">
        <v>-128.82640000000001</v>
      </c>
      <c r="H3757">
        <v>0.96495629999999999</v>
      </c>
      <c r="I3757">
        <v>138.14169999999999</v>
      </c>
      <c r="J3757">
        <v>-129.49260000000001</v>
      </c>
      <c r="K3757">
        <v>1.106303</v>
      </c>
      <c r="L3757">
        <v>138.21680000000001</v>
      </c>
      <c r="M3757">
        <v>0.99628510000000003</v>
      </c>
      <c r="N3757">
        <v>0</v>
      </c>
      <c r="O3757">
        <v>8.3440990000000007E-2</v>
      </c>
      <c r="P3757">
        <v>0.98346820000000001</v>
      </c>
      <c r="Q3757">
        <v>0.16690849999999999</v>
      </c>
      <c r="R3757">
        <v>7.0228410000000005E-2</v>
      </c>
      <c r="S3757">
        <v>3.1700740000000001</v>
      </c>
      <c r="T3757">
        <v>-0.59367380000000003</v>
      </c>
      <c r="U3757">
        <v>-0.27723690000000001</v>
      </c>
      <c r="V3757">
        <v>1.2020019999999999E-2</v>
      </c>
      <c r="W3757">
        <v>0.1878782</v>
      </c>
      <c r="X3757">
        <v>0.98211879999999996</v>
      </c>
      <c r="Y3757">
        <v>0.16565679999999999</v>
      </c>
      <c r="Z3757">
        <v>-3.081623E-2</v>
      </c>
      <c r="AA3757">
        <v>0.98570190000000002</v>
      </c>
      <c r="AB3757">
        <v>9</v>
      </c>
      <c r="AC3757">
        <v>0.66620000000000301</v>
      </c>
      <c r="AD3757">
        <v>-0.14134669999999999</v>
      </c>
      <c r="AE3757">
        <v>-7.5100000000020303E-2</v>
      </c>
      <c r="AF3757">
        <v>0.124887650613309</v>
      </c>
      <c r="AG3757">
        <v>-0.14134669999999999</v>
      </c>
      <c r="AH3757">
        <v>0.629620834384919</v>
      </c>
      <c r="AI3757">
        <v>102.41861331619199</v>
      </c>
      <c r="AJ3757">
        <v>78.780791794311696</v>
      </c>
      <c r="AK3757">
        <v>0.65726570728143396</v>
      </c>
      <c r="AL3757">
        <v>79.171015996563597</v>
      </c>
      <c r="AM3757">
        <v>89.298799664379004</v>
      </c>
      <c r="AN3757">
        <v>1.0000000181147399</v>
      </c>
    </row>
    <row r="3758" spans="1:40" x14ac:dyDescent="0.3">
      <c r="A3758" t="str">
        <f>"20200111150432659"</f>
        <v>20200111150432659</v>
      </c>
      <c r="B3758" t="str">
        <f>"1578726272653026"</f>
        <v>1578726272653026</v>
      </c>
      <c r="C3758" t="s">
        <v>40</v>
      </c>
      <c r="D3758">
        <v>5.2742180000000003</v>
      </c>
      <c r="E3758">
        <v>0.56872519999999904</v>
      </c>
      <c r="F3758" t="s">
        <v>42</v>
      </c>
      <c r="G3758">
        <v>-128.7465</v>
      </c>
      <c r="H3758">
        <v>0.96837070000000003</v>
      </c>
      <c r="I3758">
        <v>138.15010000000001</v>
      </c>
      <c r="J3758">
        <v>-129.40450000000001</v>
      </c>
      <c r="K3758">
        <v>1.106301</v>
      </c>
      <c r="L3758">
        <v>138.22559999999999</v>
      </c>
      <c r="M3758">
        <v>0.99618359999999995</v>
      </c>
      <c r="N3758">
        <v>0</v>
      </c>
      <c r="O3758">
        <v>8.4682320000000005E-2</v>
      </c>
      <c r="P3758">
        <v>0.98339500000000002</v>
      </c>
      <c r="Q3758">
        <v>0.16746229999999901</v>
      </c>
      <c r="R3758">
        <v>6.9933149999999999E-2</v>
      </c>
      <c r="S3758">
        <v>3.1701350000000001</v>
      </c>
      <c r="T3758">
        <v>-0.58608519999999997</v>
      </c>
      <c r="U3758">
        <v>-0.28340149999999997</v>
      </c>
      <c r="V3758">
        <v>1.35502E-2</v>
      </c>
      <c r="W3758">
        <v>0.18827669999999999</v>
      </c>
      <c r="X3758">
        <v>0.98202250000000002</v>
      </c>
      <c r="Y3758">
        <v>0.168819</v>
      </c>
      <c r="Z3758">
        <v>-3.0942330000000001E-2</v>
      </c>
      <c r="AA3758">
        <v>0.98516119999999996</v>
      </c>
      <c r="AB3758">
        <v>9</v>
      </c>
      <c r="AC3758">
        <v>0.65800000000001502</v>
      </c>
      <c r="AD3758">
        <v>-0.13793029999999901</v>
      </c>
      <c r="AE3758">
        <v>-7.5499999999976794E-2</v>
      </c>
      <c r="AF3758">
        <v>0.12551840639359299</v>
      </c>
      <c r="AG3758">
        <v>-0.13793029999999901</v>
      </c>
      <c r="AH3758">
        <v>0.62225347054505598</v>
      </c>
      <c r="AI3758">
        <v>102.259014137336</v>
      </c>
      <c r="AJ3758">
        <v>78.595567369464504</v>
      </c>
      <c r="AK3758">
        <v>0.64959912223389205</v>
      </c>
      <c r="AL3758">
        <v>79.147768092969102</v>
      </c>
      <c r="AM3758">
        <v>89.209468209022802</v>
      </c>
      <c r="AN3758">
        <v>0.999999957094589</v>
      </c>
    </row>
    <row r="3759" spans="1:40" x14ac:dyDescent="0.3">
      <c r="A3759" t="str">
        <f>"20200111150432681"</f>
        <v>20200111150432681</v>
      </c>
      <c r="B3759" t="str">
        <f>"1578726272672546"</f>
        <v>1578726272672546</v>
      </c>
      <c r="C3759" t="s">
        <v>40</v>
      </c>
      <c r="D3759">
        <v>5.4143100000000004</v>
      </c>
      <c r="E3759">
        <v>0.56776369999999998</v>
      </c>
      <c r="F3759" t="s">
        <v>42</v>
      </c>
      <c r="G3759">
        <v>-128.70359999999999</v>
      </c>
      <c r="H3759">
        <v>0.89674739999999997</v>
      </c>
      <c r="I3759">
        <v>138.16</v>
      </c>
      <c r="J3759">
        <v>-129.3219</v>
      </c>
      <c r="K3759">
        <v>1.106309</v>
      </c>
      <c r="L3759">
        <v>138.23400000000001</v>
      </c>
      <c r="M3759">
        <v>0.99609199999999998</v>
      </c>
      <c r="N3759">
        <v>0</v>
      </c>
      <c r="O3759">
        <v>8.5785040000000007E-2</v>
      </c>
      <c r="P3759">
        <v>0.98330969999999995</v>
      </c>
      <c r="Q3759">
        <v>0.168436</v>
      </c>
      <c r="R3759">
        <v>6.8787899999999902E-2</v>
      </c>
      <c r="S3759">
        <v>3.237015</v>
      </c>
      <c r="T3759">
        <v>-0.96797469999999997</v>
      </c>
      <c r="U3759">
        <v>-0.30255130000000002</v>
      </c>
      <c r="V3759">
        <v>1.5788489999999999E-2</v>
      </c>
      <c r="W3759">
        <v>0.18911910000000001</v>
      </c>
      <c r="X3759">
        <v>0.98182720000000001</v>
      </c>
      <c r="Y3759">
        <v>0.16715940000000001</v>
      </c>
      <c r="Z3759">
        <v>-4.9466830000000003E-2</v>
      </c>
      <c r="AA3759">
        <v>0.98468820000000001</v>
      </c>
      <c r="AB3759">
        <v>9</v>
      </c>
      <c r="AC3759">
        <v>0.61830000000000496</v>
      </c>
      <c r="AD3759">
        <v>-0.20956159999999999</v>
      </c>
      <c r="AE3759">
        <v>-7.4000000000012195E-2</v>
      </c>
      <c r="AF3759">
        <v>0.113882237454749</v>
      </c>
      <c r="AG3759">
        <v>-0.20956159999999999</v>
      </c>
      <c r="AH3759">
        <v>0.54764770680487895</v>
      </c>
      <c r="AI3759">
        <v>110.53811908757601</v>
      </c>
      <c r="AJ3759">
        <v>78.252873074141505</v>
      </c>
      <c r="AK3759">
        <v>0.59733009213574895</v>
      </c>
      <c r="AL3759">
        <v>79.098619431827004</v>
      </c>
      <c r="AM3759">
        <v>89.078721918276798</v>
      </c>
      <c r="AN3759">
        <v>0.99999998053056405</v>
      </c>
    </row>
    <row r="3760" spans="1:40" x14ac:dyDescent="0.3">
      <c r="A3760" t="str">
        <f>"20200111150432703"</f>
        <v>20200111150432703</v>
      </c>
      <c r="B3760" t="str">
        <f>"1578726272693043"</f>
        <v>1578726272693043</v>
      </c>
      <c r="C3760" t="s">
        <v>40</v>
      </c>
      <c r="D3760">
        <v>4.9971420000000002</v>
      </c>
      <c r="E3760">
        <v>0.57001219999999997</v>
      </c>
      <c r="F3760" t="s">
        <v>42</v>
      </c>
      <c r="G3760">
        <v>-128.62809999999999</v>
      </c>
      <c r="H3760">
        <v>0.89699329999999999</v>
      </c>
      <c r="I3760">
        <v>138.17089999999999</v>
      </c>
      <c r="J3760">
        <v>-129.23849999999999</v>
      </c>
      <c r="K3760">
        <v>1.106312</v>
      </c>
      <c r="L3760">
        <v>138.24250000000001</v>
      </c>
      <c r="M3760">
        <v>0.99600319999999998</v>
      </c>
      <c r="N3760">
        <v>0</v>
      </c>
      <c r="O3760">
        <v>8.6839470000000002E-2</v>
      </c>
      <c r="P3760">
        <v>0.98332909999999996</v>
      </c>
      <c r="Q3760">
        <v>0.16914979999999999</v>
      </c>
      <c r="R3760">
        <v>6.6727990000000001E-2</v>
      </c>
      <c r="S3760">
        <v>3.238937</v>
      </c>
      <c r="T3760">
        <v>-0.97719339999999999</v>
      </c>
      <c r="U3760">
        <v>-0.29483029999999999</v>
      </c>
      <c r="V3760">
        <v>1.8900719999999999E-2</v>
      </c>
      <c r="W3760">
        <v>0.18971099999999999</v>
      </c>
      <c r="X3760">
        <v>0.98165800000000003</v>
      </c>
      <c r="Y3760">
        <v>0.16564389999999901</v>
      </c>
      <c r="Z3760">
        <v>-4.9981320000000003E-2</v>
      </c>
      <c r="AA3760">
        <v>0.98491819999999997</v>
      </c>
      <c r="AB3760">
        <v>9</v>
      </c>
      <c r="AC3760">
        <v>0.61039999999999806</v>
      </c>
      <c r="AD3760">
        <v>-0.2093187</v>
      </c>
      <c r="AE3760">
        <v>-7.1600000000017802E-2</v>
      </c>
      <c r="AF3760">
        <v>0.111422902617032</v>
      </c>
      <c r="AG3760">
        <v>-0.2093187</v>
      </c>
      <c r="AH3760">
        <v>0.53931440117564999</v>
      </c>
      <c r="AI3760">
        <v>110.811437812744</v>
      </c>
      <c r="AJ3760">
        <v>78.326869706890406</v>
      </c>
      <c r="AK3760">
        <v>0.589142940815507</v>
      </c>
      <c r="AL3760">
        <v>79.064080636291493</v>
      </c>
      <c r="AM3760">
        <v>88.8969705365176</v>
      </c>
      <c r="AN3760">
        <v>0.99999996485075804</v>
      </c>
    </row>
    <row r="3761" spans="1:40" x14ac:dyDescent="0.3">
      <c r="A3761" t="str">
        <f>"20200111150432726"</f>
        <v>20200111150432726</v>
      </c>
      <c r="B3761" t="str">
        <f>"1578726272722323"</f>
        <v>1578726272722323</v>
      </c>
      <c r="C3761" t="s">
        <v>40</v>
      </c>
      <c r="D3761">
        <v>5.471463</v>
      </c>
      <c r="E3761">
        <v>0.56868660000000004</v>
      </c>
      <c r="F3761" t="s">
        <v>42</v>
      </c>
      <c r="G3761">
        <v>-128.5496</v>
      </c>
      <c r="H3761">
        <v>0.90447719999999998</v>
      </c>
      <c r="I3761">
        <v>138.1748</v>
      </c>
      <c r="J3761">
        <v>-129.15639999999999</v>
      </c>
      <c r="K3761">
        <v>1.106311</v>
      </c>
      <c r="L3761">
        <v>138.2508</v>
      </c>
      <c r="M3761">
        <v>0.99591980000000002</v>
      </c>
      <c r="N3761">
        <v>0</v>
      </c>
      <c r="O3761">
        <v>8.7815340000000006E-2</v>
      </c>
      <c r="P3761">
        <v>0.98341049999999997</v>
      </c>
      <c r="Q3761">
        <v>0.16919189999999901</v>
      </c>
      <c r="R3761">
        <v>6.5405999999999895E-2</v>
      </c>
      <c r="S3761">
        <v>3.2354579999999999</v>
      </c>
      <c r="T3761">
        <v>-0.94797290000000001</v>
      </c>
      <c r="U3761">
        <v>-0.31752010000000003</v>
      </c>
      <c r="V3761">
        <v>2.120578E-2</v>
      </c>
      <c r="W3761">
        <v>0.18964500000000001</v>
      </c>
      <c r="X3761">
        <v>0.98162369999999999</v>
      </c>
      <c r="Y3761">
        <v>0.17379269999999999</v>
      </c>
      <c r="Z3761">
        <v>-5.0029980000000002E-2</v>
      </c>
      <c r="AA3761">
        <v>0.98351060000000001</v>
      </c>
      <c r="AB3761">
        <v>9</v>
      </c>
      <c r="AC3761">
        <v>0.60679999999999201</v>
      </c>
      <c r="AD3761">
        <v>-0.20183380000000001</v>
      </c>
      <c r="AE3761">
        <v>-7.5999999999993406E-2</v>
      </c>
      <c r="AF3761">
        <v>0.11633236268133799</v>
      </c>
      <c r="AG3761">
        <v>-0.20183380000000001</v>
      </c>
      <c r="AH3761">
        <v>0.53906090862349099</v>
      </c>
      <c r="AI3761">
        <v>110.10221721745999</v>
      </c>
      <c r="AJ3761">
        <v>77.8220090350937</v>
      </c>
      <c r="AK3761">
        <v>0.58724506352582095</v>
      </c>
      <c r="AL3761">
        <v>79.067932461952495</v>
      </c>
      <c r="AM3761">
        <v>88.762445585967498</v>
      </c>
      <c r="AN3761">
        <v>0.99999999976604903</v>
      </c>
    </row>
    <row r="3762" spans="1:40" x14ac:dyDescent="0.3">
      <c r="A3762" t="str">
        <f>"20200111150432749"</f>
        <v>20200111150432749</v>
      </c>
      <c r="B3762" t="str">
        <f>"1578726272742818"</f>
        <v>1578726272742818</v>
      </c>
      <c r="C3762" t="s">
        <v>40</v>
      </c>
      <c r="D3762">
        <v>6.5173360000000002</v>
      </c>
      <c r="E3762">
        <v>0.56890620000000003</v>
      </c>
      <c r="F3762" t="s">
        <v>42</v>
      </c>
      <c r="G3762">
        <v>-128.47659999999999</v>
      </c>
      <c r="H3762">
        <v>0.90462830000000005</v>
      </c>
      <c r="I3762">
        <v>138.18549999999999</v>
      </c>
      <c r="J3762">
        <v>-129.07310000000001</v>
      </c>
      <c r="K3762">
        <v>1.1062940000000001</v>
      </c>
      <c r="L3762">
        <v>138.2593</v>
      </c>
      <c r="M3762">
        <v>0.99583999999999995</v>
      </c>
      <c r="N3762">
        <v>0</v>
      </c>
      <c r="O3762">
        <v>8.8738810000000001E-2</v>
      </c>
      <c r="P3762">
        <v>0.98372660000000001</v>
      </c>
      <c r="Q3762">
        <v>0.16752310000000001</v>
      </c>
      <c r="R3762">
        <v>6.4946820000000002E-2</v>
      </c>
      <c r="S3762">
        <v>3.2364649999999999</v>
      </c>
      <c r="T3762">
        <v>-0.96013059999999995</v>
      </c>
      <c r="U3762">
        <v>-0.31085210000000002</v>
      </c>
      <c r="V3762">
        <v>2.261987E-2</v>
      </c>
      <c r="W3762">
        <v>0.18788289999999999</v>
      </c>
      <c r="X3762">
        <v>0.981931</v>
      </c>
      <c r="Y3762">
        <v>0.1724145</v>
      </c>
      <c r="Z3762">
        <v>-5.0702179999999999E-2</v>
      </c>
      <c r="AA3762">
        <v>0.9837188</v>
      </c>
      <c r="AB3762">
        <v>8</v>
      </c>
      <c r="AC3762">
        <v>0.59650000000002001</v>
      </c>
      <c r="AD3762">
        <v>-0.201665699999999</v>
      </c>
      <c r="AE3762">
        <v>-7.3800000000005597E-2</v>
      </c>
      <c r="AF3762">
        <v>0.113657641894124</v>
      </c>
      <c r="AG3762">
        <v>-0.201665699999999</v>
      </c>
      <c r="AH3762">
        <v>0.52813959210746197</v>
      </c>
      <c r="AI3762">
        <v>110.470368997837</v>
      </c>
      <c r="AJ3762">
        <v>77.854959877786598</v>
      </c>
      <c r="AK3762">
        <v>0.57664420821582796</v>
      </c>
      <c r="AL3762">
        <v>79.170742345402303</v>
      </c>
      <c r="AM3762">
        <v>88.680361545886797</v>
      </c>
      <c r="AN3762">
        <v>1.0000000656961101</v>
      </c>
    </row>
    <row r="3763" spans="1:40" x14ac:dyDescent="0.3">
      <c r="A3763" t="str">
        <f>"20200111150432772"</f>
        <v>20200111150432772</v>
      </c>
      <c r="B3763" t="str">
        <f>"1578726272762339"</f>
        <v>1578726272762339</v>
      </c>
      <c r="C3763" t="s">
        <v>40</v>
      </c>
      <c r="D3763">
        <v>5.4744120000000001</v>
      </c>
      <c r="E3763">
        <v>0.56897439999999999</v>
      </c>
      <c r="F3763" t="s">
        <v>42</v>
      </c>
      <c r="G3763">
        <v>-128.33850000000001</v>
      </c>
      <c r="H3763">
        <v>0.88961319999999999</v>
      </c>
      <c r="I3763">
        <v>138.18770000000001</v>
      </c>
      <c r="J3763">
        <v>-128.99270000000001</v>
      </c>
      <c r="K3763">
        <v>1.1062809999999901</v>
      </c>
      <c r="L3763">
        <v>138.26740000000001</v>
      </c>
      <c r="M3763">
        <v>0.99576880000000001</v>
      </c>
      <c r="N3763">
        <v>0</v>
      </c>
      <c r="O3763">
        <v>8.9554430000000004E-2</v>
      </c>
      <c r="P3763">
        <v>0.98415090000000005</v>
      </c>
      <c r="Q3763">
        <v>0.16492119999999999</v>
      </c>
      <c r="R3763">
        <v>6.5178730000000004E-2</v>
      </c>
      <c r="S3763">
        <v>3.232834</v>
      </c>
      <c r="T3763">
        <v>-0.9537563</v>
      </c>
      <c r="U3763">
        <v>-0.31466670000000002</v>
      </c>
      <c r="V3763">
        <v>2.3245620000000002E-2</v>
      </c>
      <c r="W3763">
        <v>0.1852056</v>
      </c>
      <c r="X3763">
        <v>0.98242490000000005</v>
      </c>
      <c r="Y3763">
        <v>0.17447449999999901</v>
      </c>
      <c r="Z3763">
        <v>-5.0962720000000003E-2</v>
      </c>
      <c r="AA3763">
        <v>0.98334200000000005</v>
      </c>
      <c r="AB3763">
        <v>8</v>
      </c>
      <c r="AC3763">
        <v>0.654200000000002</v>
      </c>
      <c r="AD3763">
        <v>-0.21666779999999899</v>
      </c>
      <c r="AE3763">
        <v>-7.9700000000002505E-2</v>
      </c>
      <c r="AF3763">
        <v>0.124519738107344</v>
      </c>
      <c r="AG3763">
        <v>-0.21666779999999899</v>
      </c>
      <c r="AH3763">
        <v>0.58157155065488997</v>
      </c>
      <c r="AI3763">
        <v>110.016634113451</v>
      </c>
      <c r="AJ3763">
        <v>77.914920450682899</v>
      </c>
      <c r="AK3763">
        <v>0.63298939111670305</v>
      </c>
      <c r="AL3763">
        <v>79.326881290916006</v>
      </c>
      <c r="AM3763">
        <v>88.644550393019301</v>
      </c>
      <c r="AN3763">
        <v>1.0000000786302701</v>
      </c>
    </row>
    <row r="3764" spans="1:40" x14ac:dyDescent="0.3">
      <c r="A3764" t="str">
        <f>"20200111150432793"</f>
        <v>20200111150432793</v>
      </c>
      <c r="B3764" t="str">
        <f>"1578726272782836"</f>
        <v>1578726272782836</v>
      </c>
      <c r="C3764" t="s">
        <v>40</v>
      </c>
      <c r="D3764">
        <v>5.3724160000000003</v>
      </c>
      <c r="E3764">
        <v>0.56852769999999897</v>
      </c>
      <c r="F3764" t="s">
        <v>42</v>
      </c>
      <c r="G3764">
        <v>-128.26769999999999</v>
      </c>
      <c r="H3764">
        <v>0.89256550000000001</v>
      </c>
      <c r="I3764">
        <v>138.19640000000001</v>
      </c>
      <c r="J3764">
        <v>-128.91980000000001</v>
      </c>
      <c r="K3764">
        <v>1.1063099999999999</v>
      </c>
      <c r="L3764">
        <v>138.2748</v>
      </c>
      <c r="M3764">
        <v>0.99570610000000004</v>
      </c>
      <c r="N3764">
        <v>0</v>
      </c>
      <c r="O3764">
        <v>9.0242420000000004E-2</v>
      </c>
      <c r="P3764">
        <v>0.9839812</v>
      </c>
      <c r="Q3764">
        <v>0.16562669999999999</v>
      </c>
      <c r="R3764">
        <v>6.594527E-2</v>
      </c>
      <c r="S3764">
        <v>3.2286990000000002</v>
      </c>
      <c r="T3764">
        <v>-0.9518335</v>
      </c>
      <c r="U3764">
        <v>-0.31546020000000002</v>
      </c>
      <c r="V3764">
        <v>2.3156650000000001E-2</v>
      </c>
      <c r="W3764">
        <v>0.18593090000000001</v>
      </c>
      <c r="X3764">
        <v>0.98228990000000005</v>
      </c>
      <c r="Y3764">
        <v>0.17545999999999901</v>
      </c>
      <c r="Z3764">
        <v>-5.126584E-2</v>
      </c>
      <c r="AA3764">
        <v>0.98315079999999999</v>
      </c>
      <c r="AB3764">
        <v>8</v>
      </c>
      <c r="AC3764">
        <v>0.652100000000018</v>
      </c>
      <c r="AD3764">
        <v>-0.2137445</v>
      </c>
      <c r="AE3764">
        <v>-7.8399999999987799E-2</v>
      </c>
      <c r="AF3764">
        <v>0.12382547587732699</v>
      </c>
      <c r="AG3764">
        <v>-0.2137445</v>
      </c>
      <c r="AH3764">
        <v>0.58084547012316001</v>
      </c>
      <c r="AI3764">
        <v>109.793872252512</v>
      </c>
      <c r="AJ3764">
        <v>77.965748925136296</v>
      </c>
      <c r="AK3764">
        <v>0.63119008224075501</v>
      </c>
      <c r="AL3764">
        <v>79.284589151446397</v>
      </c>
      <c r="AM3764">
        <v>88.649550796491397</v>
      </c>
      <c r="AN3764">
        <v>0.99999998882802099</v>
      </c>
    </row>
    <row r="3765" spans="1:40" x14ac:dyDescent="0.3">
      <c r="A3765" t="str">
        <f>"20200111150432816"</f>
        <v>20200111150432816</v>
      </c>
      <c r="B3765" t="str">
        <f>"1578726272813090"</f>
        <v>1578726272813090</v>
      </c>
      <c r="C3765" t="s">
        <v>40</v>
      </c>
      <c r="D3765">
        <v>6.3967539999999996</v>
      </c>
      <c r="E3765">
        <v>0.56762500000000005</v>
      </c>
      <c r="F3765" t="s">
        <v>42</v>
      </c>
      <c r="G3765">
        <v>-128.19980000000001</v>
      </c>
      <c r="H3765">
        <v>0.89565629999999996</v>
      </c>
      <c r="I3765">
        <v>138.20570000000001</v>
      </c>
      <c r="J3765">
        <v>-128.84450000000001</v>
      </c>
      <c r="K3765">
        <v>1.1064670000000001</v>
      </c>
      <c r="L3765">
        <v>138.2824</v>
      </c>
      <c r="M3765">
        <v>0.99563650000000004</v>
      </c>
      <c r="N3765">
        <v>0</v>
      </c>
      <c r="O3765">
        <v>9.0887709999999997E-2</v>
      </c>
      <c r="P3765">
        <v>0.98346160000000005</v>
      </c>
      <c r="Q3765">
        <v>0.16858199999999901</v>
      </c>
      <c r="R3765">
        <v>6.6209439999999994E-2</v>
      </c>
      <c r="S3765">
        <v>3.228577</v>
      </c>
      <c r="T3765">
        <v>-0.94479550000000001</v>
      </c>
      <c r="U3765">
        <v>-0.30903629999999999</v>
      </c>
      <c r="V3765">
        <v>2.3497179999999999E-2</v>
      </c>
      <c r="W3765">
        <v>0.18938179999999999</v>
      </c>
      <c r="X3765">
        <v>0.98162229999999995</v>
      </c>
      <c r="Y3765">
        <v>0.17434169999999999</v>
      </c>
      <c r="Z3765">
        <v>-5.0932600000000001E-2</v>
      </c>
      <c r="AA3765">
        <v>0.98336710000000005</v>
      </c>
      <c r="AB3765">
        <v>8</v>
      </c>
      <c r="AC3765">
        <v>0.64470000000000005</v>
      </c>
      <c r="AD3765">
        <v>-0.21081069999999999</v>
      </c>
      <c r="AE3765">
        <v>-7.6699999999988194E-2</v>
      </c>
      <c r="AF3765">
        <v>0.122116072155059</v>
      </c>
      <c r="AG3765">
        <v>-0.21081069999999999</v>
      </c>
      <c r="AH3765">
        <v>0.57448917853385095</v>
      </c>
      <c r="AI3765">
        <v>109.744783181348</v>
      </c>
      <c r="AJ3765">
        <v>77.999558420104194</v>
      </c>
      <c r="AK3765">
        <v>0.62401226155065903</v>
      </c>
      <c r="AL3765">
        <v>79.083290617082</v>
      </c>
      <c r="AM3765">
        <v>88.628767705600595</v>
      </c>
      <c r="AN3765">
        <v>0.99999996174824002</v>
      </c>
    </row>
    <row r="3766" spans="1:40" x14ac:dyDescent="0.3">
      <c r="A3766" t="str">
        <f>"20200111150432838"</f>
        <v>20200111150432838</v>
      </c>
      <c r="B3766" t="str">
        <f>"1578726272832610"</f>
        <v>1578726272832610</v>
      </c>
      <c r="C3766" t="s">
        <v>40</v>
      </c>
      <c r="D3766">
        <v>5.2776209999999999</v>
      </c>
      <c r="E3766">
        <v>0.56819149999999996</v>
      </c>
      <c r="F3766" t="s">
        <v>42</v>
      </c>
      <c r="G3766">
        <v>-128.13480000000001</v>
      </c>
      <c r="H3766">
        <v>0.89870439999999996</v>
      </c>
      <c r="I3766">
        <v>138.2167</v>
      </c>
      <c r="J3766">
        <v>-128.774</v>
      </c>
      <c r="K3766">
        <v>1.1066020000000001</v>
      </c>
      <c r="L3766">
        <v>138.2895</v>
      </c>
      <c r="M3766">
        <v>0.99557549999999995</v>
      </c>
      <c r="N3766">
        <v>0</v>
      </c>
      <c r="O3766">
        <v>9.1445429999999994E-2</v>
      </c>
      <c r="P3766">
        <v>0.98286430000000002</v>
      </c>
      <c r="Q3766">
        <v>0.1722515</v>
      </c>
      <c r="R3766">
        <v>6.5632659999999995E-2</v>
      </c>
      <c r="S3766">
        <v>3.2327880000000002</v>
      </c>
      <c r="T3766">
        <v>-0.94645619999999997</v>
      </c>
      <c r="U3766">
        <v>-0.2986145</v>
      </c>
      <c r="V3766">
        <v>2.4575400000000001E-2</v>
      </c>
      <c r="W3766">
        <v>0.19349569999999999</v>
      </c>
      <c r="X3766">
        <v>0.98079329999999998</v>
      </c>
      <c r="Y3766">
        <v>0.17170189999999999</v>
      </c>
      <c r="Z3766">
        <v>-5.0743259999999998E-2</v>
      </c>
      <c r="AA3766">
        <v>0.98384119999999997</v>
      </c>
      <c r="AB3766">
        <v>8</v>
      </c>
      <c r="AC3766">
        <v>0.639199999999988</v>
      </c>
      <c r="AD3766">
        <v>-0.20789759999999999</v>
      </c>
      <c r="AE3766">
        <v>-7.2800000000000795E-2</v>
      </c>
      <c r="AF3766">
        <v>0.118577297720112</v>
      </c>
      <c r="AG3766">
        <v>-0.20789759999999999</v>
      </c>
      <c r="AH3766">
        <v>0.57030447409151597</v>
      </c>
      <c r="AI3766">
        <v>109.641734167593</v>
      </c>
      <c r="AJ3766">
        <v>78.254449419436796</v>
      </c>
      <c r="AK3766">
        <v>0.61848943466252104</v>
      </c>
      <c r="AL3766">
        <v>78.843140231747</v>
      </c>
      <c r="AM3766">
        <v>88.564659717308899</v>
      </c>
      <c r="AN3766">
        <v>1.00000001676427</v>
      </c>
    </row>
    <row r="3767" spans="1:40" x14ac:dyDescent="0.3">
      <c r="A3767" t="str">
        <f>"20200111150432860"</f>
        <v>20200111150432860</v>
      </c>
      <c r="B3767" t="str">
        <f>"1578726272852131"</f>
        <v>1578726272852131</v>
      </c>
      <c r="C3767" t="s">
        <v>40</v>
      </c>
      <c r="D3767">
        <v>5.4868189999999997</v>
      </c>
      <c r="E3767">
        <v>0.56905989999999995</v>
      </c>
      <c r="F3767" t="s">
        <v>42</v>
      </c>
      <c r="G3767">
        <v>-128.06960000000001</v>
      </c>
      <c r="H3767">
        <v>0.90330909999999998</v>
      </c>
      <c r="I3767">
        <v>138.2234</v>
      </c>
      <c r="J3767">
        <v>-128.7037</v>
      </c>
      <c r="K3767">
        <v>1.1066049999999901</v>
      </c>
      <c r="L3767">
        <v>138.29660000000001</v>
      </c>
      <c r="M3767">
        <v>0.99552660000000004</v>
      </c>
      <c r="N3767">
        <v>0</v>
      </c>
      <c r="O3767">
        <v>9.197843E-2</v>
      </c>
      <c r="P3767">
        <v>0.98252519999999999</v>
      </c>
      <c r="Q3767">
        <v>0.17443330000000001</v>
      </c>
      <c r="R3767">
        <v>6.4941319999999997E-2</v>
      </c>
      <c r="S3767">
        <v>3.2362519999999999</v>
      </c>
      <c r="T3767">
        <v>-0.93400870000000003</v>
      </c>
      <c r="U3767">
        <v>-0.30345149999999999</v>
      </c>
      <c r="V3767">
        <v>2.5753669999999999E-2</v>
      </c>
      <c r="W3767">
        <v>0.19566220000000001</v>
      </c>
      <c r="X3767">
        <v>0.98033309999999996</v>
      </c>
      <c r="Y3767">
        <v>0.1737881</v>
      </c>
      <c r="Z3767">
        <v>-5.0492700000000001E-2</v>
      </c>
      <c r="AA3767">
        <v>0.98348780000000002</v>
      </c>
      <c r="AB3767">
        <v>7</v>
      </c>
      <c r="AC3767">
        <v>0.63409999999998901</v>
      </c>
      <c r="AD3767">
        <v>-0.203295899999999</v>
      </c>
      <c r="AE3767">
        <v>-7.3200000000014101E-2</v>
      </c>
      <c r="AF3767">
        <v>0.119141456352714</v>
      </c>
      <c r="AG3767">
        <v>-0.203295899999999</v>
      </c>
      <c r="AH3767">
        <v>0.56714720935508101</v>
      </c>
      <c r="AI3767">
        <v>109.330703245031</v>
      </c>
      <c r="AJ3767">
        <v>78.136298154446806</v>
      </c>
      <c r="AK3767">
        <v>0.61414971029701804</v>
      </c>
      <c r="AL3767">
        <v>78.716589566304705</v>
      </c>
      <c r="AM3767">
        <v>88.495167314159701</v>
      </c>
      <c r="AN3767">
        <v>0.99999996749145803</v>
      </c>
    </row>
    <row r="3768" spans="1:40" x14ac:dyDescent="0.3">
      <c r="A3768" t="str">
        <f>"20200111150432882"</f>
        <v>20200111150432882</v>
      </c>
      <c r="B3768" t="str">
        <f>"1578726272872626"</f>
        <v>1578726272872626</v>
      </c>
      <c r="C3768" t="s">
        <v>40</v>
      </c>
      <c r="D3768">
        <v>5.2897150000000002</v>
      </c>
      <c r="E3768">
        <v>0.56977609999999901</v>
      </c>
      <c r="F3768" t="s">
        <v>42</v>
      </c>
      <c r="G3768">
        <v>-128.0042</v>
      </c>
      <c r="H3768">
        <v>0.90843030000000002</v>
      </c>
      <c r="I3768">
        <v>138.22899999999899</v>
      </c>
      <c r="J3768">
        <v>-128.63579999999999</v>
      </c>
      <c r="K3768">
        <v>1.106555</v>
      </c>
      <c r="L3768">
        <v>138.30350000000001</v>
      </c>
      <c r="M3768">
        <v>0.99548440000000005</v>
      </c>
      <c r="N3768">
        <v>0</v>
      </c>
      <c r="O3768">
        <v>9.2498999999999998E-2</v>
      </c>
      <c r="P3768">
        <v>0.98240119999999997</v>
      </c>
      <c r="Q3768">
        <v>0.1756064</v>
      </c>
      <c r="R3768">
        <v>6.3641119999999995E-2</v>
      </c>
      <c r="S3768">
        <v>3.2368160000000001</v>
      </c>
      <c r="T3768">
        <v>-0.91712059999999995</v>
      </c>
      <c r="U3768">
        <v>-0.31219479999999999</v>
      </c>
      <c r="V3768">
        <v>2.7542250000000001E-2</v>
      </c>
      <c r="W3768">
        <v>0.19655710000000001</v>
      </c>
      <c r="X3768">
        <v>0.98010549999999996</v>
      </c>
      <c r="Y3768">
        <v>0.17715059999999999</v>
      </c>
      <c r="Z3768">
        <v>-5.0211159999999998E-2</v>
      </c>
      <c r="AA3768">
        <v>0.9829021</v>
      </c>
      <c r="AB3768">
        <v>7</v>
      </c>
      <c r="AC3768">
        <v>0.63159999999999095</v>
      </c>
      <c r="AD3768">
        <v>-0.19812469999999999</v>
      </c>
      <c r="AE3768">
        <v>-7.4500000000028793E-2</v>
      </c>
      <c r="AF3768">
        <v>0.12088437435074</v>
      </c>
      <c r="AG3768">
        <v>-0.19812469999999999</v>
      </c>
      <c r="AH3768">
        <v>0.56697382526677598</v>
      </c>
      <c r="AI3768">
        <v>108.868416362597</v>
      </c>
      <c r="AJ3768">
        <v>77.964195012430807</v>
      </c>
      <c r="AK3768">
        <v>0.61263834947699802</v>
      </c>
      <c r="AL3768">
        <v>78.664300932676497</v>
      </c>
      <c r="AM3768">
        <v>88.390337068843607</v>
      </c>
      <c r="AN3768">
        <v>1.00000003011286</v>
      </c>
    </row>
    <row r="3769" spans="1:40" x14ac:dyDescent="0.3">
      <c r="A3769" t="str">
        <f>"20200111150432904"</f>
        <v>20200111150432904</v>
      </c>
      <c r="B3769" t="str">
        <f>"1578726272902883"</f>
        <v>1578726272902883</v>
      </c>
      <c r="C3769" t="s">
        <v>40</v>
      </c>
      <c r="D3769">
        <v>5.3224939999999998</v>
      </c>
      <c r="E3769">
        <v>0.56986150000000002</v>
      </c>
      <c r="F3769" t="s">
        <v>42</v>
      </c>
      <c r="G3769">
        <v>-127.94029999999999</v>
      </c>
      <c r="H3769">
        <v>0.91224859999999997</v>
      </c>
      <c r="I3769">
        <v>138.23439999999999</v>
      </c>
      <c r="J3769">
        <v>-128.5686</v>
      </c>
      <c r="K3769">
        <v>1.1065449999999999</v>
      </c>
      <c r="L3769">
        <v>138.31030000000001</v>
      </c>
      <c r="M3769">
        <v>0.9954383</v>
      </c>
      <c r="N3769">
        <v>0</v>
      </c>
      <c r="O3769">
        <v>9.3026330000000004E-2</v>
      </c>
      <c r="P3769">
        <v>0.98232410000000003</v>
      </c>
      <c r="Q3769">
        <v>0.17694560000000001</v>
      </c>
      <c r="R3769">
        <v>6.1072149999999999E-2</v>
      </c>
      <c r="S3769">
        <v>3.2361759999999999</v>
      </c>
      <c r="T3769">
        <v>-0.90420250000000002</v>
      </c>
      <c r="U3769">
        <v>-0.32121280000000002</v>
      </c>
      <c r="V3769">
        <v>3.0608449999999999E-2</v>
      </c>
      <c r="W3769">
        <v>0.19774079999999999</v>
      </c>
      <c r="X3769">
        <v>0.97977639999999999</v>
      </c>
      <c r="Y3769">
        <v>0.18054049999999999</v>
      </c>
      <c r="Z3769">
        <v>-5.0141520000000002E-2</v>
      </c>
      <c r="AA3769">
        <v>0.98228870000000001</v>
      </c>
      <c r="AB3769">
        <v>7</v>
      </c>
      <c r="AC3769">
        <v>0.62830000000000996</v>
      </c>
      <c r="AD3769">
        <v>-0.19429640000000001</v>
      </c>
      <c r="AE3769">
        <v>-7.5900000000018494E-2</v>
      </c>
      <c r="AF3769">
        <v>0.122487270475704</v>
      </c>
      <c r="AG3769">
        <v>-0.19429640000000001</v>
      </c>
      <c r="AH3769">
        <v>0.56523577901184796</v>
      </c>
      <c r="AI3769">
        <v>108.569596740286</v>
      </c>
      <c r="AJ3769">
        <v>77.772987551903498</v>
      </c>
      <c r="AK3769">
        <v>0.61011942138951702</v>
      </c>
      <c r="AL3769">
        <v>78.595122384552596</v>
      </c>
      <c r="AM3769">
        <v>88.210648046290402</v>
      </c>
      <c r="AN3769">
        <v>1.0000000475965001</v>
      </c>
    </row>
    <row r="3770" spans="1:40" x14ac:dyDescent="0.3">
      <c r="A3770" t="str">
        <f>"20200111150432928"</f>
        <v>20200111150432928</v>
      </c>
      <c r="B3770" t="str">
        <f>"1578726272922405"</f>
        <v>1578726272922405</v>
      </c>
      <c r="C3770" t="s">
        <v>40</v>
      </c>
      <c r="D3770">
        <v>5.3064910000000003</v>
      </c>
      <c r="E3770">
        <v>0.56974749999999996</v>
      </c>
      <c r="F3770" t="s">
        <v>42</v>
      </c>
      <c r="G3770">
        <v>-127.87869999999999</v>
      </c>
      <c r="H3770">
        <v>0.91510570000000002</v>
      </c>
      <c r="I3770">
        <v>138.2397</v>
      </c>
      <c r="J3770">
        <v>-128.50190000000001</v>
      </c>
      <c r="K3770">
        <v>1.1065969999999901</v>
      </c>
      <c r="L3770">
        <v>138.31720000000001</v>
      </c>
      <c r="M3770">
        <v>0.99538720000000003</v>
      </c>
      <c r="N3770">
        <v>0</v>
      </c>
      <c r="O3770">
        <v>9.3562290000000006E-2</v>
      </c>
      <c r="P3770">
        <v>0.98240349999999999</v>
      </c>
      <c r="Q3770">
        <v>0.1775719</v>
      </c>
      <c r="R3770">
        <v>5.7895269999999999E-2</v>
      </c>
      <c r="S3770">
        <v>3.2362980000000001</v>
      </c>
      <c r="T3770">
        <v>-0.89818410000000004</v>
      </c>
      <c r="U3770">
        <v>-0.3303528</v>
      </c>
      <c r="V3770">
        <v>3.4306080000000003E-2</v>
      </c>
      <c r="W3770">
        <v>0.19840070000000001</v>
      </c>
      <c r="X3770">
        <v>0.97952039999999996</v>
      </c>
      <c r="Y3770">
        <v>0.18380740000000001</v>
      </c>
      <c r="Z3770">
        <v>-5.0401639999999998E-2</v>
      </c>
      <c r="AA3770">
        <v>0.98166920000000002</v>
      </c>
      <c r="AB3770">
        <v>7</v>
      </c>
      <c r="AC3770">
        <v>0.62320000000001097</v>
      </c>
      <c r="AD3770">
        <v>-0.191491299999999</v>
      </c>
      <c r="AE3770">
        <v>-7.7500000000014696E-2</v>
      </c>
      <c r="AF3770">
        <v>0.12395591999257601</v>
      </c>
      <c r="AG3770">
        <v>-0.191491299999999</v>
      </c>
      <c r="AH3770">
        <v>0.56104750025685901</v>
      </c>
      <c r="AI3770">
        <v>108.431847858865</v>
      </c>
      <c r="AJ3770">
        <v>77.541406407939107</v>
      </c>
      <c r="AK3770">
        <v>0.60564699753351903</v>
      </c>
      <c r="AL3770">
        <v>78.556547877312099</v>
      </c>
      <c r="AM3770">
        <v>87.994130088328504</v>
      </c>
      <c r="AN3770">
        <v>0.99999997945080799</v>
      </c>
    </row>
    <row r="3771" spans="1:40" x14ac:dyDescent="0.3">
      <c r="A3771" t="str">
        <f>"20200111150432950"</f>
        <v>20200111150432950</v>
      </c>
      <c r="B3771" t="str">
        <f>"1578726272942898"</f>
        <v>1578726272942898</v>
      </c>
      <c r="C3771" t="s">
        <v>40</v>
      </c>
      <c r="D3771">
        <v>5.3339600000000003</v>
      </c>
      <c r="E3771">
        <v>0.56956289999999998</v>
      </c>
      <c r="F3771" t="s">
        <v>42</v>
      </c>
      <c r="G3771">
        <v>-127.81950000000001</v>
      </c>
      <c r="H3771">
        <v>0.916906</v>
      </c>
      <c r="I3771">
        <v>138.24549999999999</v>
      </c>
      <c r="J3771">
        <v>-128.43719999999999</v>
      </c>
      <c r="K3771">
        <v>1.106654</v>
      </c>
      <c r="L3771">
        <v>138.32380000000001</v>
      </c>
      <c r="M3771">
        <v>0.99533669999999996</v>
      </c>
      <c r="N3771">
        <v>0</v>
      </c>
      <c r="O3771">
        <v>9.4093640000000006E-2</v>
      </c>
      <c r="P3771">
        <v>0.98251929999999998</v>
      </c>
      <c r="Q3771">
        <v>0.1779097</v>
      </c>
      <c r="R3771">
        <v>5.4810440000000002E-2</v>
      </c>
      <c r="S3771">
        <v>3.2363740000000001</v>
      </c>
      <c r="T3771">
        <v>-0.89968029999999999</v>
      </c>
      <c r="U3771">
        <v>-0.339599599999999</v>
      </c>
      <c r="V3771">
        <v>3.7909079999999998E-2</v>
      </c>
      <c r="W3771">
        <v>0.1987601</v>
      </c>
      <c r="X3771">
        <v>0.97931469999999998</v>
      </c>
      <c r="Y3771">
        <v>0.18693480000000001</v>
      </c>
      <c r="Z3771">
        <v>-5.1045239999999999E-2</v>
      </c>
      <c r="AA3771">
        <v>0.98104519999999995</v>
      </c>
      <c r="AB3771">
        <v>7</v>
      </c>
      <c r="AC3771">
        <v>0.61769999999998404</v>
      </c>
      <c r="AD3771">
        <v>-0.189748</v>
      </c>
      <c r="AE3771">
        <v>-7.8300000000012901E-2</v>
      </c>
      <c r="AF3771">
        <v>0.124522760128762</v>
      </c>
      <c r="AG3771">
        <v>-0.189748</v>
      </c>
      <c r="AH3771">
        <v>0.55595719687838696</v>
      </c>
      <c r="AI3771">
        <v>108.42023073744301</v>
      </c>
      <c r="AJ3771">
        <v>77.375306579996106</v>
      </c>
      <c r="AK3771">
        <v>0.60049864783774498</v>
      </c>
      <c r="AL3771">
        <v>78.5355373312496</v>
      </c>
      <c r="AM3771">
        <v>87.783198422908995</v>
      </c>
      <c r="AN3771">
        <v>0.99999997866727297</v>
      </c>
    </row>
    <row r="3772" spans="1:40" x14ac:dyDescent="0.3">
      <c r="A3772" t="str">
        <f>"20200111150432972"</f>
        <v>20200111150432972</v>
      </c>
      <c r="B3772" t="str">
        <f>"1578726272962419"</f>
        <v>1578726272962419</v>
      </c>
      <c r="C3772" t="s">
        <v>40</v>
      </c>
      <c r="D3772">
        <v>5.3348139999999997</v>
      </c>
      <c r="E3772">
        <v>0.56949749999999999</v>
      </c>
      <c r="F3772" t="s">
        <v>42</v>
      </c>
      <c r="G3772">
        <v>-127.7107</v>
      </c>
      <c r="H3772">
        <v>0.90400199999999997</v>
      </c>
      <c r="I3772">
        <v>138.24549999999999</v>
      </c>
      <c r="J3772">
        <v>-128.37520000000001</v>
      </c>
      <c r="K3772">
        <v>1.1066800000000001</v>
      </c>
      <c r="L3772">
        <v>138.33029999999999</v>
      </c>
      <c r="M3772">
        <v>0.99528989999999995</v>
      </c>
      <c r="N3772">
        <v>0</v>
      </c>
      <c r="O3772">
        <v>9.4608689999999995E-2</v>
      </c>
      <c r="P3772">
        <v>0.98260429999999999</v>
      </c>
      <c r="Q3772">
        <v>0.17780599999999999</v>
      </c>
      <c r="R3772">
        <v>5.3611260000000001E-2</v>
      </c>
      <c r="S3772">
        <v>3.2362980000000001</v>
      </c>
      <c r="T3772">
        <v>-0.90277580000000002</v>
      </c>
      <c r="U3772">
        <v>-0.34880070000000002</v>
      </c>
      <c r="V3772">
        <v>3.96129E-2</v>
      </c>
      <c r="W3772">
        <v>0.1985662</v>
      </c>
      <c r="X3772">
        <v>0.97928660000000001</v>
      </c>
      <c r="Y3772">
        <v>0.1899972</v>
      </c>
      <c r="Z3772">
        <v>-5.1767630000000002E-2</v>
      </c>
      <c r="AA3772">
        <v>0.98041889999999998</v>
      </c>
      <c r="AB3772">
        <v>6</v>
      </c>
      <c r="AC3772">
        <v>0.66450000000000298</v>
      </c>
      <c r="AD3772">
        <v>-0.202677999999999</v>
      </c>
      <c r="AE3772">
        <v>-8.4800000000001305E-2</v>
      </c>
      <c r="AF3772">
        <v>0.13494795944637</v>
      </c>
      <c r="AG3772">
        <v>-0.202677999999999</v>
      </c>
      <c r="AH3772">
        <v>0.59868982484872302</v>
      </c>
      <c r="AI3772">
        <v>108.275817985956</v>
      </c>
      <c r="AJ3772">
        <v>77.297506317707501</v>
      </c>
      <c r="AK3772">
        <v>0.64631171258157905</v>
      </c>
      <c r="AL3772">
        <v>78.546872956538493</v>
      </c>
      <c r="AM3772">
        <v>87.683604288270999</v>
      </c>
      <c r="AN3772">
        <v>0.99999998128420398</v>
      </c>
    </row>
    <row r="3773" spans="1:40" x14ac:dyDescent="0.3">
      <c r="A3773" t="str">
        <f>"20200111150432994"</f>
        <v>20200111150432994</v>
      </c>
      <c r="B3773" t="str">
        <f>"1578726272982915"</f>
        <v>1578726272982915</v>
      </c>
      <c r="C3773" t="s">
        <v>40</v>
      </c>
      <c r="D3773">
        <v>5.3650570000000002</v>
      </c>
      <c r="E3773">
        <v>0.569415</v>
      </c>
      <c r="F3773" t="s">
        <v>42</v>
      </c>
      <c r="G3773">
        <v>-127.6554</v>
      </c>
      <c r="H3773">
        <v>0.9052365</v>
      </c>
      <c r="I3773">
        <v>138.25129999999999</v>
      </c>
      <c r="J3773">
        <v>-128.31630000000001</v>
      </c>
      <c r="K3773">
        <v>1.106703</v>
      </c>
      <c r="L3773">
        <v>138.3364</v>
      </c>
      <c r="M3773">
        <v>0.99524579999999996</v>
      </c>
      <c r="N3773">
        <v>0</v>
      </c>
      <c r="O3773">
        <v>9.5097879999999996E-2</v>
      </c>
      <c r="P3773">
        <v>0.98250020000000005</v>
      </c>
      <c r="Q3773">
        <v>0.1783825</v>
      </c>
      <c r="R3773">
        <v>5.3604430000000002E-2</v>
      </c>
      <c r="S3773">
        <v>3.2363740000000001</v>
      </c>
      <c r="T3773">
        <v>-0.90587790000000001</v>
      </c>
      <c r="U3773">
        <v>-0.35461429999999999</v>
      </c>
      <c r="V3773">
        <v>4.0086660000000003E-2</v>
      </c>
      <c r="W3773">
        <v>0.19902600000000001</v>
      </c>
      <c r="X3773">
        <v>0.97917399999999999</v>
      </c>
      <c r="Y3773">
        <v>0.19204930000000001</v>
      </c>
      <c r="Z3773">
        <v>-5.2348400000000003E-2</v>
      </c>
      <c r="AA3773">
        <v>0.97998810000000003</v>
      </c>
      <c r="AB3773">
        <v>6</v>
      </c>
      <c r="AC3773">
        <v>0.66090000000001203</v>
      </c>
      <c r="AD3773">
        <v>-0.20146649999999999</v>
      </c>
      <c r="AE3773">
        <v>-8.5100000000011194E-2</v>
      </c>
      <c r="AF3773">
        <v>0.13521799454132899</v>
      </c>
      <c r="AG3773">
        <v>-0.20146649999999999</v>
      </c>
      <c r="AH3773">
        <v>0.59538482168736595</v>
      </c>
      <c r="AI3773">
        <v>108.26171910630499</v>
      </c>
      <c r="AJ3773">
        <v>77.2045863805604</v>
      </c>
      <c r="AK3773">
        <v>0.64292747846528198</v>
      </c>
      <c r="AL3773">
        <v>78.519992115839102</v>
      </c>
      <c r="AM3773">
        <v>87.655662261958497</v>
      </c>
      <c r="AN3773">
        <v>1.0000000056309699</v>
      </c>
    </row>
    <row r="3774" spans="1:40" x14ac:dyDescent="0.3">
      <c r="A3774" t="str">
        <f>"20200111150433017"</f>
        <v>20200111150433017</v>
      </c>
      <c r="B3774" t="str">
        <f>"1578726273012195"</f>
        <v>1578726273012195</v>
      </c>
      <c r="C3774" t="s">
        <v>40</v>
      </c>
      <c r="D3774">
        <v>5.3549850000000001</v>
      </c>
      <c r="E3774">
        <v>0.56896590000000002</v>
      </c>
      <c r="F3774" t="s">
        <v>42</v>
      </c>
      <c r="G3774">
        <v>-127.60129999999999</v>
      </c>
      <c r="H3774">
        <v>0.90703389999999995</v>
      </c>
      <c r="I3774">
        <v>138.2576</v>
      </c>
      <c r="J3774">
        <v>-128.2567</v>
      </c>
      <c r="K3774">
        <v>1.106732</v>
      </c>
      <c r="L3774">
        <v>138.34270000000001</v>
      </c>
      <c r="M3774">
        <v>0.99519970000000002</v>
      </c>
      <c r="N3774">
        <v>0</v>
      </c>
      <c r="O3774">
        <v>9.5594170000000006E-2</v>
      </c>
      <c r="P3774">
        <v>0.98198929999999995</v>
      </c>
      <c r="Q3774">
        <v>0.18113799999999999</v>
      </c>
      <c r="R3774">
        <v>5.372325E-2</v>
      </c>
      <c r="S3774">
        <v>3.2370299999999999</v>
      </c>
      <c r="T3774">
        <v>-0.90401480000000001</v>
      </c>
      <c r="U3774">
        <v>-0.35656739999999998</v>
      </c>
      <c r="V3774">
        <v>4.0405990000000003E-2</v>
      </c>
      <c r="W3774">
        <v>0.2016935</v>
      </c>
      <c r="X3774">
        <v>0.97861489999999995</v>
      </c>
      <c r="Y3774">
        <v>0.19309090000000001</v>
      </c>
      <c r="Z3774">
        <v>-5.2510880000000003E-2</v>
      </c>
      <c r="AA3774">
        <v>0.9797747</v>
      </c>
      <c r="AB3774">
        <v>6</v>
      </c>
      <c r="AC3774">
        <v>0.65539999999999998</v>
      </c>
      <c r="AD3774">
        <v>-0.19969809999999999</v>
      </c>
      <c r="AE3774">
        <v>-8.5100000000011194E-2</v>
      </c>
      <c r="AF3774">
        <v>0.13504645577611299</v>
      </c>
      <c r="AG3774">
        <v>-0.19969809999999999</v>
      </c>
      <c r="AH3774">
        <v>0.59036007402505997</v>
      </c>
      <c r="AI3774">
        <v>108.249839481842</v>
      </c>
      <c r="AJ3774">
        <v>77.115128892909695</v>
      </c>
      <c r="AK3774">
        <v>0.63768479154216395</v>
      </c>
      <c r="AL3774">
        <v>78.363992405336901</v>
      </c>
      <c r="AM3774">
        <v>87.635659885248401</v>
      </c>
      <c r="AN3774">
        <v>1.0000000172360699</v>
      </c>
    </row>
    <row r="3775" spans="1:40" x14ac:dyDescent="0.3">
      <c r="A3775" t="str">
        <f>"20200111150433039"</f>
        <v>20200111150433039</v>
      </c>
      <c r="B3775" t="str">
        <f>"1578726273032690"</f>
        <v>1578726273032690</v>
      </c>
      <c r="C3775" t="s">
        <v>40</v>
      </c>
      <c r="D3775">
        <v>5.3520099999999999</v>
      </c>
      <c r="E3775">
        <v>0.56870030000000005</v>
      </c>
      <c r="F3775" t="s">
        <v>42</v>
      </c>
      <c r="G3775">
        <v>-127.54819999999999</v>
      </c>
      <c r="H3775">
        <v>0.91036919999999999</v>
      </c>
      <c r="I3775">
        <v>138.26519999999999</v>
      </c>
      <c r="J3775">
        <v>-128.19909999999999</v>
      </c>
      <c r="K3775">
        <v>1.1067709999999999</v>
      </c>
      <c r="L3775">
        <v>138.34880000000001</v>
      </c>
      <c r="M3775">
        <v>0.99515450000000005</v>
      </c>
      <c r="N3775">
        <v>0</v>
      </c>
      <c r="O3775">
        <v>9.607504E-2</v>
      </c>
      <c r="P3775">
        <v>0.98132580000000003</v>
      </c>
      <c r="Q3775">
        <v>0.1848947</v>
      </c>
      <c r="R3775">
        <v>5.3045229999999999E-2</v>
      </c>
      <c r="S3775">
        <v>3.2399900000000001</v>
      </c>
      <c r="T3775">
        <v>-0.89796290000000001</v>
      </c>
      <c r="U3775">
        <v>-0.35345460000000001</v>
      </c>
      <c r="V3775">
        <v>4.1491630000000002E-2</v>
      </c>
      <c r="W3775">
        <v>0.2053905</v>
      </c>
      <c r="X3775">
        <v>0.97780020000000001</v>
      </c>
      <c r="Y3775">
        <v>0.19269439999999999</v>
      </c>
      <c r="Z3775">
        <v>-5.22052E-2</v>
      </c>
      <c r="AA3775">
        <v>0.97986910000000005</v>
      </c>
      <c r="AB3775">
        <v>6</v>
      </c>
      <c r="AC3775">
        <v>0.65089999999999204</v>
      </c>
      <c r="AD3775">
        <v>-0.19640179999999999</v>
      </c>
      <c r="AE3775">
        <v>-8.3600000000018299E-2</v>
      </c>
      <c r="AF3775">
        <v>0.13377954997578601</v>
      </c>
      <c r="AG3775">
        <v>-0.19640179999999999</v>
      </c>
      <c r="AH3775">
        <v>0.587254393330775</v>
      </c>
      <c r="AI3775">
        <v>108.060453739851</v>
      </c>
      <c r="AJ3775">
        <v>77.166732344412495</v>
      </c>
      <c r="AK3775">
        <v>0.63351271299103495</v>
      </c>
      <c r="AL3775">
        <v>78.147640767458796</v>
      </c>
      <c r="AM3775">
        <v>87.570188715917993</v>
      </c>
      <c r="AN3775">
        <v>1.0000000219851699</v>
      </c>
    </row>
    <row r="3776" spans="1:40" x14ac:dyDescent="0.3">
      <c r="A3776" t="str">
        <f>"20200111150433060"</f>
        <v>20200111150433060</v>
      </c>
      <c r="B3776" t="str">
        <f>"1578726273052212"</f>
        <v>1578726273052212</v>
      </c>
      <c r="C3776" t="s">
        <v>40</v>
      </c>
      <c r="D3776">
        <v>5.4075579999999999</v>
      </c>
      <c r="E3776">
        <v>0.56830669999999905</v>
      </c>
      <c r="F3776" t="s">
        <v>42</v>
      </c>
      <c r="G3776">
        <v>-127.49590000000001</v>
      </c>
      <c r="H3776">
        <v>0.91464109999999998</v>
      </c>
      <c r="I3776">
        <v>138.27260000000001</v>
      </c>
      <c r="J3776">
        <v>-128.14439999999999</v>
      </c>
      <c r="K3776">
        <v>1.1067929999999999</v>
      </c>
      <c r="L3776">
        <v>138.3546</v>
      </c>
      <c r="M3776">
        <v>0.99511159999999999</v>
      </c>
      <c r="N3776">
        <v>0</v>
      </c>
      <c r="O3776">
        <v>9.6526979999999998E-2</v>
      </c>
      <c r="P3776">
        <v>0.98100350000000003</v>
      </c>
      <c r="Q3776">
        <v>0.18670429999999999</v>
      </c>
      <c r="R3776">
        <v>5.2666940000000002E-2</v>
      </c>
      <c r="S3776">
        <v>3.2430569999999999</v>
      </c>
      <c r="T3776">
        <v>-0.88607769999999997</v>
      </c>
      <c r="U3776">
        <v>-0.35144039999999999</v>
      </c>
      <c r="V3776">
        <v>4.2285639999999999E-2</v>
      </c>
      <c r="W3776">
        <v>0.20714769999999999</v>
      </c>
      <c r="X3776">
        <v>0.97739540000000003</v>
      </c>
      <c r="Y3776">
        <v>0.19271759999999999</v>
      </c>
      <c r="Z3776">
        <v>-5.161723E-2</v>
      </c>
      <c r="AA3776">
        <v>0.97989570000000004</v>
      </c>
      <c r="AB3776">
        <v>6</v>
      </c>
      <c r="AC3776">
        <v>0.64849999999998398</v>
      </c>
      <c r="AD3776">
        <v>-0.19215189999999999</v>
      </c>
      <c r="AE3776">
        <v>-8.1999999999993606E-2</v>
      </c>
      <c r="AF3776">
        <v>0.13275638502819201</v>
      </c>
      <c r="AG3776">
        <v>-0.19215189999999999</v>
      </c>
      <c r="AH3776">
        <v>0.58684248683273399</v>
      </c>
      <c r="AI3776">
        <v>107.711588196805</v>
      </c>
      <c r="AJ3776">
        <v>77.253019762980799</v>
      </c>
      <c r="AK3776">
        <v>0.63160962214914895</v>
      </c>
      <c r="AL3776">
        <v>78.044747743006695</v>
      </c>
      <c r="AM3776">
        <v>87.522723360303701</v>
      </c>
      <c r="AN3776">
        <v>1.0000000064533201</v>
      </c>
    </row>
    <row r="3777" spans="1:40" x14ac:dyDescent="0.3">
      <c r="A3777" t="str">
        <f>"20200111150433084"</f>
        <v>20200111150433084</v>
      </c>
      <c r="B3777" t="str">
        <f>"1578726273072707"</f>
        <v>1578726273072707</v>
      </c>
      <c r="C3777" t="s">
        <v>40</v>
      </c>
      <c r="D3777">
        <v>5.4285880000000004</v>
      </c>
      <c r="E3777">
        <v>0.56778109999999904</v>
      </c>
      <c r="F3777" t="s">
        <v>42</v>
      </c>
      <c r="G3777">
        <v>-127.4456</v>
      </c>
      <c r="H3777">
        <v>0.91725129999999999</v>
      </c>
      <c r="I3777">
        <v>138.279</v>
      </c>
      <c r="J3777">
        <v>-128.09</v>
      </c>
      <c r="K3777">
        <v>1.1067940000000001</v>
      </c>
      <c r="L3777">
        <v>138.3604</v>
      </c>
      <c r="M3777">
        <v>0.99507060000000003</v>
      </c>
      <c r="N3777">
        <v>0</v>
      </c>
      <c r="O3777">
        <v>9.6961130000000006E-2</v>
      </c>
      <c r="P3777">
        <v>0.98108289999999998</v>
      </c>
      <c r="Q3777">
        <v>0.18651090000000001</v>
      </c>
      <c r="R3777">
        <v>5.186756E-2</v>
      </c>
      <c r="S3777">
        <v>3.2444000000000002</v>
      </c>
      <c r="T3777">
        <v>-0.88014680000000001</v>
      </c>
      <c r="U3777">
        <v>-0.35002139999999998</v>
      </c>
      <c r="V3777">
        <v>4.3522749999999999E-2</v>
      </c>
      <c r="W3777">
        <v>0.2069</v>
      </c>
      <c r="X3777">
        <v>0.97739359999999997</v>
      </c>
      <c r="Y3777">
        <v>0.19280449999999999</v>
      </c>
      <c r="Z3777">
        <v>-5.1391159999999998E-2</v>
      </c>
      <c r="AA3777">
        <v>0.9798905</v>
      </c>
      <c r="AB3777">
        <v>6</v>
      </c>
      <c r="AC3777">
        <v>0.64440000000000397</v>
      </c>
      <c r="AD3777">
        <v>-0.18954269999999901</v>
      </c>
      <c r="AE3777">
        <v>-8.1400000000002096E-2</v>
      </c>
      <c r="AF3777">
        <v>0.13224941515500999</v>
      </c>
      <c r="AG3777">
        <v>-0.18954269999999901</v>
      </c>
      <c r="AH3777">
        <v>0.58375623331317505</v>
      </c>
      <c r="AI3777">
        <v>107.571440850006</v>
      </c>
      <c r="AJ3777">
        <v>77.235167684452506</v>
      </c>
      <c r="AK3777">
        <v>0.62784367709177302</v>
      </c>
      <c r="AL3777">
        <v>78.059254637956101</v>
      </c>
      <c r="AM3777">
        <v>87.450337673228006</v>
      </c>
      <c r="AN3777">
        <v>1.0000000445442601</v>
      </c>
    </row>
    <row r="3778" spans="1:40" x14ac:dyDescent="0.3">
      <c r="A3778" t="str">
        <f>"20200111150433105"</f>
        <v>20200111150433105</v>
      </c>
      <c r="B3778" t="str">
        <f>"1578726273102962"</f>
        <v>1578726273102962</v>
      </c>
      <c r="C3778" t="s">
        <v>40</v>
      </c>
      <c r="D3778">
        <v>5.5500400000000001</v>
      </c>
      <c r="E3778">
        <v>0.56723509999999999</v>
      </c>
      <c r="F3778" t="s">
        <v>42</v>
      </c>
      <c r="G3778">
        <v>-127.3973</v>
      </c>
      <c r="H3778">
        <v>0.91836300000000004</v>
      </c>
      <c r="I3778">
        <v>138.2859</v>
      </c>
      <c r="J3778">
        <v>-128.03870000000001</v>
      </c>
      <c r="K3778">
        <v>1.1068</v>
      </c>
      <c r="L3778">
        <v>138.36590000000001</v>
      </c>
      <c r="M3778">
        <v>0.99503370000000002</v>
      </c>
      <c r="N3778">
        <v>0</v>
      </c>
      <c r="O3778">
        <v>9.7347690000000001E-2</v>
      </c>
      <c r="P3778">
        <v>0.98112359999999998</v>
      </c>
      <c r="Q3778">
        <v>0.1866495</v>
      </c>
      <c r="R3778">
        <v>5.0582530000000001E-2</v>
      </c>
      <c r="S3778">
        <v>3.2440190000000002</v>
      </c>
      <c r="T3778">
        <v>-0.88238539999999999</v>
      </c>
      <c r="U3778">
        <v>-0.34870909999999999</v>
      </c>
      <c r="V3778">
        <v>4.519488E-2</v>
      </c>
      <c r="W3778">
        <v>0.20699000000000001</v>
      </c>
      <c r="X3778">
        <v>0.97729860000000002</v>
      </c>
      <c r="Y3778">
        <v>0.19273879999999999</v>
      </c>
      <c r="Z3778">
        <v>-5.1618209999999998E-2</v>
      </c>
      <c r="AA3778">
        <v>0.97989150000000003</v>
      </c>
      <c r="AB3778">
        <v>6</v>
      </c>
      <c r="AC3778">
        <v>0.64140000000000397</v>
      </c>
      <c r="AD3778">
        <v>-0.18843699999999999</v>
      </c>
      <c r="AE3778">
        <v>-8.0000000000012506E-2</v>
      </c>
      <c r="AF3778">
        <v>0.13094322446704301</v>
      </c>
      <c r="AG3778">
        <v>-0.18843699999999999</v>
      </c>
      <c r="AH3778">
        <v>0.58116899245945997</v>
      </c>
      <c r="AI3778">
        <v>107.552611852814</v>
      </c>
      <c r="AJ3778">
        <v>77.302708159019602</v>
      </c>
      <c r="AK3778">
        <v>0.62482959981035702</v>
      </c>
      <c r="AL3778">
        <v>78.053983325102905</v>
      </c>
      <c r="AM3778">
        <v>87.352260284100296</v>
      </c>
      <c r="AN3778">
        <v>0.999999995420087</v>
      </c>
    </row>
    <row r="3779" spans="1:40" x14ac:dyDescent="0.3">
      <c r="A3779" t="str">
        <f>"20200111150433130"</f>
        <v>20200111150433130</v>
      </c>
      <c r="B3779" t="str">
        <f>"1578726273122482"</f>
        <v>1578726273122482</v>
      </c>
      <c r="C3779" t="s">
        <v>40</v>
      </c>
      <c r="D3779">
        <v>5.4115250000000001</v>
      </c>
      <c r="E3779">
        <v>0.56713950000000002</v>
      </c>
      <c r="F3779" t="s">
        <v>42</v>
      </c>
      <c r="G3779">
        <v>-127.3501</v>
      </c>
      <c r="H3779">
        <v>0.9196936</v>
      </c>
      <c r="I3779">
        <v>138.2919</v>
      </c>
      <c r="J3779">
        <v>-127.9854</v>
      </c>
      <c r="K3779">
        <v>1.1068260000000001</v>
      </c>
      <c r="L3779">
        <v>138.3716</v>
      </c>
      <c r="M3779">
        <v>0.99499839999999995</v>
      </c>
      <c r="N3779">
        <v>0</v>
      </c>
      <c r="O3779">
        <v>9.7716150000000002E-2</v>
      </c>
      <c r="P3779">
        <v>0.98106769999999999</v>
      </c>
      <c r="Q3779">
        <v>0.18741079999999999</v>
      </c>
      <c r="R3779">
        <v>4.8821740000000002E-2</v>
      </c>
      <c r="S3779">
        <v>3.243347</v>
      </c>
      <c r="T3779">
        <v>-0.88138490000000003</v>
      </c>
      <c r="U3779">
        <v>-0.34817500000000001</v>
      </c>
      <c r="V3779">
        <v>4.7315900000000001E-2</v>
      </c>
      <c r="W3779">
        <v>0.2077107</v>
      </c>
      <c r="X3779">
        <v>0.97704530000000001</v>
      </c>
      <c r="Y3779">
        <v>0.19296099999999999</v>
      </c>
      <c r="Z3779">
        <v>-5.1699879999999997E-2</v>
      </c>
      <c r="AA3779">
        <v>0.97984340000000003</v>
      </c>
      <c r="AB3779">
        <v>5</v>
      </c>
      <c r="AC3779">
        <v>0.63529999999999998</v>
      </c>
      <c r="AD3779">
        <v>-0.1871324</v>
      </c>
      <c r="AE3779">
        <v>-7.9700000000002505E-2</v>
      </c>
      <c r="AF3779">
        <v>0.13028215812799801</v>
      </c>
      <c r="AG3779">
        <v>-0.1871324</v>
      </c>
      <c r="AH3779">
        <v>0.57532460219779102</v>
      </c>
      <c r="AI3779">
        <v>107.60069118366999</v>
      </c>
      <c r="AJ3779">
        <v>77.240574719143297</v>
      </c>
      <c r="AK3779">
        <v>0.61886216054166299</v>
      </c>
      <c r="AL3779">
        <v>78.011773230384193</v>
      </c>
      <c r="AM3779">
        <v>87.2274724141745</v>
      </c>
      <c r="AN3779">
        <v>1.00000002376969</v>
      </c>
    </row>
    <row r="3780" spans="1:40" x14ac:dyDescent="0.3">
      <c r="A3780" t="str">
        <f>"20200111150433150"</f>
        <v>20200111150433150</v>
      </c>
      <c r="B3780" t="str">
        <f>"1578726273142979"</f>
        <v>1578726273142979</v>
      </c>
      <c r="C3780" t="s">
        <v>40</v>
      </c>
      <c r="D3780">
        <v>5.4391030000000002</v>
      </c>
      <c r="E3780">
        <v>0.56688119999999997</v>
      </c>
      <c r="F3780" t="s">
        <v>42</v>
      </c>
      <c r="G3780">
        <v>-127.26309999999999</v>
      </c>
      <c r="H3780">
        <v>0.91152699999999998</v>
      </c>
      <c r="I3780">
        <v>138.29310000000001</v>
      </c>
      <c r="J3780">
        <v>-127.9375</v>
      </c>
      <c r="K3780">
        <v>1.106854</v>
      </c>
      <c r="L3780">
        <v>138.3766</v>
      </c>
      <c r="M3780">
        <v>0.99497009999999997</v>
      </c>
      <c r="N3780">
        <v>0</v>
      </c>
      <c r="O3780">
        <v>9.8008570000000003E-2</v>
      </c>
      <c r="P3780">
        <v>0.98086399999999996</v>
      </c>
      <c r="Q3780">
        <v>0.188751</v>
      </c>
      <c r="R3780">
        <v>4.7738450000000002E-2</v>
      </c>
      <c r="S3780">
        <v>3.2429049999999999</v>
      </c>
      <c r="T3780">
        <v>-0.87683899999999904</v>
      </c>
      <c r="U3780">
        <v>-0.35160829999999998</v>
      </c>
      <c r="V3780">
        <v>4.8673099999999997E-2</v>
      </c>
      <c r="W3780">
        <v>0.20901800000000001</v>
      </c>
      <c r="X3780">
        <v>0.97669980000000001</v>
      </c>
      <c r="Y3780">
        <v>0.1943329</v>
      </c>
      <c r="Z3780">
        <v>-5.1705830000000001E-2</v>
      </c>
      <c r="AA3780">
        <v>0.97957190000000005</v>
      </c>
      <c r="AB3780">
        <v>5</v>
      </c>
      <c r="AC3780">
        <v>0.674400000000005</v>
      </c>
      <c r="AD3780">
        <v>-0.195326999999999</v>
      </c>
      <c r="AE3780">
        <v>-8.3499999999986502E-2</v>
      </c>
      <c r="AF3780">
        <v>0.137822185565181</v>
      </c>
      <c r="AG3780">
        <v>-0.195326999999999</v>
      </c>
      <c r="AH3780">
        <v>0.61237241182229896</v>
      </c>
      <c r="AI3780">
        <v>107.285294993392</v>
      </c>
      <c r="AJ3780">
        <v>77.316197466231998</v>
      </c>
      <c r="AK3780">
        <v>0.65737931403720296</v>
      </c>
      <c r="AL3780">
        <v>77.935189825385507</v>
      </c>
      <c r="AM3780">
        <v>87.147068062349007</v>
      </c>
      <c r="AN3780">
        <v>1.00000004715382</v>
      </c>
    </row>
    <row r="3781" spans="1:40" x14ac:dyDescent="0.3">
      <c r="A3781" t="str">
        <f>"20200111150433173"</f>
        <v>20200111150433173</v>
      </c>
      <c r="B3781" t="str">
        <f>"1578726273162499"</f>
        <v>1578726273162499</v>
      </c>
      <c r="C3781" t="s">
        <v>40</v>
      </c>
      <c r="D3781">
        <v>5.4558119999999999</v>
      </c>
      <c r="E3781">
        <v>0.56656890000000004</v>
      </c>
      <c r="F3781" t="s">
        <v>42</v>
      </c>
      <c r="G3781">
        <v>-127.21939999999999</v>
      </c>
      <c r="H3781">
        <v>0.91391299999999998</v>
      </c>
      <c r="I3781">
        <v>138.2989</v>
      </c>
      <c r="J3781">
        <v>-127.8913</v>
      </c>
      <c r="K3781">
        <v>1.1068709999999999</v>
      </c>
      <c r="L3781">
        <v>138.38149999999999</v>
      </c>
      <c r="M3781">
        <v>0.99494610000000006</v>
      </c>
      <c r="N3781">
        <v>0</v>
      </c>
      <c r="O3781">
        <v>9.8257440000000001E-2</v>
      </c>
      <c r="P3781">
        <v>0.98040139999999998</v>
      </c>
      <c r="Q3781">
        <v>0.19121099999999999</v>
      </c>
      <c r="R3781">
        <v>4.7447660000000003E-2</v>
      </c>
      <c r="S3781">
        <v>3.2433169999999998</v>
      </c>
      <c r="T3781">
        <v>-0.87146440000000003</v>
      </c>
      <c r="U3781">
        <v>-0.3510742</v>
      </c>
      <c r="V3781">
        <v>4.9172380000000002E-2</v>
      </c>
      <c r="W3781">
        <v>0.21144209999999999</v>
      </c>
      <c r="X3781">
        <v>0.97615280000000004</v>
      </c>
      <c r="Y3781">
        <v>0.194517</v>
      </c>
      <c r="Z3781">
        <v>-5.1483500000000001E-2</v>
      </c>
      <c r="AA3781">
        <v>0.9795471</v>
      </c>
      <c r="AB3781">
        <v>5</v>
      </c>
      <c r="AC3781">
        <v>0.67190000000000705</v>
      </c>
      <c r="AD3781">
        <v>-0.19295799999999999</v>
      </c>
      <c r="AE3781">
        <v>-8.2599999999985102E-2</v>
      </c>
      <c r="AF3781">
        <v>0.137095008490763</v>
      </c>
      <c r="AG3781">
        <v>-0.19295799999999999</v>
      </c>
      <c r="AH3781">
        <v>0.61089660455523898</v>
      </c>
      <c r="AI3781">
        <v>107.129031612484</v>
      </c>
      <c r="AJ3781">
        <v>77.351465676194294</v>
      </c>
      <c r="AK3781">
        <v>0.655150740344696</v>
      </c>
      <c r="AL3781">
        <v>77.793123453921197</v>
      </c>
      <c r="AM3781">
        <v>87.116239963136806</v>
      </c>
      <c r="AN3781">
        <v>0.99999998677755697</v>
      </c>
    </row>
    <row r="3782" spans="1:40" x14ac:dyDescent="0.3">
      <c r="A3782" t="str">
        <f>"20200111150433195"</f>
        <v>20200111150433195</v>
      </c>
      <c r="B3782" t="str">
        <f>"1578726273192755"</f>
        <v>1578726273192755</v>
      </c>
      <c r="C3782" t="s">
        <v>40</v>
      </c>
      <c r="D3782">
        <v>5.7816879999999999</v>
      </c>
      <c r="E3782">
        <v>0.56610199999999999</v>
      </c>
      <c r="F3782" t="s">
        <v>42</v>
      </c>
      <c r="G3782">
        <v>-127.17659999999999</v>
      </c>
      <c r="H3782">
        <v>0.9172382</v>
      </c>
      <c r="I3782">
        <v>138.30410000000001</v>
      </c>
      <c r="J3782">
        <v>-127.8456</v>
      </c>
      <c r="K3782">
        <v>1.106884</v>
      </c>
      <c r="L3782">
        <v>138.38630000000001</v>
      </c>
      <c r="M3782">
        <v>0.99492519999999995</v>
      </c>
      <c r="N3782">
        <v>0</v>
      </c>
      <c r="O3782">
        <v>9.8472149999999994E-2</v>
      </c>
      <c r="P3782">
        <v>0.98023479999999996</v>
      </c>
      <c r="Q3782">
        <v>0.1919835</v>
      </c>
      <c r="R3782">
        <v>4.7772910000000002E-2</v>
      </c>
      <c r="S3782">
        <v>3.2448579999999998</v>
      </c>
      <c r="T3782">
        <v>-0.86108739999999995</v>
      </c>
      <c r="U3782">
        <v>-0.35035709999999998</v>
      </c>
      <c r="V3782">
        <v>4.9050669999999998E-2</v>
      </c>
      <c r="W3782">
        <v>0.21218780000000001</v>
      </c>
      <c r="X3782">
        <v>0.97599709999999995</v>
      </c>
      <c r="Y3782">
        <v>0.19469939999999999</v>
      </c>
      <c r="Z3782">
        <v>-5.0947739999999998E-2</v>
      </c>
      <c r="AA3782">
        <v>0.97953889999999999</v>
      </c>
      <c r="AB3782">
        <v>5</v>
      </c>
      <c r="AC3782">
        <v>0.66900000000001103</v>
      </c>
      <c r="AD3782">
        <v>-0.1896458</v>
      </c>
      <c r="AE3782">
        <v>-8.2200000000000203E-2</v>
      </c>
      <c r="AF3782">
        <v>0.13685805682419699</v>
      </c>
      <c r="AG3782">
        <v>-0.1896458</v>
      </c>
      <c r="AH3782">
        <v>0.60940794598759696</v>
      </c>
      <c r="AI3782">
        <v>106.890084784628</v>
      </c>
      <c r="AJ3782">
        <v>77.342772040016996</v>
      </c>
      <c r="AK3782">
        <v>0.65274321276299596</v>
      </c>
      <c r="AL3782">
        <v>77.749406009200897</v>
      </c>
      <c r="AM3782">
        <v>87.122907619708997</v>
      </c>
      <c r="AN3782">
        <v>0.99999998495234899</v>
      </c>
    </row>
    <row r="3783" spans="1:40" x14ac:dyDescent="0.3">
      <c r="A3783" t="str">
        <f>"20200111150433218"</f>
        <v>20200111150433218</v>
      </c>
      <c r="B3783" t="str">
        <f>"1578726273213250"</f>
        <v>1578726273213250</v>
      </c>
      <c r="C3783" t="s">
        <v>40</v>
      </c>
      <c r="D3783">
        <v>5.7609149999999998</v>
      </c>
      <c r="E3783">
        <v>0.56577169999999999</v>
      </c>
      <c r="F3783" t="s">
        <v>42</v>
      </c>
      <c r="G3783">
        <v>-127.1356</v>
      </c>
      <c r="H3783">
        <v>0.91971639999999999</v>
      </c>
      <c r="I3783">
        <v>138.31039999999999</v>
      </c>
      <c r="J3783">
        <v>-127.8001</v>
      </c>
      <c r="K3783">
        <v>1.1068830000000001</v>
      </c>
      <c r="L3783">
        <v>138.39099999999999</v>
      </c>
      <c r="M3783">
        <v>0.99490730000000005</v>
      </c>
      <c r="N3783">
        <v>0</v>
      </c>
      <c r="O3783">
        <v>9.8657350000000005E-2</v>
      </c>
      <c r="P3783">
        <v>0.98026999999999997</v>
      </c>
      <c r="Q3783">
        <v>0.19184090000000001</v>
      </c>
      <c r="R3783">
        <v>4.7625059999999997E-2</v>
      </c>
      <c r="S3783">
        <v>3.2449189999999999</v>
      </c>
      <c r="T3783">
        <v>-0.85539929999999997</v>
      </c>
      <c r="U3783">
        <v>-0.34674070000000001</v>
      </c>
      <c r="V3783">
        <v>4.9387439999999998E-2</v>
      </c>
      <c r="W3783">
        <v>0.21202599999999999</v>
      </c>
      <c r="X3783">
        <v>0.97601530000000003</v>
      </c>
      <c r="Y3783">
        <v>0.1939488</v>
      </c>
      <c r="Z3783">
        <v>-5.0574649999999999E-2</v>
      </c>
      <c r="AA3783">
        <v>0.97970710000000005</v>
      </c>
      <c r="AB3783">
        <v>5</v>
      </c>
      <c r="AC3783">
        <v>0.66450000000000298</v>
      </c>
      <c r="AD3783">
        <v>-0.18716659999999999</v>
      </c>
      <c r="AE3783">
        <v>-8.0600000000004002E-2</v>
      </c>
      <c r="AF3783">
        <v>0.135207219962031</v>
      </c>
      <c r="AG3783">
        <v>-0.18716659999999999</v>
      </c>
      <c r="AH3783">
        <v>0.60592876806746598</v>
      </c>
      <c r="AI3783">
        <v>106.77688876414</v>
      </c>
      <c r="AJ3783">
        <v>77.421067086866401</v>
      </c>
      <c r="AK3783">
        <v>0.64843041296439696</v>
      </c>
      <c r="AL3783">
        <v>77.758892560983796</v>
      </c>
      <c r="AM3783">
        <v>87.103241657912307</v>
      </c>
      <c r="AN3783">
        <v>1.00000000486992</v>
      </c>
    </row>
    <row r="3784" spans="1:40" x14ac:dyDescent="0.3">
      <c r="A3784" t="str">
        <f>"20200111150433240"</f>
        <v>20200111150433240</v>
      </c>
      <c r="B3784" t="str">
        <f>"1578726273232770"</f>
        <v>1578726273232770</v>
      </c>
      <c r="C3784" t="s">
        <v>40</v>
      </c>
      <c r="D3784">
        <v>5.4528400000000001</v>
      </c>
      <c r="E3784">
        <v>0.56553050000000005</v>
      </c>
      <c r="F3784" t="s">
        <v>42</v>
      </c>
      <c r="G3784">
        <v>-127.09610000000001</v>
      </c>
      <c r="H3784">
        <v>0.92156800000000005</v>
      </c>
      <c r="I3784">
        <v>138.3158</v>
      </c>
      <c r="J3784">
        <v>-127.758</v>
      </c>
      <c r="K3784">
        <v>1.106884</v>
      </c>
      <c r="L3784">
        <v>138.3954</v>
      </c>
      <c r="M3784">
        <v>0.99489249999999996</v>
      </c>
      <c r="N3784">
        <v>0</v>
      </c>
      <c r="O3784">
        <v>9.8809569999999999E-2</v>
      </c>
      <c r="P3784">
        <v>0.98046160000000004</v>
      </c>
      <c r="Q3784">
        <v>0.19098589999999999</v>
      </c>
      <c r="R3784">
        <v>4.7113330000000002E-2</v>
      </c>
      <c r="S3784">
        <v>3.2443240000000002</v>
      </c>
      <c r="T3784">
        <v>-0.85411949999999903</v>
      </c>
      <c r="U3784">
        <v>-0.34570309999999999</v>
      </c>
      <c r="V3784">
        <v>5.0065520000000002E-2</v>
      </c>
      <c r="W3784">
        <v>0.21115690000000001</v>
      </c>
      <c r="X3784">
        <v>0.97616919999999996</v>
      </c>
      <c r="Y3784">
        <v>0.1938318</v>
      </c>
      <c r="Z3784">
        <v>-5.0535259999999999E-2</v>
      </c>
      <c r="AA3784">
        <v>0.9797323</v>
      </c>
      <c r="AB3784">
        <v>5</v>
      </c>
      <c r="AC3784">
        <v>0.66189999999998805</v>
      </c>
      <c r="AD3784">
        <v>-0.18531599999999901</v>
      </c>
      <c r="AE3784">
        <v>-7.9599999999999199E-2</v>
      </c>
      <c r="AF3784">
        <v>0.13425270786317101</v>
      </c>
      <c r="AG3784">
        <v>-0.18531599999999901</v>
      </c>
      <c r="AH3784">
        <v>0.60411338473393805</v>
      </c>
      <c r="AI3784">
        <v>106.670415554987</v>
      </c>
      <c r="AJ3784">
        <v>77.470714271173193</v>
      </c>
      <c r="AK3784">
        <v>0.64600216024351598</v>
      </c>
      <c r="AL3784">
        <v>77.809842466326998</v>
      </c>
      <c r="AM3784">
        <v>87.064001008096298</v>
      </c>
      <c r="AN3784">
        <v>1.00000004986955</v>
      </c>
    </row>
    <row r="3785" spans="1:40" x14ac:dyDescent="0.3">
      <c r="A3785" t="str">
        <f>"20200111150433263"</f>
        <v>20200111150433263</v>
      </c>
      <c r="B3785" t="str">
        <f>"1578726273252293"</f>
        <v>1578726273252293</v>
      </c>
      <c r="C3785" t="s">
        <v>40</v>
      </c>
      <c r="D3785">
        <v>5.533588</v>
      </c>
      <c r="E3785">
        <v>0.56540760000000001</v>
      </c>
      <c r="F3785" t="s">
        <v>42</v>
      </c>
      <c r="G3785">
        <v>-127.05840000000001</v>
      </c>
      <c r="H3785">
        <v>0.92230069999999997</v>
      </c>
      <c r="I3785">
        <v>138.32060000000001</v>
      </c>
      <c r="J3785">
        <v>-127.71639999999999</v>
      </c>
      <c r="K3785">
        <v>1.1068910000000001</v>
      </c>
      <c r="L3785">
        <v>138.3997</v>
      </c>
      <c r="M3785">
        <v>0.99487919999999996</v>
      </c>
      <c r="N3785">
        <v>0</v>
      </c>
      <c r="O3785">
        <v>9.8949809999999999E-2</v>
      </c>
      <c r="P3785">
        <v>0.98055599999999998</v>
      </c>
      <c r="Q3785">
        <v>0.19068280000000001</v>
      </c>
      <c r="R3785">
        <v>4.6372120000000003E-2</v>
      </c>
      <c r="S3785">
        <v>3.2431030000000001</v>
      </c>
      <c r="T3785">
        <v>-0.85567329999999997</v>
      </c>
      <c r="U3785">
        <v>-0.34637449999999997</v>
      </c>
      <c r="V3785">
        <v>5.0947979999999997E-2</v>
      </c>
      <c r="W3785">
        <v>0.21082919999999999</v>
      </c>
      <c r="X3785">
        <v>0.97619429999999996</v>
      </c>
      <c r="Y3785">
        <v>0.19415099999999999</v>
      </c>
      <c r="Z3785">
        <v>-5.0719569999999999E-2</v>
      </c>
      <c r="AA3785">
        <v>0.97965959999999996</v>
      </c>
      <c r="AB3785">
        <v>4</v>
      </c>
      <c r="AC3785">
        <v>0.65799999999998704</v>
      </c>
      <c r="AD3785">
        <v>-0.18459030000000001</v>
      </c>
      <c r="AE3785">
        <v>-7.9099999999982601E-2</v>
      </c>
      <c r="AF3785">
        <v>0.13347945800674499</v>
      </c>
      <c r="AG3785">
        <v>-0.18459030000000001</v>
      </c>
      <c r="AH3785">
        <v>0.60036605371911</v>
      </c>
      <c r="AI3785">
        <v>106.706312095744</v>
      </c>
      <c r="AJ3785">
        <v>77.465301147227294</v>
      </c>
      <c r="AK3785">
        <v>0.64212907037613698</v>
      </c>
      <c r="AL3785">
        <v>77.829049851024394</v>
      </c>
      <c r="AM3785">
        <v>87.012420414617296</v>
      </c>
      <c r="AN3785">
        <v>0.99999997979560395</v>
      </c>
    </row>
    <row r="3786" spans="1:40" x14ac:dyDescent="0.3">
      <c r="A3786" t="str">
        <f>"20200111150433287"</f>
        <v>20200111150433287</v>
      </c>
      <c r="B3786" t="str">
        <f>"1578726273282547"</f>
        <v>1578726273282547</v>
      </c>
      <c r="C3786" t="s">
        <v>40</v>
      </c>
      <c r="D3786">
        <v>5.4395660000000001</v>
      </c>
      <c r="E3786">
        <v>0.54572169999999998</v>
      </c>
      <c r="F3786" t="s">
        <v>42</v>
      </c>
      <c r="G3786">
        <v>-127.0217</v>
      </c>
      <c r="H3786">
        <v>0.92354709999999995</v>
      </c>
      <c r="I3786">
        <v>138.32499999999999</v>
      </c>
      <c r="J3786">
        <v>-127.675</v>
      </c>
      <c r="K3786">
        <v>1.1069070000000001</v>
      </c>
      <c r="L3786">
        <v>138.40389999999999</v>
      </c>
      <c r="M3786">
        <v>0.99486620000000003</v>
      </c>
      <c r="N3786">
        <v>0</v>
      </c>
      <c r="O3786">
        <v>9.9087670000000003E-2</v>
      </c>
      <c r="P3786">
        <v>0.98078900000000002</v>
      </c>
      <c r="Q3786">
        <v>0.18959110000000001</v>
      </c>
      <c r="R3786">
        <v>4.5918840000000002E-2</v>
      </c>
      <c r="S3786">
        <v>3.24234</v>
      </c>
      <c r="T3786">
        <v>-0.8557787</v>
      </c>
      <c r="U3786">
        <v>-0.34762569999999998</v>
      </c>
      <c r="V3786">
        <v>5.1551890000000003E-2</v>
      </c>
      <c r="W3786">
        <v>0.2097048</v>
      </c>
      <c r="X3786">
        <v>0.97640479999999996</v>
      </c>
      <c r="Y3786">
        <v>0.1946563</v>
      </c>
      <c r="Z3786">
        <v>-5.0837239999999999E-2</v>
      </c>
      <c r="AA3786">
        <v>0.97955320000000001</v>
      </c>
      <c r="AB3786">
        <v>4</v>
      </c>
      <c r="AC3786">
        <v>0.65330000000000099</v>
      </c>
      <c r="AD3786">
        <v>-0.18335989999999899</v>
      </c>
      <c r="AE3786">
        <v>-7.8900000000004397E-2</v>
      </c>
      <c r="AF3786">
        <v>0.13293771097946799</v>
      </c>
      <c r="AG3786">
        <v>-0.18335989999999899</v>
      </c>
      <c r="AH3786">
        <v>0.59599023124118899</v>
      </c>
      <c r="AI3786">
        <v>106.71378977024</v>
      </c>
      <c r="AJ3786">
        <v>77.425812571023101</v>
      </c>
      <c r="AK3786">
        <v>0.63757167727510899</v>
      </c>
      <c r="AL3786">
        <v>77.894946871548001</v>
      </c>
      <c r="AM3786">
        <v>86.977723042996601</v>
      </c>
      <c r="AN3786">
        <v>1.00000001698432</v>
      </c>
    </row>
    <row r="3787" spans="1:40" x14ac:dyDescent="0.3">
      <c r="A3787" t="str">
        <f>"20200111150433310"</f>
        <v>20200111150433310</v>
      </c>
      <c r="B3787" t="str">
        <f>"1578726273303043"</f>
        <v>1578726273303043</v>
      </c>
      <c r="C3787" t="s">
        <v>40</v>
      </c>
      <c r="D3787">
        <v>5.4179110000000001</v>
      </c>
      <c r="E3787">
        <v>0.5485797</v>
      </c>
      <c r="F3787" t="s">
        <v>42</v>
      </c>
      <c r="G3787">
        <v>-127.0013</v>
      </c>
      <c r="H3787">
        <v>0.90333589999999997</v>
      </c>
      <c r="I3787">
        <v>138.3638</v>
      </c>
      <c r="J3787">
        <v>-127.6345</v>
      </c>
      <c r="K3787">
        <v>1.1069279999999999</v>
      </c>
      <c r="L3787">
        <v>138.40809999999999</v>
      </c>
      <c r="M3787">
        <v>0.9948536</v>
      </c>
      <c r="N3787">
        <v>0</v>
      </c>
      <c r="O3787">
        <v>9.9228430000000006E-2</v>
      </c>
      <c r="P3787">
        <v>0.98106680000000002</v>
      </c>
      <c r="Q3787">
        <v>0.1880164</v>
      </c>
      <c r="R3787">
        <v>4.6455349999999999E-2</v>
      </c>
      <c r="S3787">
        <v>3.2581329999999999</v>
      </c>
      <c r="T3787">
        <v>-0.98457499999999998</v>
      </c>
      <c r="U3787">
        <v>-0.193161</v>
      </c>
      <c r="V3787">
        <v>5.1176439999999997E-2</v>
      </c>
      <c r="W3787">
        <v>0.20807410000000001</v>
      </c>
      <c r="X3787">
        <v>0.97677329999999996</v>
      </c>
      <c r="Y3787">
        <v>0.1469994</v>
      </c>
      <c r="Z3787">
        <v>-5.1004819999999999E-2</v>
      </c>
      <c r="AA3787">
        <v>0.9878207</v>
      </c>
      <c r="AB3787">
        <v>4</v>
      </c>
      <c r="AC3787">
        <v>0.63320000000000198</v>
      </c>
      <c r="AD3787">
        <v>-0.2035921</v>
      </c>
      <c r="AE3787">
        <v>-4.4299999999992602E-2</v>
      </c>
      <c r="AF3787">
        <v>9.6951779461159696E-2</v>
      </c>
      <c r="AG3787">
        <v>-0.2035921</v>
      </c>
      <c r="AH3787">
        <v>0.56731325154548495</v>
      </c>
      <c r="AI3787">
        <v>109.480838416979</v>
      </c>
      <c r="AJ3787">
        <v>80.302046028427498</v>
      </c>
      <c r="AK3787">
        <v>0.61048645857398498</v>
      </c>
      <c r="AL3787">
        <v>77.9904862104773</v>
      </c>
      <c r="AM3787">
        <v>87.000823617786907</v>
      </c>
      <c r="AN3787">
        <v>0.999999969347386</v>
      </c>
    </row>
    <row r="3788" spans="1:40" x14ac:dyDescent="0.3">
      <c r="A3788" t="str">
        <f>"20200111150433330"</f>
        <v>20200111150433330</v>
      </c>
      <c r="B3788" t="str">
        <f>"1578726273322563"</f>
        <v>1578726273322563</v>
      </c>
      <c r="C3788" t="s">
        <v>40</v>
      </c>
      <c r="D3788">
        <v>5.4227550000000004</v>
      </c>
      <c r="E3788">
        <v>0.54875499999999999</v>
      </c>
      <c r="F3788" t="s">
        <v>42</v>
      </c>
      <c r="G3788">
        <v>-126.9363</v>
      </c>
      <c r="H3788">
        <v>0.89648019999999995</v>
      </c>
      <c r="I3788">
        <v>138.36019999999999</v>
      </c>
      <c r="J3788">
        <v>-127.60290000000001</v>
      </c>
      <c r="K3788">
        <v>1.1069260000000001</v>
      </c>
      <c r="L3788">
        <v>138.41139999999999</v>
      </c>
      <c r="M3788">
        <v>0.99484340000000004</v>
      </c>
      <c r="N3788">
        <v>0</v>
      </c>
      <c r="O3788">
        <v>9.9345779999999995E-2</v>
      </c>
      <c r="P3788">
        <v>0.98156209999999999</v>
      </c>
      <c r="Q3788">
        <v>0.18518209999999999</v>
      </c>
      <c r="R3788">
        <v>4.7363769999999999E-2</v>
      </c>
      <c r="S3788">
        <v>3.256561</v>
      </c>
      <c r="T3788">
        <v>-0.98165440000000004</v>
      </c>
      <c r="U3788">
        <v>-0.2229004</v>
      </c>
      <c r="V3788">
        <v>5.0430549999999998E-2</v>
      </c>
      <c r="W3788">
        <v>0.20517820000000001</v>
      </c>
      <c r="X3788">
        <v>0.97742450000000003</v>
      </c>
      <c r="Y3788">
        <v>0.15578629999999999</v>
      </c>
      <c r="Z3788">
        <v>-5.2201409999999997E-2</v>
      </c>
      <c r="AA3788">
        <v>0.98641049999999997</v>
      </c>
      <c r="AB3788">
        <v>4</v>
      </c>
      <c r="AC3788">
        <v>0.66660000000000197</v>
      </c>
      <c r="AD3788">
        <v>-0.21044579999999999</v>
      </c>
      <c r="AE3788">
        <v>-5.1199999999994299E-2</v>
      </c>
      <c r="AF3788">
        <v>0.10662016280492199</v>
      </c>
      <c r="AG3788">
        <v>-0.21044579999999999</v>
      </c>
      <c r="AH3788">
        <v>0.59887550410256996</v>
      </c>
      <c r="AI3788">
        <v>109.08365209920601</v>
      </c>
      <c r="AJ3788">
        <v>79.905175537334699</v>
      </c>
      <c r="AK3788">
        <v>0.64366696611547103</v>
      </c>
      <c r="AL3788">
        <v>78.160069020564407</v>
      </c>
      <c r="AM3788">
        <v>87.046423767040906</v>
      </c>
      <c r="AN3788">
        <v>0.99999999366439596</v>
      </c>
    </row>
    <row r="3789" spans="1:40" x14ac:dyDescent="0.3">
      <c r="A3789" t="str">
        <f>"20200111150433351"</f>
        <v>20200111150433351</v>
      </c>
      <c r="B3789" t="str">
        <f>"1578726273343060"</f>
        <v>1578726273343060</v>
      </c>
      <c r="C3789" t="s">
        <v>40</v>
      </c>
      <c r="D3789">
        <v>5.4564649999999997</v>
      </c>
      <c r="E3789">
        <v>0.55051649999999996</v>
      </c>
      <c r="F3789" t="s">
        <v>42</v>
      </c>
      <c r="G3789">
        <v>-126.9055</v>
      </c>
      <c r="H3789">
        <v>0.89446650000000005</v>
      </c>
      <c r="I3789">
        <v>138.36269999999999</v>
      </c>
      <c r="J3789">
        <v>-127.56829999999999</v>
      </c>
      <c r="K3789">
        <v>1.1069119999999999</v>
      </c>
      <c r="L3789">
        <v>138.41499999999999</v>
      </c>
      <c r="M3789">
        <v>0.99483189999999999</v>
      </c>
      <c r="N3789">
        <v>0</v>
      </c>
      <c r="O3789">
        <v>9.9483150000000006E-2</v>
      </c>
      <c r="P3789">
        <v>0.98231049999999998</v>
      </c>
      <c r="Q3789">
        <v>0.180981</v>
      </c>
      <c r="R3789">
        <v>4.8083639999999997E-2</v>
      </c>
      <c r="S3789">
        <v>3.2543790000000001</v>
      </c>
      <c r="T3789">
        <v>-0.9916275</v>
      </c>
      <c r="U3789">
        <v>-0.2267303</v>
      </c>
      <c r="V3789">
        <v>4.991744E-2</v>
      </c>
      <c r="W3789">
        <v>0.2009</v>
      </c>
      <c r="X3789">
        <v>0.97833910000000002</v>
      </c>
      <c r="Y3789">
        <v>0.1568292</v>
      </c>
      <c r="Z3789">
        <v>-5.293701E-2</v>
      </c>
      <c r="AA3789">
        <v>0.98620600000000003</v>
      </c>
      <c r="AB3789">
        <v>4</v>
      </c>
      <c r="AC3789">
        <v>0.66279999999998995</v>
      </c>
      <c r="AD3789">
        <v>-0.21244550000000001</v>
      </c>
      <c r="AE3789">
        <v>-5.23000000000024E-2</v>
      </c>
      <c r="AF3789">
        <v>0.107060400262543</v>
      </c>
      <c r="AG3789">
        <v>-0.21244550000000001</v>
      </c>
      <c r="AH3789">
        <v>0.59368969006106698</v>
      </c>
      <c r="AI3789">
        <v>109.400181542303</v>
      </c>
      <c r="AJ3789">
        <v>79.777681471491704</v>
      </c>
      <c r="AK3789">
        <v>0.63957991514699097</v>
      </c>
      <c r="AL3789">
        <v>78.410406228750603</v>
      </c>
      <c r="AM3789">
        <v>87.0791511521563</v>
      </c>
      <c r="AN3789">
        <v>0.99999997770248095</v>
      </c>
    </row>
    <row r="3790" spans="1:40" x14ac:dyDescent="0.3">
      <c r="A3790" t="str">
        <f>"20200111150433373"</f>
        <v>20200111150433373</v>
      </c>
      <c r="B3790" t="str">
        <f>"1578726273363146"</f>
        <v>1578726273363146</v>
      </c>
      <c r="C3790" t="s">
        <v>40</v>
      </c>
      <c r="D3790">
        <v>5.4940720000000001</v>
      </c>
      <c r="E3790">
        <v>0.55080269999999898</v>
      </c>
      <c r="F3790" t="s">
        <v>42</v>
      </c>
      <c r="G3790">
        <v>-126.87520000000001</v>
      </c>
      <c r="H3790">
        <v>0.8937619</v>
      </c>
      <c r="I3790">
        <v>138.36359999999999</v>
      </c>
      <c r="J3790">
        <v>-127.535</v>
      </c>
      <c r="K3790">
        <v>1.106895</v>
      </c>
      <c r="L3790">
        <v>138.41849999999999</v>
      </c>
      <c r="M3790">
        <v>0.99481960000000003</v>
      </c>
      <c r="N3790">
        <v>0</v>
      </c>
      <c r="O3790">
        <v>9.9624050000000006E-2</v>
      </c>
      <c r="P3790">
        <v>0.98306629999999995</v>
      </c>
      <c r="Q3790">
        <v>0.1764221</v>
      </c>
      <c r="R3790">
        <v>4.9558949999999997E-2</v>
      </c>
      <c r="S3790">
        <v>3.249924</v>
      </c>
      <c r="T3790">
        <v>-0.99939290000000003</v>
      </c>
      <c r="U3790">
        <v>-0.24041750000000001</v>
      </c>
      <c r="V3790">
        <v>4.8658510000000002E-2</v>
      </c>
      <c r="W3790">
        <v>0.1962719</v>
      </c>
      <c r="X3790">
        <v>0.97934140000000003</v>
      </c>
      <c r="Y3790">
        <v>0.16079749999999901</v>
      </c>
      <c r="Z3790">
        <v>-5.4034939999999997E-2</v>
      </c>
      <c r="AA3790">
        <v>0.98550720000000003</v>
      </c>
      <c r="AB3790">
        <v>4</v>
      </c>
      <c r="AC3790">
        <v>0.65979999999998995</v>
      </c>
      <c r="AD3790">
        <v>-0.21313309999999899</v>
      </c>
      <c r="AE3790">
        <v>-5.4900000000003502E-2</v>
      </c>
      <c r="AF3790">
        <v>0.109069423029501</v>
      </c>
      <c r="AG3790">
        <v>-0.21313309999999899</v>
      </c>
      <c r="AH3790">
        <v>0.58991368256654897</v>
      </c>
      <c r="AI3790">
        <v>109.558802989814</v>
      </c>
      <c r="AJ3790">
        <v>79.524849436891699</v>
      </c>
      <c r="AK3790">
        <v>0.63664747720761805</v>
      </c>
      <c r="AL3790">
        <v>78.680965321378395</v>
      </c>
      <c r="AM3790">
        <v>87.155602155712401</v>
      </c>
      <c r="AN3790">
        <v>0.99999994353949295</v>
      </c>
    </row>
    <row r="3791" spans="1:40" x14ac:dyDescent="0.3">
      <c r="A3791" t="str">
        <f>"20200111150433397"</f>
        <v>20200111150433397</v>
      </c>
      <c r="B3791" t="str">
        <f>"1578726273392427"</f>
        <v>1578726273392427</v>
      </c>
      <c r="C3791" t="s">
        <v>40</v>
      </c>
      <c r="D3791">
        <v>5.4489799999999997</v>
      </c>
      <c r="E3791">
        <v>0.55149289999999995</v>
      </c>
      <c r="F3791" t="s">
        <v>42</v>
      </c>
      <c r="G3791">
        <v>-126.84650000000001</v>
      </c>
      <c r="H3791">
        <v>0.89279390000000003</v>
      </c>
      <c r="I3791">
        <v>138.36709999999999</v>
      </c>
      <c r="J3791">
        <v>-127.50279999999999</v>
      </c>
      <c r="K3791">
        <v>1.106887</v>
      </c>
      <c r="L3791">
        <v>138.42189999999999</v>
      </c>
      <c r="M3791">
        <v>0.99480710000000006</v>
      </c>
      <c r="N3791">
        <v>0</v>
      </c>
      <c r="O3791">
        <v>9.9765900000000005E-2</v>
      </c>
      <c r="P3791">
        <v>0.98315490000000005</v>
      </c>
      <c r="Q3791">
        <v>0.1754645</v>
      </c>
      <c r="R3791">
        <v>5.117638E-2</v>
      </c>
      <c r="S3791">
        <v>3.2449650000000001</v>
      </c>
      <c r="T3791">
        <v>-1.009177</v>
      </c>
      <c r="U3791">
        <v>-0.24143980000000001</v>
      </c>
      <c r="V3791">
        <v>4.719483E-2</v>
      </c>
      <c r="W3791">
        <v>0.19523940000000001</v>
      </c>
      <c r="X3791">
        <v>0.97961940000000003</v>
      </c>
      <c r="Y3791">
        <v>0.1610712</v>
      </c>
      <c r="Z3791">
        <v>-5.4703700000000001E-2</v>
      </c>
      <c r="AA3791">
        <v>0.98542560000000001</v>
      </c>
      <c r="AB3791">
        <v>3</v>
      </c>
      <c r="AC3791">
        <v>0.656299999999987</v>
      </c>
      <c r="AD3791">
        <v>-0.21409310000000001</v>
      </c>
      <c r="AE3791">
        <v>-5.4800000000000099E-2</v>
      </c>
      <c r="AF3791">
        <v>0.108545316956349</v>
      </c>
      <c r="AG3791">
        <v>-0.21409310000000001</v>
      </c>
      <c r="AH3791">
        <v>0.58566442579021005</v>
      </c>
      <c r="AI3791">
        <v>109.77020221186</v>
      </c>
      <c r="AJ3791">
        <v>79.500110506183205</v>
      </c>
      <c r="AK3791">
        <v>0.63294609639126598</v>
      </c>
      <c r="AL3791">
        <v>78.741290671842606</v>
      </c>
      <c r="AM3791">
        <v>87.241811010704197</v>
      </c>
      <c r="AN3791">
        <v>0.99999997207372404</v>
      </c>
    </row>
    <row r="3792" spans="1:40" x14ac:dyDescent="0.3">
      <c r="A3792" t="str">
        <f>"20200111150433418"</f>
        <v>20200111150433418</v>
      </c>
      <c r="B3792" t="str">
        <f>"1578726273412940"</f>
        <v>1578726273412940</v>
      </c>
      <c r="C3792" t="s">
        <v>40</v>
      </c>
      <c r="D3792">
        <v>5.4603900000000003</v>
      </c>
      <c r="E3792">
        <v>0.55175739999999995</v>
      </c>
      <c r="F3792" t="s">
        <v>42</v>
      </c>
      <c r="G3792">
        <v>-126.8173</v>
      </c>
      <c r="H3792">
        <v>0.89549829999999997</v>
      </c>
      <c r="I3792">
        <v>138.37010000000001</v>
      </c>
      <c r="J3792">
        <v>-127.4718</v>
      </c>
      <c r="K3792">
        <v>1.106878</v>
      </c>
      <c r="L3792">
        <v>138.42509999999999</v>
      </c>
      <c r="M3792">
        <v>0.99479439999999997</v>
      </c>
      <c r="N3792">
        <v>0</v>
      </c>
      <c r="O3792">
        <v>9.9906410000000001E-2</v>
      </c>
      <c r="P3792">
        <v>0.98271129999999995</v>
      </c>
      <c r="Q3792">
        <v>0.17743719999999999</v>
      </c>
      <c r="R3792">
        <v>5.2866290000000003E-2</v>
      </c>
      <c r="S3792">
        <v>3.2425839999999999</v>
      </c>
      <c r="T3792">
        <v>-0.99989439999999996</v>
      </c>
      <c r="U3792">
        <v>-0.2444916</v>
      </c>
      <c r="V3792">
        <v>4.5606460000000001E-2</v>
      </c>
      <c r="W3792">
        <v>0.19713030000000001</v>
      </c>
      <c r="X3792">
        <v>0.97931590000000002</v>
      </c>
      <c r="Y3792">
        <v>0.16232460000000001</v>
      </c>
      <c r="Z3792">
        <v>-5.4490179999999999E-2</v>
      </c>
      <c r="AA3792">
        <v>0.98523170000000004</v>
      </c>
      <c r="AB3792">
        <v>3</v>
      </c>
      <c r="AC3792">
        <v>0.65449999999999797</v>
      </c>
      <c r="AD3792">
        <v>-0.2113797</v>
      </c>
      <c r="AE3792">
        <v>-5.49999999999784E-2</v>
      </c>
      <c r="AF3792">
        <v>0.108852349140878</v>
      </c>
      <c r="AG3792">
        <v>-0.2113797</v>
      </c>
      <c r="AH3792">
        <v>0.58512441052219</v>
      </c>
      <c r="AI3792">
        <v>109.553130233646</v>
      </c>
      <c r="AJ3792">
        <v>79.461574027682602</v>
      </c>
      <c r="AK3792">
        <v>0.63158593023793497</v>
      </c>
      <c r="AL3792">
        <v>78.630802899868101</v>
      </c>
      <c r="AM3792">
        <v>87.333678419611104</v>
      </c>
      <c r="AN3792">
        <v>0.99999996818231496</v>
      </c>
    </row>
    <row r="3793" spans="1:40" x14ac:dyDescent="0.3">
      <c r="A3793" t="str">
        <f>"20200111150433441"</f>
        <v>20200111150433441</v>
      </c>
      <c r="B3793" t="str">
        <f>"1578726273432442"</f>
        <v>1578726273432442</v>
      </c>
      <c r="C3793" t="s">
        <v>40</v>
      </c>
      <c r="D3793">
        <v>5.4452860000000003</v>
      </c>
      <c r="E3793">
        <v>0.55201460000000002</v>
      </c>
      <c r="F3793" t="s">
        <v>42</v>
      </c>
      <c r="G3793">
        <v>-126.7889</v>
      </c>
      <c r="H3793">
        <v>0.89914699999999903</v>
      </c>
      <c r="I3793">
        <v>138.37389999999999</v>
      </c>
      <c r="J3793">
        <v>-127.44240000000001</v>
      </c>
      <c r="K3793">
        <v>1.1068450000000001</v>
      </c>
      <c r="L3793">
        <v>138.4282</v>
      </c>
      <c r="M3793">
        <v>0.99478239999999996</v>
      </c>
      <c r="N3793">
        <v>0</v>
      </c>
      <c r="O3793">
        <v>0.1000408</v>
      </c>
      <c r="P3793">
        <v>0.98261089999999995</v>
      </c>
      <c r="Q3793">
        <v>0.17739669999999999</v>
      </c>
      <c r="R3793">
        <v>5.4833170000000001E-2</v>
      </c>
      <c r="S3793">
        <v>3.2440340000000001</v>
      </c>
      <c r="T3793">
        <v>-0.98682669999999995</v>
      </c>
      <c r="U3793">
        <v>-0.2427368</v>
      </c>
      <c r="V3793">
        <v>4.3771860000000003E-2</v>
      </c>
      <c r="W3793">
        <v>0.19702140000000001</v>
      </c>
      <c r="X3793">
        <v>0.9794216</v>
      </c>
      <c r="Y3793">
        <v>0.16221150000000001</v>
      </c>
      <c r="Z3793">
        <v>-5.3809870000000003E-2</v>
      </c>
      <c r="AA3793">
        <v>0.98528769999999999</v>
      </c>
      <c r="AB3793">
        <v>3</v>
      </c>
      <c r="AC3793">
        <v>0.65350000000000796</v>
      </c>
      <c r="AD3793">
        <v>-0.20769799999999999</v>
      </c>
      <c r="AE3793">
        <v>-5.4300000000011998E-2</v>
      </c>
      <c r="AF3793">
        <v>0.10852958865004</v>
      </c>
      <c r="AG3793">
        <v>-0.20769799999999999</v>
      </c>
      <c r="AH3793">
        <v>0.58599979187488505</v>
      </c>
      <c r="AI3793">
        <v>109.213802092251</v>
      </c>
      <c r="AJ3793">
        <v>79.507472860075396</v>
      </c>
      <c r="AK3793">
        <v>0.63112034263994099</v>
      </c>
      <c r="AL3793">
        <v>78.637168043399996</v>
      </c>
      <c r="AM3793">
        <v>87.441066130653596</v>
      </c>
      <c r="AN3793">
        <v>1.0000000391661801</v>
      </c>
    </row>
    <row r="3794" spans="1:40" x14ac:dyDescent="0.3">
      <c r="A3794" t="str">
        <f>"20200111150433463"</f>
        <v>20200111150433463</v>
      </c>
      <c r="B3794" t="str">
        <f>"1578726273452538"</f>
        <v>1578726273452538</v>
      </c>
      <c r="C3794" t="s">
        <v>40</v>
      </c>
      <c r="D3794">
        <v>5.6212</v>
      </c>
      <c r="E3794">
        <v>0.55126330000000001</v>
      </c>
      <c r="F3794" t="s">
        <v>42</v>
      </c>
      <c r="G3794">
        <v>-126.7625</v>
      </c>
      <c r="H3794">
        <v>0.90125200000000005</v>
      </c>
      <c r="I3794">
        <v>138.37799999999999</v>
      </c>
      <c r="J3794">
        <v>-127.4152</v>
      </c>
      <c r="K3794">
        <v>1.106786</v>
      </c>
      <c r="L3794">
        <v>138.43109999999999</v>
      </c>
      <c r="M3794">
        <v>0.99477150000000003</v>
      </c>
      <c r="N3794">
        <v>0</v>
      </c>
      <c r="O3794">
        <v>0.10016369999999999</v>
      </c>
      <c r="P3794">
        <v>0.98296709999999998</v>
      </c>
      <c r="Q3794">
        <v>0.17442099999999999</v>
      </c>
      <c r="R3794">
        <v>5.7906069999999997E-2</v>
      </c>
      <c r="S3794">
        <v>3.2435459999999998</v>
      </c>
      <c r="T3794">
        <v>-0.98087310000000005</v>
      </c>
      <c r="U3794">
        <v>-0.23936460000000001</v>
      </c>
      <c r="V3794">
        <v>4.0872360000000003E-2</v>
      </c>
      <c r="W3794">
        <v>0.1939864</v>
      </c>
      <c r="X3794">
        <v>0.98015240000000003</v>
      </c>
      <c r="Y3794">
        <v>0.16148699999999999</v>
      </c>
      <c r="Z3794">
        <v>-5.3437560000000002E-2</v>
      </c>
      <c r="AA3794">
        <v>0.98542700000000005</v>
      </c>
      <c r="AB3794">
        <v>3</v>
      </c>
      <c r="AC3794">
        <v>0.65269999999999495</v>
      </c>
      <c r="AD3794">
        <v>-0.20553399999999999</v>
      </c>
      <c r="AE3794">
        <v>-5.3100000000000501E-2</v>
      </c>
      <c r="AF3794">
        <v>0.107621052121008</v>
      </c>
      <c r="AG3794">
        <v>-0.20553399999999999</v>
      </c>
      <c r="AH3794">
        <v>0.58633710993849897</v>
      </c>
      <c r="AI3794">
        <v>109.02313229628599</v>
      </c>
      <c r="AJ3794">
        <v>79.599238537690098</v>
      </c>
      <c r="AK3794">
        <v>0.63056936375522099</v>
      </c>
      <c r="AL3794">
        <v>78.814482013126806</v>
      </c>
      <c r="AM3794">
        <v>87.6121491358154</v>
      </c>
      <c r="AN3794">
        <v>1.0000000002113401</v>
      </c>
    </row>
    <row r="3795" spans="1:40" x14ac:dyDescent="0.3">
      <c r="A3795" t="str">
        <f>"20200111150433486"</f>
        <v>20200111150433486</v>
      </c>
      <c r="B3795" t="str">
        <f>"1578726273482794"</f>
        <v>1578726273482794</v>
      </c>
      <c r="C3795" t="s">
        <v>40</v>
      </c>
      <c r="D3795">
        <v>5.4975750000000003</v>
      </c>
      <c r="E3795">
        <v>0.48375119999999999</v>
      </c>
      <c r="F3795" t="s">
        <v>42</v>
      </c>
      <c r="G3795">
        <v>-126.7388</v>
      </c>
      <c r="H3795">
        <v>0.90055370000000001</v>
      </c>
      <c r="I3795">
        <v>138.3844</v>
      </c>
      <c r="J3795">
        <v>-127.3883</v>
      </c>
      <c r="K3795">
        <v>1.106732</v>
      </c>
      <c r="L3795">
        <v>138.43389999999999</v>
      </c>
      <c r="M3795">
        <v>0.99476140000000002</v>
      </c>
      <c r="N3795">
        <v>0</v>
      </c>
      <c r="O3795">
        <v>0.10028330000000001</v>
      </c>
      <c r="P3795">
        <v>0.98369649999999997</v>
      </c>
      <c r="Q3795">
        <v>0.1691098</v>
      </c>
      <c r="R3795">
        <v>6.1182750000000001E-2</v>
      </c>
      <c r="S3795">
        <v>3.2404329999999999</v>
      </c>
      <c r="T3795">
        <v>-0.98802160000000006</v>
      </c>
      <c r="U3795">
        <v>-0.22285460000000001</v>
      </c>
      <c r="V3795">
        <v>3.7804339999999999E-2</v>
      </c>
      <c r="W3795">
        <v>0.1886031</v>
      </c>
      <c r="X3795">
        <v>0.98132549999999996</v>
      </c>
      <c r="Y3795">
        <v>0.156696</v>
      </c>
      <c r="Z3795">
        <v>-5.3188909999999999E-2</v>
      </c>
      <c r="AA3795">
        <v>0.98621360000000002</v>
      </c>
      <c r="AB3795">
        <v>3</v>
      </c>
      <c r="AC3795">
        <v>0.64950000000000296</v>
      </c>
      <c r="AD3795">
        <v>-0.20617830000000001</v>
      </c>
      <c r="AE3795">
        <v>-4.9499999999994701E-2</v>
      </c>
      <c r="AF3795">
        <v>0.103979733487377</v>
      </c>
      <c r="AG3795">
        <v>-0.20617830000000001</v>
      </c>
      <c r="AH3795">
        <v>0.58286400193891397</v>
      </c>
      <c r="AI3795">
        <v>109.199920665173</v>
      </c>
      <c r="AJ3795">
        <v>79.885152517341197</v>
      </c>
      <c r="AK3795">
        <v>0.62693837107266104</v>
      </c>
      <c r="AL3795">
        <v>79.128726259439503</v>
      </c>
      <c r="AM3795">
        <v>87.793842550076903</v>
      </c>
      <c r="AN3795">
        <v>1.0000000172013399</v>
      </c>
    </row>
    <row r="3796" spans="1:40" x14ac:dyDescent="0.3">
      <c r="A3796" t="str">
        <f>"20200111150433508"</f>
        <v>20200111150433508</v>
      </c>
      <c r="B3796" t="str">
        <f>"1578726273502317"</f>
        <v>1578726273502317</v>
      </c>
      <c r="C3796" t="s">
        <v>40</v>
      </c>
      <c r="D3796">
        <v>5.3628260000000001</v>
      </c>
      <c r="E3796">
        <v>0.45307779999999998</v>
      </c>
      <c r="F3796" t="s">
        <v>42</v>
      </c>
      <c r="G3796">
        <v>-126.7097</v>
      </c>
      <c r="H3796">
        <v>0.93584489999999998</v>
      </c>
      <c r="I3796">
        <v>138.5034</v>
      </c>
      <c r="J3796">
        <v>-127.3626</v>
      </c>
      <c r="K3796">
        <v>1.1066910000000001</v>
      </c>
      <c r="L3796">
        <v>138.4366</v>
      </c>
      <c r="M3796">
        <v>0.99475259999999999</v>
      </c>
      <c r="N3796">
        <v>0</v>
      </c>
      <c r="O3796">
        <v>0.10039480000000001</v>
      </c>
      <c r="P3796">
        <v>0.9844716</v>
      </c>
      <c r="Q3796">
        <v>0.16371440000000001</v>
      </c>
      <c r="R3796">
        <v>6.3353859999999998E-2</v>
      </c>
      <c r="S3796">
        <v>3.1666110000000001</v>
      </c>
      <c r="T3796">
        <v>-0.79745029999999995</v>
      </c>
      <c r="U3796">
        <v>0.3247833</v>
      </c>
      <c r="V3796">
        <v>3.5833120000000003E-2</v>
      </c>
      <c r="W3796">
        <v>0.18310589999999999</v>
      </c>
      <c r="X3796">
        <v>0.98243990000000003</v>
      </c>
      <c r="Y3796">
        <v>-4.5698659999999997E-3</v>
      </c>
      <c r="Z3796">
        <v>-2.4208090000000002E-2</v>
      </c>
      <c r="AA3796">
        <v>0.99969649999999999</v>
      </c>
      <c r="AB3796">
        <v>3</v>
      </c>
      <c r="AC3796">
        <v>0.65290000000000203</v>
      </c>
      <c r="AD3796">
        <v>-0.1708461</v>
      </c>
      <c r="AE3796">
        <v>6.6800000000000595E-2</v>
      </c>
      <c r="AF3796">
        <v>-8.4464772755047496E-4</v>
      </c>
      <c r="AG3796">
        <v>-0.1708461</v>
      </c>
      <c r="AH3796">
        <v>0.61465659645952497</v>
      </c>
      <c r="AI3796">
        <v>105.533456324966</v>
      </c>
      <c r="AJ3796">
        <v>90.078734564601405</v>
      </c>
      <c r="AK3796">
        <v>0.63795911693948004</v>
      </c>
      <c r="AL3796">
        <v>79.449277448675105</v>
      </c>
      <c r="AM3796">
        <v>87.911142609642098</v>
      </c>
      <c r="AN3796">
        <v>0.999999970107876</v>
      </c>
    </row>
    <row r="3797" spans="1:40" x14ac:dyDescent="0.3">
      <c r="A3797" t="str">
        <f>"20200111150433531"</f>
        <v>20200111150433531</v>
      </c>
      <c r="B3797" t="str">
        <f>"1578726273522810"</f>
        <v>1578726273522810</v>
      </c>
      <c r="C3797" t="s">
        <v>40</v>
      </c>
      <c r="D3797">
        <v>5.1314699999999904</v>
      </c>
      <c r="E3797">
        <v>0.45018160000000002</v>
      </c>
      <c r="F3797" t="s">
        <v>42</v>
      </c>
      <c r="G3797">
        <v>-126.6609</v>
      </c>
      <c r="H3797">
        <v>0.99435110000000004</v>
      </c>
      <c r="I3797">
        <v>138.5668</v>
      </c>
      <c r="J3797">
        <v>-127.3386</v>
      </c>
      <c r="K3797">
        <v>1.1066560000000001</v>
      </c>
      <c r="L3797">
        <v>138.4392</v>
      </c>
      <c r="M3797">
        <v>0.9947452</v>
      </c>
      <c r="N3797">
        <v>0</v>
      </c>
      <c r="O3797">
        <v>0.10049619999999999</v>
      </c>
      <c r="P3797">
        <v>0.98455669999999995</v>
      </c>
      <c r="Q3797">
        <v>0.16211</v>
      </c>
      <c r="R3797">
        <v>6.6095210000000001E-2</v>
      </c>
      <c r="S3797">
        <v>3.092743</v>
      </c>
      <c r="T3797">
        <v>-0.49530479999999999</v>
      </c>
      <c r="U3797">
        <v>0.57417299999999905</v>
      </c>
      <c r="V3797">
        <v>3.3215630000000003E-2</v>
      </c>
      <c r="W3797">
        <v>0.1813641</v>
      </c>
      <c r="X3797">
        <v>0.98285489999999998</v>
      </c>
      <c r="Y3797">
        <v>-8.2993220000000006E-2</v>
      </c>
      <c r="Z3797">
        <v>-9.2574189999999994E-3</v>
      </c>
      <c r="AA3797">
        <v>0.99650709999999998</v>
      </c>
      <c r="AB3797">
        <v>3</v>
      </c>
      <c r="AC3797">
        <v>0.67770000000000097</v>
      </c>
      <c r="AD3797">
        <v>-0.112304899999999</v>
      </c>
      <c r="AE3797">
        <v>0.12760000000000099</v>
      </c>
      <c r="AF3797">
        <v>-5.7314419526751502E-2</v>
      </c>
      <c r="AG3797">
        <v>-0.112304899999999</v>
      </c>
      <c r="AH3797">
        <v>0.66934181707205798</v>
      </c>
      <c r="AI3797">
        <v>99.490509275524701</v>
      </c>
      <c r="AJ3797">
        <v>94.894186232258704</v>
      </c>
      <c r="AK3797">
        <v>0.68111364788192497</v>
      </c>
      <c r="AL3797">
        <v>79.550774981680902</v>
      </c>
      <c r="AM3797">
        <v>88.064422948387204</v>
      </c>
      <c r="AN3797">
        <v>0.99999998464955797</v>
      </c>
    </row>
    <row r="3798" spans="1:40" x14ac:dyDescent="0.3">
      <c r="A3798" t="str">
        <f>"20200111150433552"</f>
        <v>20200111150433552</v>
      </c>
      <c r="B3798" t="str">
        <f>"1578726273542329"</f>
        <v>1578726273542329</v>
      </c>
      <c r="C3798" t="s">
        <v>40</v>
      </c>
      <c r="D3798">
        <v>5.0992839999999999</v>
      </c>
      <c r="E3798">
        <v>0.4488896</v>
      </c>
      <c r="F3798" t="s">
        <v>42</v>
      </c>
      <c r="G3798">
        <v>-126.61320000000001</v>
      </c>
      <c r="H3798">
        <v>0.99301150000000005</v>
      </c>
      <c r="I3798">
        <v>138.58150000000001</v>
      </c>
      <c r="J3798">
        <v>-127.3156</v>
      </c>
      <c r="K3798">
        <v>1.106619</v>
      </c>
      <c r="L3798">
        <v>138.44159999999999</v>
      </c>
      <c r="M3798">
        <v>0.99473889999999998</v>
      </c>
      <c r="N3798">
        <v>0</v>
      </c>
      <c r="O3798">
        <v>0.1005911</v>
      </c>
      <c r="P3798">
        <v>0.98450280000000001</v>
      </c>
      <c r="Q3798">
        <v>0.16132340000000001</v>
      </c>
      <c r="R3798">
        <v>6.8770369999999997E-2</v>
      </c>
      <c r="S3798">
        <v>3.0859990000000002</v>
      </c>
      <c r="T3798">
        <v>-0.48356900000000003</v>
      </c>
      <c r="U3798">
        <v>0.60581969999999996</v>
      </c>
      <c r="V3798">
        <v>3.0642949999999999E-2</v>
      </c>
      <c r="W3798">
        <v>0.18042520000000001</v>
      </c>
      <c r="X3798">
        <v>0.98311130000000002</v>
      </c>
      <c r="Y3798">
        <v>-9.3018199999999995E-2</v>
      </c>
      <c r="Z3798">
        <v>-8.2904169999999996E-3</v>
      </c>
      <c r="AA3798">
        <v>0.99562989999999996</v>
      </c>
      <c r="AB3798">
        <v>2</v>
      </c>
      <c r="AC3798">
        <v>0.70239999999999703</v>
      </c>
      <c r="AD3798">
        <v>-0.1136075</v>
      </c>
      <c r="AE3798">
        <v>0.13990000000001099</v>
      </c>
      <c r="AF3798">
        <v>-6.6839825262963101E-2</v>
      </c>
      <c r="AG3798">
        <v>-0.1136075</v>
      </c>
      <c r="AH3798">
        <v>0.69541316679913201</v>
      </c>
      <c r="AI3798">
        <v>99.236444866420996</v>
      </c>
      <c r="AJ3798">
        <v>95.490134625639001</v>
      </c>
      <c r="AK3798">
        <v>0.70779495537551695</v>
      </c>
      <c r="AL3798">
        <v>79.605472899762901</v>
      </c>
      <c r="AM3798">
        <v>88.214705229116902</v>
      </c>
      <c r="AN3798">
        <v>1.00000003568371</v>
      </c>
    </row>
    <row r="3799" spans="1:40" x14ac:dyDescent="0.3">
      <c r="A3799" t="str">
        <f>"20200111150433575"</f>
        <v>20200111150433575</v>
      </c>
      <c r="B3799" t="str">
        <f>"1578726273573214"</f>
        <v>1578726273573214</v>
      </c>
      <c r="C3799" t="s">
        <v>40</v>
      </c>
      <c r="D3799">
        <v>5.3275160000000001</v>
      </c>
      <c r="E3799">
        <v>0.45111610000000002</v>
      </c>
      <c r="F3799" t="s">
        <v>41</v>
      </c>
      <c r="G3799">
        <v>-119.6893</v>
      </c>
      <c r="H3799" s="1">
        <v>-2.139068E-7</v>
      </c>
      <c r="I3799">
        <v>139.98570000000001</v>
      </c>
      <c r="J3799">
        <v>-127.29430000000001</v>
      </c>
      <c r="K3799">
        <v>1.106571</v>
      </c>
      <c r="L3799">
        <v>138.44390000000001</v>
      </c>
      <c r="M3799">
        <v>0.99473290000000003</v>
      </c>
      <c r="N3799">
        <v>0</v>
      </c>
      <c r="O3799">
        <v>0.1006784</v>
      </c>
      <c r="P3799">
        <v>0.98440709999999998</v>
      </c>
      <c r="Q3799">
        <v>0.16103219999999999</v>
      </c>
      <c r="R3799">
        <v>7.0791110000000004E-2</v>
      </c>
      <c r="S3799">
        <v>3.076889</v>
      </c>
      <c r="T3799">
        <v>-0.44647039999999999</v>
      </c>
      <c r="U3799">
        <v>0.62297060000000004</v>
      </c>
      <c r="V3799">
        <v>2.8709470000000001E-2</v>
      </c>
      <c r="W3799">
        <v>0.17998710000000001</v>
      </c>
      <c r="X3799">
        <v>0.98324990000000001</v>
      </c>
      <c r="Y3799">
        <v>-9.8754900000000007E-2</v>
      </c>
      <c r="Z3799">
        <v>-7.2802709999999996E-3</v>
      </c>
      <c r="AA3799">
        <v>0.9950852</v>
      </c>
      <c r="AB3799">
        <v>2</v>
      </c>
      <c r="AC3799">
        <v>7.6050000000000004</v>
      </c>
      <c r="AD3799">
        <v>-1.1065712139068</v>
      </c>
      <c r="AE3799">
        <v>1.5417999999999901</v>
      </c>
      <c r="AF3799">
        <v>-0.75285213747388402</v>
      </c>
      <c r="AG3799">
        <v>-1.1065712139068</v>
      </c>
      <c r="AH3799">
        <v>7.5677021242009301</v>
      </c>
      <c r="AI3799">
        <v>98.278703834736206</v>
      </c>
      <c r="AJ3799">
        <v>95.681221227192495</v>
      </c>
      <c r="AK3799">
        <v>7.6851416143739</v>
      </c>
      <c r="AL3799">
        <v>79.630991349596698</v>
      </c>
      <c r="AM3799">
        <v>88.327521582198102</v>
      </c>
      <c r="AN3799">
        <v>0.99999997784204997</v>
      </c>
    </row>
    <row r="3800" spans="1:40" x14ac:dyDescent="0.3">
      <c r="A3800" t="str">
        <f>"20200111150433598"</f>
        <v>20200111150433598</v>
      </c>
      <c r="B3800" t="str">
        <f>"1578726273592734"</f>
        <v>1578726273592734</v>
      </c>
      <c r="C3800" t="s">
        <v>40</v>
      </c>
      <c r="D3800">
        <v>4.6812839999999998</v>
      </c>
      <c r="E3800">
        <v>0.45276129999999998</v>
      </c>
      <c r="F3800" t="s">
        <v>41</v>
      </c>
      <c r="G3800">
        <v>-118.91160000000001</v>
      </c>
      <c r="H3800" s="1">
        <v>-5.8138379999999995E-7</v>
      </c>
      <c r="I3800">
        <v>140.113</v>
      </c>
      <c r="J3800">
        <v>-127.273</v>
      </c>
      <c r="K3800">
        <v>1.1065119999999999</v>
      </c>
      <c r="L3800">
        <v>138.4461</v>
      </c>
      <c r="M3800">
        <v>0.99472700000000003</v>
      </c>
      <c r="N3800">
        <v>0</v>
      </c>
      <c r="O3800">
        <v>0.10076549999999999</v>
      </c>
      <c r="P3800">
        <v>0.98461299999999996</v>
      </c>
      <c r="Q3800">
        <v>0.1593107</v>
      </c>
      <c r="R3800">
        <v>7.1816720000000001E-2</v>
      </c>
      <c r="S3800">
        <v>3.0698699999999999</v>
      </c>
      <c r="T3800">
        <v>-0.4052441</v>
      </c>
      <c r="U3800">
        <v>0.61126709999999995</v>
      </c>
      <c r="V3800">
        <v>2.7796040000000001E-2</v>
      </c>
      <c r="W3800">
        <v>0.17812649999999999</v>
      </c>
      <c r="X3800">
        <v>0.98361489999999996</v>
      </c>
      <c r="Y3800">
        <v>-9.5488619999999996E-2</v>
      </c>
      <c r="Z3800">
        <v>-6.8553349999999997E-3</v>
      </c>
      <c r="AA3800">
        <v>0.99540689999999998</v>
      </c>
      <c r="AB3800">
        <v>2</v>
      </c>
      <c r="AC3800">
        <v>8.3613999999999802</v>
      </c>
      <c r="AD3800">
        <v>-1.1065125813837999</v>
      </c>
      <c r="AE3800">
        <v>1.6668999999999901</v>
      </c>
      <c r="AF3800">
        <v>-0.80220661319734798</v>
      </c>
      <c r="AG3800">
        <v>-1.1065125813837999</v>
      </c>
      <c r="AH3800">
        <v>8.3462444674982592</v>
      </c>
      <c r="AI3800">
        <v>97.517764257184197</v>
      </c>
      <c r="AJ3800">
        <v>95.490169050806301</v>
      </c>
      <c r="AK3800">
        <v>8.4574051726438793</v>
      </c>
      <c r="AL3800">
        <v>79.739346987554597</v>
      </c>
      <c r="AM3800">
        <v>88.381305481938398</v>
      </c>
      <c r="AN3800">
        <v>0.99999997067197</v>
      </c>
    </row>
    <row r="3801" spans="1:40" x14ac:dyDescent="0.3">
      <c r="A3801" t="str">
        <f>"20200111150433620"</f>
        <v>20200111150433620</v>
      </c>
      <c r="B3801" t="str">
        <f>"1578726273613230"</f>
        <v>1578726273613230</v>
      </c>
      <c r="C3801" t="s">
        <v>40</v>
      </c>
      <c r="D3801">
        <v>5.367286</v>
      </c>
      <c r="E3801">
        <v>0.45436599999999999</v>
      </c>
      <c r="F3801" t="s">
        <v>41</v>
      </c>
      <c r="G3801">
        <v>-117.9272</v>
      </c>
      <c r="H3801" s="1">
        <v>-1.04962E-6</v>
      </c>
      <c r="I3801">
        <v>140.28550000000001</v>
      </c>
      <c r="J3801">
        <v>-127.2538</v>
      </c>
      <c r="K3801">
        <v>1.1064529999999999</v>
      </c>
      <c r="L3801">
        <v>138.44810000000001</v>
      </c>
      <c r="M3801">
        <v>0.99472150000000004</v>
      </c>
      <c r="N3801">
        <v>0</v>
      </c>
      <c r="O3801">
        <v>0.10084410000000001</v>
      </c>
      <c r="P3801">
        <v>0.98495029999999995</v>
      </c>
      <c r="Q3801">
        <v>0.15676279999999901</v>
      </c>
      <c r="R3801">
        <v>7.2790450000000007E-2</v>
      </c>
      <c r="S3801">
        <v>3.0615839999999999</v>
      </c>
      <c r="T3801">
        <v>-0.36247990000000002</v>
      </c>
      <c r="U3801">
        <v>0.60256960000000004</v>
      </c>
      <c r="V3801">
        <v>2.693866E-2</v>
      </c>
      <c r="W3801">
        <v>0.17545649999999999</v>
      </c>
      <c r="X3801">
        <v>0.98411850000000001</v>
      </c>
      <c r="Y3801">
        <v>-9.321256E-2</v>
      </c>
      <c r="Z3801">
        <v>-6.2972879999999998E-3</v>
      </c>
      <c r="AA3801">
        <v>0.99562629999999996</v>
      </c>
      <c r="AB3801">
        <v>2</v>
      </c>
      <c r="AC3801">
        <v>9.3265999999999991</v>
      </c>
      <c r="AD3801">
        <v>-1.1064540496199999</v>
      </c>
      <c r="AE3801">
        <v>1.8373999999999999</v>
      </c>
      <c r="AF3801">
        <v>-0.87546720782675902</v>
      </c>
      <c r="AG3801">
        <v>-1.1064540496199999</v>
      </c>
      <c r="AH3801">
        <v>9.3378507933914694</v>
      </c>
      <c r="AI3801">
        <v>96.728309291401501</v>
      </c>
      <c r="AJ3801">
        <v>95.356090819183606</v>
      </c>
      <c r="AK3801">
        <v>9.4438414236761901</v>
      </c>
      <c r="AL3801">
        <v>79.894774799636494</v>
      </c>
      <c r="AM3801">
        <v>88.432011807586903</v>
      </c>
      <c r="AN3801">
        <v>0.999999948418546</v>
      </c>
    </row>
    <row r="3802" spans="1:40" x14ac:dyDescent="0.3">
      <c r="A3802" t="str">
        <f>"20200111150433642"</f>
        <v>20200111150433642</v>
      </c>
      <c r="B3802" t="str">
        <f>"1578726273632751"</f>
        <v>1578726273632751</v>
      </c>
      <c r="C3802" t="s">
        <v>40</v>
      </c>
      <c r="D3802">
        <v>5.3116940000000001</v>
      </c>
      <c r="E3802">
        <v>0.45456459999999999</v>
      </c>
      <c r="F3802" t="s">
        <v>41</v>
      </c>
      <c r="G3802">
        <v>-116.25190000000001</v>
      </c>
      <c r="H3802" s="1">
        <v>-1.8481050000000001E-6</v>
      </c>
      <c r="I3802">
        <v>140.58539999999999</v>
      </c>
      <c r="J3802">
        <v>-127.23560000000001</v>
      </c>
      <c r="K3802">
        <v>1.10639</v>
      </c>
      <c r="L3802">
        <v>138.45009999999999</v>
      </c>
      <c r="M3802">
        <v>0.9947165</v>
      </c>
      <c r="N3802">
        <v>0</v>
      </c>
      <c r="O3802">
        <v>0.1009195</v>
      </c>
      <c r="P3802">
        <v>0.98521409999999998</v>
      </c>
      <c r="Q3802">
        <v>0.15452750000000001</v>
      </c>
      <c r="R3802">
        <v>7.3990089999999994E-2</v>
      </c>
      <c r="S3802">
        <v>3.0508579999999998</v>
      </c>
      <c r="T3802">
        <v>-0.30682179999999998</v>
      </c>
      <c r="U3802">
        <v>0.59268189999999998</v>
      </c>
      <c r="V3802">
        <v>2.5846020000000001E-2</v>
      </c>
      <c r="W3802">
        <v>0.17309330000000001</v>
      </c>
      <c r="X3802">
        <v>0.98456619999999995</v>
      </c>
      <c r="Y3802">
        <v>-9.0691450000000007E-2</v>
      </c>
      <c r="Z3802">
        <v>-5.4884139999999996E-3</v>
      </c>
      <c r="AA3802">
        <v>0.99586390000000002</v>
      </c>
      <c r="AB3802">
        <v>2</v>
      </c>
      <c r="AC3802">
        <v>10.983700000000001</v>
      </c>
      <c r="AD3802">
        <v>-1.1063918481049999</v>
      </c>
      <c r="AE3802">
        <v>2.1353</v>
      </c>
      <c r="AF3802">
        <v>-1.0058938889958899</v>
      </c>
      <c r="AG3802">
        <v>-1.1063918481049999</v>
      </c>
      <c r="AH3802">
        <v>11.035242883919899</v>
      </c>
      <c r="AI3802">
        <v>95.701851754497895</v>
      </c>
      <c r="AJ3802">
        <v>95.208280747578002</v>
      </c>
      <c r="AK3802">
        <v>11.136090469486</v>
      </c>
      <c r="AL3802">
        <v>80.032280535876097</v>
      </c>
      <c r="AM3802">
        <v>88.496263799738799</v>
      </c>
      <c r="AN3802">
        <v>0.99999995471858405</v>
      </c>
    </row>
    <row r="3803" spans="1:40" x14ac:dyDescent="0.3">
      <c r="A3803" t="str">
        <f>"20200111150433664"</f>
        <v>20200111150433664</v>
      </c>
      <c r="B3803" t="str">
        <f>"1578726273663006"</f>
        <v>1578726273663006</v>
      </c>
      <c r="C3803" t="s">
        <v>40</v>
      </c>
      <c r="D3803">
        <v>6.4310989999999997</v>
      </c>
      <c r="E3803">
        <v>0.45598379999999999</v>
      </c>
      <c r="F3803" t="s">
        <v>41</v>
      </c>
      <c r="G3803">
        <v>-114.05840000000001</v>
      </c>
      <c r="H3803" s="1">
        <v>-2.9061640000000001E-6</v>
      </c>
      <c r="I3803">
        <v>141.02529999999999</v>
      </c>
      <c r="J3803">
        <v>-127.218</v>
      </c>
      <c r="K3803">
        <v>1.106331</v>
      </c>
      <c r="L3803">
        <v>138.45189999999999</v>
      </c>
      <c r="M3803">
        <v>0.99471220000000005</v>
      </c>
      <c r="N3803">
        <v>0</v>
      </c>
      <c r="O3803">
        <v>0.1009939</v>
      </c>
      <c r="P3803">
        <v>0.98548630000000004</v>
      </c>
      <c r="Q3803">
        <v>0.15202399999999999</v>
      </c>
      <c r="R3803">
        <v>7.55358E-2</v>
      </c>
      <c r="S3803">
        <v>3.040451</v>
      </c>
      <c r="T3803">
        <v>-0.25528339999999999</v>
      </c>
      <c r="U3803">
        <v>0.59420779999999995</v>
      </c>
      <c r="V3803">
        <v>2.440848E-2</v>
      </c>
      <c r="W3803">
        <v>0.17042570000000001</v>
      </c>
      <c r="X3803">
        <v>0.98506819999999895</v>
      </c>
      <c r="Y3803">
        <v>-9.1718869999999994E-2</v>
      </c>
      <c r="Z3803">
        <v>-4.5483310000000001E-3</v>
      </c>
      <c r="AA3803">
        <v>0.99577459999999995</v>
      </c>
      <c r="AB3803">
        <v>2</v>
      </c>
      <c r="AC3803">
        <v>13.1595999999999</v>
      </c>
      <c r="AD3803">
        <v>-1.1063339061639901</v>
      </c>
      <c r="AE3803">
        <v>2.5733999999999901</v>
      </c>
      <c r="AF3803">
        <v>-1.22264400387077</v>
      </c>
      <c r="AG3803">
        <v>-1.1063339061639901</v>
      </c>
      <c r="AH3803">
        <v>13.2619539909767</v>
      </c>
      <c r="AI3803">
        <v>94.748621469303203</v>
      </c>
      <c r="AJ3803">
        <v>95.267314392440994</v>
      </c>
      <c r="AK3803">
        <v>13.364065875732299</v>
      </c>
      <c r="AL3803">
        <v>80.187429188045698</v>
      </c>
      <c r="AM3803">
        <v>88.580588857049307</v>
      </c>
      <c r="AN3803">
        <v>1.00000002588381</v>
      </c>
    </row>
    <row r="3804" spans="1:40" x14ac:dyDescent="0.3">
      <c r="A3804" t="str">
        <f>"20200111150433687"</f>
        <v>20200111150433687</v>
      </c>
      <c r="B3804" t="str">
        <f>"1578726273682526"</f>
        <v>1578726273682526</v>
      </c>
      <c r="C3804" t="s">
        <v>40</v>
      </c>
      <c r="D3804">
        <v>5.257949</v>
      </c>
      <c r="E3804">
        <v>0.451542</v>
      </c>
      <c r="F3804" t="s">
        <v>41</v>
      </c>
      <c r="G3804">
        <v>-113.473</v>
      </c>
      <c r="H3804" s="1">
        <v>-3.1803939999999999E-6</v>
      </c>
      <c r="I3804">
        <v>141.1123</v>
      </c>
      <c r="J3804">
        <v>-127.2012</v>
      </c>
      <c r="K3804">
        <v>1.106271</v>
      </c>
      <c r="L3804">
        <v>138.4537</v>
      </c>
      <c r="M3804">
        <v>0.99471030000000005</v>
      </c>
      <c r="N3804">
        <v>0</v>
      </c>
      <c r="O3804">
        <v>0.10106610000000001</v>
      </c>
      <c r="P3804">
        <v>0.98557729999999999</v>
      </c>
      <c r="Q3804">
        <v>0.150818799999999</v>
      </c>
      <c r="R3804">
        <v>7.6753710000000003E-2</v>
      </c>
      <c r="S3804">
        <v>3.036835</v>
      </c>
      <c r="T3804">
        <v>-0.24443529999999999</v>
      </c>
      <c r="U3804">
        <v>0.58778379999999997</v>
      </c>
      <c r="V3804">
        <v>2.3276249999999998E-2</v>
      </c>
      <c r="W3804">
        <v>0.16894210000000001</v>
      </c>
      <c r="X3804">
        <v>0.98535110000000004</v>
      </c>
      <c r="Y3804">
        <v>-8.9844259999999995E-2</v>
      </c>
      <c r="Z3804">
        <v>-4.4420859999999996E-3</v>
      </c>
      <c r="AA3804">
        <v>0.99594590000000005</v>
      </c>
      <c r="AB3804">
        <v>2</v>
      </c>
      <c r="AC3804">
        <v>13.728199999999999</v>
      </c>
      <c r="AD3804">
        <v>-1.1062741803939999</v>
      </c>
      <c r="AE3804">
        <v>2.6585999999999999</v>
      </c>
      <c r="AF3804">
        <v>-1.2494725672884699</v>
      </c>
      <c r="AG3804">
        <v>-1.1062741803939999</v>
      </c>
      <c r="AH3804">
        <v>13.8399982792664</v>
      </c>
      <c r="AI3804">
        <v>94.551680196879403</v>
      </c>
      <c r="AJ3804">
        <v>95.158667902178195</v>
      </c>
      <c r="AK3804">
        <v>13.9402502355126</v>
      </c>
      <c r="AL3804">
        <v>80.273683815470307</v>
      </c>
      <c r="AM3804">
        <v>88.646794112312506</v>
      </c>
      <c r="AN3804">
        <v>1.0000000036188399</v>
      </c>
    </row>
    <row r="3805" spans="1:40" x14ac:dyDescent="0.3">
      <c r="A3805" t="str">
        <f>"20200111150433709"</f>
        <v>20200111150433709</v>
      </c>
      <c r="B3805" t="str">
        <f>"1578726273703024"</f>
        <v>1578726273703024</v>
      </c>
      <c r="C3805" t="s">
        <v>40</v>
      </c>
      <c r="D3805">
        <v>5.1863400000000004</v>
      </c>
      <c r="E3805">
        <v>0.46667039999999999</v>
      </c>
      <c r="F3805" t="s">
        <v>44</v>
      </c>
      <c r="G3805">
        <v>0</v>
      </c>
      <c r="H3805">
        <v>0</v>
      </c>
      <c r="I3805">
        <v>0</v>
      </c>
      <c r="J3805">
        <v>-127.1845</v>
      </c>
      <c r="K3805">
        <v>1.1062069999999999</v>
      </c>
      <c r="L3805">
        <v>138.4555</v>
      </c>
      <c r="M3805">
        <v>0.99471160000000003</v>
      </c>
      <c r="N3805">
        <v>0</v>
      </c>
      <c r="O3805">
        <v>0.1011402</v>
      </c>
      <c r="P3805">
        <v>0.98530450000000003</v>
      </c>
      <c r="Q3805">
        <v>0.15215000000000001</v>
      </c>
      <c r="R3805">
        <v>7.7624499999999999E-2</v>
      </c>
      <c r="S3805">
        <v>2.962234</v>
      </c>
      <c r="T3805">
        <v>0.21841540000000001</v>
      </c>
      <c r="U3805">
        <v>0.61956789999999995</v>
      </c>
      <c r="V3805">
        <v>2.24537E-2</v>
      </c>
      <c r="W3805">
        <v>0.16979079999999999</v>
      </c>
      <c r="X3805">
        <v>0.98522430000000005</v>
      </c>
      <c r="Y3805">
        <v>-0.10465190000000001</v>
      </c>
      <c r="Z3805">
        <v>3.528579E-3</v>
      </c>
      <c r="AA3805">
        <v>0.99450269999999996</v>
      </c>
      <c r="AB3805">
        <v>2</v>
      </c>
      <c r="AC3805">
        <v>2.962234</v>
      </c>
      <c r="AD3805">
        <v>0.21841540000000001</v>
      </c>
      <c r="AE3805">
        <v>0.61956789999999995</v>
      </c>
      <c r="AF3805">
        <v>-0.31509976647601201</v>
      </c>
      <c r="AG3805">
        <v>0.21841540000000001</v>
      </c>
      <c r="AH3805">
        <v>2.9941169861565702</v>
      </c>
      <c r="AI3805">
        <v>85.850601270759995</v>
      </c>
      <c r="AJ3805">
        <v>96.007672728950794</v>
      </c>
      <c r="AK3805">
        <v>3.0185641746667802</v>
      </c>
      <c r="AL3805">
        <v>80.224344074572102</v>
      </c>
      <c r="AM3805">
        <v>88.694429709514196</v>
      </c>
      <c r="AN3805">
        <v>1.00000000285941</v>
      </c>
    </row>
    <row r="3806" spans="1:40" x14ac:dyDescent="0.3">
      <c r="A3806" t="str">
        <f>"20200111150433731"</f>
        <v>20200111150433731</v>
      </c>
      <c r="B3806" t="str">
        <f>"1578726273722542"</f>
        <v>1578726273722542</v>
      </c>
      <c r="C3806" t="s">
        <v>40</v>
      </c>
      <c r="D3806">
        <v>5.2540490000000002</v>
      </c>
      <c r="E3806">
        <v>0.4663062</v>
      </c>
      <c r="F3806" t="s">
        <v>41</v>
      </c>
      <c r="G3806">
        <v>-116.70780000000001</v>
      </c>
      <c r="H3806" s="1">
        <v>-1.553485E-6</v>
      </c>
      <c r="I3806">
        <v>140.2132</v>
      </c>
      <c r="J3806">
        <v>-127.1675</v>
      </c>
      <c r="K3806">
        <v>1.1061559999999999</v>
      </c>
      <c r="L3806">
        <v>138.4573</v>
      </c>
      <c r="M3806">
        <v>0.99471480000000001</v>
      </c>
      <c r="N3806">
        <v>0</v>
      </c>
      <c r="O3806">
        <v>0.10121579999999999</v>
      </c>
      <c r="P3806">
        <v>0.98479000000000005</v>
      </c>
      <c r="Q3806">
        <v>0.1550513</v>
      </c>
      <c r="R3806">
        <v>7.8408359999999996E-2</v>
      </c>
      <c r="S3806">
        <v>3.0541529999999999</v>
      </c>
      <c r="T3806">
        <v>-0.32247940000000003</v>
      </c>
      <c r="U3806">
        <v>0.51242069999999995</v>
      </c>
      <c r="V3806">
        <v>2.169455E-2</v>
      </c>
      <c r="W3806">
        <v>0.17207790000000001</v>
      </c>
      <c r="X3806">
        <v>0.98484439999999995</v>
      </c>
      <c r="Y3806">
        <v>-6.4973879999999998E-2</v>
      </c>
      <c r="Z3806">
        <v>-7.1527049999999997E-3</v>
      </c>
      <c r="AA3806">
        <v>0.99786129999999995</v>
      </c>
      <c r="AB3806">
        <v>2</v>
      </c>
      <c r="AC3806">
        <v>10.4596999999999</v>
      </c>
      <c r="AD3806">
        <v>-1.1061575534849999</v>
      </c>
      <c r="AE3806">
        <v>1.75589999999999</v>
      </c>
      <c r="AF3806">
        <v>-0.68063176373647905</v>
      </c>
      <c r="AG3806">
        <v>-1.1061575534849999</v>
      </c>
      <c r="AH3806">
        <v>10.4698346328931</v>
      </c>
      <c r="AI3806">
        <v>96.018421832980394</v>
      </c>
      <c r="AJ3806">
        <v>93.719498114615007</v>
      </c>
      <c r="AK3806">
        <v>10.5500844248312</v>
      </c>
      <c r="AL3806">
        <v>80.091345165741899</v>
      </c>
      <c r="AM3806">
        <v>88.738069531113595</v>
      </c>
      <c r="AN3806">
        <v>0.99999997468973501</v>
      </c>
    </row>
    <row r="3807" spans="1:40" x14ac:dyDescent="0.3">
      <c r="A3807" t="str">
        <f>"20200111150433753"</f>
        <v>20200111150433753</v>
      </c>
      <c r="B3807" t="str">
        <f>"1578726273743038"</f>
        <v>1578726273743038</v>
      </c>
      <c r="C3807" t="s">
        <v>40</v>
      </c>
      <c r="D3807">
        <v>5.2256980000000004</v>
      </c>
      <c r="E3807">
        <v>0.46682319999999999</v>
      </c>
      <c r="F3807" t="s">
        <v>41</v>
      </c>
      <c r="G3807">
        <v>-116.3781</v>
      </c>
      <c r="H3807" s="1">
        <v>-1.7162669999999999E-6</v>
      </c>
      <c r="I3807">
        <v>140.29339999999999</v>
      </c>
      <c r="J3807">
        <v>-127.1503</v>
      </c>
      <c r="K3807">
        <v>1.106128</v>
      </c>
      <c r="L3807">
        <v>138.45910000000001</v>
      </c>
      <c r="M3807">
        <v>0.99471710000000002</v>
      </c>
      <c r="N3807">
        <v>0</v>
      </c>
      <c r="O3807">
        <v>0.1012924</v>
      </c>
      <c r="P3807">
        <v>0.9837804</v>
      </c>
      <c r="Q3807">
        <v>0.16071440000000001</v>
      </c>
      <c r="R3807">
        <v>7.9668589999999997E-2</v>
      </c>
      <c r="S3807">
        <v>3.0542449999999999</v>
      </c>
      <c r="T3807">
        <v>-0.31312800000000002</v>
      </c>
      <c r="U3807">
        <v>0.5197754</v>
      </c>
      <c r="V3807">
        <v>2.041316E-2</v>
      </c>
      <c r="W3807">
        <v>0.17713970000000001</v>
      </c>
      <c r="X3807">
        <v>0.98397400000000002</v>
      </c>
      <c r="Y3807">
        <v>-6.7207160000000002E-2</v>
      </c>
      <c r="Z3807">
        <v>-6.8387159999999999E-3</v>
      </c>
      <c r="AA3807">
        <v>0.99771560000000004</v>
      </c>
      <c r="AB3807">
        <v>2</v>
      </c>
      <c r="AC3807">
        <v>10.7721999999999</v>
      </c>
      <c r="AD3807">
        <v>-1.1061297162670001</v>
      </c>
      <c r="AE3807">
        <v>1.8342999999999801</v>
      </c>
      <c r="AF3807">
        <v>-0.72612893911123</v>
      </c>
      <c r="AG3807">
        <v>-1.1061297162670001</v>
      </c>
      <c r="AH3807">
        <v>10.7920222639989</v>
      </c>
      <c r="AI3807">
        <v>95.838992358925907</v>
      </c>
      <c r="AJ3807">
        <v>93.849279616068102</v>
      </c>
      <c r="AK3807">
        <v>10.8728345307041</v>
      </c>
      <c r="AL3807">
        <v>79.796800475606901</v>
      </c>
      <c r="AM3807">
        <v>88.811533467029804</v>
      </c>
      <c r="AN3807">
        <v>1.0000000015466299</v>
      </c>
    </row>
    <row r="3808" spans="1:40" x14ac:dyDescent="0.3">
      <c r="A3808" t="str">
        <f>"20200111150433776"</f>
        <v>20200111150433776</v>
      </c>
      <c r="B3808" t="str">
        <f>"1578726273772320"</f>
        <v>1578726273772320</v>
      </c>
      <c r="C3808" t="s">
        <v>40</v>
      </c>
      <c r="D3808">
        <v>5.2340519999999904</v>
      </c>
      <c r="E3808">
        <v>0.46759460000000003</v>
      </c>
      <c r="F3808" t="s">
        <v>41</v>
      </c>
      <c r="G3808">
        <v>-115.6735</v>
      </c>
      <c r="H3808" s="1">
        <v>-2.0513440000000001E-6</v>
      </c>
      <c r="I3808">
        <v>140.41679999999999</v>
      </c>
      <c r="J3808">
        <v>-127.13339999999999</v>
      </c>
      <c r="K3808">
        <v>1.1061080000000001</v>
      </c>
      <c r="L3808">
        <v>138.46090000000001</v>
      </c>
      <c r="M3808">
        <v>0.99471830000000006</v>
      </c>
      <c r="N3808">
        <v>0</v>
      </c>
      <c r="O3808">
        <v>0.101366</v>
      </c>
      <c r="P3808">
        <v>0.9830004</v>
      </c>
      <c r="Q3808">
        <v>0.16476729999999901</v>
      </c>
      <c r="R3808">
        <v>8.1009020000000001E-2</v>
      </c>
      <c r="S3808">
        <v>3.0553590000000002</v>
      </c>
      <c r="T3808">
        <v>-0.29447509999999999</v>
      </c>
      <c r="U3808">
        <v>0.52117919999999995</v>
      </c>
      <c r="V3808">
        <v>1.9072599999999999E-2</v>
      </c>
      <c r="W3808">
        <v>0.18066860000000001</v>
      </c>
      <c r="X3808">
        <v>0.98335910000000004</v>
      </c>
      <c r="Y3808">
        <v>-6.7498619999999995E-2</v>
      </c>
      <c r="Z3808">
        <v>-6.4236170000000004E-3</v>
      </c>
      <c r="AA3808">
        <v>0.99769870000000005</v>
      </c>
      <c r="AB3808">
        <v>2</v>
      </c>
      <c r="AC3808">
        <v>11.4598999999999</v>
      </c>
      <c r="AD3808">
        <v>-1.1061100513439901</v>
      </c>
      <c r="AE3808">
        <v>1.95589999999998</v>
      </c>
      <c r="AF3808">
        <v>-0.77699372237000297</v>
      </c>
      <c r="AG3808">
        <v>-1.1061100513439901</v>
      </c>
      <c r="AH3808">
        <v>11.4950861027393</v>
      </c>
      <c r="AI3808">
        <v>95.483904380353806</v>
      </c>
      <c r="AJ3808">
        <v>93.866943309389896</v>
      </c>
      <c r="AK3808">
        <v>11.574290613237499</v>
      </c>
      <c r="AL3808">
        <v>79.591293863098898</v>
      </c>
      <c r="AM3808">
        <v>88.888867263183201</v>
      </c>
      <c r="AN3808">
        <v>1.00000001332476</v>
      </c>
    </row>
    <row r="3809" spans="1:40" x14ac:dyDescent="0.3">
      <c r="A3809" t="str">
        <f>"20200111150433799"</f>
        <v>20200111150433799</v>
      </c>
      <c r="B3809" t="str">
        <f>"1578726273792814"</f>
        <v>1578726273792814</v>
      </c>
      <c r="C3809" t="s">
        <v>40</v>
      </c>
      <c r="D3809">
        <v>5.2625380000000002</v>
      </c>
      <c r="E3809">
        <v>0.46821190000000001</v>
      </c>
      <c r="F3809" t="s">
        <v>41</v>
      </c>
      <c r="G3809">
        <v>-115.12009999999999</v>
      </c>
      <c r="H3809" s="1">
        <v>-2.311639E-6</v>
      </c>
      <c r="I3809">
        <v>140.50280000000001</v>
      </c>
      <c r="J3809">
        <v>-127.116</v>
      </c>
      <c r="K3809">
        <v>1.1060589999999999</v>
      </c>
      <c r="L3809">
        <v>138.46270000000001</v>
      </c>
      <c r="M3809">
        <v>0.99471830000000006</v>
      </c>
      <c r="N3809">
        <v>0</v>
      </c>
      <c r="O3809">
        <v>0.10144359999999999</v>
      </c>
      <c r="P3809">
        <v>0.98256319999999997</v>
      </c>
      <c r="Q3809">
        <v>0.16658480000000001</v>
      </c>
      <c r="R3809">
        <v>8.2578730000000003E-2</v>
      </c>
      <c r="S3809">
        <v>3.0562290000000001</v>
      </c>
      <c r="T3809">
        <v>-0.2813988</v>
      </c>
      <c r="U3809">
        <v>0.51947019999999999</v>
      </c>
      <c r="V3809">
        <v>1.7542220000000001E-2</v>
      </c>
      <c r="W3809">
        <v>0.1819952</v>
      </c>
      <c r="X3809">
        <v>0.98314290000000004</v>
      </c>
      <c r="Y3809">
        <v>-6.6822329999999999E-2</v>
      </c>
      <c r="Z3809">
        <v>-6.1760110000000003E-3</v>
      </c>
      <c r="AA3809">
        <v>0.99774580000000002</v>
      </c>
      <c r="AB3809">
        <v>2</v>
      </c>
      <c r="AC3809">
        <v>11.995900000000001</v>
      </c>
      <c r="AD3809">
        <v>-1.1060613116389999</v>
      </c>
      <c r="AE3809">
        <v>2.04009999999999</v>
      </c>
      <c r="AF3809">
        <v>-0.80585855584435995</v>
      </c>
      <c r="AG3809">
        <v>-1.1060613116389999</v>
      </c>
      <c r="AH3809">
        <v>12.041489406489401</v>
      </c>
      <c r="AI3809">
        <v>95.236482890033201</v>
      </c>
      <c r="AJ3809">
        <v>93.828724651240805</v>
      </c>
      <c r="AK3809">
        <v>12.119003538398999</v>
      </c>
      <c r="AL3809">
        <v>79.514003523673395</v>
      </c>
      <c r="AM3809">
        <v>88.977779807280598</v>
      </c>
      <c r="AN3809">
        <v>0.99999997206298796</v>
      </c>
    </row>
    <row r="3810" spans="1:40" x14ac:dyDescent="0.3">
      <c r="A3810" t="str">
        <f>"20200111150433821"</f>
        <v>20200111150433821</v>
      </c>
      <c r="B3810" t="str">
        <f>"1578726273812334"</f>
        <v>1578726273812334</v>
      </c>
      <c r="C3810" t="s">
        <v>40</v>
      </c>
      <c r="D3810">
        <v>5.2440089999999904</v>
      </c>
      <c r="E3810">
        <v>0.46809780000000001</v>
      </c>
      <c r="F3810" t="s">
        <v>41</v>
      </c>
      <c r="G3810">
        <v>-114.8904</v>
      </c>
      <c r="H3810" s="1">
        <v>-2.4201290000000001E-6</v>
      </c>
      <c r="I3810">
        <v>140.5401</v>
      </c>
      <c r="J3810">
        <v>-127.0998</v>
      </c>
      <c r="K3810">
        <v>1.105993</v>
      </c>
      <c r="L3810">
        <v>138.46449999999999</v>
      </c>
      <c r="M3810">
        <v>0.99471739999999997</v>
      </c>
      <c r="N3810">
        <v>0</v>
      </c>
      <c r="O3810">
        <v>0.10151780000000001</v>
      </c>
      <c r="P3810">
        <v>0.98238700000000001</v>
      </c>
      <c r="Q3810">
        <v>0.1664128</v>
      </c>
      <c r="R3810">
        <v>8.4985260000000007E-2</v>
      </c>
      <c r="S3810">
        <v>3.056473</v>
      </c>
      <c r="T3810">
        <v>-0.27651920000000002</v>
      </c>
      <c r="U3810">
        <v>0.51934809999999998</v>
      </c>
      <c r="V3810">
        <v>1.520232E-2</v>
      </c>
      <c r="W3810">
        <v>0.18139079999999999</v>
      </c>
      <c r="X3810">
        <v>0.98329359999999999</v>
      </c>
      <c r="Y3810">
        <v>-6.6692580000000001E-2</v>
      </c>
      <c r="Z3810">
        <v>-6.0812499999999999E-3</v>
      </c>
      <c r="AA3810">
        <v>0.99775510000000001</v>
      </c>
      <c r="AB3810">
        <v>2</v>
      </c>
      <c r="AC3810">
        <v>12.2094</v>
      </c>
      <c r="AD3810">
        <v>-1.1059954201289901</v>
      </c>
      <c r="AE3810">
        <v>2.0756000000000001</v>
      </c>
      <c r="AF3810">
        <v>-0.81872992512493603</v>
      </c>
      <c r="AG3810">
        <v>-1.1059954201289901</v>
      </c>
      <c r="AH3810">
        <v>12.2592720739552</v>
      </c>
      <c r="AI3810">
        <v>95.143704235478296</v>
      </c>
      <c r="AJ3810">
        <v>93.820798910050499</v>
      </c>
      <c r="AK3810">
        <v>12.3362594145429</v>
      </c>
      <c r="AL3810">
        <v>79.549219738421101</v>
      </c>
      <c r="AM3810">
        <v>89.114242802002096</v>
      </c>
      <c r="AN3810">
        <v>1.0000000183294899</v>
      </c>
    </row>
    <row r="3811" spans="1:40" x14ac:dyDescent="0.3">
      <c r="A3811" t="str">
        <f>"20200111150433843"</f>
        <v>20200111150433843</v>
      </c>
      <c r="B3811" t="str">
        <f>"1578726273832831"</f>
        <v>1578726273832831</v>
      </c>
      <c r="C3811" t="s">
        <v>40</v>
      </c>
      <c r="D3811">
        <v>5.259563</v>
      </c>
      <c r="E3811">
        <v>0.46793289999999998</v>
      </c>
      <c r="F3811" t="s">
        <v>41</v>
      </c>
      <c r="G3811">
        <v>-114.9474</v>
      </c>
      <c r="H3811" s="1">
        <v>-2.400671E-6</v>
      </c>
      <c r="I3811">
        <v>140.55889999999999</v>
      </c>
      <c r="J3811">
        <v>-127.0831</v>
      </c>
      <c r="K3811">
        <v>1.1059270000000001</v>
      </c>
      <c r="L3811">
        <v>138.46619999999999</v>
      </c>
      <c r="M3811">
        <v>0.99471639999999995</v>
      </c>
      <c r="N3811">
        <v>0</v>
      </c>
      <c r="O3811">
        <v>0.1015904</v>
      </c>
      <c r="P3811">
        <v>0.98234359999999998</v>
      </c>
      <c r="Q3811">
        <v>0.1649072</v>
      </c>
      <c r="R3811">
        <v>8.8356320000000002E-2</v>
      </c>
      <c r="S3811">
        <v>3.0553439999999998</v>
      </c>
      <c r="T3811">
        <v>-0.27806760000000003</v>
      </c>
      <c r="U3811">
        <v>0.52658079999999996</v>
      </c>
      <c r="V3811">
        <v>1.191562E-2</v>
      </c>
      <c r="W3811">
        <v>0.1794819</v>
      </c>
      <c r="X3811">
        <v>0.98368909999999998</v>
      </c>
      <c r="Y3811">
        <v>-6.8968539999999995E-2</v>
      </c>
      <c r="Z3811">
        <v>-6.0197439999999996E-3</v>
      </c>
      <c r="AA3811">
        <v>0.99760070000000001</v>
      </c>
      <c r="AB3811">
        <v>2</v>
      </c>
      <c r="AC3811">
        <v>12.1357</v>
      </c>
      <c r="AD3811">
        <v>-1.1059294006710001</v>
      </c>
      <c r="AE3811">
        <v>2.0926999999999998</v>
      </c>
      <c r="AF3811">
        <v>-0.84207396492213205</v>
      </c>
      <c r="AG3811">
        <v>-1.1059294006710001</v>
      </c>
      <c r="AH3811">
        <v>12.187232523046999</v>
      </c>
      <c r="AI3811">
        <v>95.172833457245204</v>
      </c>
      <c r="AJ3811">
        <v>93.952556449210604</v>
      </c>
      <c r="AK3811">
        <v>12.266246572300799</v>
      </c>
      <c r="AL3811">
        <v>79.660416486601903</v>
      </c>
      <c r="AM3811">
        <v>89.305998869208906</v>
      </c>
      <c r="AN3811">
        <v>0.99999998994320205</v>
      </c>
    </row>
    <row r="3812" spans="1:40" x14ac:dyDescent="0.3">
      <c r="A3812" t="str">
        <f>"20200111150433866"</f>
        <v>20200111150433866</v>
      </c>
      <c r="B3812" t="str">
        <f>"1578726273863087"</f>
        <v>1578726273863087</v>
      </c>
      <c r="C3812" t="s">
        <v>40</v>
      </c>
      <c r="D3812">
        <v>5.2474910000000001</v>
      </c>
      <c r="E3812">
        <v>0.46762949999999998</v>
      </c>
      <c r="F3812" t="s">
        <v>41</v>
      </c>
      <c r="G3812">
        <v>-115.1206</v>
      </c>
      <c r="H3812" s="1">
        <v>-2.3297459999999999E-6</v>
      </c>
      <c r="I3812">
        <v>140.57159999999999</v>
      </c>
      <c r="J3812">
        <v>-127.0663</v>
      </c>
      <c r="K3812">
        <v>1.1058950000000001</v>
      </c>
      <c r="L3812">
        <v>138.46799999999999</v>
      </c>
      <c r="M3812">
        <v>0.9947144</v>
      </c>
      <c r="N3812">
        <v>0</v>
      </c>
      <c r="O3812">
        <v>0.1016614</v>
      </c>
      <c r="P3812">
        <v>0.98197140000000005</v>
      </c>
      <c r="Q3812">
        <v>0.1656533</v>
      </c>
      <c r="R3812">
        <v>9.1057579999999999E-2</v>
      </c>
      <c r="S3812">
        <v>3.0529630000000001</v>
      </c>
      <c r="T3812">
        <v>-0.28224480000000002</v>
      </c>
      <c r="U3812">
        <v>0.537323</v>
      </c>
      <c r="V3812">
        <v>9.2606890000000008E-3</v>
      </c>
      <c r="W3812">
        <v>0.1798661</v>
      </c>
      <c r="X3812">
        <v>0.98364750000000001</v>
      </c>
      <c r="Y3812">
        <v>-7.2424470000000005E-2</v>
      </c>
      <c r="Z3812">
        <v>-5.9604360000000004E-3</v>
      </c>
      <c r="AA3812">
        <v>0.99735609999999997</v>
      </c>
      <c r="AB3812">
        <v>2</v>
      </c>
      <c r="AC3812">
        <v>11.9457</v>
      </c>
      <c r="AD3812">
        <v>-1.105897329746</v>
      </c>
      <c r="AE3812">
        <v>2.1036000000000001</v>
      </c>
      <c r="AF3812">
        <v>-0.87091636682496998</v>
      </c>
      <c r="AG3812">
        <v>-1.105897329746</v>
      </c>
      <c r="AH3812">
        <v>11.9979387134233</v>
      </c>
      <c r="AI3812">
        <v>95.252554953786102</v>
      </c>
      <c r="AJ3812">
        <v>94.151751923107796</v>
      </c>
      <c r="AK3812">
        <v>12.080233341827601</v>
      </c>
      <c r="AL3812">
        <v>79.638039278815398</v>
      </c>
      <c r="AM3812">
        <v>89.460596688039203</v>
      </c>
      <c r="AN3812">
        <v>0.99999998927310696</v>
      </c>
    </row>
    <row r="3813" spans="1:40" x14ac:dyDescent="0.3">
      <c r="A3813" t="str">
        <f>"20200111150433888"</f>
        <v>20200111150433888</v>
      </c>
      <c r="B3813" t="str">
        <f>"1578726273882606"</f>
        <v>1578726273882606</v>
      </c>
      <c r="C3813" t="s">
        <v>40</v>
      </c>
      <c r="D3813">
        <v>4.3883380000000001</v>
      </c>
      <c r="E3813">
        <v>0.43333709999999998</v>
      </c>
      <c r="F3813" t="s">
        <v>41</v>
      </c>
      <c r="G3813">
        <v>-114.9688</v>
      </c>
      <c r="H3813" s="1">
        <v>-2.414297E-6</v>
      </c>
      <c r="I3813">
        <v>140.6447</v>
      </c>
      <c r="J3813">
        <v>-127.0496</v>
      </c>
      <c r="K3813">
        <v>1.105918</v>
      </c>
      <c r="L3813">
        <v>138.46979999999999</v>
      </c>
      <c r="M3813">
        <v>0.99471180000000003</v>
      </c>
      <c r="N3813">
        <v>0</v>
      </c>
      <c r="O3813">
        <v>0.1017323</v>
      </c>
      <c r="P3813">
        <v>0.9815564</v>
      </c>
      <c r="Q3813">
        <v>0.166986299999999</v>
      </c>
      <c r="R3813">
        <v>9.3073059999999999E-2</v>
      </c>
      <c r="S3813">
        <v>3.0512239999999999</v>
      </c>
      <c r="T3813">
        <v>-0.2789277</v>
      </c>
      <c r="U3813">
        <v>0.54899600000000004</v>
      </c>
      <c r="V3813">
        <v>7.2837090000000002E-3</v>
      </c>
      <c r="W3813">
        <v>0.1808834</v>
      </c>
      <c r="X3813">
        <v>0.98347759999999995</v>
      </c>
      <c r="Y3813">
        <v>-7.6131450000000003E-2</v>
      </c>
      <c r="Z3813">
        <v>-5.7301440000000004E-3</v>
      </c>
      <c r="AA3813">
        <v>0.99708129999999995</v>
      </c>
      <c r="AB3813">
        <v>2</v>
      </c>
      <c r="AC3813">
        <v>12.080799999999901</v>
      </c>
      <c r="AD3813">
        <v>-1.1059204142970001</v>
      </c>
      <c r="AE3813">
        <v>2.1749000000000001</v>
      </c>
      <c r="AF3813">
        <v>-0.92695982003802002</v>
      </c>
      <c r="AG3813">
        <v>-1.1059204142970001</v>
      </c>
      <c r="AH3813">
        <v>12.1408405154151</v>
      </c>
      <c r="AI3813">
        <v>95.189740036544094</v>
      </c>
      <c r="AJ3813">
        <v>94.366093371011004</v>
      </c>
      <c r="AK3813">
        <v>12.226296368543901</v>
      </c>
      <c r="AL3813">
        <v>79.578780669040498</v>
      </c>
      <c r="AM3813">
        <v>89.575670909989995</v>
      </c>
      <c r="AN3813">
        <v>1.0000000232570501</v>
      </c>
    </row>
    <row r="3814" spans="1:40" x14ac:dyDescent="0.3">
      <c r="A3814" t="str">
        <f>"20200111150433910"</f>
        <v>20200111150433910</v>
      </c>
      <c r="B3814" t="str">
        <f>"1578726273903103"</f>
        <v>1578726273903103</v>
      </c>
      <c r="C3814" t="s">
        <v>40</v>
      </c>
      <c r="D3814">
        <v>5.3378500000000004</v>
      </c>
      <c r="E3814">
        <v>0.42241000000000001</v>
      </c>
      <c r="F3814" t="s">
        <v>91</v>
      </c>
      <c r="G3814">
        <v>-46.257309999999997</v>
      </c>
      <c r="H3814">
        <v>0.4479918</v>
      </c>
      <c r="I3814">
        <v>160.75</v>
      </c>
      <c r="J3814">
        <v>-127.03270000000001</v>
      </c>
      <c r="K3814">
        <v>1.1059559999999999</v>
      </c>
      <c r="L3814">
        <v>138.4716</v>
      </c>
      <c r="M3814">
        <v>0.9947085</v>
      </c>
      <c r="N3814">
        <v>0</v>
      </c>
      <c r="O3814">
        <v>0.10180400000000001</v>
      </c>
      <c r="P3814">
        <v>0.98058040000000002</v>
      </c>
      <c r="Q3814">
        <v>0.17159739999999901</v>
      </c>
      <c r="R3814">
        <v>9.4956979999999996E-2</v>
      </c>
      <c r="S3814">
        <v>2.982513</v>
      </c>
      <c r="T3814">
        <v>-2.428663E-2</v>
      </c>
      <c r="U3814">
        <v>0.82249450000000002</v>
      </c>
      <c r="V3814">
        <v>5.3809690000000002E-3</v>
      </c>
      <c r="W3814">
        <v>0.1852037</v>
      </c>
      <c r="X3814">
        <v>0.98268540000000004</v>
      </c>
      <c r="Y3814">
        <v>-0.16631509999999999</v>
      </c>
      <c r="Z3814">
        <v>-1.4528619999999999E-4</v>
      </c>
      <c r="AA3814">
        <v>0.98607270000000002</v>
      </c>
      <c r="AB3814">
        <v>2</v>
      </c>
      <c r="AC3814">
        <v>80.775390000000002</v>
      </c>
      <c r="AD3814">
        <v>-0.6579642</v>
      </c>
      <c r="AE3814">
        <v>22.278400000000001</v>
      </c>
      <c r="AF3814">
        <v>-13.9377274569334</v>
      </c>
      <c r="AG3814">
        <v>-0.6579642</v>
      </c>
      <c r="AH3814">
        <v>82.618791662951807</v>
      </c>
      <c r="AI3814">
        <v>90.449928545253201</v>
      </c>
      <c r="AJ3814">
        <v>99.575595151546693</v>
      </c>
      <c r="AK3814">
        <v>83.788769530280604</v>
      </c>
      <c r="AL3814">
        <v>79.3269910080773</v>
      </c>
      <c r="AM3814">
        <v>89.686264055612</v>
      </c>
      <c r="AN3814">
        <v>0.99999998034711401</v>
      </c>
    </row>
    <row r="3815" spans="1:40" x14ac:dyDescent="0.3">
      <c r="A3815" t="str">
        <f>"20200111150433932"</f>
        <v>20200111150433932</v>
      </c>
      <c r="B3815" t="str">
        <f>"1578726273922622"</f>
        <v>1578726273922622</v>
      </c>
      <c r="C3815" t="s">
        <v>40</v>
      </c>
      <c r="D3815">
        <v>5.3696469999999996</v>
      </c>
      <c r="E3815">
        <v>0.41833229999999999</v>
      </c>
      <c r="F3815" t="s">
        <v>91</v>
      </c>
      <c r="G3815">
        <v>-54.820399999999999</v>
      </c>
      <c r="H3815">
        <v>0.60481079999999998</v>
      </c>
      <c r="I3815">
        <v>160.75</v>
      </c>
      <c r="J3815">
        <v>-127.0164</v>
      </c>
      <c r="K3815">
        <v>1.1059829999999999</v>
      </c>
      <c r="L3815">
        <v>138.47329999999999</v>
      </c>
      <c r="M3815">
        <v>0.9947047</v>
      </c>
      <c r="N3815">
        <v>0</v>
      </c>
      <c r="O3815">
        <v>0.10187259999999999</v>
      </c>
      <c r="P3815">
        <v>0.97988050000000004</v>
      </c>
      <c r="Q3815">
        <v>0.17423150000000001</v>
      </c>
      <c r="R3815">
        <v>9.7354399999999994E-2</v>
      </c>
      <c r="S3815">
        <v>2.974167</v>
      </c>
      <c r="T3815">
        <v>-2.0638819999999999E-2</v>
      </c>
      <c r="U3815">
        <v>0.91757200000000005</v>
      </c>
      <c r="V3815">
        <v>2.9920910000000001E-3</v>
      </c>
      <c r="W3815">
        <v>0.18759339999999999</v>
      </c>
      <c r="X3815">
        <v>0.98224219999999896</v>
      </c>
      <c r="Y3815">
        <v>-0.1959128</v>
      </c>
      <c r="Z3815" s="1">
        <v>-2.3088300000000001E-5</v>
      </c>
      <c r="AA3815">
        <v>0.98062130000000003</v>
      </c>
      <c r="AB3815">
        <v>2</v>
      </c>
      <c r="AC3815">
        <v>72.195999999999998</v>
      </c>
      <c r="AD3815">
        <v>-0.50117219999999996</v>
      </c>
      <c r="AE3815">
        <v>22.276700000000002</v>
      </c>
      <c r="AF3815">
        <v>-14.804658656989499</v>
      </c>
      <c r="AG3815">
        <v>-0.50117219999999996</v>
      </c>
      <c r="AH3815">
        <v>74.086662409267305</v>
      </c>
      <c r="AI3815">
        <v>90.380067572183293</v>
      </c>
      <c r="AJ3815">
        <v>101.300507693447</v>
      </c>
      <c r="AK3815">
        <v>75.553045196529098</v>
      </c>
      <c r="AL3815">
        <v>79.187628894122696</v>
      </c>
      <c r="AM3815">
        <v>89.825467022326706</v>
      </c>
      <c r="AN3815">
        <v>0.99999998789647504</v>
      </c>
    </row>
    <row r="3816" spans="1:40" x14ac:dyDescent="0.3">
      <c r="A3816" t="str">
        <f>"20200111150433954"</f>
        <v>20200111150433954</v>
      </c>
      <c r="B3816" t="str">
        <f>"1578726273952878"</f>
        <v>1578726273952878</v>
      </c>
      <c r="C3816" t="s">
        <v>40</v>
      </c>
      <c r="D3816">
        <v>5.3121970000000003</v>
      </c>
      <c r="E3816">
        <v>0.41669909999999999</v>
      </c>
      <c r="F3816" t="s">
        <v>91</v>
      </c>
      <c r="G3816">
        <v>-58.060270000000003</v>
      </c>
      <c r="H3816">
        <v>0.65413489999999996</v>
      </c>
      <c r="I3816">
        <v>160.75</v>
      </c>
      <c r="J3816">
        <v>-126.99979999999999</v>
      </c>
      <c r="K3816">
        <v>1.105998</v>
      </c>
      <c r="L3816">
        <v>138.4751</v>
      </c>
      <c r="M3816">
        <v>0.99470060000000005</v>
      </c>
      <c r="N3816">
        <v>0</v>
      </c>
      <c r="O3816">
        <v>0.10194259999999999</v>
      </c>
      <c r="P3816">
        <v>0.97966690000000001</v>
      </c>
      <c r="Q3816">
        <v>0.17368329999999901</v>
      </c>
      <c r="R3816">
        <v>0.1004346</v>
      </c>
      <c r="S3816">
        <v>2.9697420000000001</v>
      </c>
      <c r="T3816">
        <v>-1.9458059999999999E-2</v>
      </c>
      <c r="U3816">
        <v>0.95939640000000004</v>
      </c>
      <c r="V3816" s="1">
        <v>-2.532231E-5</v>
      </c>
      <c r="W3816">
        <v>0.18683179999999999</v>
      </c>
      <c r="X3816">
        <v>0.98239189999999998</v>
      </c>
      <c r="Y3816">
        <v>-0.2087948</v>
      </c>
      <c r="Z3816" s="1">
        <v>1.9071509999999999E-5</v>
      </c>
      <c r="AA3816">
        <v>0.97795949999999998</v>
      </c>
      <c r="AB3816">
        <v>2</v>
      </c>
      <c r="AC3816">
        <v>68.939529999999905</v>
      </c>
      <c r="AD3816">
        <v>-0.45186310000000002</v>
      </c>
      <c r="AE3816">
        <v>22.274899999999999</v>
      </c>
      <c r="AF3816">
        <v>-15.129742771964301</v>
      </c>
      <c r="AG3816">
        <v>-0.45186310000000002</v>
      </c>
      <c r="AH3816">
        <v>70.848518076170706</v>
      </c>
      <c r="AI3816">
        <v>90.357362946126202</v>
      </c>
      <c r="AJ3816">
        <v>102.054480598837</v>
      </c>
      <c r="AK3816">
        <v>72.447400299779204</v>
      </c>
      <c r="AL3816">
        <v>79.232050719857199</v>
      </c>
      <c r="AM3816">
        <v>90.001476866299697</v>
      </c>
      <c r="AN3816">
        <v>0.99999998365903398</v>
      </c>
    </row>
    <row r="3817" spans="1:40" x14ac:dyDescent="0.3">
      <c r="A3817" t="str">
        <f>"20200111150433977"</f>
        <v>20200111150433977</v>
      </c>
      <c r="B3817" t="str">
        <f>"1578726273972401"</f>
        <v>1578726273972401</v>
      </c>
      <c r="C3817" t="s">
        <v>40</v>
      </c>
      <c r="D3817">
        <v>5.3476889999999999</v>
      </c>
      <c r="E3817">
        <v>0.41647250000000002</v>
      </c>
      <c r="F3817" t="s">
        <v>91</v>
      </c>
      <c r="G3817">
        <v>-59.748550000000002</v>
      </c>
      <c r="H3817">
        <v>0.50591589999999997</v>
      </c>
      <c r="I3817">
        <v>160.75</v>
      </c>
      <c r="J3817">
        <v>-126.98309999999999</v>
      </c>
      <c r="K3817">
        <v>1.106004</v>
      </c>
      <c r="L3817">
        <v>138.4768</v>
      </c>
      <c r="M3817">
        <v>0.99469580000000002</v>
      </c>
      <c r="N3817">
        <v>0</v>
      </c>
      <c r="O3817">
        <v>0.1020129</v>
      </c>
      <c r="P3817">
        <v>0.97947830000000002</v>
      </c>
      <c r="Q3817">
        <v>0.17320450000000001</v>
      </c>
      <c r="R3817">
        <v>0.1030658</v>
      </c>
      <c r="S3817">
        <v>2.9662480000000002</v>
      </c>
      <c r="T3817">
        <v>-2.6466130000000001E-2</v>
      </c>
      <c r="U3817">
        <v>0.98248290000000005</v>
      </c>
      <c r="V3817">
        <v>-2.592979E-3</v>
      </c>
      <c r="W3817">
        <v>0.1861689</v>
      </c>
      <c r="X3817">
        <v>0.98251429999999995</v>
      </c>
      <c r="Y3817">
        <v>-0.21593010000000001</v>
      </c>
      <c r="Z3817" s="1">
        <v>5.6425399999999997E-5</v>
      </c>
      <c r="AA3817">
        <v>0.97640879999999997</v>
      </c>
      <c r="AB3817">
        <v>2</v>
      </c>
      <c r="AC3817">
        <v>67.234549999999899</v>
      </c>
      <c r="AD3817">
        <v>-0.60008809999999901</v>
      </c>
      <c r="AE3817">
        <v>22.273199999999999</v>
      </c>
      <c r="AF3817">
        <v>-15.2964971833695</v>
      </c>
      <c r="AG3817">
        <v>-0.60008809999999901</v>
      </c>
      <c r="AH3817">
        <v>69.151118515518206</v>
      </c>
      <c r="AI3817">
        <v>90.485461228192705</v>
      </c>
      <c r="AJ3817">
        <v>102.47319590426901</v>
      </c>
      <c r="AK3817">
        <v>70.825278847003702</v>
      </c>
      <c r="AL3817">
        <v>79.2707101927721</v>
      </c>
      <c r="AM3817">
        <v>90.151210428332405</v>
      </c>
      <c r="AN3817">
        <v>0.99999996628589605</v>
      </c>
    </row>
    <row r="3818" spans="1:40" x14ac:dyDescent="0.3">
      <c r="A3818" t="str">
        <f>"20200111150433999"</f>
        <v>20200111150433999</v>
      </c>
      <c r="B3818" t="str">
        <f>"1578726273992894"</f>
        <v>1578726273992894</v>
      </c>
      <c r="C3818" t="s">
        <v>40</v>
      </c>
      <c r="D3818">
        <v>5.3391390000000003</v>
      </c>
      <c r="E3818">
        <v>0.41615059999999898</v>
      </c>
      <c r="F3818" t="s">
        <v>91</v>
      </c>
      <c r="G3818">
        <v>-60.554609999999997</v>
      </c>
      <c r="H3818">
        <v>0.4244522</v>
      </c>
      <c r="I3818">
        <v>160.75</v>
      </c>
      <c r="J3818">
        <v>-126.96639999999999</v>
      </c>
      <c r="K3818">
        <v>1.1060000000000001</v>
      </c>
      <c r="L3818">
        <v>138.4786</v>
      </c>
      <c r="M3818">
        <v>0.99469079999999999</v>
      </c>
      <c r="N3818">
        <v>0</v>
      </c>
      <c r="O3818">
        <v>0.10208399999999999</v>
      </c>
      <c r="P3818">
        <v>0.97925879999999998</v>
      </c>
      <c r="Q3818">
        <v>0.17320659999999999</v>
      </c>
      <c r="R3818">
        <v>0.1051279</v>
      </c>
      <c r="S3818">
        <v>2.9636840000000002</v>
      </c>
      <c r="T3818">
        <v>-3.0405519999999998E-2</v>
      </c>
      <c r="U3818">
        <v>0.99371339999999997</v>
      </c>
      <c r="V3818">
        <v>-4.5964159999999999E-3</v>
      </c>
      <c r="W3818">
        <v>0.1860087</v>
      </c>
      <c r="X3818">
        <v>0.98253729999999995</v>
      </c>
      <c r="Y3818">
        <v>-0.21943960000000001</v>
      </c>
      <c r="Z3818" s="1">
        <v>8.1709820000000003E-5</v>
      </c>
      <c r="AA3818">
        <v>0.97562610000000005</v>
      </c>
      <c r="AB3818">
        <v>2</v>
      </c>
      <c r="AC3818">
        <v>66.411789999999996</v>
      </c>
      <c r="AD3818">
        <v>-0.68154779999999904</v>
      </c>
      <c r="AE3818">
        <v>22.2714</v>
      </c>
      <c r="AF3818">
        <v>-15.3734198598869</v>
      </c>
      <c r="AG3818">
        <v>-0.68154779999999904</v>
      </c>
      <c r="AH3818">
        <v>68.332058273389606</v>
      </c>
      <c r="AI3818">
        <v>90.557517671699699</v>
      </c>
      <c r="AJ3818">
        <v>102.67935135994</v>
      </c>
      <c r="AK3818">
        <v>70.043391790160797</v>
      </c>
      <c r="AL3818">
        <v>79.280052028034902</v>
      </c>
      <c r="AM3818">
        <v>90.268033912363094</v>
      </c>
      <c r="AN3818">
        <v>0.999999954703511</v>
      </c>
    </row>
    <row r="3819" spans="1:40" x14ac:dyDescent="0.3">
      <c r="A3819" t="str">
        <f>"20200111150434021"</f>
        <v>20200111150434021</v>
      </c>
      <c r="B3819" t="str">
        <f>"1578726274012414"</f>
        <v>1578726274012414</v>
      </c>
      <c r="C3819" t="s">
        <v>40</v>
      </c>
      <c r="D3819">
        <v>5.4198409999999999</v>
      </c>
      <c r="E3819">
        <v>0.41548809999999903</v>
      </c>
      <c r="F3819" t="s">
        <v>91</v>
      </c>
      <c r="G3819">
        <v>-61.398299999999999</v>
      </c>
      <c r="H3819">
        <v>0.48196169999999999</v>
      </c>
      <c r="I3819">
        <v>160.75</v>
      </c>
      <c r="J3819">
        <v>-126.9502</v>
      </c>
      <c r="K3819">
        <v>1.10599</v>
      </c>
      <c r="L3819">
        <v>138.4803</v>
      </c>
      <c r="M3819">
        <v>0.99468529999999999</v>
      </c>
      <c r="N3819">
        <v>0</v>
      </c>
      <c r="O3819">
        <v>0.1021536</v>
      </c>
      <c r="P3819">
        <v>0.97897869999999998</v>
      </c>
      <c r="Q3819">
        <v>0.1734483</v>
      </c>
      <c r="R3819">
        <v>0.1073148</v>
      </c>
      <c r="S3819">
        <v>2.9605709999999998</v>
      </c>
      <c r="T3819">
        <v>-2.8175229999999999E-2</v>
      </c>
      <c r="U3819">
        <v>1.0056149999999999</v>
      </c>
      <c r="V3819">
        <v>-6.7322099999999998E-3</v>
      </c>
      <c r="W3819">
        <v>0.18611169999999999</v>
      </c>
      <c r="X3819">
        <v>0.98250550000000003</v>
      </c>
      <c r="Y3819">
        <v>-0.22320039999999999</v>
      </c>
      <c r="Z3819" s="1">
        <v>9.2564790000000005E-5</v>
      </c>
      <c r="AA3819">
        <v>0.97477259999999999</v>
      </c>
      <c r="AB3819">
        <v>2</v>
      </c>
      <c r="AC3819">
        <v>65.551899999999904</v>
      </c>
      <c r="AD3819">
        <v>-0.62402829999999998</v>
      </c>
      <c r="AE3819">
        <v>22.2697</v>
      </c>
      <c r="AF3819">
        <v>-15.4550063423436</v>
      </c>
      <c r="AG3819">
        <v>-0.62402829999999998</v>
      </c>
      <c r="AH3819">
        <v>67.478553503492904</v>
      </c>
      <c r="AI3819">
        <v>90.516472408886003</v>
      </c>
      <c r="AJ3819">
        <v>102.90028599186</v>
      </c>
      <c r="AK3819">
        <v>69.228619914633896</v>
      </c>
      <c r="AL3819">
        <v>79.274045875189998</v>
      </c>
      <c r="AM3819">
        <v>90.392589337361997</v>
      </c>
      <c r="AN3819">
        <v>0.99999997252931105</v>
      </c>
    </row>
    <row r="3820" spans="1:40" x14ac:dyDescent="0.3">
      <c r="A3820" t="str">
        <f>"20200111150434043"</f>
        <v>20200111150434043</v>
      </c>
      <c r="B3820" t="str">
        <f>"1578726274032910"</f>
        <v>1578726274032910</v>
      </c>
      <c r="C3820" t="s">
        <v>40</v>
      </c>
      <c r="D3820">
        <v>5.4361040000000003</v>
      </c>
      <c r="E3820">
        <v>0.41478989999999999</v>
      </c>
      <c r="F3820" t="s">
        <v>91</v>
      </c>
      <c r="G3820">
        <v>-62.305869999999999</v>
      </c>
      <c r="H3820">
        <v>0.5888835</v>
      </c>
      <c r="I3820">
        <v>160.75</v>
      </c>
      <c r="J3820">
        <v>-126.9337</v>
      </c>
      <c r="K3820">
        <v>1.105963</v>
      </c>
      <c r="L3820">
        <v>138.482</v>
      </c>
      <c r="M3820">
        <v>0.99467969999999895</v>
      </c>
      <c r="N3820">
        <v>0</v>
      </c>
      <c r="O3820">
        <v>0.1022236</v>
      </c>
      <c r="P3820">
        <v>0.97867740000000003</v>
      </c>
      <c r="Q3820">
        <v>0.17405760000000001</v>
      </c>
      <c r="R3820">
        <v>0.1090621</v>
      </c>
      <c r="S3820">
        <v>2.9569549999999998</v>
      </c>
      <c r="T3820">
        <v>-2.3651720000000001E-2</v>
      </c>
      <c r="U3820">
        <v>1.018661</v>
      </c>
      <c r="V3820">
        <v>-8.4315750000000002E-3</v>
      </c>
      <c r="W3820">
        <v>0.1865976</v>
      </c>
      <c r="X3820">
        <v>0.98240019999999995</v>
      </c>
      <c r="Y3820">
        <v>-0.22734389999999999</v>
      </c>
      <c r="Z3820" s="1">
        <v>9.3354610000000003E-5</v>
      </c>
      <c r="AA3820">
        <v>0.97381450000000003</v>
      </c>
      <c r="AB3820">
        <v>2</v>
      </c>
      <c r="AC3820">
        <v>64.627830000000003</v>
      </c>
      <c r="AD3820">
        <v>-0.51707950000000003</v>
      </c>
      <c r="AE3820">
        <v>22.268000000000001</v>
      </c>
      <c r="AF3820">
        <v>-15.543412746238801</v>
      </c>
      <c r="AG3820">
        <v>-0.51707950000000003</v>
      </c>
      <c r="AH3820">
        <v>66.561909964967398</v>
      </c>
      <c r="AI3820">
        <v>90.4334273131103</v>
      </c>
      <c r="AJ3820">
        <v>103.144063269456</v>
      </c>
      <c r="AK3820">
        <v>68.354611469846603</v>
      </c>
      <c r="AL3820">
        <v>79.245709275469295</v>
      </c>
      <c r="AM3820">
        <v>90.491736260712997</v>
      </c>
      <c r="AN3820">
        <v>0.999999954371389</v>
      </c>
    </row>
    <row r="3821" spans="1:40" x14ac:dyDescent="0.3">
      <c r="A3821" t="str">
        <f>"20200111150434067"</f>
        <v>20200111150434067</v>
      </c>
      <c r="B3821" t="str">
        <f>"1578726274063166"</f>
        <v>1578726274063166</v>
      </c>
      <c r="C3821" t="s">
        <v>40</v>
      </c>
      <c r="D3821">
        <v>5.4337059999999999</v>
      </c>
      <c r="E3821">
        <v>0.41382750000000001</v>
      </c>
      <c r="F3821" t="s">
        <v>91</v>
      </c>
      <c r="G3821">
        <v>-63.068840000000002</v>
      </c>
      <c r="H3821">
        <v>0.75042519999999902</v>
      </c>
      <c r="I3821">
        <v>160.75</v>
      </c>
      <c r="J3821">
        <v>-126.91679999999999</v>
      </c>
      <c r="K3821">
        <v>1.1059129999999999</v>
      </c>
      <c r="L3821">
        <v>138.4838</v>
      </c>
      <c r="M3821">
        <v>0.99467399999999995</v>
      </c>
      <c r="N3821">
        <v>0</v>
      </c>
      <c r="O3821">
        <v>0.1022955</v>
      </c>
      <c r="P3821">
        <v>0.97847039999999996</v>
      </c>
      <c r="Q3821">
        <v>0.17471220000000001</v>
      </c>
      <c r="R3821">
        <v>0.10987130000000001</v>
      </c>
      <c r="S3821">
        <v>2.953522</v>
      </c>
      <c r="T3821">
        <v>-1.6440630000000001E-2</v>
      </c>
      <c r="U3821">
        <v>1.0298160000000001</v>
      </c>
      <c r="V3821">
        <v>-9.1871439999999995E-3</v>
      </c>
      <c r="W3821">
        <v>0.18714140000000001</v>
      </c>
      <c r="X3821">
        <v>0.98229</v>
      </c>
      <c r="Y3821">
        <v>-0.23090540000000001</v>
      </c>
      <c r="Z3821" s="1">
        <v>7.4196550000000004E-5</v>
      </c>
      <c r="AA3821">
        <v>0.97297619999999896</v>
      </c>
      <c r="AB3821">
        <v>2</v>
      </c>
      <c r="AC3821">
        <v>63.847959999999901</v>
      </c>
      <c r="AD3821">
        <v>-0.35548779999999902</v>
      </c>
      <c r="AE3821">
        <v>22.266200000000001</v>
      </c>
      <c r="AF3821">
        <v>-15.6170633035435</v>
      </c>
      <c r="AG3821">
        <v>-0.35548779999999902</v>
      </c>
      <c r="AH3821">
        <v>65.789058814520899</v>
      </c>
      <c r="AI3821">
        <v>90.301221389545304</v>
      </c>
      <c r="AJ3821">
        <v>103.353756488352</v>
      </c>
      <c r="AK3821">
        <v>67.618187623621793</v>
      </c>
      <c r="AL3821">
        <v>79.213993373212105</v>
      </c>
      <c r="AM3821">
        <v>90.535859297529697</v>
      </c>
      <c r="AN3821">
        <v>0.99999997565441801</v>
      </c>
    </row>
    <row r="3822" spans="1:40" x14ac:dyDescent="0.3">
      <c r="A3822" t="str">
        <f>"20200111150434089"</f>
        <v>20200111150434089</v>
      </c>
      <c r="B3822" t="str">
        <f>"1578726274082686"</f>
        <v>1578726274082686</v>
      </c>
      <c r="C3822" t="s">
        <v>40</v>
      </c>
      <c r="D3822">
        <v>5.4324260000000004</v>
      </c>
      <c r="E3822">
        <v>0.41348889999999999</v>
      </c>
      <c r="F3822" t="s">
        <v>91</v>
      </c>
      <c r="G3822">
        <v>-63.845640000000003</v>
      </c>
      <c r="H3822">
        <v>0.95749309999999999</v>
      </c>
      <c r="I3822">
        <v>160.75</v>
      </c>
      <c r="J3822">
        <v>-126.9004</v>
      </c>
      <c r="K3822">
        <v>1.1058570000000001</v>
      </c>
      <c r="L3822">
        <v>138.48560000000001</v>
      </c>
      <c r="M3822">
        <v>0.99466779999999999</v>
      </c>
      <c r="N3822">
        <v>0</v>
      </c>
      <c r="O3822">
        <v>0.10236480000000001</v>
      </c>
      <c r="P3822">
        <v>0.97859560000000001</v>
      </c>
      <c r="Q3822">
        <v>0.173375</v>
      </c>
      <c r="R3822">
        <v>0.1108687</v>
      </c>
      <c r="S3822">
        <v>2.9502869999999999</v>
      </c>
      <c r="T3822">
        <v>-6.9408419999999896E-3</v>
      </c>
      <c r="U3822">
        <v>1.04155</v>
      </c>
      <c r="V3822">
        <v>-1.009766E-2</v>
      </c>
      <c r="W3822">
        <v>0.18571679999999999</v>
      </c>
      <c r="X3822">
        <v>0.98255150000000002</v>
      </c>
      <c r="Y3822">
        <v>-0.2346143</v>
      </c>
      <c r="Z3822" s="1">
        <v>3.542693E-5</v>
      </c>
      <c r="AA3822">
        <v>0.97208859999999997</v>
      </c>
      <c r="AB3822">
        <v>2</v>
      </c>
      <c r="AC3822">
        <v>63.054759999999902</v>
      </c>
      <c r="AD3822">
        <v>-0.14836389999999899</v>
      </c>
      <c r="AE3822">
        <v>22.264399999999899</v>
      </c>
      <c r="AF3822">
        <v>-15.6922517789355</v>
      </c>
      <c r="AG3822">
        <v>-0.14836389999999899</v>
      </c>
      <c r="AH3822">
        <v>65.002426698974105</v>
      </c>
      <c r="AI3822">
        <v>90.127121942516396</v>
      </c>
      <c r="AJ3822">
        <v>103.572109235507</v>
      </c>
      <c r="AK3822">
        <v>66.869905447038207</v>
      </c>
      <c r="AL3822">
        <v>79.297074512662903</v>
      </c>
      <c r="AM3822">
        <v>90.588806728231603</v>
      </c>
      <c r="AN3822">
        <v>1.00000007134598</v>
      </c>
    </row>
    <row r="3823" spans="1:40" x14ac:dyDescent="0.3">
      <c r="A3823" t="str">
        <f>"20200111150434110"</f>
        <v>20200111150434110</v>
      </c>
      <c r="B3823" t="str">
        <f>"1578726274102206"</f>
        <v>1578726274102206</v>
      </c>
      <c r="C3823" t="s">
        <v>40</v>
      </c>
      <c r="D3823">
        <v>5.4025869999999996</v>
      </c>
      <c r="E3823">
        <v>0.41324539999999998</v>
      </c>
      <c r="F3823" t="s">
        <v>91</v>
      </c>
      <c r="G3823">
        <v>-64.847340000000003</v>
      </c>
      <c r="H3823">
        <v>0.96504840000000003</v>
      </c>
      <c r="I3823">
        <v>160.5471</v>
      </c>
      <c r="J3823">
        <v>-126.8843</v>
      </c>
      <c r="K3823">
        <v>1.1057999999999999</v>
      </c>
      <c r="L3823">
        <v>138.4873</v>
      </c>
      <c r="M3823">
        <v>0.99466189999999999</v>
      </c>
      <c r="N3823">
        <v>0</v>
      </c>
      <c r="O3823">
        <v>0.1024328</v>
      </c>
      <c r="P3823">
        <v>0.97877990000000004</v>
      </c>
      <c r="Q3823">
        <v>0.17137289999999999</v>
      </c>
      <c r="R3823">
        <v>0.112345899999999</v>
      </c>
      <c r="S3823">
        <v>2.9480439999999999</v>
      </c>
      <c r="T3823">
        <v>-6.69229E-3</v>
      </c>
      <c r="U3823">
        <v>1.048111</v>
      </c>
      <c r="V3823">
        <v>-1.148105E-2</v>
      </c>
      <c r="W3823">
        <v>0.1836421</v>
      </c>
      <c r="X3823">
        <v>0.98292610000000002</v>
      </c>
      <c r="Y3823">
        <v>-0.23670169999999999</v>
      </c>
      <c r="Z3823" s="1">
        <v>3.632827E-5</v>
      </c>
      <c r="AA3823">
        <v>0.97158239999999996</v>
      </c>
      <c r="AB3823">
        <v>2</v>
      </c>
      <c r="AC3823">
        <v>62.036959999999901</v>
      </c>
      <c r="AD3823">
        <v>-0.14075159999999901</v>
      </c>
      <c r="AE3823">
        <v>22.059799999999999</v>
      </c>
      <c r="AF3823">
        <v>-15.5885617578528</v>
      </c>
      <c r="AG3823">
        <v>-0.14075159999999901</v>
      </c>
      <c r="AH3823">
        <v>63.970120389514598</v>
      </c>
      <c r="AI3823">
        <v>90.122481858076696</v>
      </c>
      <c r="AJ3823">
        <v>103.695204102516</v>
      </c>
      <c r="AK3823">
        <v>65.842230911021602</v>
      </c>
      <c r="AL3823">
        <v>79.418025589177901</v>
      </c>
      <c r="AM3823">
        <v>90.669211852002206</v>
      </c>
      <c r="AN3823">
        <v>0.99999997673136098</v>
      </c>
    </row>
    <row r="3824" spans="1:40" x14ac:dyDescent="0.3">
      <c r="A3824" t="str">
        <f>"20200111150434133"</f>
        <v>20200111150434133</v>
      </c>
      <c r="B3824" t="str">
        <f>"1578726274122702"</f>
        <v>1578726274122702</v>
      </c>
      <c r="C3824" t="s">
        <v>40</v>
      </c>
      <c r="D3824">
        <v>5.3918150000000002</v>
      </c>
      <c r="E3824">
        <v>0.4130624</v>
      </c>
      <c r="F3824" t="s">
        <v>91</v>
      </c>
      <c r="G3824">
        <v>-65.269169999999903</v>
      </c>
      <c r="H3824">
        <v>0.87819899999999995</v>
      </c>
      <c r="I3824">
        <v>160.5471</v>
      </c>
      <c r="J3824">
        <v>-126.86790000000001</v>
      </c>
      <c r="K3824">
        <v>1.105739</v>
      </c>
      <c r="L3824">
        <v>138.489</v>
      </c>
      <c r="M3824">
        <v>0.99465550000000003</v>
      </c>
      <c r="N3824">
        <v>0</v>
      </c>
      <c r="O3824">
        <v>0.1025021</v>
      </c>
      <c r="P3824">
        <v>0.97889320000000002</v>
      </c>
      <c r="Q3824">
        <v>0.16994860000000001</v>
      </c>
      <c r="R3824">
        <v>0.1135145</v>
      </c>
      <c r="S3824">
        <v>2.9458769999999999</v>
      </c>
      <c r="T3824">
        <v>-1.088357E-2</v>
      </c>
      <c r="U3824">
        <v>1.0547029999999999</v>
      </c>
      <c r="V3824">
        <v>-1.2563059999999999E-2</v>
      </c>
      <c r="W3824">
        <v>0.1821527</v>
      </c>
      <c r="X3824">
        <v>0.98319000000000001</v>
      </c>
      <c r="Y3824">
        <v>-0.238787</v>
      </c>
      <c r="Z3824" s="1">
        <v>6.2600769999999895E-5</v>
      </c>
      <c r="AA3824">
        <v>0.97107200000000005</v>
      </c>
      <c r="AB3824">
        <v>2</v>
      </c>
      <c r="AC3824">
        <v>61.598730000000003</v>
      </c>
      <c r="AD3824">
        <v>-0.22753999999999999</v>
      </c>
      <c r="AE3824">
        <v>22.0581</v>
      </c>
      <c r="AF3824">
        <v>-15.6272237537948</v>
      </c>
      <c r="AG3824">
        <v>-0.22753999999999999</v>
      </c>
      <c r="AH3824">
        <v>63.534633421048397</v>
      </c>
      <c r="AI3824">
        <v>90.199256792320597</v>
      </c>
      <c r="AJ3824">
        <v>103.81838706216</v>
      </c>
      <c r="AK3824">
        <v>65.428675216985496</v>
      </c>
      <c r="AL3824">
        <v>79.504826398831696</v>
      </c>
      <c r="AM3824">
        <v>90.732077364768699</v>
      </c>
      <c r="AN3824">
        <v>1.0000000063469201</v>
      </c>
    </row>
    <row r="3825" spans="1:40" x14ac:dyDescent="0.3">
      <c r="A3825" t="str">
        <f>"20200111150434155"</f>
        <v>20200111150434155</v>
      </c>
      <c r="B3825" t="str">
        <f>"1578726274152958"</f>
        <v>1578726274152958</v>
      </c>
      <c r="C3825" t="s">
        <v>40</v>
      </c>
      <c r="D3825">
        <v>5.3425099999999999</v>
      </c>
      <c r="E3825">
        <v>0.4130105</v>
      </c>
      <c r="F3825" t="s">
        <v>91</v>
      </c>
      <c r="G3825">
        <v>-65.299269999999893</v>
      </c>
      <c r="H3825">
        <v>0.84576169999999995</v>
      </c>
      <c r="I3825">
        <v>160.65960000000001</v>
      </c>
      <c r="J3825">
        <v>-126.852</v>
      </c>
      <c r="K3825">
        <v>1.1056889999999999</v>
      </c>
      <c r="L3825">
        <v>138.4907</v>
      </c>
      <c r="M3825">
        <v>0.99464940000000002</v>
      </c>
      <c r="N3825">
        <v>0</v>
      </c>
      <c r="O3825">
        <v>0.1025689</v>
      </c>
      <c r="P3825">
        <v>0.97894119999999996</v>
      </c>
      <c r="Q3825">
        <v>0.16889999999999999</v>
      </c>
      <c r="R3825">
        <v>0.114659999999999</v>
      </c>
      <c r="S3825">
        <v>2.9439090000000001</v>
      </c>
      <c r="T3825">
        <v>-1.2429239999999999E-2</v>
      </c>
      <c r="U3825">
        <v>1.0600889999999901</v>
      </c>
      <c r="V3825">
        <v>-1.3632439999999999E-2</v>
      </c>
      <c r="W3825">
        <v>0.1810494</v>
      </c>
      <c r="X3825">
        <v>0.98337949999999996</v>
      </c>
      <c r="Y3825">
        <v>-0.24050089999999999</v>
      </c>
      <c r="Z3825" s="1">
        <v>7.4762939999999998E-5</v>
      </c>
      <c r="AA3825">
        <v>0.97064890000000004</v>
      </c>
      <c r="AB3825">
        <v>2</v>
      </c>
      <c r="AC3825">
        <v>61.552729999999997</v>
      </c>
      <c r="AD3825">
        <v>-0.25992729999999897</v>
      </c>
      <c r="AE3825">
        <v>22.168900000000001</v>
      </c>
      <c r="AF3825">
        <v>-15.7378365060785</v>
      </c>
      <c r="AG3825">
        <v>-0.25992729999999897</v>
      </c>
      <c r="AH3825">
        <v>63.5010557279765</v>
      </c>
      <c r="AI3825">
        <v>90.227639243031803</v>
      </c>
      <c r="AJ3825">
        <v>103.919480059047</v>
      </c>
      <c r="AK3825">
        <v>65.422711183968204</v>
      </c>
      <c r="AL3825">
        <v>79.569109493257898</v>
      </c>
      <c r="AM3825">
        <v>90.794231775776893</v>
      </c>
      <c r="AN3825">
        <v>0.99999998484048103</v>
      </c>
    </row>
    <row r="3826" spans="1:40" x14ac:dyDescent="0.3">
      <c r="A3826" t="str">
        <f>"20200111150434179"</f>
        <v>20200111150434179</v>
      </c>
      <c r="B3826" t="str">
        <f>"1578726274172478"</f>
        <v>1578726274172478</v>
      </c>
      <c r="C3826" t="s">
        <v>40</v>
      </c>
      <c r="D3826">
        <v>5.3354929999999996</v>
      </c>
      <c r="E3826">
        <v>0.41305740000000002</v>
      </c>
      <c r="F3826" t="s">
        <v>89</v>
      </c>
      <c r="G3826">
        <v>-74.135149999999996</v>
      </c>
      <c r="H3826">
        <v>0.87171270000000001</v>
      </c>
      <c r="I3826">
        <v>157.5676</v>
      </c>
      <c r="J3826">
        <v>-126.8351</v>
      </c>
      <c r="K3826">
        <v>1.1056319999999999</v>
      </c>
      <c r="L3826">
        <v>138.49250000000001</v>
      </c>
      <c r="M3826">
        <v>0.99464269999999999</v>
      </c>
      <c r="N3826">
        <v>0</v>
      </c>
      <c r="O3826">
        <v>0.10264</v>
      </c>
      <c r="P3826">
        <v>0.97901300000000002</v>
      </c>
      <c r="Q3826">
        <v>0.16764899999999999</v>
      </c>
      <c r="R3826">
        <v>0.11587740000000001</v>
      </c>
      <c r="S3826">
        <v>2.9420929999999998</v>
      </c>
      <c r="T3826">
        <v>-1.3057829999999999E-2</v>
      </c>
      <c r="U3826">
        <v>1.064667</v>
      </c>
      <c r="V3826">
        <v>-1.476562E-2</v>
      </c>
      <c r="W3826">
        <v>0.17974879999999999</v>
      </c>
      <c r="X3826">
        <v>0.98360170000000002</v>
      </c>
      <c r="Y3826">
        <v>-0.24195810000000001</v>
      </c>
      <c r="Z3826" s="1">
        <v>8.1411070000000002E-5</v>
      </c>
      <c r="AA3826">
        <v>0.97028669999999995</v>
      </c>
      <c r="AB3826">
        <v>2</v>
      </c>
      <c r="AC3826">
        <v>52.699950000000001</v>
      </c>
      <c r="AD3826">
        <v>-0.233919299999999</v>
      </c>
      <c r="AE3826">
        <v>19.0750999999999</v>
      </c>
      <c r="AF3826">
        <v>-13.5645735112408</v>
      </c>
      <c r="AG3826">
        <v>-0.233919299999999</v>
      </c>
      <c r="AH3826">
        <v>54.378645458050002</v>
      </c>
      <c r="AI3826">
        <v>90.239138662877906</v>
      </c>
      <c r="AJ3826">
        <v>104.006402492462</v>
      </c>
      <c r="AK3826">
        <v>56.045423137246999</v>
      </c>
      <c r="AL3826">
        <v>79.644871322394394</v>
      </c>
      <c r="AM3826">
        <v>90.860047482779194</v>
      </c>
      <c r="AN3826">
        <v>0.99999997943915697</v>
      </c>
    </row>
    <row r="3827" spans="1:40" x14ac:dyDescent="0.3">
      <c r="A3827" t="str">
        <f>"20200111150434201"</f>
        <v>20200111150434201</v>
      </c>
      <c r="B3827" t="str">
        <f>"1578726274192974"</f>
        <v>1578726274192974</v>
      </c>
      <c r="C3827" t="s">
        <v>40</v>
      </c>
      <c r="D3827">
        <v>5.2687039999999996</v>
      </c>
      <c r="E3827">
        <v>0.413248</v>
      </c>
      <c r="F3827" t="s">
        <v>89</v>
      </c>
      <c r="G3827">
        <v>-74.330179999999999</v>
      </c>
      <c r="H3827">
        <v>0.82419869999999995</v>
      </c>
      <c r="I3827">
        <v>157.5676</v>
      </c>
      <c r="J3827">
        <v>-126.819</v>
      </c>
      <c r="K3827">
        <v>1.1055779999999999</v>
      </c>
      <c r="L3827">
        <v>138.49430000000001</v>
      </c>
      <c r="M3827">
        <v>0.99463619999999997</v>
      </c>
      <c r="N3827">
        <v>0</v>
      </c>
      <c r="O3827">
        <v>0.1027079</v>
      </c>
      <c r="P3827">
        <v>0.97913519999999998</v>
      </c>
      <c r="Q3827">
        <v>0.16564760000000001</v>
      </c>
      <c r="R3827">
        <v>0.1177081</v>
      </c>
      <c r="S3827">
        <v>2.940582</v>
      </c>
      <c r="T3827">
        <v>-1.5761609999999999E-2</v>
      </c>
      <c r="U3827">
        <v>1.068314</v>
      </c>
      <c r="V3827">
        <v>-1.650718E-2</v>
      </c>
      <c r="W3827">
        <v>0.17770849999999999</v>
      </c>
      <c r="X3827">
        <v>0.98394470000000001</v>
      </c>
      <c r="Y3827">
        <v>-0.2431142</v>
      </c>
      <c r="Z3827">
        <v>1.009585E-4</v>
      </c>
      <c r="AA3827">
        <v>0.96999769999999996</v>
      </c>
      <c r="AB3827">
        <v>2</v>
      </c>
      <c r="AC3827">
        <v>52.488819999999997</v>
      </c>
      <c r="AD3827">
        <v>-0.2813793</v>
      </c>
      <c r="AE3827">
        <v>19.0732999999999</v>
      </c>
      <c r="AF3827">
        <v>-13.580651453561201</v>
      </c>
      <c r="AG3827">
        <v>-0.2813793</v>
      </c>
      <c r="AH3827">
        <v>54.168944621321501</v>
      </c>
      <c r="AI3827">
        <v>90.288684654871105</v>
      </c>
      <c r="AJ3827">
        <v>104.074479692316</v>
      </c>
      <c r="AK3827">
        <v>55.8461084553023</v>
      </c>
      <c r="AL3827">
        <v>79.763685077682197</v>
      </c>
      <c r="AM3827">
        <v>90.9611343289654</v>
      </c>
      <c r="AN3827">
        <v>0.99999998531094603</v>
      </c>
    </row>
    <row r="3828" spans="1:40" x14ac:dyDescent="0.3">
      <c r="A3828" t="str">
        <f>"20200111150434223"</f>
        <v>20200111150434223</v>
      </c>
      <c r="B3828" t="str">
        <f>"1578726274212494"</f>
        <v>1578726274212494</v>
      </c>
      <c r="C3828" t="s">
        <v>40</v>
      </c>
      <c r="D3828">
        <v>5.2486499999999996</v>
      </c>
      <c r="E3828">
        <v>0.41340739999999998</v>
      </c>
      <c r="F3828" t="s">
        <v>89</v>
      </c>
      <c r="G3828">
        <v>-74.543269999999893</v>
      </c>
      <c r="H3828">
        <v>0.73163800000000001</v>
      </c>
      <c r="I3828">
        <v>157.5675</v>
      </c>
      <c r="J3828">
        <v>-126.8031</v>
      </c>
      <c r="K3828">
        <v>1.105531</v>
      </c>
      <c r="L3828">
        <v>138.49600000000001</v>
      </c>
      <c r="M3828">
        <v>0.99462980000000001</v>
      </c>
      <c r="N3828">
        <v>0</v>
      </c>
      <c r="O3828">
        <v>0.1027748</v>
      </c>
      <c r="P3828">
        <v>0.97930059999999997</v>
      </c>
      <c r="Q3828">
        <v>0.163824</v>
      </c>
      <c r="R3828">
        <v>0.11888</v>
      </c>
      <c r="S3828">
        <v>2.938599</v>
      </c>
      <c r="T3828">
        <v>-2.1020170000000001E-2</v>
      </c>
      <c r="U3828">
        <v>1.072174</v>
      </c>
      <c r="V3828">
        <v>-1.758943E-2</v>
      </c>
      <c r="W3828">
        <v>0.175851799999999</v>
      </c>
      <c r="X3828">
        <v>0.98425949999999995</v>
      </c>
      <c r="Y3828">
        <v>-0.2443825</v>
      </c>
      <c r="Z3828">
        <v>1.3864650000000001E-4</v>
      </c>
      <c r="AA3828">
        <v>0.96967890000000001</v>
      </c>
      <c r="AB3828">
        <v>2</v>
      </c>
      <c r="AC3828">
        <v>52.259830000000001</v>
      </c>
      <c r="AD3828">
        <v>-0.37389299999999998</v>
      </c>
      <c r="AE3828">
        <v>19.071499999999901</v>
      </c>
      <c r="AF3828">
        <v>-13.598486896718599</v>
      </c>
      <c r="AG3828">
        <v>-0.37389299999999998</v>
      </c>
      <c r="AH3828">
        <v>53.940833558546601</v>
      </c>
      <c r="AI3828">
        <v>90.385093255188195</v>
      </c>
      <c r="AJ3828">
        <v>104.149433568874</v>
      </c>
      <c r="AK3828">
        <v>55.629777699057101</v>
      </c>
      <c r="AL3828">
        <v>79.871768630038304</v>
      </c>
      <c r="AM3828">
        <v>91.023808090223298</v>
      </c>
      <c r="AN3828">
        <v>1.0000000034756</v>
      </c>
    </row>
    <row r="3829" spans="1:40" x14ac:dyDescent="0.3">
      <c r="A3829" t="str">
        <f>"20200111150434245"</f>
        <v>20200111150434245</v>
      </c>
      <c r="B3829" t="str">
        <f>"1578726274242750"</f>
        <v>1578726274242750</v>
      </c>
      <c r="C3829" t="s">
        <v>40</v>
      </c>
      <c r="D3829">
        <v>5.1904539999999999</v>
      </c>
      <c r="E3829">
        <v>0.41367159999999897</v>
      </c>
      <c r="F3829" t="s">
        <v>89</v>
      </c>
      <c r="G3829">
        <v>-74.658159999999995</v>
      </c>
      <c r="H3829">
        <v>0.65861990000000004</v>
      </c>
      <c r="I3829">
        <v>157.5675</v>
      </c>
      <c r="J3829">
        <v>-126.7871</v>
      </c>
      <c r="K3829">
        <v>1.1054850000000001</v>
      </c>
      <c r="L3829">
        <v>138.49770000000001</v>
      </c>
      <c r="M3829">
        <v>0.99462320000000004</v>
      </c>
      <c r="N3829">
        <v>0</v>
      </c>
      <c r="O3829">
        <v>0.1028424</v>
      </c>
      <c r="P3829">
        <v>0.97947340000000005</v>
      </c>
      <c r="Q3829">
        <v>0.16229560000000001</v>
      </c>
      <c r="R3829">
        <v>0.1195499</v>
      </c>
      <c r="S3829">
        <v>2.9372250000000002</v>
      </c>
      <c r="T3829">
        <v>-2.517343E-2</v>
      </c>
      <c r="U3829">
        <v>1.074265</v>
      </c>
      <c r="V3829">
        <v>-1.817088E-2</v>
      </c>
      <c r="W3829">
        <v>0.17429449999999999</v>
      </c>
      <c r="X3829">
        <v>0.98452589999999995</v>
      </c>
      <c r="Y3829">
        <v>-0.24507000000000001</v>
      </c>
      <c r="Z3829">
        <v>1.684016E-4</v>
      </c>
      <c r="AA3829">
        <v>0.96950539999999996</v>
      </c>
      <c r="AB3829">
        <v>2</v>
      </c>
      <c r="AC3829">
        <v>52.12894</v>
      </c>
      <c r="AD3829">
        <v>-0.44686509999999902</v>
      </c>
      <c r="AE3829">
        <v>19.069799999999901</v>
      </c>
      <c r="AF3829">
        <v>-13.6063262198741</v>
      </c>
      <c r="AG3829">
        <v>-0.44686509999999902</v>
      </c>
      <c r="AH3829">
        <v>53.810335497462603</v>
      </c>
      <c r="AI3829">
        <v>90.461281553655198</v>
      </c>
      <c r="AJ3829">
        <v>104.19021080166399</v>
      </c>
      <c r="AK3829">
        <v>55.505711489618101</v>
      </c>
      <c r="AL3829">
        <v>79.9623950151977</v>
      </c>
      <c r="AM3829">
        <v>91.057358209211401</v>
      </c>
      <c r="AN3829">
        <v>1.0000000006905101</v>
      </c>
    </row>
    <row r="3830" spans="1:40" x14ac:dyDescent="0.3">
      <c r="A3830" t="str">
        <f>"20200111150434269"</f>
        <v>20200111150434269</v>
      </c>
      <c r="B3830" t="str">
        <f>"1578726274262270"</f>
        <v>1578726274262270</v>
      </c>
      <c r="C3830" t="s">
        <v>40</v>
      </c>
      <c r="D3830">
        <v>5.1637950000000004</v>
      </c>
      <c r="E3830">
        <v>0.4137363</v>
      </c>
      <c r="F3830" t="s">
        <v>89</v>
      </c>
      <c r="G3830">
        <v>-74.698689999999999</v>
      </c>
      <c r="H3830">
        <v>0.64558789999999999</v>
      </c>
      <c r="I3830">
        <v>157.5675</v>
      </c>
      <c r="J3830">
        <v>-126.7709</v>
      </c>
      <c r="K3830">
        <v>1.10544</v>
      </c>
      <c r="L3830">
        <v>138.49940000000001</v>
      </c>
      <c r="M3830">
        <v>0.99461659999999996</v>
      </c>
      <c r="N3830">
        <v>0</v>
      </c>
      <c r="O3830">
        <v>0.102911</v>
      </c>
      <c r="P3830">
        <v>0.97960959999999997</v>
      </c>
      <c r="Q3830">
        <v>0.16153619999999999</v>
      </c>
      <c r="R3830">
        <v>0.11946370000000001</v>
      </c>
      <c r="S3830">
        <v>2.9359739999999999</v>
      </c>
      <c r="T3830">
        <v>-2.5921940000000001E-2</v>
      </c>
      <c r="U3830">
        <v>1.074875</v>
      </c>
      <c r="V3830">
        <v>-1.8003470000000001E-2</v>
      </c>
      <c r="W3830">
        <v>0.17350850000000001</v>
      </c>
      <c r="X3830">
        <v>0.98466779999999998</v>
      </c>
      <c r="Y3830">
        <v>-0.2453139</v>
      </c>
      <c r="Z3830">
        <v>1.7394040000000001E-4</v>
      </c>
      <c r="AA3830">
        <v>0.96944370000000002</v>
      </c>
      <c r="AB3830">
        <v>2</v>
      </c>
      <c r="AC3830">
        <v>52.072209999999998</v>
      </c>
      <c r="AD3830">
        <v>-0.45985209999999999</v>
      </c>
      <c r="AE3830">
        <v>19.068099999999902</v>
      </c>
      <c r="AF3830">
        <v>-13.6067110891256</v>
      </c>
      <c r="AG3830">
        <v>-0.45985209999999999</v>
      </c>
      <c r="AH3830">
        <v>53.7544604748688</v>
      </c>
      <c r="AI3830">
        <v>90.475149814056707</v>
      </c>
      <c r="AJ3830">
        <v>104.20474963690199</v>
      </c>
      <c r="AK3830">
        <v>55.451745432953203</v>
      </c>
      <c r="AL3830">
        <v>80.008126301829094</v>
      </c>
      <c r="AM3830">
        <v>91.047467913050099</v>
      </c>
      <c r="AN3830">
        <v>1.00000000043056</v>
      </c>
    </row>
    <row r="3831" spans="1:40" x14ac:dyDescent="0.3">
      <c r="A3831" t="str">
        <f>"20200111150434290"</f>
        <v>20200111150434290</v>
      </c>
      <c r="B3831" t="str">
        <f>"1578726274282767"</f>
        <v>1578726274282767</v>
      </c>
      <c r="C3831" t="s">
        <v>40</v>
      </c>
      <c r="D3831">
        <v>5.1605160000000003</v>
      </c>
      <c r="E3831">
        <v>0.41392440000000003</v>
      </c>
      <c r="F3831" t="s">
        <v>89</v>
      </c>
      <c r="G3831">
        <v>-74.679019999999994</v>
      </c>
      <c r="H3831">
        <v>0.65996169999999899</v>
      </c>
      <c r="I3831">
        <v>157.5675</v>
      </c>
      <c r="J3831">
        <v>-126.75530000000001</v>
      </c>
      <c r="K3831">
        <v>1.1054090000000001</v>
      </c>
      <c r="L3831">
        <v>138.50110000000001</v>
      </c>
      <c r="M3831">
        <v>0.99460979999999999</v>
      </c>
      <c r="N3831">
        <v>0</v>
      </c>
      <c r="O3831">
        <v>0.1029769</v>
      </c>
      <c r="P3831">
        <v>0.97970959999999996</v>
      </c>
      <c r="Q3831">
        <v>0.161552</v>
      </c>
      <c r="R3831">
        <v>0.1186171</v>
      </c>
      <c r="S3831">
        <v>2.935562</v>
      </c>
      <c r="T3831">
        <v>-2.5104049999999999E-2</v>
      </c>
      <c r="U3831">
        <v>1.074554</v>
      </c>
      <c r="V3831">
        <v>-1.708556E-2</v>
      </c>
      <c r="W3831">
        <v>0.17350199999999999</v>
      </c>
      <c r="X3831">
        <v>0.98468529999999999</v>
      </c>
      <c r="Y3831">
        <v>-0.24520059999999999</v>
      </c>
      <c r="Z3831">
        <v>1.6746900000000001E-4</v>
      </c>
      <c r="AA3831">
        <v>0.96947229999999995</v>
      </c>
      <c r="AB3831">
        <v>2</v>
      </c>
      <c r="AC3831">
        <v>52.076279999999997</v>
      </c>
      <c r="AD3831">
        <v>-0.44544729999999999</v>
      </c>
      <c r="AE3831">
        <v>19.066399999999899</v>
      </c>
      <c r="AF3831">
        <v>-13.6010973836185</v>
      </c>
      <c r="AG3831">
        <v>-0.44544729999999999</v>
      </c>
      <c r="AH3831">
        <v>53.759463254090903</v>
      </c>
      <c r="AI3831">
        <v>90.460237643762994</v>
      </c>
      <c r="AJ3831">
        <v>104.197858345434</v>
      </c>
      <c r="AK3831">
        <v>55.455100421004602</v>
      </c>
      <c r="AL3831">
        <v>80.008504457616596</v>
      </c>
      <c r="AM3831">
        <v>90.994055923303804</v>
      </c>
      <c r="AN3831">
        <v>1.0000000002003</v>
      </c>
    </row>
    <row r="3832" spans="1:40" x14ac:dyDescent="0.3">
      <c r="A3832" t="str">
        <f>"20200111150434313"</f>
        <v>20200111150434313</v>
      </c>
      <c r="B3832" t="str">
        <f>"1578726274302287"</f>
        <v>1578726274302287</v>
      </c>
      <c r="C3832" t="s">
        <v>40</v>
      </c>
      <c r="D3832">
        <v>5.1138940000000002</v>
      </c>
      <c r="E3832">
        <v>0.41415540000000001</v>
      </c>
      <c r="F3832" t="s">
        <v>89</v>
      </c>
      <c r="G3832">
        <v>-74.483409999999907</v>
      </c>
      <c r="H3832">
        <v>0.70116040000000002</v>
      </c>
      <c r="I3832">
        <v>157.5675</v>
      </c>
      <c r="J3832">
        <v>-126.739</v>
      </c>
      <c r="K3832">
        <v>1.105389</v>
      </c>
      <c r="L3832">
        <v>138.50290000000001</v>
      </c>
      <c r="M3832">
        <v>0.99460289999999996</v>
      </c>
      <c r="N3832">
        <v>0</v>
      </c>
      <c r="O3832">
        <v>0.1030457</v>
      </c>
      <c r="P3832">
        <v>0.97973639999999995</v>
      </c>
      <c r="Q3832">
        <v>0.16230700000000001</v>
      </c>
      <c r="R3832">
        <v>0.1173574</v>
      </c>
      <c r="S3832">
        <v>2.9362180000000002</v>
      </c>
      <c r="T3832">
        <v>-2.270722E-2</v>
      </c>
      <c r="U3832">
        <v>1.070999</v>
      </c>
      <c r="V3832">
        <v>-1.5761259999999999E-2</v>
      </c>
      <c r="W3832">
        <v>0.17423449999999999</v>
      </c>
      <c r="X3832">
        <v>0.98457810000000001</v>
      </c>
      <c r="Y3832">
        <v>-0.24402869999999999</v>
      </c>
      <c r="Z3832">
        <v>1.4656890000000001E-4</v>
      </c>
      <c r="AA3832">
        <v>0.96976799999999996</v>
      </c>
      <c r="AB3832">
        <v>2</v>
      </c>
      <c r="AC3832">
        <v>52.255589999999998</v>
      </c>
      <c r="AD3832">
        <v>-0.40422859999999999</v>
      </c>
      <c r="AE3832">
        <v>19.064599999999899</v>
      </c>
      <c r="AF3832">
        <v>-13.5772712532118</v>
      </c>
      <c r="AG3832">
        <v>-0.40422859999999999</v>
      </c>
      <c r="AH3832">
        <v>53.939193441213199</v>
      </c>
      <c r="AI3832">
        <v>90.4163872174217</v>
      </c>
      <c r="AJ3832">
        <v>104.12865542339</v>
      </c>
      <c r="AK3832">
        <v>55.623217135769501</v>
      </c>
      <c r="AL3832">
        <v>79.965886748058693</v>
      </c>
      <c r="AM3832">
        <v>90.917120288067494</v>
      </c>
      <c r="AN3832">
        <v>1.00000005665332</v>
      </c>
    </row>
    <row r="3833" spans="1:40" x14ac:dyDescent="0.3">
      <c r="A3833" t="str">
        <f>"20200111150434335"</f>
        <v>20200111150434335</v>
      </c>
      <c r="B3833" t="str">
        <f>"1578726274332543"</f>
        <v>1578726274332543</v>
      </c>
      <c r="C3833" t="s">
        <v>40</v>
      </c>
      <c r="D3833">
        <v>5.0700510000000003</v>
      </c>
      <c r="E3833">
        <v>0.4144621</v>
      </c>
      <c r="F3833" t="s">
        <v>89</v>
      </c>
      <c r="G3833">
        <v>-74.216030000000003</v>
      </c>
      <c r="H3833">
        <v>0.77985859999999996</v>
      </c>
      <c r="I3833">
        <v>157.5675</v>
      </c>
      <c r="J3833">
        <v>-126.7235</v>
      </c>
      <c r="K3833">
        <v>1.10538</v>
      </c>
      <c r="L3833">
        <v>138.50450000000001</v>
      </c>
      <c r="M3833">
        <v>0.99459640000000005</v>
      </c>
      <c r="N3833">
        <v>0</v>
      </c>
      <c r="O3833">
        <v>0.1031111</v>
      </c>
      <c r="P3833">
        <v>0.97980109999999998</v>
      </c>
      <c r="Q3833">
        <v>0.16329779999999999</v>
      </c>
      <c r="R3833">
        <v>0.1154289</v>
      </c>
      <c r="S3833">
        <v>2.9373469999999999</v>
      </c>
      <c r="T3833">
        <v>-1.820505E-2</v>
      </c>
      <c r="U3833">
        <v>1.0661929999999999</v>
      </c>
      <c r="V3833">
        <v>-1.377197E-2</v>
      </c>
      <c r="W3833">
        <v>0.1752068</v>
      </c>
      <c r="X3833">
        <v>0.98443530000000001</v>
      </c>
      <c r="Y3833">
        <v>-0.24244450000000001</v>
      </c>
      <c r="Z3833">
        <v>1.1234070000000001E-4</v>
      </c>
      <c r="AA3833">
        <v>0.97016530000000001</v>
      </c>
      <c r="AB3833">
        <v>2</v>
      </c>
      <c r="AC3833">
        <v>52.507469999999998</v>
      </c>
      <c r="AD3833">
        <v>-0.32552140000000002</v>
      </c>
      <c r="AE3833">
        <v>19.062999999999899</v>
      </c>
      <c r="AF3833">
        <v>-13.5464178219166</v>
      </c>
      <c r="AG3833">
        <v>-0.32552140000000002</v>
      </c>
      <c r="AH3833">
        <v>54.191466315516898</v>
      </c>
      <c r="AI3833">
        <v>90.333890929313995</v>
      </c>
      <c r="AJ3833">
        <v>104.034801813866</v>
      </c>
      <c r="AK3833">
        <v>55.859882039023297</v>
      </c>
      <c r="AL3833">
        <v>79.909306933541799</v>
      </c>
      <c r="AM3833">
        <v>90.801499382832105</v>
      </c>
      <c r="AN3833">
        <v>0.99999997490500503</v>
      </c>
    </row>
    <row r="3834" spans="1:40" x14ac:dyDescent="0.3">
      <c r="A3834" t="str">
        <f>"20200111150434357"</f>
        <v>20200111150434357</v>
      </c>
      <c r="B3834" t="str">
        <f>"1578726274353038"</f>
        <v>1578726274353038</v>
      </c>
      <c r="C3834" t="s">
        <v>40</v>
      </c>
      <c r="D3834">
        <v>5.1039719999999997</v>
      </c>
      <c r="E3834">
        <v>0.41466609999999998</v>
      </c>
      <c r="F3834" t="s">
        <v>91</v>
      </c>
      <c r="G3834">
        <v>-65.299260000000004</v>
      </c>
      <c r="H3834">
        <v>0.83076559999999899</v>
      </c>
      <c r="I3834">
        <v>160.6327</v>
      </c>
      <c r="J3834">
        <v>-126.70780000000001</v>
      </c>
      <c r="K3834">
        <v>1.105375</v>
      </c>
      <c r="L3834">
        <v>138.50620000000001</v>
      </c>
      <c r="M3834">
        <v>0.99458990000000003</v>
      </c>
      <c r="N3834">
        <v>0</v>
      </c>
      <c r="O3834">
        <v>0.1031772</v>
      </c>
      <c r="P3834">
        <v>0.98000160000000003</v>
      </c>
      <c r="Q3834">
        <v>0.16362979999999899</v>
      </c>
      <c r="R3834">
        <v>0.11323510000000001</v>
      </c>
      <c r="S3834">
        <v>2.9392849999999999</v>
      </c>
      <c r="T3834">
        <v>-1.313889E-2</v>
      </c>
      <c r="U3834">
        <v>1.0588839999999999</v>
      </c>
      <c r="V3834">
        <v>-1.1503060000000001E-2</v>
      </c>
      <c r="W3834">
        <v>0.1755237</v>
      </c>
      <c r="X3834">
        <v>0.98440799999999995</v>
      </c>
      <c r="Y3834">
        <v>-0.2400417</v>
      </c>
      <c r="Z3834" s="1">
        <v>7.5558700000000006E-5</v>
      </c>
      <c r="AA3834">
        <v>0.97076260000000003</v>
      </c>
      <c r="AB3834">
        <v>2</v>
      </c>
      <c r="AC3834">
        <v>61.408540000000002</v>
      </c>
      <c r="AD3834">
        <v>-0.2746094</v>
      </c>
      <c r="AE3834">
        <v>22.1265</v>
      </c>
      <c r="AF3834">
        <v>-15.6716941920407</v>
      </c>
      <c r="AG3834">
        <v>-0.2746094</v>
      </c>
      <c r="AH3834">
        <v>63.362749085655103</v>
      </c>
      <c r="AI3834">
        <v>90.241050615124195</v>
      </c>
      <c r="AJ3834">
        <v>103.892330372624</v>
      </c>
      <c r="AK3834">
        <v>65.272623517544503</v>
      </c>
      <c r="AL3834">
        <v>79.890864356977801</v>
      </c>
      <c r="AM3834">
        <v>90.669485410535799</v>
      </c>
      <c r="AN3834">
        <v>1.00000000005752</v>
      </c>
    </row>
    <row r="3835" spans="1:40" x14ac:dyDescent="0.3">
      <c r="A3835" t="str">
        <f>"20200111150434380"</f>
        <v>20200111150434380</v>
      </c>
      <c r="B3835" t="str">
        <f>"1578726274372558"</f>
        <v>1578726274372558</v>
      </c>
      <c r="C3835" t="s">
        <v>40</v>
      </c>
      <c r="D3835">
        <v>5.3423160000000003</v>
      </c>
      <c r="E3835">
        <v>0.44386100000000001</v>
      </c>
      <c r="F3835" t="s">
        <v>91</v>
      </c>
      <c r="G3835">
        <v>-65.060940000000002</v>
      </c>
      <c r="H3835">
        <v>0.88827889999999998</v>
      </c>
      <c r="I3835">
        <v>160.5471</v>
      </c>
      <c r="J3835">
        <v>-126.6917</v>
      </c>
      <c r="K3835">
        <v>1.1053599999999999</v>
      </c>
      <c r="L3835">
        <v>138.50799999999899</v>
      </c>
      <c r="M3835">
        <v>0.99458290000000005</v>
      </c>
      <c r="N3835">
        <v>0</v>
      </c>
      <c r="O3835">
        <v>0.1032452</v>
      </c>
      <c r="P3835">
        <v>0.98032549999999996</v>
      </c>
      <c r="Q3835">
        <v>0.1633869</v>
      </c>
      <c r="R3835">
        <v>0.1107556</v>
      </c>
      <c r="S3835">
        <v>2.9414370000000001</v>
      </c>
      <c r="T3835">
        <v>-1.035786E-2</v>
      </c>
      <c r="U3835">
        <v>1.051666</v>
      </c>
      <c r="V3835">
        <v>-8.9358019999999996E-3</v>
      </c>
      <c r="W3835">
        <v>0.17526829999999999</v>
      </c>
      <c r="X3835">
        <v>0.98448009999999997</v>
      </c>
      <c r="Y3835">
        <v>-0.2376383</v>
      </c>
      <c r="Z3835" s="1">
        <v>5.5203619999999901E-5</v>
      </c>
      <c r="AA3835">
        <v>0.97135369999999999</v>
      </c>
      <c r="AB3835">
        <v>2</v>
      </c>
      <c r="AC3835">
        <v>61.630760000000002</v>
      </c>
      <c r="AD3835">
        <v>-0.2170811</v>
      </c>
      <c r="AE3835">
        <v>22.039100000000001</v>
      </c>
      <c r="AF3835">
        <v>-15.557590903395999</v>
      </c>
      <c r="AG3835">
        <v>-0.2170811</v>
      </c>
      <c r="AH3835">
        <v>63.576250482528998</v>
      </c>
      <c r="AI3835">
        <v>90.190028799378595</v>
      </c>
      <c r="AJ3835">
        <v>103.750494349687</v>
      </c>
      <c r="AK3835">
        <v>65.452466602402893</v>
      </c>
      <c r="AL3835">
        <v>79.905727570534097</v>
      </c>
      <c r="AM3835">
        <v>90.520040660821195</v>
      </c>
      <c r="AN3835">
        <v>0.99999994641914003</v>
      </c>
    </row>
    <row r="3836" spans="1:40" x14ac:dyDescent="0.3">
      <c r="A3836" t="str">
        <f>"20200111150434401"</f>
        <v>20200111150434401</v>
      </c>
      <c r="B3836" t="str">
        <f>"1578726274393054"</f>
        <v>1578726274393054</v>
      </c>
      <c r="C3836" t="s">
        <v>40</v>
      </c>
      <c r="D3836">
        <v>5.7925190000000004</v>
      </c>
      <c r="E3836">
        <v>0.47411180000000003</v>
      </c>
      <c r="F3836" t="s">
        <v>49</v>
      </c>
      <c r="G3836">
        <v>-35.709380000000003</v>
      </c>
      <c r="H3836">
        <v>-0.1</v>
      </c>
      <c r="I3836">
        <v>163.453</v>
      </c>
      <c r="J3836">
        <v>-126.67659999999999</v>
      </c>
      <c r="K3836">
        <v>1.105342</v>
      </c>
      <c r="L3836">
        <v>138.50960000000001</v>
      </c>
      <c r="M3836">
        <v>0.99457649999999997</v>
      </c>
      <c r="N3836">
        <v>0</v>
      </c>
      <c r="O3836">
        <v>0.1033087</v>
      </c>
      <c r="P3836">
        <v>0.98072950000000003</v>
      </c>
      <c r="Q3836">
        <v>0.1628916</v>
      </c>
      <c r="R3836">
        <v>0.1078707</v>
      </c>
      <c r="S3836">
        <v>2.9746250000000001</v>
      </c>
      <c r="T3836">
        <v>-3.9408680000000001E-2</v>
      </c>
      <c r="U3836">
        <v>0.81556700000000004</v>
      </c>
      <c r="V3836">
        <v>-5.9619570000000004E-3</v>
      </c>
      <c r="W3836">
        <v>0.17476359999999999</v>
      </c>
      <c r="X3836">
        <v>0.98459240000000003</v>
      </c>
      <c r="Y3836">
        <v>-0.16335759999999999</v>
      </c>
      <c r="Z3836">
        <v>-2.7500989999999998E-4</v>
      </c>
      <c r="AA3836">
        <v>0.98656690000000002</v>
      </c>
      <c r="AB3836">
        <v>2</v>
      </c>
      <c r="AC3836">
        <v>90.967219999999998</v>
      </c>
      <c r="AD3836">
        <v>-1.2053419999999999</v>
      </c>
      <c r="AE3836">
        <v>24.9434</v>
      </c>
      <c r="AF3836">
        <v>-15.4090146410072</v>
      </c>
      <c r="AG3836">
        <v>-1.2053419999999999</v>
      </c>
      <c r="AH3836">
        <v>93.042278555353107</v>
      </c>
      <c r="AI3836">
        <v>90.732239763054906</v>
      </c>
      <c r="AJ3836">
        <v>99.403575431903505</v>
      </c>
      <c r="AK3836">
        <v>94.317316439324401</v>
      </c>
      <c r="AL3836">
        <v>79.935098892800198</v>
      </c>
      <c r="AM3836">
        <v>90.346936253870197</v>
      </c>
      <c r="AN3836">
        <v>1.00000002747699</v>
      </c>
    </row>
    <row r="3837" spans="1:40" x14ac:dyDescent="0.3">
      <c r="A3837" t="str">
        <f>"20200111150434424"</f>
        <v>20200111150434424</v>
      </c>
      <c r="B3837" t="str">
        <f>"1578726274412574"</f>
        <v>1578726274412574</v>
      </c>
      <c r="C3837" t="s">
        <v>40</v>
      </c>
      <c r="D3837">
        <v>4.2814969999999999</v>
      </c>
      <c r="E3837">
        <v>0.49482500000000001</v>
      </c>
      <c r="F3837" t="s">
        <v>44</v>
      </c>
      <c r="G3837">
        <v>0</v>
      </c>
      <c r="H3837">
        <v>0</v>
      </c>
      <c r="I3837">
        <v>0</v>
      </c>
      <c r="J3837">
        <v>-126.661</v>
      </c>
      <c r="K3837">
        <v>1.1053280000000001</v>
      </c>
      <c r="L3837">
        <v>138.51130000000001</v>
      </c>
      <c r="M3837">
        <v>0.99456979999999995</v>
      </c>
      <c r="N3837">
        <v>0</v>
      </c>
      <c r="O3837">
        <v>0.10337449999999999</v>
      </c>
      <c r="P3837">
        <v>0.98115640000000004</v>
      </c>
      <c r="Q3837">
        <v>0.16217609999999999</v>
      </c>
      <c r="R3837">
        <v>0.10503079999999999</v>
      </c>
      <c r="S3837">
        <v>2.928223</v>
      </c>
      <c r="T3837">
        <v>0.43400840000000002</v>
      </c>
      <c r="U3837">
        <v>0.53301999999999905</v>
      </c>
      <c r="V3837">
        <v>-3.0280149999999998E-3</v>
      </c>
      <c r="W3837">
        <v>0.17404059999999999</v>
      </c>
      <c r="X3837">
        <v>0.98473379999999999</v>
      </c>
      <c r="Y3837">
        <v>-7.6693460000000005E-2</v>
      </c>
      <c r="Z3837">
        <v>9.4546639999999998E-3</v>
      </c>
      <c r="AA3837">
        <v>0.9970099</v>
      </c>
      <c r="AB3837">
        <v>2</v>
      </c>
      <c r="AC3837">
        <v>2.928223</v>
      </c>
      <c r="AD3837">
        <v>0.43400840000000002</v>
      </c>
      <c r="AE3837">
        <v>0.53301999999999905</v>
      </c>
      <c r="AF3837">
        <v>-0.222703046469163</v>
      </c>
      <c r="AG3837">
        <v>0.43400840000000002</v>
      </c>
      <c r="AH3837">
        <v>2.9058494264094699</v>
      </c>
      <c r="AI3837">
        <v>81.529756154636203</v>
      </c>
      <c r="AJ3837">
        <v>94.382556727140894</v>
      </c>
      <c r="AK3837">
        <v>2.94650994010565</v>
      </c>
      <c r="AL3837">
        <v>79.977167977796597</v>
      </c>
      <c r="AM3837">
        <v>90.176181555861803</v>
      </c>
      <c r="AN3837">
        <v>0.99999997809281904</v>
      </c>
    </row>
    <row r="3838" spans="1:40" x14ac:dyDescent="0.3">
      <c r="A3838" t="str">
        <f>"20200111150434445"</f>
        <v>20200111150434445</v>
      </c>
      <c r="B3838" t="str">
        <f>"1578726274442831"</f>
        <v>1578726274442831</v>
      </c>
      <c r="C3838" t="s">
        <v>40</v>
      </c>
      <c r="D3838">
        <v>5.2170540000000001</v>
      </c>
      <c r="E3838">
        <v>0.51202380000000003</v>
      </c>
      <c r="F3838" t="s">
        <v>41</v>
      </c>
      <c r="G3838">
        <v>-110.0925</v>
      </c>
      <c r="H3838" s="1">
        <v>-4.4400069999999998E-6</v>
      </c>
      <c r="I3838">
        <v>140.71809999999999</v>
      </c>
      <c r="J3838">
        <v>-126.6455</v>
      </c>
      <c r="K3838">
        <v>1.1053090000000001</v>
      </c>
      <c r="L3838">
        <v>138.51300000000001</v>
      </c>
      <c r="M3838">
        <v>0.99456299999999997</v>
      </c>
      <c r="N3838">
        <v>0</v>
      </c>
      <c r="O3838">
        <v>0.1034403</v>
      </c>
      <c r="P3838">
        <v>0.98176799999999997</v>
      </c>
      <c r="Q3838">
        <v>0.16023860000000001</v>
      </c>
      <c r="R3838">
        <v>0.1022511</v>
      </c>
      <c r="S3838">
        <v>3.0477750000000001</v>
      </c>
      <c r="T3838">
        <v>-0.20332459999999999</v>
      </c>
      <c r="U3838">
        <v>0.40594479999999999</v>
      </c>
      <c r="V3838">
        <v>-1.3416869999999999E-4</v>
      </c>
      <c r="W3838">
        <v>0.1720991</v>
      </c>
      <c r="X3838">
        <v>0.98507960000000006</v>
      </c>
      <c r="Y3838">
        <v>-2.893884E-2</v>
      </c>
      <c r="Z3838">
        <v>-5.8824389999999997E-3</v>
      </c>
      <c r="AA3838">
        <v>0.99956389999999995</v>
      </c>
      <c r="AB3838">
        <v>2</v>
      </c>
      <c r="AC3838">
        <v>16.552999999999901</v>
      </c>
      <c r="AD3838">
        <v>-1.1053134400069999</v>
      </c>
      <c r="AE3838">
        <v>2.2050999999999799</v>
      </c>
      <c r="AF3838">
        <v>-0.47880069312447399</v>
      </c>
      <c r="AG3838">
        <v>-1.1053134400069999</v>
      </c>
      <c r="AH3838">
        <v>16.619493170150399</v>
      </c>
      <c r="AI3838">
        <v>93.803396330497904</v>
      </c>
      <c r="AJ3838">
        <v>91.650211149282001</v>
      </c>
      <c r="AK3838">
        <v>16.663088583365099</v>
      </c>
      <c r="AL3838">
        <v>80.090112035510202</v>
      </c>
      <c r="AM3838">
        <v>90.007803735053699</v>
      </c>
      <c r="AN3838">
        <v>0.99999996827910398</v>
      </c>
    </row>
    <row r="3839" spans="1:40" x14ac:dyDescent="0.3">
      <c r="A3839" t="str">
        <f>"20200111150434469"</f>
        <v>20200111150434469</v>
      </c>
      <c r="B3839" t="str">
        <f>"1578726274462353"</f>
        <v>1578726274462353</v>
      </c>
      <c r="C3839" t="s">
        <v>40</v>
      </c>
      <c r="D3839">
        <v>4.8892150000000001</v>
      </c>
      <c r="E3839">
        <v>0.5196731</v>
      </c>
      <c r="F3839" t="s">
        <v>41</v>
      </c>
      <c r="G3839">
        <v>-109.5235</v>
      </c>
      <c r="H3839" s="1">
        <v>-2.9827749999999998E-7</v>
      </c>
      <c r="I3839">
        <v>139.96430000000001</v>
      </c>
      <c r="J3839">
        <v>-126.6296</v>
      </c>
      <c r="K3839">
        <v>1.1052869999999999</v>
      </c>
      <c r="L3839">
        <v>138.51480000000001</v>
      </c>
      <c r="M3839">
        <v>0.99455610000000005</v>
      </c>
      <c r="N3839">
        <v>0</v>
      </c>
      <c r="O3839">
        <v>0.1035075</v>
      </c>
      <c r="P3839">
        <v>0.98229789999999995</v>
      </c>
      <c r="Q3839">
        <v>0.15832669999999999</v>
      </c>
      <c r="R3839">
        <v>0.10011879999999999</v>
      </c>
      <c r="S3839">
        <v>3.0609440000000001</v>
      </c>
      <c r="T3839">
        <v>-0.19759940000000001</v>
      </c>
      <c r="U3839">
        <v>0.25944519999999999</v>
      </c>
      <c r="V3839">
        <v>2.1078849999999999E-3</v>
      </c>
      <c r="W3839">
        <v>0.17018369999999999</v>
      </c>
      <c r="X3839">
        <v>0.98541009999999996</v>
      </c>
      <c r="Y3839">
        <v>1.889002E-2</v>
      </c>
      <c r="Z3839">
        <v>-7.2553080000000002E-3</v>
      </c>
      <c r="AA3839">
        <v>0.99979530000000005</v>
      </c>
      <c r="AB3839">
        <v>2</v>
      </c>
      <c r="AC3839">
        <v>17.106099999999898</v>
      </c>
      <c r="AD3839">
        <v>-1.1052872982774999</v>
      </c>
      <c r="AE3839">
        <v>1.4495</v>
      </c>
      <c r="AF3839">
        <v>0.327666100816349</v>
      </c>
      <c r="AG3839">
        <v>-1.1052872982774999</v>
      </c>
      <c r="AH3839">
        <v>17.093394360290599</v>
      </c>
      <c r="AI3839">
        <v>93.699012138454094</v>
      </c>
      <c r="AJ3839">
        <v>88.901822233410698</v>
      </c>
      <c r="AK3839">
        <v>17.1322256534804</v>
      </c>
      <c r="AL3839">
        <v>80.201500069676399</v>
      </c>
      <c r="AM3839">
        <v>89.877439119010802</v>
      </c>
      <c r="AN3839">
        <v>1.0000000000534299</v>
      </c>
    </row>
    <row r="3840" spans="1:40" x14ac:dyDescent="0.3">
      <c r="A3840" t="str">
        <f>"20200111150434490"</f>
        <v>20200111150434490</v>
      </c>
      <c r="B3840" t="str">
        <f>"1578726274482846"</f>
        <v>1578726274482846</v>
      </c>
      <c r="C3840" t="s">
        <v>40</v>
      </c>
      <c r="D3840">
        <v>4.8964689999999997</v>
      </c>
      <c r="E3840">
        <v>0.53595979999999999</v>
      </c>
      <c r="F3840" t="s">
        <v>41</v>
      </c>
      <c r="G3840">
        <v>-108.2236</v>
      </c>
      <c r="H3840" s="1">
        <v>-8.3180090000000001E-7</v>
      </c>
      <c r="I3840">
        <v>139.66</v>
      </c>
      <c r="J3840">
        <v>-126.6144</v>
      </c>
      <c r="K3840">
        <v>1.105264</v>
      </c>
      <c r="L3840">
        <v>138.5164</v>
      </c>
      <c r="M3840">
        <v>0.99454940000000003</v>
      </c>
      <c r="N3840">
        <v>0</v>
      </c>
      <c r="O3840">
        <v>0.10357180000000001</v>
      </c>
      <c r="P3840">
        <v>0.98271339999999996</v>
      </c>
      <c r="Q3840">
        <v>0.15688779999999999</v>
      </c>
      <c r="R3840">
        <v>9.8288420000000001E-2</v>
      </c>
      <c r="S3840">
        <v>3.0642849999999999</v>
      </c>
      <c r="T3840">
        <v>-0.18401129999999999</v>
      </c>
      <c r="U3840">
        <v>0.19065860000000001</v>
      </c>
      <c r="V3840">
        <v>4.0351429999999997E-3</v>
      </c>
      <c r="W3840">
        <v>0.16874140000000001</v>
      </c>
      <c r="X3840">
        <v>0.98565210000000003</v>
      </c>
      <c r="Y3840">
        <v>4.1354710000000003E-2</v>
      </c>
      <c r="Z3840">
        <v>-7.4343919999999997E-3</v>
      </c>
      <c r="AA3840">
        <v>0.99911689999999997</v>
      </c>
      <c r="AB3840">
        <v>2</v>
      </c>
      <c r="AC3840">
        <v>18.390799999999999</v>
      </c>
      <c r="AD3840">
        <v>-1.1052648318009</v>
      </c>
      <c r="AE3840">
        <v>1.14359999999999</v>
      </c>
      <c r="AF3840">
        <v>0.76470559355487999</v>
      </c>
      <c r="AG3840">
        <v>-1.1052648318009</v>
      </c>
      <c r="AH3840">
        <v>18.344330818326601</v>
      </c>
      <c r="AI3840">
        <v>93.444976807647095</v>
      </c>
      <c r="AJ3840">
        <v>87.612938264307502</v>
      </c>
      <c r="AK3840">
        <v>18.393500432637499</v>
      </c>
      <c r="AL3840">
        <v>80.285350563559305</v>
      </c>
      <c r="AM3840">
        <v>89.765439172669204</v>
      </c>
      <c r="AN3840">
        <v>1.0000000023436999</v>
      </c>
    </row>
    <row r="3841" spans="1:40" x14ac:dyDescent="0.3">
      <c r="A3841" t="str">
        <f>"20200111150434513"</f>
        <v>20200111150434513</v>
      </c>
      <c r="B3841" t="str">
        <f>"1578726274502366"</f>
        <v>1578726274502366</v>
      </c>
      <c r="C3841" t="s">
        <v>40</v>
      </c>
      <c r="D3841">
        <v>4.8713129999999998</v>
      </c>
      <c r="E3841">
        <v>0.536026</v>
      </c>
      <c r="F3841" t="s">
        <v>42</v>
      </c>
      <c r="G3841">
        <v>-125.9051</v>
      </c>
      <c r="H3841">
        <v>0.97896150000000004</v>
      </c>
      <c r="I3841">
        <v>138.53450000000001</v>
      </c>
      <c r="J3841">
        <v>-126.5993</v>
      </c>
      <c r="K3841">
        <v>1.105245</v>
      </c>
      <c r="L3841">
        <v>138.5181</v>
      </c>
      <c r="M3841">
        <v>0.99454279999999995</v>
      </c>
      <c r="N3841">
        <v>0</v>
      </c>
      <c r="O3841">
        <v>0.1036359</v>
      </c>
      <c r="P3841">
        <v>0.98297500000000004</v>
      </c>
      <c r="Q3841">
        <v>0.15579670000000001</v>
      </c>
      <c r="R3841">
        <v>9.7404519999999994E-2</v>
      </c>
      <c r="S3841">
        <v>3.133804</v>
      </c>
      <c r="T3841">
        <v>-0.55811690000000003</v>
      </c>
      <c r="U3841">
        <v>8.0795290000000006E-2</v>
      </c>
      <c r="V3841">
        <v>5.0051970000000003E-3</v>
      </c>
      <c r="W3841">
        <v>0.16764809999999999</v>
      </c>
      <c r="X3841">
        <v>0.98583419999999999</v>
      </c>
      <c r="Y3841">
        <v>7.5169020000000003E-2</v>
      </c>
      <c r="Z3841">
        <v>-2.4920709999999999E-2</v>
      </c>
      <c r="AA3841">
        <v>0.99685939999999995</v>
      </c>
      <c r="AB3841">
        <v>2</v>
      </c>
      <c r="AC3841">
        <v>0.69419999999999404</v>
      </c>
      <c r="AD3841">
        <v>-0.12628349999999999</v>
      </c>
      <c r="AE3841">
        <v>1.6400000000004401E-2</v>
      </c>
      <c r="AF3841">
        <v>5.3856328455409802E-2</v>
      </c>
      <c r="AG3841">
        <v>-0.12628349999999999</v>
      </c>
      <c r="AH3841">
        <v>0.67000177214913104</v>
      </c>
      <c r="AI3841">
        <v>100.640484757328</v>
      </c>
      <c r="AJ3841">
        <v>85.404310697264506</v>
      </c>
      <c r="AK3841">
        <v>0.683922803516539</v>
      </c>
      <c r="AL3841">
        <v>80.348897356513604</v>
      </c>
      <c r="AM3841">
        <v>89.709105040506401</v>
      </c>
      <c r="AN3841">
        <v>1.00000000366012</v>
      </c>
    </row>
    <row r="3842" spans="1:40" x14ac:dyDescent="0.3">
      <c r="A3842" t="str">
        <f>"20200111150434536"</f>
        <v>20200111150434536</v>
      </c>
      <c r="B3842" t="str">
        <f>"1578726274532622"</f>
        <v>1578726274532622</v>
      </c>
      <c r="C3842" t="s">
        <v>40</v>
      </c>
      <c r="D3842">
        <v>4.843998</v>
      </c>
      <c r="E3842">
        <v>0.53561999999999999</v>
      </c>
      <c r="F3842" t="s">
        <v>42</v>
      </c>
      <c r="G3842">
        <v>-125.8918</v>
      </c>
      <c r="H3842">
        <v>0.97779550000000004</v>
      </c>
      <c r="I3842">
        <v>138.53540000000001</v>
      </c>
      <c r="J3842">
        <v>-126.58369999999999</v>
      </c>
      <c r="K3842">
        <v>1.105229</v>
      </c>
      <c r="L3842">
        <v>138.5198</v>
      </c>
      <c r="M3842">
        <v>0.99453599999999998</v>
      </c>
      <c r="N3842">
        <v>0</v>
      </c>
      <c r="O3842">
        <v>0.1037018</v>
      </c>
      <c r="P3842">
        <v>0.98307940000000005</v>
      </c>
      <c r="Q3842">
        <v>0.155393</v>
      </c>
      <c r="R3842">
        <v>9.6995620000000005E-2</v>
      </c>
      <c r="S3842">
        <v>3.1338200000000001</v>
      </c>
      <c r="T3842">
        <v>-0.56469429999999998</v>
      </c>
      <c r="U3842">
        <v>7.6934810000000006E-2</v>
      </c>
      <c r="V3842">
        <v>5.4878919999999899E-3</v>
      </c>
      <c r="W3842">
        <v>0.16724049999999999</v>
      </c>
      <c r="X3842">
        <v>0.98590089999999997</v>
      </c>
      <c r="Y3842">
        <v>7.6375739999999998E-2</v>
      </c>
      <c r="Z3842">
        <v>-2.5329870000000001E-2</v>
      </c>
      <c r="AA3842">
        <v>0.99675729999999996</v>
      </c>
      <c r="AB3842">
        <v>2</v>
      </c>
      <c r="AC3842">
        <v>0.69189999999998897</v>
      </c>
      <c r="AD3842">
        <v>-0.12743349999999901</v>
      </c>
      <c r="AE3842">
        <v>1.5600000000006199E-2</v>
      </c>
      <c r="AF3842">
        <v>5.4396276405376601E-2</v>
      </c>
      <c r="AG3842">
        <v>-0.12743349999999901</v>
      </c>
      <c r="AH3842">
        <v>0.66716681355556295</v>
      </c>
      <c r="AI3842">
        <v>100.778715401542</v>
      </c>
      <c r="AJ3842">
        <v>85.338799535252804</v>
      </c>
      <c r="AK3842">
        <v>0.68140282426689602</v>
      </c>
      <c r="AL3842">
        <v>80.372585941691298</v>
      </c>
      <c r="AM3842">
        <v>89.681073622545298</v>
      </c>
      <c r="AN3842">
        <v>1.0000000432098299</v>
      </c>
    </row>
    <row r="3843" spans="1:40" x14ac:dyDescent="0.3">
      <c r="A3843" t="str">
        <f>"20200111150434557"</f>
        <v>20200111150434557</v>
      </c>
      <c r="B3843" t="str">
        <f>"1578726274553121"</f>
        <v>1578726274553121</v>
      </c>
      <c r="C3843" t="s">
        <v>40</v>
      </c>
      <c r="D3843">
        <v>4.8755629999999996</v>
      </c>
      <c r="E3843">
        <v>0.53461150000000002</v>
      </c>
      <c r="F3843" t="s">
        <v>42</v>
      </c>
      <c r="G3843">
        <v>-125.8781</v>
      </c>
      <c r="H3843">
        <v>0.9779679</v>
      </c>
      <c r="I3843">
        <v>138.53749999999999</v>
      </c>
      <c r="J3843">
        <v>-126.5685</v>
      </c>
      <c r="K3843">
        <v>1.1052070000000001</v>
      </c>
      <c r="L3843">
        <v>138.5215</v>
      </c>
      <c r="M3843">
        <v>0.99452940000000001</v>
      </c>
      <c r="N3843">
        <v>0</v>
      </c>
      <c r="O3843">
        <v>0.10376589999999999</v>
      </c>
      <c r="P3843">
        <v>0.9831299</v>
      </c>
      <c r="Q3843">
        <v>0.1552646</v>
      </c>
      <c r="R3843">
        <v>9.668736E-2</v>
      </c>
      <c r="S3843">
        <v>3.1331790000000002</v>
      </c>
      <c r="T3843">
        <v>-0.56526709999999902</v>
      </c>
      <c r="U3843">
        <v>7.9193120000000006E-2</v>
      </c>
      <c r="V3843">
        <v>5.8635329999999998E-3</v>
      </c>
      <c r="W3843">
        <v>0.1671088</v>
      </c>
      <c r="X3843">
        <v>0.98592100000000005</v>
      </c>
      <c r="Y3843">
        <v>7.5719679999999998E-2</v>
      </c>
      <c r="Z3843">
        <v>-2.5312600000000001E-2</v>
      </c>
      <c r="AA3843">
        <v>0.99680780000000002</v>
      </c>
      <c r="AB3843">
        <v>2</v>
      </c>
      <c r="AC3843">
        <v>0.69039999999999602</v>
      </c>
      <c r="AD3843">
        <v>-0.12723909999999999</v>
      </c>
      <c r="AE3843">
        <v>1.5999999999991101E-2</v>
      </c>
      <c r="AF3843">
        <v>5.3901695266387301E-2</v>
      </c>
      <c r="AG3843">
        <v>-0.12723909999999999</v>
      </c>
      <c r="AH3843">
        <v>0.66573298410207504</v>
      </c>
      <c r="AI3843">
        <v>100.78577615184599</v>
      </c>
      <c r="AJ3843">
        <v>85.371090779987497</v>
      </c>
      <c r="AK3843">
        <v>0.67992322172643505</v>
      </c>
      <c r="AL3843">
        <v>80.380238840843802</v>
      </c>
      <c r="AM3843">
        <v>89.659250859747303</v>
      </c>
      <c r="AN3843">
        <v>0.99999997514883998</v>
      </c>
    </row>
    <row r="3844" spans="1:40" x14ac:dyDescent="0.3">
      <c r="A3844" t="str">
        <f>"20200111150434580"</f>
        <v>20200111150434580</v>
      </c>
      <c r="B3844" t="str">
        <f>"1578726274572638"</f>
        <v>1578726274572638</v>
      </c>
      <c r="C3844" t="s">
        <v>40</v>
      </c>
      <c r="D3844">
        <v>4.8444469999999997</v>
      </c>
      <c r="E3844">
        <v>0.53386230000000001</v>
      </c>
      <c r="F3844" t="s">
        <v>42</v>
      </c>
      <c r="G3844">
        <v>-125.8644</v>
      </c>
      <c r="H3844">
        <v>0.97844960000000003</v>
      </c>
      <c r="I3844">
        <v>138.54069999999999</v>
      </c>
      <c r="J3844">
        <v>-126.55329999999999</v>
      </c>
      <c r="K3844">
        <v>1.1051879999999901</v>
      </c>
      <c r="L3844">
        <v>138.5232</v>
      </c>
      <c r="M3844">
        <v>0.99452280000000004</v>
      </c>
      <c r="N3844">
        <v>0</v>
      </c>
      <c r="O3844">
        <v>0.10383009999999999</v>
      </c>
      <c r="P3844">
        <v>0.98316999999999999</v>
      </c>
      <c r="Q3844">
        <v>0.15527279999999999</v>
      </c>
      <c r="R3844">
        <v>9.6268969999999995E-2</v>
      </c>
      <c r="S3844">
        <v>3.1320950000000001</v>
      </c>
      <c r="T3844">
        <v>-0.56391979999999997</v>
      </c>
      <c r="U3844">
        <v>8.5906979999999994E-2</v>
      </c>
      <c r="V3844">
        <v>6.3474810000000003E-3</v>
      </c>
      <c r="W3844">
        <v>0.16711409999999999</v>
      </c>
      <c r="X3844">
        <v>0.98591719999999905</v>
      </c>
      <c r="Y3844">
        <v>7.3683460000000006E-2</v>
      </c>
      <c r="Z3844">
        <v>-2.5090189999999998E-2</v>
      </c>
      <c r="AA3844">
        <v>0.99696600000000002</v>
      </c>
      <c r="AB3844">
        <v>2</v>
      </c>
      <c r="AC3844">
        <v>0.68889999999998897</v>
      </c>
      <c r="AD3844">
        <v>-0.126738399999999</v>
      </c>
      <c r="AE3844">
        <v>1.7499999999984001E-2</v>
      </c>
      <c r="AF3844">
        <v>5.2357365220392998E-2</v>
      </c>
      <c r="AG3844">
        <v>-0.126738399999999</v>
      </c>
      <c r="AH3844">
        <v>0.66451659489914106</v>
      </c>
      <c r="AI3844">
        <v>100.765346660657</v>
      </c>
      <c r="AJ3844">
        <v>85.494963548646197</v>
      </c>
      <c r="AK3844">
        <v>0.67851766419433102</v>
      </c>
      <c r="AL3844">
        <v>80.379931754487004</v>
      </c>
      <c r="AM3844">
        <v>89.631126379481202</v>
      </c>
      <c r="AN3844">
        <v>1.0000000690948401</v>
      </c>
    </row>
    <row r="3845" spans="1:40" x14ac:dyDescent="0.3">
      <c r="A3845" t="str">
        <f>"20200111150434602"</f>
        <v>20200111150434602</v>
      </c>
      <c r="B3845" t="str">
        <f>"1578726274593134"</f>
        <v>1578726274593134</v>
      </c>
      <c r="C3845" t="s">
        <v>40</v>
      </c>
      <c r="D3845">
        <v>4.8473980000000001</v>
      </c>
      <c r="E3845">
        <v>0.53306129999999996</v>
      </c>
      <c r="F3845" t="s">
        <v>42</v>
      </c>
      <c r="G3845">
        <v>-125.8503</v>
      </c>
      <c r="H3845">
        <v>0.97965860000000005</v>
      </c>
      <c r="I3845">
        <v>138.54329999999999</v>
      </c>
      <c r="J3845">
        <v>-126.5381</v>
      </c>
      <c r="K3845">
        <v>1.105178</v>
      </c>
      <c r="L3845">
        <v>138.5249</v>
      </c>
      <c r="M3845">
        <v>0.99451599999999996</v>
      </c>
      <c r="N3845">
        <v>0</v>
      </c>
      <c r="O3845">
        <v>0.10389429999999999</v>
      </c>
      <c r="P3845">
        <v>0.98335189999999995</v>
      </c>
      <c r="Q3845">
        <v>0.1543437</v>
      </c>
      <c r="R3845">
        <v>9.5901219999999995E-2</v>
      </c>
      <c r="S3845">
        <v>3.1308440000000002</v>
      </c>
      <c r="T3845">
        <v>-0.55918619999999997</v>
      </c>
      <c r="U3845">
        <v>9.0057369999999998E-2</v>
      </c>
      <c r="V3845">
        <v>6.795934E-3</v>
      </c>
      <c r="W3845">
        <v>0.16618450000000001</v>
      </c>
      <c r="X3845">
        <v>0.98607120000000004</v>
      </c>
      <c r="Y3845">
        <v>7.2479450000000001E-2</v>
      </c>
      <c r="Z3845">
        <v>-2.4796559999999999E-2</v>
      </c>
      <c r="AA3845">
        <v>0.99706159999999999</v>
      </c>
      <c r="AB3845">
        <v>2</v>
      </c>
      <c r="AC3845">
        <v>0.68779999999999497</v>
      </c>
      <c r="AD3845">
        <v>-0.1255194</v>
      </c>
      <c r="AE3845">
        <v>1.8399999999985501E-2</v>
      </c>
      <c r="AF3845">
        <v>5.1450930213748802E-2</v>
      </c>
      <c r="AG3845">
        <v>-0.1255194</v>
      </c>
      <c r="AH3845">
        <v>0.66389453805069398</v>
      </c>
      <c r="AI3845">
        <v>100.674997765227</v>
      </c>
      <c r="AJ3845">
        <v>85.568512190590098</v>
      </c>
      <c r="AK3845">
        <v>0.67761218676302204</v>
      </c>
      <c r="AL3845">
        <v>80.433948051850095</v>
      </c>
      <c r="AM3845">
        <v>89.6051277319158</v>
      </c>
      <c r="AN3845">
        <v>0.99999994211430898</v>
      </c>
    </row>
    <row r="3846" spans="1:40" x14ac:dyDescent="0.3">
      <c r="A3846" t="str">
        <f>"20200111150434625"</f>
        <v>20200111150434625</v>
      </c>
      <c r="B3846" t="str">
        <f>"1578726274622414"</f>
        <v>1578726274622414</v>
      </c>
      <c r="C3846" t="s">
        <v>40</v>
      </c>
      <c r="D3846">
        <v>4.9051859999999996</v>
      </c>
      <c r="E3846">
        <v>0.53180890000000003</v>
      </c>
      <c r="F3846" t="s">
        <v>42</v>
      </c>
      <c r="G3846">
        <v>-125.8365</v>
      </c>
      <c r="H3846">
        <v>0.98019270000000003</v>
      </c>
      <c r="I3846">
        <v>138.54589999999999</v>
      </c>
      <c r="J3846">
        <v>-126.5232</v>
      </c>
      <c r="K3846">
        <v>1.1051740000000001</v>
      </c>
      <c r="L3846">
        <v>138.5266</v>
      </c>
      <c r="M3846">
        <v>0.99450950000000005</v>
      </c>
      <c r="N3846">
        <v>0</v>
      </c>
      <c r="O3846">
        <v>0.1039573</v>
      </c>
      <c r="P3846">
        <v>0.98343809999999998</v>
      </c>
      <c r="Q3846">
        <v>0.1537433</v>
      </c>
      <c r="R3846">
        <v>9.5983209999999999E-2</v>
      </c>
      <c r="S3846">
        <v>3.1291500000000001</v>
      </c>
      <c r="T3846">
        <v>-0.55748509999999996</v>
      </c>
      <c r="U3846">
        <v>9.3887330000000005E-2</v>
      </c>
      <c r="V3846">
        <v>6.7859679999999999E-3</v>
      </c>
      <c r="W3846">
        <v>0.16558310000000001</v>
      </c>
      <c r="X3846">
        <v>0.98617250000000001</v>
      </c>
      <c r="Y3846">
        <v>7.1338670000000007E-2</v>
      </c>
      <c r="Z3846">
        <v>-2.4645009999999998E-2</v>
      </c>
      <c r="AA3846">
        <v>0.99714760000000002</v>
      </c>
      <c r="AB3846">
        <v>2</v>
      </c>
      <c r="AC3846">
        <v>0.68670000000000098</v>
      </c>
      <c r="AD3846">
        <v>-0.124981299999999</v>
      </c>
      <c r="AE3846">
        <v>1.9299999999986901E-2</v>
      </c>
      <c r="AF3846">
        <v>5.0524879934818502E-2</v>
      </c>
      <c r="AG3846">
        <v>-0.124981299999999</v>
      </c>
      <c r="AH3846">
        <v>0.66303942875903399</v>
      </c>
      <c r="AI3846">
        <v>100.644706383995</v>
      </c>
      <c r="AJ3846">
        <v>85.642372888416702</v>
      </c>
      <c r="AK3846">
        <v>0.67660503466292998</v>
      </c>
      <c r="AL3846">
        <v>80.468890459288204</v>
      </c>
      <c r="AM3846">
        <v>89.605747280683801</v>
      </c>
      <c r="AN3846">
        <v>1.00000000606177</v>
      </c>
    </row>
    <row r="3847" spans="1:40" x14ac:dyDescent="0.3">
      <c r="A3847" t="str">
        <f>"20200111150434651"</f>
        <v>20200111150434651</v>
      </c>
      <c r="B3847" t="str">
        <f>"1578726274642919"</f>
        <v>1578726274642919</v>
      </c>
      <c r="C3847" t="s">
        <v>40</v>
      </c>
      <c r="D3847">
        <v>4.9135939999999998</v>
      </c>
      <c r="E3847">
        <v>0.53112479999999995</v>
      </c>
      <c r="F3847" t="s">
        <v>42</v>
      </c>
      <c r="G3847">
        <v>-125.82259999999999</v>
      </c>
      <c r="H3847">
        <v>0.98122719999999997</v>
      </c>
      <c r="I3847">
        <v>138.54900000000001</v>
      </c>
      <c r="J3847">
        <v>-126.5059</v>
      </c>
      <c r="K3847">
        <v>1.105172</v>
      </c>
      <c r="L3847">
        <v>138.52850000000001</v>
      </c>
      <c r="M3847">
        <v>0.99450190000000005</v>
      </c>
      <c r="N3847">
        <v>0</v>
      </c>
      <c r="O3847">
        <v>0.1040305</v>
      </c>
      <c r="P3847">
        <v>0.98364629999999997</v>
      </c>
      <c r="Q3847">
        <v>0.15288170000000001</v>
      </c>
      <c r="R3847">
        <v>9.5221890000000003E-2</v>
      </c>
      <c r="S3847">
        <v>3.1272280000000001</v>
      </c>
      <c r="T3847">
        <v>-0.55342360000000002</v>
      </c>
      <c r="U3847">
        <v>0.1005402</v>
      </c>
      <c r="V3847">
        <v>7.63743199999999E-3</v>
      </c>
      <c r="W3847">
        <v>0.16472110000000001</v>
      </c>
      <c r="X3847">
        <v>0.98631060000000004</v>
      </c>
      <c r="Y3847">
        <v>6.9340680000000002E-2</v>
      </c>
      <c r="Z3847">
        <v>-2.431912E-2</v>
      </c>
      <c r="AA3847">
        <v>0.99729659999999998</v>
      </c>
      <c r="AB3847">
        <v>2</v>
      </c>
      <c r="AC3847">
        <v>0.68330000000000202</v>
      </c>
      <c r="AD3847">
        <v>-0.12394479999999999</v>
      </c>
      <c r="AE3847">
        <v>2.0499999999998401E-2</v>
      </c>
      <c r="AF3847">
        <v>4.9086750238891599E-2</v>
      </c>
      <c r="AG3847">
        <v>-0.12394479999999999</v>
      </c>
      <c r="AH3847">
        <v>0.66002746362699205</v>
      </c>
      <c r="AI3847">
        <v>100.606932845009</v>
      </c>
      <c r="AJ3847">
        <v>85.746698951945007</v>
      </c>
      <c r="AK3847">
        <v>0.67335583107145902</v>
      </c>
      <c r="AL3847">
        <v>80.518966871564203</v>
      </c>
      <c r="AM3847">
        <v>89.556342723985296</v>
      </c>
      <c r="AN3847">
        <v>0.99999998541256196</v>
      </c>
    </row>
    <row r="3848" spans="1:40" x14ac:dyDescent="0.3">
      <c r="A3848" t="str">
        <f>"20200111150434670"</f>
        <v>20200111150434670</v>
      </c>
      <c r="B3848" t="str">
        <f>"1578726274662430"</f>
        <v>1578726274662430</v>
      </c>
      <c r="C3848" t="s">
        <v>40</v>
      </c>
      <c r="D3848">
        <v>5.0178260000000003</v>
      </c>
      <c r="E3848">
        <v>0.53055039999999998</v>
      </c>
      <c r="F3848" t="s">
        <v>42</v>
      </c>
      <c r="G3848">
        <v>-125.79649999999999</v>
      </c>
      <c r="H3848">
        <v>0.97952079999999997</v>
      </c>
      <c r="I3848">
        <v>138.55170000000001</v>
      </c>
      <c r="J3848">
        <v>-126.49290000000001</v>
      </c>
      <c r="K3848">
        <v>1.1051740000000001</v>
      </c>
      <c r="L3848">
        <v>138.5299</v>
      </c>
      <c r="M3848">
        <v>0.99449600000000005</v>
      </c>
      <c r="N3848">
        <v>0</v>
      </c>
      <c r="O3848">
        <v>0.104085999999999</v>
      </c>
      <c r="P3848">
        <v>0.98378169999999998</v>
      </c>
      <c r="Q3848">
        <v>0.1527232</v>
      </c>
      <c r="R3848">
        <v>9.4069089999999994E-2</v>
      </c>
      <c r="S3848">
        <v>3.1259920000000001</v>
      </c>
      <c r="T3848">
        <v>-0.55376199999999998</v>
      </c>
      <c r="U3848">
        <v>0.10290530000000001</v>
      </c>
      <c r="V3848">
        <v>8.8533239999999992E-3</v>
      </c>
      <c r="W3848">
        <v>0.16456119999999999</v>
      </c>
      <c r="X3848">
        <v>0.98632719999999896</v>
      </c>
      <c r="Y3848">
        <v>6.8634760000000003E-2</v>
      </c>
      <c r="Z3848">
        <v>-2.429044E-2</v>
      </c>
      <c r="AA3848">
        <v>0.99734610000000001</v>
      </c>
      <c r="AB3848">
        <v>2</v>
      </c>
      <c r="AC3848">
        <v>0.69640000000001101</v>
      </c>
      <c r="AD3848">
        <v>-0.12565319999999899</v>
      </c>
      <c r="AE3848">
        <v>2.1800000000013101E-2</v>
      </c>
      <c r="AF3848">
        <v>4.9208667520219303E-2</v>
      </c>
      <c r="AG3848">
        <v>-0.12565319999999899</v>
      </c>
      <c r="AH3848">
        <v>0.67299747408537103</v>
      </c>
      <c r="AI3848">
        <v>100.548219915323</v>
      </c>
      <c r="AJ3848">
        <v>85.818051992193006</v>
      </c>
      <c r="AK3848">
        <v>0.68639334186357404</v>
      </c>
      <c r="AL3848">
        <v>80.528255910759199</v>
      </c>
      <c r="AM3848">
        <v>89.485723928791202</v>
      </c>
      <c r="AN3848">
        <v>1.0000000576755601</v>
      </c>
    </row>
    <row r="3849" spans="1:40" x14ac:dyDescent="0.3">
      <c r="A3849" t="str">
        <f>"20200111150434692"</f>
        <v>20200111150434692</v>
      </c>
      <c r="B3849" t="str">
        <f>"1578726274682927"</f>
        <v>1578726274682927</v>
      </c>
      <c r="C3849" t="s">
        <v>40</v>
      </c>
      <c r="D3849">
        <v>4.9569390000000002</v>
      </c>
      <c r="E3849">
        <v>0.53010690000000005</v>
      </c>
      <c r="F3849" t="s">
        <v>42</v>
      </c>
      <c r="G3849">
        <v>-125.7834</v>
      </c>
      <c r="H3849">
        <v>0.97896640000000001</v>
      </c>
      <c r="I3849">
        <v>138.55350000000001</v>
      </c>
      <c r="J3849">
        <v>-126.4777</v>
      </c>
      <c r="K3849">
        <v>1.1051759999999999</v>
      </c>
      <c r="L3849">
        <v>138.5316</v>
      </c>
      <c r="M3849">
        <v>0.99448930000000002</v>
      </c>
      <c r="N3849">
        <v>0</v>
      </c>
      <c r="O3849">
        <v>0.10415000000000001</v>
      </c>
      <c r="P3849">
        <v>0.98387599999999997</v>
      </c>
      <c r="Q3849">
        <v>0.15229139999999999</v>
      </c>
      <c r="R3849">
        <v>9.3782799999999999E-2</v>
      </c>
      <c r="S3849">
        <v>3.1258539999999999</v>
      </c>
      <c r="T3849">
        <v>-0.55612740000000005</v>
      </c>
      <c r="U3849">
        <v>0.1038208</v>
      </c>
      <c r="V3849">
        <v>9.2113909999999993E-3</v>
      </c>
      <c r="W3849">
        <v>0.16412889999999999</v>
      </c>
      <c r="X3849">
        <v>0.98639589999999999</v>
      </c>
      <c r="Y3849">
        <v>6.8385710000000002E-2</v>
      </c>
      <c r="Z3849">
        <v>-2.4382729999999998E-2</v>
      </c>
      <c r="AA3849">
        <v>0.99736089999999999</v>
      </c>
      <c r="AB3849">
        <v>2</v>
      </c>
      <c r="AC3849">
        <v>0.69429999999999803</v>
      </c>
      <c r="AD3849">
        <v>-0.12620959999999901</v>
      </c>
      <c r="AE3849">
        <v>2.1900000000016399E-2</v>
      </c>
      <c r="AF3849">
        <v>4.8920741044586297E-2</v>
      </c>
      <c r="AG3849">
        <v>-0.12620959999999901</v>
      </c>
      <c r="AH3849">
        <v>0.67066529724980795</v>
      </c>
      <c r="AI3849">
        <v>100.630006203462</v>
      </c>
      <c r="AJ3849">
        <v>85.828028484412201</v>
      </c>
      <c r="AK3849">
        <v>0.68418860190132202</v>
      </c>
      <c r="AL3849">
        <v>80.553365834772293</v>
      </c>
      <c r="AM3849">
        <v>89.464962813803993</v>
      </c>
      <c r="AN3849">
        <v>1.00000000853808</v>
      </c>
    </row>
    <row r="3850" spans="1:40" x14ac:dyDescent="0.3">
      <c r="A3850" t="str">
        <f>"20200111150434718"</f>
        <v>20200111150434718</v>
      </c>
      <c r="B3850" t="str">
        <f>"1578726274712206"</f>
        <v>1578726274712206</v>
      </c>
      <c r="C3850" t="s">
        <v>40</v>
      </c>
      <c r="D3850">
        <v>4.9971300000000003</v>
      </c>
      <c r="E3850">
        <v>0.52985579999999999</v>
      </c>
      <c r="F3850" t="s">
        <v>42</v>
      </c>
      <c r="G3850">
        <v>-125.77</v>
      </c>
      <c r="H3850">
        <v>0.97904930000000001</v>
      </c>
      <c r="I3850">
        <v>138.5547</v>
      </c>
      <c r="J3850">
        <v>-126.46120000000001</v>
      </c>
      <c r="K3850">
        <v>1.105159</v>
      </c>
      <c r="L3850">
        <v>138.5335</v>
      </c>
      <c r="M3850">
        <v>0.99448219999999998</v>
      </c>
      <c r="N3850">
        <v>0</v>
      </c>
      <c r="O3850">
        <v>0.104219699999999</v>
      </c>
      <c r="P3850">
        <v>0.98413349999999999</v>
      </c>
      <c r="Q3850">
        <v>0.15012</v>
      </c>
      <c r="R3850">
        <v>9.4579549999999998E-2</v>
      </c>
      <c r="S3850">
        <v>3.12561</v>
      </c>
      <c r="T3850">
        <v>-0.55712779999999995</v>
      </c>
      <c r="U3850">
        <v>0.10266110000000001</v>
      </c>
      <c r="V3850">
        <v>8.5150620000000003E-3</v>
      </c>
      <c r="W3850">
        <v>0.16196060000000001</v>
      </c>
      <c r="X3850">
        <v>0.98676050000000004</v>
      </c>
      <c r="Y3850">
        <v>6.8804889999999994E-2</v>
      </c>
      <c r="Z3850">
        <v>-2.4477349999999998E-2</v>
      </c>
      <c r="AA3850">
        <v>0.99732980000000004</v>
      </c>
      <c r="AB3850">
        <v>2</v>
      </c>
      <c r="AC3850">
        <v>0.69120000000000903</v>
      </c>
      <c r="AD3850">
        <v>-0.12610969999999999</v>
      </c>
      <c r="AE3850">
        <v>2.11999999999932E-2</v>
      </c>
      <c r="AF3850">
        <v>4.9317154559348202E-2</v>
      </c>
      <c r="AG3850">
        <v>-0.12610969999999999</v>
      </c>
      <c r="AH3850">
        <v>0.66744779251390396</v>
      </c>
      <c r="AI3850">
        <v>100.67109387982801</v>
      </c>
      <c r="AJ3850">
        <v>85.774142509860496</v>
      </c>
      <c r="AK3850">
        <v>0.68104507479285403</v>
      </c>
      <c r="AL3850">
        <v>80.679285313087902</v>
      </c>
      <c r="AM3850">
        <v>89.505589243274002</v>
      </c>
      <c r="AN3850">
        <v>1.0000000132967299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Testhuanghun_off_with_headDir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</dc:creator>
  <cp:lastModifiedBy>knight</cp:lastModifiedBy>
  <dcterms:created xsi:type="dcterms:W3CDTF">2022-04-01T02:49:17Z</dcterms:created>
  <dcterms:modified xsi:type="dcterms:W3CDTF">2022-04-01T02:49:18Z</dcterms:modified>
</cp:coreProperties>
</file>